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andresmejialievano/Desktop/Projects/GroupProject1/Code/Andres_Mejia/"/>
    </mc:Choice>
  </mc:AlternateContent>
  <xr:revisionPtr revIDLastSave="0" documentId="8_{ABFF653B-456E-CF4A-8F7F-1B03A73C1702}" xr6:coauthVersionLast="36" xr6:coauthVersionMax="36" xr10:uidLastSave="{00000000-0000-0000-0000-000000000000}"/>
  <bookViews>
    <workbookView xWindow="0" yWindow="460" windowWidth="27320" windowHeight="13980" activeTab="2" xr2:uid="{00000000-000D-0000-FFFF-FFFF00000000}"/>
  </bookViews>
  <sheets>
    <sheet name="S&amp;P500" sheetId="1" r:id="rId1"/>
    <sheet name="S&amp;P500-Sectors" sheetId="2" r:id="rId2"/>
    <sheet name="SPY_Sectors_Zika_AM" sheetId="3" r:id="rId3"/>
    <sheet name="H1N1" sheetId="4" r:id="rId4"/>
    <sheet name="SARS" sheetId="5" r:id="rId5"/>
    <sheet name="Ebola" sheetId="6" r:id="rId6"/>
  </sheets>
  <calcPr calcId="181029"/>
</workbook>
</file>

<file path=xl/calcChain.xml><?xml version="1.0" encoding="utf-8"?>
<calcChain xmlns="http://schemas.openxmlformats.org/spreadsheetml/2006/main">
  <c r="BN610" i="2" l="1"/>
  <c r="BM610" i="2"/>
  <c r="BL610" i="2"/>
  <c r="BK610" i="2"/>
  <c r="BJ610" i="2"/>
  <c r="BI610" i="2"/>
  <c r="BH610" i="2"/>
  <c r="BG610" i="2"/>
  <c r="BF610" i="2"/>
  <c r="BE610" i="2"/>
  <c r="BD610" i="2"/>
  <c r="BC610" i="2"/>
  <c r="AV610" i="2"/>
  <c r="AU610" i="2"/>
  <c r="AT610" i="2"/>
  <c r="AS610" i="2"/>
  <c r="AR610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BN609" i="2"/>
  <c r="BM609" i="2"/>
  <c r="BL609" i="2"/>
  <c r="BK609" i="2"/>
  <c r="BJ609" i="2"/>
  <c r="BI609" i="2"/>
  <c r="BH609" i="2"/>
  <c r="BG609" i="2"/>
  <c r="BF609" i="2"/>
  <c r="BE609" i="2"/>
  <c r="BD609" i="2"/>
  <c r="BC609" i="2"/>
  <c r="AV609" i="2"/>
  <c r="AU609" i="2"/>
  <c r="AT609" i="2"/>
  <c r="AS609" i="2"/>
  <c r="AR609" i="2"/>
  <c r="AQ609" i="2"/>
  <c r="AP609" i="2"/>
  <c r="AO609" i="2"/>
  <c r="AN609" i="2"/>
  <c r="AM609" i="2"/>
  <c r="AL609" i="2"/>
  <c r="AK609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BN608" i="2"/>
  <c r="BM608" i="2"/>
  <c r="BL608" i="2"/>
  <c r="BK608" i="2"/>
  <c r="BJ608" i="2"/>
  <c r="BI608" i="2"/>
  <c r="BH608" i="2"/>
  <c r="BG608" i="2"/>
  <c r="BF608" i="2"/>
  <c r="BE608" i="2"/>
  <c r="BD608" i="2"/>
  <c r="BC608" i="2"/>
  <c r="AV608" i="2"/>
  <c r="AU608" i="2"/>
  <c r="AT608" i="2"/>
  <c r="AS608" i="2"/>
  <c r="AR608" i="2"/>
  <c r="AQ608" i="2"/>
  <c r="AP608" i="2"/>
  <c r="AO608" i="2"/>
  <c r="AN608" i="2"/>
  <c r="AM608" i="2"/>
  <c r="AL608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BN607" i="2"/>
  <c r="BM607" i="2"/>
  <c r="BL607" i="2"/>
  <c r="BK607" i="2"/>
  <c r="BJ607" i="2"/>
  <c r="BI607" i="2"/>
  <c r="BH607" i="2"/>
  <c r="BG607" i="2"/>
  <c r="BF607" i="2"/>
  <c r="BE607" i="2"/>
  <c r="BD607" i="2"/>
  <c r="BC607" i="2"/>
  <c r="AV607" i="2"/>
  <c r="AU607" i="2"/>
  <c r="AT607" i="2"/>
  <c r="AS607" i="2"/>
  <c r="AR607" i="2"/>
  <c r="AQ607" i="2"/>
  <c r="AP607" i="2"/>
  <c r="AO607" i="2"/>
  <c r="AN607" i="2"/>
  <c r="AM607" i="2"/>
  <c r="AL607" i="2"/>
  <c r="AK607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BN606" i="2"/>
  <c r="BM606" i="2"/>
  <c r="BL606" i="2"/>
  <c r="BK606" i="2"/>
  <c r="BJ606" i="2"/>
  <c r="BI606" i="2"/>
  <c r="BH606" i="2"/>
  <c r="BG606" i="2"/>
  <c r="BF606" i="2"/>
  <c r="BE606" i="2"/>
  <c r="BD606" i="2"/>
  <c r="BC606" i="2"/>
  <c r="AV606" i="2"/>
  <c r="AU606" i="2"/>
  <c r="AT606" i="2"/>
  <c r="AS606" i="2"/>
  <c r="AR606" i="2"/>
  <c r="AQ606" i="2"/>
  <c r="AP606" i="2"/>
  <c r="AO606" i="2"/>
  <c r="AN606" i="2"/>
  <c r="AM606" i="2"/>
  <c r="AL606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BN605" i="2"/>
  <c r="BM605" i="2"/>
  <c r="BL605" i="2"/>
  <c r="BK605" i="2"/>
  <c r="BJ605" i="2"/>
  <c r="BI605" i="2"/>
  <c r="BH605" i="2"/>
  <c r="BG605" i="2"/>
  <c r="BF605" i="2"/>
  <c r="BE605" i="2"/>
  <c r="BD605" i="2"/>
  <c r="BC605" i="2"/>
  <c r="AV605" i="2"/>
  <c r="AU605" i="2"/>
  <c r="AT605" i="2"/>
  <c r="AS605" i="2"/>
  <c r="AR605" i="2"/>
  <c r="AQ605" i="2"/>
  <c r="AP605" i="2"/>
  <c r="AO605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BN604" i="2"/>
  <c r="BM604" i="2"/>
  <c r="BL604" i="2"/>
  <c r="BK604" i="2"/>
  <c r="BJ604" i="2"/>
  <c r="BI604" i="2"/>
  <c r="BH604" i="2"/>
  <c r="BG604" i="2"/>
  <c r="BF604" i="2"/>
  <c r="BE604" i="2"/>
  <c r="BD604" i="2"/>
  <c r="BC604" i="2"/>
  <c r="AV604" i="2"/>
  <c r="AU604" i="2"/>
  <c r="AT604" i="2"/>
  <c r="AS604" i="2"/>
  <c r="AR604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BN603" i="2"/>
  <c r="BM603" i="2"/>
  <c r="BL603" i="2"/>
  <c r="BK603" i="2"/>
  <c r="BJ603" i="2"/>
  <c r="BI603" i="2"/>
  <c r="BH603" i="2"/>
  <c r="BG603" i="2"/>
  <c r="BF603" i="2"/>
  <c r="BE603" i="2"/>
  <c r="BD603" i="2"/>
  <c r="BC603" i="2"/>
  <c r="AV603" i="2"/>
  <c r="AU603" i="2"/>
  <c r="AT603" i="2"/>
  <c r="AS603" i="2"/>
  <c r="AR603" i="2"/>
  <c r="AQ603" i="2"/>
  <c r="AP603" i="2"/>
  <c r="AO603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BN602" i="2"/>
  <c r="BM602" i="2"/>
  <c r="BL602" i="2"/>
  <c r="BK602" i="2"/>
  <c r="BJ602" i="2"/>
  <c r="BI602" i="2"/>
  <c r="BH602" i="2"/>
  <c r="BG602" i="2"/>
  <c r="BF602" i="2"/>
  <c r="BE602" i="2"/>
  <c r="BD602" i="2"/>
  <c r="BC602" i="2"/>
  <c r="AV602" i="2"/>
  <c r="AU602" i="2"/>
  <c r="AT602" i="2"/>
  <c r="AS602" i="2"/>
  <c r="AR602" i="2"/>
  <c r="AQ602" i="2"/>
  <c r="AP602" i="2"/>
  <c r="AO602" i="2"/>
  <c r="AN602" i="2"/>
  <c r="AM602" i="2"/>
  <c r="AL602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BN601" i="2"/>
  <c r="BM601" i="2"/>
  <c r="BL601" i="2"/>
  <c r="BK601" i="2"/>
  <c r="BJ601" i="2"/>
  <c r="BI601" i="2"/>
  <c r="BH601" i="2"/>
  <c r="BG601" i="2"/>
  <c r="BF601" i="2"/>
  <c r="BE601" i="2"/>
  <c r="BD601" i="2"/>
  <c r="BC601" i="2"/>
  <c r="AV601" i="2"/>
  <c r="AU601" i="2"/>
  <c r="AT601" i="2"/>
  <c r="AS601" i="2"/>
  <c r="AR601" i="2"/>
  <c r="AQ601" i="2"/>
  <c r="AP601" i="2"/>
  <c r="AO601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BN600" i="2"/>
  <c r="BM600" i="2"/>
  <c r="BL600" i="2"/>
  <c r="BK600" i="2"/>
  <c r="BJ600" i="2"/>
  <c r="BI600" i="2"/>
  <c r="BH600" i="2"/>
  <c r="BG600" i="2"/>
  <c r="BF600" i="2"/>
  <c r="BE600" i="2"/>
  <c r="BD600" i="2"/>
  <c r="BC600" i="2"/>
  <c r="AV600" i="2"/>
  <c r="AU600" i="2"/>
  <c r="AT600" i="2"/>
  <c r="AS600" i="2"/>
  <c r="AR600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BN599" i="2"/>
  <c r="BM599" i="2"/>
  <c r="BL599" i="2"/>
  <c r="BK599" i="2"/>
  <c r="BJ599" i="2"/>
  <c r="BI599" i="2"/>
  <c r="BH599" i="2"/>
  <c r="BG599" i="2"/>
  <c r="BF599" i="2"/>
  <c r="BE599" i="2"/>
  <c r="BD599" i="2"/>
  <c r="BC599" i="2"/>
  <c r="AV599" i="2"/>
  <c r="AU599" i="2"/>
  <c r="AT599" i="2"/>
  <c r="AS599" i="2"/>
  <c r="AR599" i="2"/>
  <c r="AQ599" i="2"/>
  <c r="AP599" i="2"/>
  <c r="AO599" i="2"/>
  <c r="AN599" i="2"/>
  <c r="AM599" i="2"/>
  <c r="AL599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BN598" i="2"/>
  <c r="BM598" i="2"/>
  <c r="BL598" i="2"/>
  <c r="BK598" i="2"/>
  <c r="BJ598" i="2"/>
  <c r="BI598" i="2"/>
  <c r="BH598" i="2"/>
  <c r="BG598" i="2"/>
  <c r="BF598" i="2"/>
  <c r="BE598" i="2"/>
  <c r="BD598" i="2"/>
  <c r="BC598" i="2"/>
  <c r="AV598" i="2"/>
  <c r="AU598" i="2"/>
  <c r="AT598" i="2"/>
  <c r="AS598" i="2"/>
  <c r="AR598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BN597" i="2"/>
  <c r="BM597" i="2"/>
  <c r="BL597" i="2"/>
  <c r="BK597" i="2"/>
  <c r="BJ597" i="2"/>
  <c r="BI597" i="2"/>
  <c r="BH597" i="2"/>
  <c r="BG597" i="2"/>
  <c r="BF597" i="2"/>
  <c r="BE597" i="2"/>
  <c r="BD597" i="2"/>
  <c r="BC597" i="2"/>
  <c r="AV597" i="2"/>
  <c r="AU597" i="2"/>
  <c r="AT597" i="2"/>
  <c r="AS597" i="2"/>
  <c r="AR597" i="2"/>
  <c r="AQ597" i="2"/>
  <c r="AP597" i="2"/>
  <c r="AO597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BN596" i="2"/>
  <c r="BM596" i="2"/>
  <c r="BL596" i="2"/>
  <c r="BK596" i="2"/>
  <c r="BJ596" i="2"/>
  <c r="BI596" i="2"/>
  <c r="BH596" i="2"/>
  <c r="BG596" i="2"/>
  <c r="BF596" i="2"/>
  <c r="BE596" i="2"/>
  <c r="BD596" i="2"/>
  <c r="BC596" i="2"/>
  <c r="AV596" i="2"/>
  <c r="AU596" i="2"/>
  <c r="AT596" i="2"/>
  <c r="AS596" i="2"/>
  <c r="AR596" i="2"/>
  <c r="AQ596" i="2"/>
  <c r="AP596" i="2"/>
  <c r="AO596" i="2"/>
  <c r="AN596" i="2"/>
  <c r="AM596" i="2"/>
  <c r="AL596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BN595" i="2"/>
  <c r="BM595" i="2"/>
  <c r="BL595" i="2"/>
  <c r="BK595" i="2"/>
  <c r="BJ595" i="2"/>
  <c r="BI595" i="2"/>
  <c r="BH595" i="2"/>
  <c r="BG595" i="2"/>
  <c r="BF595" i="2"/>
  <c r="BE595" i="2"/>
  <c r="BD595" i="2"/>
  <c r="BC595" i="2"/>
  <c r="AV595" i="2"/>
  <c r="AU595" i="2"/>
  <c r="AT595" i="2"/>
  <c r="AS595" i="2"/>
  <c r="AR595" i="2"/>
  <c r="AQ595" i="2"/>
  <c r="AP595" i="2"/>
  <c r="AO595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BN594" i="2"/>
  <c r="BM594" i="2"/>
  <c r="BL594" i="2"/>
  <c r="BK594" i="2"/>
  <c r="BJ594" i="2"/>
  <c r="BI594" i="2"/>
  <c r="BH594" i="2"/>
  <c r="BG594" i="2"/>
  <c r="BF594" i="2"/>
  <c r="BE594" i="2"/>
  <c r="BD594" i="2"/>
  <c r="BC594" i="2"/>
  <c r="AV594" i="2"/>
  <c r="AU594" i="2"/>
  <c r="AT594" i="2"/>
  <c r="AS594" i="2"/>
  <c r="AR594" i="2"/>
  <c r="AQ594" i="2"/>
  <c r="AP594" i="2"/>
  <c r="AO594" i="2"/>
  <c r="AN594" i="2"/>
  <c r="AM594" i="2"/>
  <c r="AL594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BN593" i="2"/>
  <c r="BM593" i="2"/>
  <c r="BL593" i="2"/>
  <c r="BK593" i="2"/>
  <c r="BJ593" i="2"/>
  <c r="BI593" i="2"/>
  <c r="BH593" i="2"/>
  <c r="BG593" i="2"/>
  <c r="BF593" i="2"/>
  <c r="BE593" i="2"/>
  <c r="BD593" i="2"/>
  <c r="BC593" i="2"/>
  <c r="AV593" i="2"/>
  <c r="AU593" i="2"/>
  <c r="AT593" i="2"/>
  <c r="AS593" i="2"/>
  <c r="AR593" i="2"/>
  <c r="AQ593" i="2"/>
  <c r="AP593" i="2"/>
  <c r="AO593" i="2"/>
  <c r="AN593" i="2"/>
  <c r="AM593" i="2"/>
  <c r="AL593" i="2"/>
  <c r="AK593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BN592" i="2"/>
  <c r="BM592" i="2"/>
  <c r="BL592" i="2"/>
  <c r="BK592" i="2"/>
  <c r="BJ592" i="2"/>
  <c r="BI592" i="2"/>
  <c r="BH592" i="2"/>
  <c r="BG592" i="2"/>
  <c r="BF592" i="2"/>
  <c r="BE592" i="2"/>
  <c r="BD592" i="2"/>
  <c r="BC592" i="2"/>
  <c r="AV592" i="2"/>
  <c r="AU592" i="2"/>
  <c r="AT592" i="2"/>
  <c r="AS592" i="2"/>
  <c r="AR592" i="2"/>
  <c r="AQ592" i="2"/>
  <c r="AP592" i="2"/>
  <c r="AO592" i="2"/>
  <c r="AN592" i="2"/>
  <c r="AM592" i="2"/>
  <c r="AL592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BN591" i="2"/>
  <c r="BM591" i="2"/>
  <c r="BL591" i="2"/>
  <c r="BK591" i="2"/>
  <c r="BJ591" i="2"/>
  <c r="BI591" i="2"/>
  <c r="BH591" i="2"/>
  <c r="BG591" i="2"/>
  <c r="BF591" i="2"/>
  <c r="BE591" i="2"/>
  <c r="BD591" i="2"/>
  <c r="BC591" i="2"/>
  <c r="AV591" i="2"/>
  <c r="AU591" i="2"/>
  <c r="AT591" i="2"/>
  <c r="AS591" i="2"/>
  <c r="AR591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BN590" i="2"/>
  <c r="BM590" i="2"/>
  <c r="BL590" i="2"/>
  <c r="BK590" i="2"/>
  <c r="BJ590" i="2"/>
  <c r="BI590" i="2"/>
  <c r="BH590" i="2"/>
  <c r="BG590" i="2"/>
  <c r="BF590" i="2"/>
  <c r="BE590" i="2"/>
  <c r="BD590" i="2"/>
  <c r="BC590" i="2"/>
  <c r="AV590" i="2"/>
  <c r="AU590" i="2"/>
  <c r="AT590" i="2"/>
  <c r="AS590" i="2"/>
  <c r="AR590" i="2"/>
  <c r="AQ590" i="2"/>
  <c r="AP590" i="2"/>
  <c r="AO590" i="2"/>
  <c r="AN590" i="2"/>
  <c r="AM590" i="2"/>
  <c r="AL590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BN589" i="2"/>
  <c r="BM589" i="2"/>
  <c r="BL589" i="2"/>
  <c r="BK589" i="2"/>
  <c r="BJ589" i="2"/>
  <c r="BI589" i="2"/>
  <c r="BH589" i="2"/>
  <c r="BG589" i="2"/>
  <c r="BF589" i="2"/>
  <c r="BE589" i="2"/>
  <c r="BD589" i="2"/>
  <c r="BC589" i="2"/>
  <c r="AV589" i="2"/>
  <c r="AU589" i="2"/>
  <c r="AT589" i="2"/>
  <c r="AS589" i="2"/>
  <c r="AR589" i="2"/>
  <c r="AQ589" i="2"/>
  <c r="AP589" i="2"/>
  <c r="AO589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BN588" i="2"/>
  <c r="BM588" i="2"/>
  <c r="BL588" i="2"/>
  <c r="BK588" i="2"/>
  <c r="BJ588" i="2"/>
  <c r="BI588" i="2"/>
  <c r="BH588" i="2"/>
  <c r="BG588" i="2"/>
  <c r="BF588" i="2"/>
  <c r="BE588" i="2"/>
  <c r="BD588" i="2"/>
  <c r="BC588" i="2"/>
  <c r="AV588" i="2"/>
  <c r="AU588" i="2"/>
  <c r="AT588" i="2"/>
  <c r="AS588" i="2"/>
  <c r="AR588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BN587" i="2"/>
  <c r="BM587" i="2"/>
  <c r="BL587" i="2"/>
  <c r="BK587" i="2"/>
  <c r="BJ587" i="2"/>
  <c r="BI587" i="2"/>
  <c r="BH587" i="2"/>
  <c r="BG587" i="2"/>
  <c r="BF587" i="2"/>
  <c r="BE587" i="2"/>
  <c r="BD587" i="2"/>
  <c r="BC587" i="2"/>
  <c r="AV587" i="2"/>
  <c r="AU587" i="2"/>
  <c r="AT587" i="2"/>
  <c r="AS587" i="2"/>
  <c r="AR587" i="2"/>
  <c r="AQ587" i="2"/>
  <c r="AP587" i="2"/>
  <c r="AO587" i="2"/>
  <c r="AN587" i="2"/>
  <c r="AM587" i="2"/>
  <c r="AL587" i="2"/>
  <c r="AK587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BN586" i="2"/>
  <c r="BM586" i="2"/>
  <c r="BL586" i="2"/>
  <c r="BK586" i="2"/>
  <c r="BJ586" i="2"/>
  <c r="BI586" i="2"/>
  <c r="BH586" i="2"/>
  <c r="BG586" i="2"/>
  <c r="BF586" i="2"/>
  <c r="BE586" i="2"/>
  <c r="BD586" i="2"/>
  <c r="BC586" i="2"/>
  <c r="AV586" i="2"/>
  <c r="AU586" i="2"/>
  <c r="AT586" i="2"/>
  <c r="AS586" i="2"/>
  <c r="AR586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BN585" i="2"/>
  <c r="BM585" i="2"/>
  <c r="BL585" i="2"/>
  <c r="BK585" i="2"/>
  <c r="BJ585" i="2"/>
  <c r="BI585" i="2"/>
  <c r="BH585" i="2"/>
  <c r="BG585" i="2"/>
  <c r="BF585" i="2"/>
  <c r="BE585" i="2"/>
  <c r="BD585" i="2"/>
  <c r="BC585" i="2"/>
  <c r="AV585" i="2"/>
  <c r="AU585" i="2"/>
  <c r="AT585" i="2"/>
  <c r="AS585" i="2"/>
  <c r="AR585" i="2"/>
  <c r="AQ585" i="2"/>
  <c r="AP585" i="2"/>
  <c r="AO585" i="2"/>
  <c r="AN585" i="2"/>
  <c r="AM585" i="2"/>
  <c r="AL585" i="2"/>
  <c r="AK585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BN584" i="2"/>
  <c r="BM584" i="2"/>
  <c r="BL584" i="2"/>
  <c r="BK584" i="2"/>
  <c r="BJ584" i="2"/>
  <c r="BI584" i="2"/>
  <c r="BH584" i="2"/>
  <c r="BG584" i="2"/>
  <c r="BF584" i="2"/>
  <c r="BE584" i="2"/>
  <c r="BD584" i="2"/>
  <c r="BC584" i="2"/>
  <c r="AV584" i="2"/>
  <c r="AU584" i="2"/>
  <c r="AT584" i="2"/>
  <c r="AS584" i="2"/>
  <c r="AR584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BN583" i="2"/>
  <c r="BM583" i="2"/>
  <c r="BL583" i="2"/>
  <c r="BK583" i="2"/>
  <c r="BJ583" i="2"/>
  <c r="BI583" i="2"/>
  <c r="BH583" i="2"/>
  <c r="BG583" i="2"/>
  <c r="BF583" i="2"/>
  <c r="BE583" i="2"/>
  <c r="BD583" i="2"/>
  <c r="BC583" i="2"/>
  <c r="AV583" i="2"/>
  <c r="AU583" i="2"/>
  <c r="AT583" i="2"/>
  <c r="AS583" i="2"/>
  <c r="AR583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BN582" i="2"/>
  <c r="BM582" i="2"/>
  <c r="BL582" i="2"/>
  <c r="BK582" i="2"/>
  <c r="BJ582" i="2"/>
  <c r="BI582" i="2"/>
  <c r="BH582" i="2"/>
  <c r="BG582" i="2"/>
  <c r="BF582" i="2"/>
  <c r="BE582" i="2"/>
  <c r="BD582" i="2"/>
  <c r="BC582" i="2"/>
  <c r="AV582" i="2"/>
  <c r="AU582" i="2"/>
  <c r="AT582" i="2"/>
  <c r="AS582" i="2"/>
  <c r="AR582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BN581" i="2"/>
  <c r="BM581" i="2"/>
  <c r="BL581" i="2"/>
  <c r="BK581" i="2"/>
  <c r="BJ581" i="2"/>
  <c r="BI581" i="2"/>
  <c r="BH581" i="2"/>
  <c r="BG581" i="2"/>
  <c r="BF581" i="2"/>
  <c r="BE581" i="2"/>
  <c r="BD581" i="2"/>
  <c r="BC581" i="2"/>
  <c r="AV581" i="2"/>
  <c r="AU581" i="2"/>
  <c r="AT581" i="2"/>
  <c r="AS581" i="2"/>
  <c r="AR581" i="2"/>
  <c r="AQ581" i="2"/>
  <c r="AP581" i="2"/>
  <c r="AO581" i="2"/>
  <c r="AN581" i="2"/>
  <c r="AM581" i="2"/>
  <c r="AL581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BN580" i="2"/>
  <c r="BM580" i="2"/>
  <c r="BL580" i="2"/>
  <c r="BK580" i="2"/>
  <c r="BJ580" i="2"/>
  <c r="BI580" i="2"/>
  <c r="BH580" i="2"/>
  <c r="BG580" i="2"/>
  <c r="BF580" i="2"/>
  <c r="BE580" i="2"/>
  <c r="BD580" i="2"/>
  <c r="BC580" i="2"/>
  <c r="AV580" i="2"/>
  <c r="AU580" i="2"/>
  <c r="AT580" i="2"/>
  <c r="AS580" i="2"/>
  <c r="AR580" i="2"/>
  <c r="AQ580" i="2"/>
  <c r="AP580" i="2"/>
  <c r="AO580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BN579" i="2"/>
  <c r="BM579" i="2"/>
  <c r="BL579" i="2"/>
  <c r="BK579" i="2"/>
  <c r="BJ579" i="2"/>
  <c r="BI579" i="2"/>
  <c r="BH579" i="2"/>
  <c r="BG579" i="2"/>
  <c r="BF579" i="2"/>
  <c r="BE579" i="2"/>
  <c r="BD579" i="2"/>
  <c r="BC579" i="2"/>
  <c r="AV579" i="2"/>
  <c r="AU579" i="2"/>
  <c r="AT579" i="2"/>
  <c r="AS579" i="2"/>
  <c r="AR579" i="2"/>
  <c r="AQ579" i="2"/>
  <c r="AP579" i="2"/>
  <c r="AO579" i="2"/>
  <c r="AN579" i="2"/>
  <c r="AM579" i="2"/>
  <c r="AL579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BN578" i="2"/>
  <c r="BM578" i="2"/>
  <c r="BL578" i="2"/>
  <c r="BK578" i="2"/>
  <c r="BJ578" i="2"/>
  <c r="BI578" i="2"/>
  <c r="BH578" i="2"/>
  <c r="BG578" i="2"/>
  <c r="BF578" i="2"/>
  <c r="BE578" i="2"/>
  <c r="BD578" i="2"/>
  <c r="BC578" i="2"/>
  <c r="AV578" i="2"/>
  <c r="AU578" i="2"/>
  <c r="AT578" i="2"/>
  <c r="AS578" i="2"/>
  <c r="AR578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BN577" i="2"/>
  <c r="BM577" i="2"/>
  <c r="BL577" i="2"/>
  <c r="BK577" i="2"/>
  <c r="BJ577" i="2"/>
  <c r="BI577" i="2"/>
  <c r="BH577" i="2"/>
  <c r="BG577" i="2"/>
  <c r="BF577" i="2"/>
  <c r="BE577" i="2"/>
  <c r="BD577" i="2"/>
  <c r="BC577" i="2"/>
  <c r="AV577" i="2"/>
  <c r="AU577" i="2"/>
  <c r="AT577" i="2"/>
  <c r="AS577" i="2"/>
  <c r="AR577" i="2"/>
  <c r="AQ577" i="2"/>
  <c r="AP577" i="2"/>
  <c r="AO577" i="2"/>
  <c r="AN577" i="2"/>
  <c r="AM577" i="2"/>
  <c r="AL577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BN576" i="2"/>
  <c r="BM576" i="2"/>
  <c r="BL576" i="2"/>
  <c r="BK576" i="2"/>
  <c r="BJ576" i="2"/>
  <c r="BI576" i="2"/>
  <c r="BH576" i="2"/>
  <c r="BG576" i="2"/>
  <c r="BF576" i="2"/>
  <c r="BE576" i="2"/>
  <c r="BD576" i="2"/>
  <c r="BC576" i="2"/>
  <c r="AV576" i="2"/>
  <c r="AU576" i="2"/>
  <c r="AT576" i="2"/>
  <c r="AS576" i="2"/>
  <c r="AR576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BN575" i="2"/>
  <c r="BM575" i="2"/>
  <c r="BL575" i="2"/>
  <c r="BK575" i="2"/>
  <c r="BJ575" i="2"/>
  <c r="BI575" i="2"/>
  <c r="BH575" i="2"/>
  <c r="BG575" i="2"/>
  <c r="BF575" i="2"/>
  <c r="BE575" i="2"/>
  <c r="BD575" i="2"/>
  <c r="BC575" i="2"/>
  <c r="AV575" i="2"/>
  <c r="AU575" i="2"/>
  <c r="AT575" i="2"/>
  <c r="AS575" i="2"/>
  <c r="AR575" i="2"/>
  <c r="AQ575" i="2"/>
  <c r="AP575" i="2"/>
  <c r="AO575" i="2"/>
  <c r="AN575" i="2"/>
  <c r="AM575" i="2"/>
  <c r="AL575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BN574" i="2"/>
  <c r="BM574" i="2"/>
  <c r="BL574" i="2"/>
  <c r="BK574" i="2"/>
  <c r="BJ574" i="2"/>
  <c r="BI574" i="2"/>
  <c r="BH574" i="2"/>
  <c r="BG574" i="2"/>
  <c r="BF574" i="2"/>
  <c r="BE574" i="2"/>
  <c r="BD574" i="2"/>
  <c r="BC574" i="2"/>
  <c r="AV574" i="2"/>
  <c r="AU574" i="2"/>
  <c r="AT574" i="2"/>
  <c r="AS574" i="2"/>
  <c r="AR574" i="2"/>
  <c r="AQ574" i="2"/>
  <c r="AP574" i="2"/>
  <c r="AO574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BN573" i="2"/>
  <c r="BM573" i="2"/>
  <c r="BL573" i="2"/>
  <c r="BK573" i="2"/>
  <c r="BJ573" i="2"/>
  <c r="BI573" i="2"/>
  <c r="BH573" i="2"/>
  <c r="BG573" i="2"/>
  <c r="BF573" i="2"/>
  <c r="BE573" i="2"/>
  <c r="BD573" i="2"/>
  <c r="BC573" i="2"/>
  <c r="AV573" i="2"/>
  <c r="AU573" i="2"/>
  <c r="AT573" i="2"/>
  <c r="AS573" i="2"/>
  <c r="AR573" i="2"/>
  <c r="AQ573" i="2"/>
  <c r="AP573" i="2"/>
  <c r="AO573" i="2"/>
  <c r="AN573" i="2"/>
  <c r="AM573" i="2"/>
  <c r="AL573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BN572" i="2"/>
  <c r="BM572" i="2"/>
  <c r="BL572" i="2"/>
  <c r="BK572" i="2"/>
  <c r="BJ572" i="2"/>
  <c r="BI572" i="2"/>
  <c r="BH572" i="2"/>
  <c r="BG572" i="2"/>
  <c r="BF572" i="2"/>
  <c r="BE572" i="2"/>
  <c r="BD572" i="2"/>
  <c r="BC572" i="2"/>
  <c r="AV572" i="2"/>
  <c r="AU572" i="2"/>
  <c r="AT572" i="2"/>
  <c r="AS572" i="2"/>
  <c r="AR572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BN571" i="2"/>
  <c r="BM571" i="2"/>
  <c r="BL571" i="2"/>
  <c r="BK571" i="2"/>
  <c r="BJ571" i="2"/>
  <c r="BI571" i="2"/>
  <c r="BH571" i="2"/>
  <c r="BG571" i="2"/>
  <c r="BF571" i="2"/>
  <c r="BE571" i="2"/>
  <c r="BD571" i="2"/>
  <c r="BC571" i="2"/>
  <c r="AV571" i="2"/>
  <c r="AU571" i="2"/>
  <c r="AT571" i="2"/>
  <c r="AS571" i="2"/>
  <c r="AR571" i="2"/>
  <c r="AQ571" i="2"/>
  <c r="AP571" i="2"/>
  <c r="AO571" i="2"/>
  <c r="AN571" i="2"/>
  <c r="AM571" i="2"/>
  <c r="AL571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BN570" i="2"/>
  <c r="BM570" i="2"/>
  <c r="BL570" i="2"/>
  <c r="BK570" i="2"/>
  <c r="BJ570" i="2"/>
  <c r="BI570" i="2"/>
  <c r="BH570" i="2"/>
  <c r="BG570" i="2"/>
  <c r="BF570" i="2"/>
  <c r="BE570" i="2"/>
  <c r="BD570" i="2"/>
  <c r="BC570" i="2"/>
  <c r="AV570" i="2"/>
  <c r="AU570" i="2"/>
  <c r="AT570" i="2"/>
  <c r="AS570" i="2"/>
  <c r="AR570" i="2"/>
  <c r="AQ570" i="2"/>
  <c r="AP570" i="2"/>
  <c r="AO570" i="2"/>
  <c r="AN570" i="2"/>
  <c r="AM570" i="2"/>
  <c r="AL570" i="2"/>
  <c r="AK570" i="2"/>
  <c r="AJ570" i="2"/>
  <c r="AI570" i="2"/>
  <c r="AH570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BN569" i="2"/>
  <c r="BM569" i="2"/>
  <c r="BL569" i="2"/>
  <c r="BK569" i="2"/>
  <c r="BJ569" i="2"/>
  <c r="BI569" i="2"/>
  <c r="BH569" i="2"/>
  <c r="BG569" i="2"/>
  <c r="BF569" i="2"/>
  <c r="BE569" i="2"/>
  <c r="BD569" i="2"/>
  <c r="BC569" i="2"/>
  <c r="AV569" i="2"/>
  <c r="AU569" i="2"/>
  <c r="AT569" i="2"/>
  <c r="AS569" i="2"/>
  <c r="AR569" i="2"/>
  <c r="AQ569" i="2"/>
  <c r="AP569" i="2"/>
  <c r="AO569" i="2"/>
  <c r="AN569" i="2"/>
  <c r="AM569" i="2"/>
  <c r="AL569" i="2"/>
  <c r="AK569" i="2"/>
  <c r="AJ569" i="2"/>
  <c r="AI569" i="2"/>
  <c r="AH569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BN568" i="2"/>
  <c r="BM568" i="2"/>
  <c r="BL568" i="2"/>
  <c r="BK568" i="2"/>
  <c r="BJ568" i="2"/>
  <c r="BI568" i="2"/>
  <c r="BH568" i="2"/>
  <c r="BG568" i="2"/>
  <c r="BF568" i="2"/>
  <c r="BE568" i="2"/>
  <c r="BD568" i="2"/>
  <c r="BC568" i="2"/>
  <c r="AV568" i="2"/>
  <c r="AU568" i="2"/>
  <c r="AT568" i="2"/>
  <c r="AS568" i="2"/>
  <c r="AR568" i="2"/>
  <c r="AQ568" i="2"/>
  <c r="AP568" i="2"/>
  <c r="AO568" i="2"/>
  <c r="AN568" i="2"/>
  <c r="AM568" i="2"/>
  <c r="AL568" i="2"/>
  <c r="AK568" i="2"/>
  <c r="AJ568" i="2"/>
  <c r="AI568" i="2"/>
  <c r="AH568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BN567" i="2"/>
  <c r="BM567" i="2"/>
  <c r="BL567" i="2"/>
  <c r="BK567" i="2"/>
  <c r="BJ567" i="2"/>
  <c r="BI567" i="2"/>
  <c r="BH567" i="2"/>
  <c r="BG567" i="2"/>
  <c r="BF567" i="2"/>
  <c r="BE567" i="2"/>
  <c r="BD567" i="2"/>
  <c r="BC567" i="2"/>
  <c r="AV567" i="2"/>
  <c r="AU567" i="2"/>
  <c r="AT567" i="2"/>
  <c r="AS567" i="2"/>
  <c r="AR567" i="2"/>
  <c r="AQ567" i="2"/>
  <c r="AP567" i="2"/>
  <c r="AO567" i="2"/>
  <c r="AN567" i="2"/>
  <c r="AM567" i="2"/>
  <c r="AL567" i="2"/>
  <c r="AK567" i="2"/>
  <c r="AJ567" i="2"/>
  <c r="AI567" i="2"/>
  <c r="AH567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BN566" i="2"/>
  <c r="BM566" i="2"/>
  <c r="BL566" i="2"/>
  <c r="BK566" i="2"/>
  <c r="BJ566" i="2"/>
  <c r="BI566" i="2"/>
  <c r="BH566" i="2"/>
  <c r="BG566" i="2"/>
  <c r="BF566" i="2"/>
  <c r="BE566" i="2"/>
  <c r="BD566" i="2"/>
  <c r="BC566" i="2"/>
  <c r="AV566" i="2"/>
  <c r="AU566" i="2"/>
  <c r="AT566" i="2"/>
  <c r="AS566" i="2"/>
  <c r="AR566" i="2"/>
  <c r="AQ566" i="2"/>
  <c r="AP566" i="2"/>
  <c r="AO566" i="2"/>
  <c r="AN566" i="2"/>
  <c r="AM566" i="2"/>
  <c r="AL566" i="2"/>
  <c r="AK566" i="2"/>
  <c r="AJ566" i="2"/>
  <c r="AI566" i="2"/>
  <c r="AH566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BN565" i="2"/>
  <c r="BM565" i="2"/>
  <c r="BL565" i="2"/>
  <c r="BK565" i="2"/>
  <c r="BJ565" i="2"/>
  <c r="BI565" i="2"/>
  <c r="BH565" i="2"/>
  <c r="BG565" i="2"/>
  <c r="BF565" i="2"/>
  <c r="BE565" i="2"/>
  <c r="BD565" i="2"/>
  <c r="BC565" i="2"/>
  <c r="AV565" i="2"/>
  <c r="AU565" i="2"/>
  <c r="AT565" i="2"/>
  <c r="AS565" i="2"/>
  <c r="AR565" i="2"/>
  <c r="AQ565" i="2"/>
  <c r="AP565" i="2"/>
  <c r="AO565" i="2"/>
  <c r="AN565" i="2"/>
  <c r="AM565" i="2"/>
  <c r="AL565" i="2"/>
  <c r="AK565" i="2"/>
  <c r="AJ565" i="2"/>
  <c r="AI565" i="2"/>
  <c r="AH565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BN564" i="2"/>
  <c r="BM564" i="2"/>
  <c r="BL564" i="2"/>
  <c r="BK564" i="2"/>
  <c r="BJ564" i="2"/>
  <c r="BI564" i="2"/>
  <c r="BH564" i="2"/>
  <c r="BG564" i="2"/>
  <c r="BF564" i="2"/>
  <c r="BE564" i="2"/>
  <c r="BD564" i="2"/>
  <c r="BC564" i="2"/>
  <c r="AV564" i="2"/>
  <c r="AU564" i="2"/>
  <c r="AT564" i="2"/>
  <c r="AS564" i="2"/>
  <c r="AR564" i="2"/>
  <c r="AQ564" i="2"/>
  <c r="AP564" i="2"/>
  <c r="AO564" i="2"/>
  <c r="AN564" i="2"/>
  <c r="AM564" i="2"/>
  <c r="AL564" i="2"/>
  <c r="AK564" i="2"/>
  <c r="AJ564" i="2"/>
  <c r="AI564" i="2"/>
  <c r="AH564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BN563" i="2"/>
  <c r="BM563" i="2"/>
  <c r="BL563" i="2"/>
  <c r="BK563" i="2"/>
  <c r="BJ563" i="2"/>
  <c r="BI563" i="2"/>
  <c r="BH563" i="2"/>
  <c r="BG563" i="2"/>
  <c r="BF563" i="2"/>
  <c r="BE563" i="2"/>
  <c r="BD563" i="2"/>
  <c r="BC563" i="2"/>
  <c r="AV563" i="2"/>
  <c r="AU563" i="2"/>
  <c r="AT563" i="2"/>
  <c r="AS563" i="2"/>
  <c r="AR563" i="2"/>
  <c r="AQ563" i="2"/>
  <c r="AP563" i="2"/>
  <c r="AO563" i="2"/>
  <c r="AN563" i="2"/>
  <c r="AM563" i="2"/>
  <c r="AL563" i="2"/>
  <c r="AK563" i="2"/>
  <c r="AJ563" i="2"/>
  <c r="AI563" i="2"/>
  <c r="AH563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BN562" i="2"/>
  <c r="BM562" i="2"/>
  <c r="BL562" i="2"/>
  <c r="BK562" i="2"/>
  <c r="BJ562" i="2"/>
  <c r="BI562" i="2"/>
  <c r="BH562" i="2"/>
  <c r="BG562" i="2"/>
  <c r="BF562" i="2"/>
  <c r="BE562" i="2"/>
  <c r="BD562" i="2"/>
  <c r="BC562" i="2"/>
  <c r="AV562" i="2"/>
  <c r="AU562" i="2"/>
  <c r="AT562" i="2"/>
  <c r="AS562" i="2"/>
  <c r="AR562" i="2"/>
  <c r="AQ562" i="2"/>
  <c r="AP562" i="2"/>
  <c r="AO562" i="2"/>
  <c r="AN562" i="2"/>
  <c r="AM562" i="2"/>
  <c r="AL562" i="2"/>
  <c r="AK562" i="2"/>
  <c r="AJ562" i="2"/>
  <c r="AI562" i="2"/>
  <c r="AH562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BN561" i="2"/>
  <c r="BM561" i="2"/>
  <c r="BL561" i="2"/>
  <c r="BK561" i="2"/>
  <c r="BJ561" i="2"/>
  <c r="BI561" i="2"/>
  <c r="BH561" i="2"/>
  <c r="BG561" i="2"/>
  <c r="BF561" i="2"/>
  <c r="BE561" i="2"/>
  <c r="BD561" i="2"/>
  <c r="BC561" i="2"/>
  <c r="AV561" i="2"/>
  <c r="AU561" i="2"/>
  <c r="AT561" i="2"/>
  <c r="AS561" i="2"/>
  <c r="AR561" i="2"/>
  <c r="AQ561" i="2"/>
  <c r="AP561" i="2"/>
  <c r="AO561" i="2"/>
  <c r="AN561" i="2"/>
  <c r="AM561" i="2"/>
  <c r="AL561" i="2"/>
  <c r="AK561" i="2"/>
  <c r="AJ561" i="2"/>
  <c r="AI561" i="2"/>
  <c r="AH561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BN560" i="2"/>
  <c r="BM560" i="2"/>
  <c r="BL560" i="2"/>
  <c r="BK560" i="2"/>
  <c r="BJ560" i="2"/>
  <c r="BI560" i="2"/>
  <c r="BH560" i="2"/>
  <c r="BG560" i="2"/>
  <c r="BF560" i="2"/>
  <c r="BE560" i="2"/>
  <c r="BD560" i="2"/>
  <c r="BC560" i="2"/>
  <c r="AV560" i="2"/>
  <c r="AU560" i="2"/>
  <c r="AT560" i="2"/>
  <c r="AS560" i="2"/>
  <c r="AR560" i="2"/>
  <c r="AQ560" i="2"/>
  <c r="AP560" i="2"/>
  <c r="AO560" i="2"/>
  <c r="AN560" i="2"/>
  <c r="AM560" i="2"/>
  <c r="AL560" i="2"/>
  <c r="AK560" i="2"/>
  <c r="AJ560" i="2"/>
  <c r="AI560" i="2"/>
  <c r="AH560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BN559" i="2"/>
  <c r="BM559" i="2"/>
  <c r="BL559" i="2"/>
  <c r="BK559" i="2"/>
  <c r="BJ559" i="2"/>
  <c r="BI559" i="2"/>
  <c r="BH559" i="2"/>
  <c r="BG559" i="2"/>
  <c r="BF559" i="2"/>
  <c r="BE559" i="2"/>
  <c r="BD559" i="2"/>
  <c r="BC559" i="2"/>
  <c r="AV559" i="2"/>
  <c r="AU559" i="2"/>
  <c r="AT559" i="2"/>
  <c r="AS559" i="2"/>
  <c r="AR559" i="2"/>
  <c r="AQ559" i="2"/>
  <c r="AP559" i="2"/>
  <c r="AO559" i="2"/>
  <c r="AN559" i="2"/>
  <c r="AM559" i="2"/>
  <c r="AL559" i="2"/>
  <c r="AK559" i="2"/>
  <c r="AJ559" i="2"/>
  <c r="AI559" i="2"/>
  <c r="AH559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BN558" i="2"/>
  <c r="BM558" i="2"/>
  <c r="BL558" i="2"/>
  <c r="BK558" i="2"/>
  <c r="BJ558" i="2"/>
  <c r="BI558" i="2"/>
  <c r="BH558" i="2"/>
  <c r="BG558" i="2"/>
  <c r="BF558" i="2"/>
  <c r="BE558" i="2"/>
  <c r="BD558" i="2"/>
  <c r="BC558" i="2"/>
  <c r="AV558" i="2"/>
  <c r="AU558" i="2"/>
  <c r="AT558" i="2"/>
  <c r="AS558" i="2"/>
  <c r="AR558" i="2"/>
  <c r="AQ558" i="2"/>
  <c r="AP558" i="2"/>
  <c r="AO558" i="2"/>
  <c r="AN558" i="2"/>
  <c r="AM558" i="2"/>
  <c r="AL558" i="2"/>
  <c r="AK558" i="2"/>
  <c r="AJ558" i="2"/>
  <c r="AI558" i="2"/>
  <c r="AH558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BN557" i="2"/>
  <c r="BM557" i="2"/>
  <c r="BL557" i="2"/>
  <c r="BK557" i="2"/>
  <c r="BJ557" i="2"/>
  <c r="BI557" i="2"/>
  <c r="BH557" i="2"/>
  <c r="BG557" i="2"/>
  <c r="BF557" i="2"/>
  <c r="BE557" i="2"/>
  <c r="BD557" i="2"/>
  <c r="BC557" i="2"/>
  <c r="AV557" i="2"/>
  <c r="AU557" i="2"/>
  <c r="AT557" i="2"/>
  <c r="AS557" i="2"/>
  <c r="AR557" i="2"/>
  <c r="AQ557" i="2"/>
  <c r="AP557" i="2"/>
  <c r="AO557" i="2"/>
  <c r="AN557" i="2"/>
  <c r="AM557" i="2"/>
  <c r="AL557" i="2"/>
  <c r="AK557" i="2"/>
  <c r="AJ557" i="2"/>
  <c r="AI557" i="2"/>
  <c r="AH557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BN556" i="2"/>
  <c r="BM556" i="2"/>
  <c r="BL556" i="2"/>
  <c r="BK556" i="2"/>
  <c r="BJ556" i="2"/>
  <c r="BI556" i="2"/>
  <c r="BH556" i="2"/>
  <c r="BG556" i="2"/>
  <c r="BF556" i="2"/>
  <c r="BE556" i="2"/>
  <c r="BD556" i="2"/>
  <c r="BC556" i="2"/>
  <c r="AV556" i="2"/>
  <c r="AU556" i="2"/>
  <c r="AT556" i="2"/>
  <c r="AS556" i="2"/>
  <c r="AR556" i="2"/>
  <c r="AQ556" i="2"/>
  <c r="AP556" i="2"/>
  <c r="AO556" i="2"/>
  <c r="AN556" i="2"/>
  <c r="AM556" i="2"/>
  <c r="AL556" i="2"/>
  <c r="AK556" i="2"/>
  <c r="AJ556" i="2"/>
  <c r="AI556" i="2"/>
  <c r="AH556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BN555" i="2"/>
  <c r="BM555" i="2"/>
  <c r="BL555" i="2"/>
  <c r="BK555" i="2"/>
  <c r="BJ555" i="2"/>
  <c r="BI555" i="2"/>
  <c r="BH555" i="2"/>
  <c r="BG555" i="2"/>
  <c r="BF555" i="2"/>
  <c r="BE555" i="2"/>
  <c r="BD555" i="2"/>
  <c r="BC555" i="2"/>
  <c r="AV555" i="2"/>
  <c r="AU555" i="2"/>
  <c r="AT555" i="2"/>
  <c r="AS555" i="2"/>
  <c r="AR555" i="2"/>
  <c r="AQ555" i="2"/>
  <c r="AP555" i="2"/>
  <c r="AO555" i="2"/>
  <c r="AN555" i="2"/>
  <c r="AM555" i="2"/>
  <c r="AL555" i="2"/>
  <c r="AK555" i="2"/>
  <c r="AJ555" i="2"/>
  <c r="AI555" i="2"/>
  <c r="AH555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BN554" i="2"/>
  <c r="BM554" i="2"/>
  <c r="BL554" i="2"/>
  <c r="BK554" i="2"/>
  <c r="BJ554" i="2"/>
  <c r="BI554" i="2"/>
  <c r="BH554" i="2"/>
  <c r="BG554" i="2"/>
  <c r="BF554" i="2"/>
  <c r="BE554" i="2"/>
  <c r="BD554" i="2"/>
  <c r="BC554" i="2"/>
  <c r="AV554" i="2"/>
  <c r="AU554" i="2"/>
  <c r="AT554" i="2"/>
  <c r="AS554" i="2"/>
  <c r="AR554" i="2"/>
  <c r="AQ554" i="2"/>
  <c r="AP554" i="2"/>
  <c r="AO554" i="2"/>
  <c r="AN554" i="2"/>
  <c r="AM554" i="2"/>
  <c r="AL554" i="2"/>
  <c r="AK554" i="2"/>
  <c r="AJ554" i="2"/>
  <c r="AI554" i="2"/>
  <c r="AH554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BN553" i="2"/>
  <c r="BM553" i="2"/>
  <c r="BL553" i="2"/>
  <c r="BK553" i="2"/>
  <c r="BJ553" i="2"/>
  <c r="BI553" i="2"/>
  <c r="BH553" i="2"/>
  <c r="BG553" i="2"/>
  <c r="BF553" i="2"/>
  <c r="BE553" i="2"/>
  <c r="BD553" i="2"/>
  <c r="BC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BN552" i="2"/>
  <c r="BM552" i="2"/>
  <c r="BL552" i="2"/>
  <c r="BK552" i="2"/>
  <c r="BJ552" i="2"/>
  <c r="BI552" i="2"/>
  <c r="BH552" i="2"/>
  <c r="BG552" i="2"/>
  <c r="BF552" i="2"/>
  <c r="BE552" i="2"/>
  <c r="BD552" i="2"/>
  <c r="BC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BN551" i="2"/>
  <c r="BM551" i="2"/>
  <c r="BL551" i="2"/>
  <c r="BK551" i="2"/>
  <c r="BJ551" i="2"/>
  <c r="BI551" i="2"/>
  <c r="BH551" i="2"/>
  <c r="BG551" i="2"/>
  <c r="BF551" i="2"/>
  <c r="BE551" i="2"/>
  <c r="BD551" i="2"/>
  <c r="BC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BN550" i="2"/>
  <c r="BM550" i="2"/>
  <c r="BL550" i="2"/>
  <c r="BK550" i="2"/>
  <c r="BJ550" i="2"/>
  <c r="BI550" i="2"/>
  <c r="BH550" i="2"/>
  <c r="BG550" i="2"/>
  <c r="BF550" i="2"/>
  <c r="BE550" i="2"/>
  <c r="BD550" i="2"/>
  <c r="BC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BN549" i="2"/>
  <c r="BM549" i="2"/>
  <c r="BL549" i="2"/>
  <c r="BK549" i="2"/>
  <c r="BJ549" i="2"/>
  <c r="BI549" i="2"/>
  <c r="BH549" i="2"/>
  <c r="BG549" i="2"/>
  <c r="BF549" i="2"/>
  <c r="BE549" i="2"/>
  <c r="BD549" i="2"/>
  <c r="BC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BN548" i="2"/>
  <c r="BM548" i="2"/>
  <c r="BL548" i="2"/>
  <c r="BK548" i="2"/>
  <c r="BJ548" i="2"/>
  <c r="BI548" i="2"/>
  <c r="BH548" i="2"/>
  <c r="BG548" i="2"/>
  <c r="BF548" i="2"/>
  <c r="BE548" i="2"/>
  <c r="BD548" i="2"/>
  <c r="BC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BN547" i="2"/>
  <c r="BM547" i="2"/>
  <c r="BL547" i="2"/>
  <c r="BK547" i="2"/>
  <c r="BJ547" i="2"/>
  <c r="BI547" i="2"/>
  <c r="BH547" i="2"/>
  <c r="BG547" i="2"/>
  <c r="BF547" i="2"/>
  <c r="BE547" i="2"/>
  <c r="BD547" i="2"/>
  <c r="BC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BN546" i="2"/>
  <c r="BM546" i="2"/>
  <c r="BL546" i="2"/>
  <c r="BK546" i="2"/>
  <c r="BJ546" i="2"/>
  <c r="BI546" i="2"/>
  <c r="BH546" i="2"/>
  <c r="BG546" i="2"/>
  <c r="BF546" i="2"/>
  <c r="BE546" i="2"/>
  <c r="BD546" i="2"/>
  <c r="BC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BN545" i="2"/>
  <c r="BM545" i="2"/>
  <c r="BL545" i="2"/>
  <c r="BK545" i="2"/>
  <c r="BJ545" i="2"/>
  <c r="BI545" i="2"/>
  <c r="BH545" i="2"/>
  <c r="BG545" i="2"/>
  <c r="BF545" i="2"/>
  <c r="BE545" i="2"/>
  <c r="BD545" i="2"/>
  <c r="BC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BN544" i="2"/>
  <c r="BM544" i="2"/>
  <c r="BL544" i="2"/>
  <c r="BK544" i="2"/>
  <c r="BJ544" i="2"/>
  <c r="BI544" i="2"/>
  <c r="BH544" i="2"/>
  <c r="BG544" i="2"/>
  <c r="BF544" i="2"/>
  <c r="BE544" i="2"/>
  <c r="BD544" i="2"/>
  <c r="BC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BN543" i="2"/>
  <c r="BM543" i="2"/>
  <c r="BL543" i="2"/>
  <c r="BK543" i="2"/>
  <c r="BJ543" i="2"/>
  <c r="BI543" i="2"/>
  <c r="BH543" i="2"/>
  <c r="BG543" i="2"/>
  <c r="BF543" i="2"/>
  <c r="BE543" i="2"/>
  <c r="BD543" i="2"/>
  <c r="BC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BN542" i="2"/>
  <c r="BM542" i="2"/>
  <c r="BL542" i="2"/>
  <c r="BK542" i="2"/>
  <c r="BJ542" i="2"/>
  <c r="BI542" i="2"/>
  <c r="BH542" i="2"/>
  <c r="BG542" i="2"/>
  <c r="BF542" i="2"/>
  <c r="BE542" i="2"/>
  <c r="BD542" i="2"/>
  <c r="BC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BN541" i="2"/>
  <c r="BM541" i="2"/>
  <c r="BL541" i="2"/>
  <c r="BK541" i="2"/>
  <c r="BJ541" i="2"/>
  <c r="BI541" i="2"/>
  <c r="BH541" i="2"/>
  <c r="BG541" i="2"/>
  <c r="BF541" i="2"/>
  <c r="BE541" i="2"/>
  <c r="BD541" i="2"/>
  <c r="BC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BN540" i="2"/>
  <c r="BM540" i="2"/>
  <c r="BL540" i="2"/>
  <c r="BK540" i="2"/>
  <c r="BJ540" i="2"/>
  <c r="BI540" i="2"/>
  <c r="BH540" i="2"/>
  <c r="BG540" i="2"/>
  <c r="BF540" i="2"/>
  <c r="BE540" i="2"/>
  <c r="BD540" i="2"/>
  <c r="BC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BN539" i="2"/>
  <c r="BM539" i="2"/>
  <c r="BL539" i="2"/>
  <c r="BK539" i="2"/>
  <c r="BJ539" i="2"/>
  <c r="BI539" i="2"/>
  <c r="BH539" i="2"/>
  <c r="BG539" i="2"/>
  <c r="BF539" i="2"/>
  <c r="BE539" i="2"/>
  <c r="BD539" i="2"/>
  <c r="BC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BN538" i="2"/>
  <c r="BM538" i="2"/>
  <c r="BL538" i="2"/>
  <c r="BK538" i="2"/>
  <c r="BJ538" i="2"/>
  <c r="BI538" i="2"/>
  <c r="BH538" i="2"/>
  <c r="BG538" i="2"/>
  <c r="BF538" i="2"/>
  <c r="BE538" i="2"/>
  <c r="BD538" i="2"/>
  <c r="BC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BN537" i="2"/>
  <c r="BM537" i="2"/>
  <c r="BL537" i="2"/>
  <c r="BK537" i="2"/>
  <c r="BJ537" i="2"/>
  <c r="BI537" i="2"/>
  <c r="BH537" i="2"/>
  <c r="BG537" i="2"/>
  <c r="BF537" i="2"/>
  <c r="BE537" i="2"/>
  <c r="BD537" i="2"/>
  <c r="BC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BN536" i="2"/>
  <c r="BM536" i="2"/>
  <c r="BL536" i="2"/>
  <c r="BK536" i="2"/>
  <c r="BJ536" i="2"/>
  <c r="BI536" i="2"/>
  <c r="BH536" i="2"/>
  <c r="BG536" i="2"/>
  <c r="BF536" i="2"/>
  <c r="BE536" i="2"/>
  <c r="BD536" i="2"/>
  <c r="BC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BN535" i="2"/>
  <c r="BM535" i="2"/>
  <c r="BL535" i="2"/>
  <c r="BK535" i="2"/>
  <c r="BJ535" i="2"/>
  <c r="BI535" i="2"/>
  <c r="BH535" i="2"/>
  <c r="BG535" i="2"/>
  <c r="BF535" i="2"/>
  <c r="BE535" i="2"/>
  <c r="BD535" i="2"/>
  <c r="BC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BN534" i="2"/>
  <c r="BM534" i="2"/>
  <c r="BL534" i="2"/>
  <c r="BK534" i="2"/>
  <c r="BJ534" i="2"/>
  <c r="BI534" i="2"/>
  <c r="BH534" i="2"/>
  <c r="BG534" i="2"/>
  <c r="BF534" i="2"/>
  <c r="BE534" i="2"/>
  <c r="BD534" i="2"/>
  <c r="BC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BN533" i="2"/>
  <c r="BM533" i="2"/>
  <c r="BL533" i="2"/>
  <c r="BK533" i="2"/>
  <c r="BJ533" i="2"/>
  <c r="BI533" i="2"/>
  <c r="BH533" i="2"/>
  <c r="BG533" i="2"/>
  <c r="BF533" i="2"/>
  <c r="BE533" i="2"/>
  <c r="BD533" i="2"/>
  <c r="BC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BN532" i="2"/>
  <c r="BM532" i="2"/>
  <c r="BL532" i="2"/>
  <c r="BK532" i="2"/>
  <c r="BJ532" i="2"/>
  <c r="BI532" i="2"/>
  <c r="BH532" i="2"/>
  <c r="BG532" i="2"/>
  <c r="BF532" i="2"/>
  <c r="BE532" i="2"/>
  <c r="BD532" i="2"/>
  <c r="BC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BN531" i="2"/>
  <c r="BM531" i="2"/>
  <c r="BL531" i="2"/>
  <c r="BK531" i="2"/>
  <c r="BJ531" i="2"/>
  <c r="BI531" i="2"/>
  <c r="BH531" i="2"/>
  <c r="BG531" i="2"/>
  <c r="BF531" i="2"/>
  <c r="BE531" i="2"/>
  <c r="BD531" i="2"/>
  <c r="BC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BN530" i="2"/>
  <c r="BM530" i="2"/>
  <c r="BL530" i="2"/>
  <c r="BK530" i="2"/>
  <c r="BJ530" i="2"/>
  <c r="BI530" i="2"/>
  <c r="BH530" i="2"/>
  <c r="BG530" i="2"/>
  <c r="BF530" i="2"/>
  <c r="BE530" i="2"/>
  <c r="BD530" i="2"/>
  <c r="BC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BN529" i="2"/>
  <c r="BM529" i="2"/>
  <c r="BL529" i="2"/>
  <c r="BK529" i="2"/>
  <c r="BJ529" i="2"/>
  <c r="BI529" i="2"/>
  <c r="BH529" i="2"/>
  <c r="BG529" i="2"/>
  <c r="BF529" i="2"/>
  <c r="BE529" i="2"/>
  <c r="BD529" i="2"/>
  <c r="BC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BN528" i="2"/>
  <c r="BM528" i="2"/>
  <c r="BL528" i="2"/>
  <c r="BK528" i="2"/>
  <c r="BJ528" i="2"/>
  <c r="BI528" i="2"/>
  <c r="BH528" i="2"/>
  <c r="BG528" i="2"/>
  <c r="BF528" i="2"/>
  <c r="BE528" i="2"/>
  <c r="BD528" i="2"/>
  <c r="BC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BN527" i="2"/>
  <c r="BM527" i="2"/>
  <c r="BL527" i="2"/>
  <c r="BK527" i="2"/>
  <c r="BJ527" i="2"/>
  <c r="BI527" i="2"/>
  <c r="BH527" i="2"/>
  <c r="BG527" i="2"/>
  <c r="BF527" i="2"/>
  <c r="BE527" i="2"/>
  <c r="BD527" i="2"/>
  <c r="BC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BN526" i="2"/>
  <c r="BM526" i="2"/>
  <c r="BL526" i="2"/>
  <c r="BK526" i="2"/>
  <c r="BJ526" i="2"/>
  <c r="BI526" i="2"/>
  <c r="BH526" i="2"/>
  <c r="BG526" i="2"/>
  <c r="BF526" i="2"/>
  <c r="BE526" i="2"/>
  <c r="BD526" i="2"/>
  <c r="BC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BN525" i="2"/>
  <c r="BM525" i="2"/>
  <c r="BL525" i="2"/>
  <c r="BK525" i="2"/>
  <c r="BJ525" i="2"/>
  <c r="BI525" i="2"/>
  <c r="BH525" i="2"/>
  <c r="BG525" i="2"/>
  <c r="BF525" i="2"/>
  <c r="BE525" i="2"/>
  <c r="BD525" i="2"/>
  <c r="BC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BN524" i="2"/>
  <c r="BM524" i="2"/>
  <c r="BL524" i="2"/>
  <c r="BK524" i="2"/>
  <c r="BJ524" i="2"/>
  <c r="BI524" i="2"/>
  <c r="BH524" i="2"/>
  <c r="BG524" i="2"/>
  <c r="BF524" i="2"/>
  <c r="BE524" i="2"/>
  <c r="BD524" i="2"/>
  <c r="BC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BN523" i="2"/>
  <c r="BM523" i="2"/>
  <c r="BL523" i="2"/>
  <c r="BK523" i="2"/>
  <c r="BJ523" i="2"/>
  <c r="BI523" i="2"/>
  <c r="BH523" i="2"/>
  <c r="BG523" i="2"/>
  <c r="BF523" i="2"/>
  <c r="BE523" i="2"/>
  <c r="BD523" i="2"/>
  <c r="BC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BN522" i="2"/>
  <c r="BM522" i="2"/>
  <c r="BL522" i="2"/>
  <c r="BK522" i="2"/>
  <c r="BJ522" i="2"/>
  <c r="BI522" i="2"/>
  <c r="BH522" i="2"/>
  <c r="BG522" i="2"/>
  <c r="BF522" i="2"/>
  <c r="BE522" i="2"/>
  <c r="BD522" i="2"/>
  <c r="BC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BN521" i="2"/>
  <c r="BM521" i="2"/>
  <c r="BL521" i="2"/>
  <c r="BK521" i="2"/>
  <c r="BJ521" i="2"/>
  <c r="BI521" i="2"/>
  <c r="BH521" i="2"/>
  <c r="BG521" i="2"/>
  <c r="BF521" i="2"/>
  <c r="BE521" i="2"/>
  <c r="BD521" i="2"/>
  <c r="BC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BN520" i="2"/>
  <c r="BM520" i="2"/>
  <c r="BL520" i="2"/>
  <c r="BK520" i="2"/>
  <c r="BJ520" i="2"/>
  <c r="BI520" i="2"/>
  <c r="BH520" i="2"/>
  <c r="BG520" i="2"/>
  <c r="BF520" i="2"/>
  <c r="BE520" i="2"/>
  <c r="BD520" i="2"/>
  <c r="BC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BN519" i="2"/>
  <c r="BM519" i="2"/>
  <c r="BL519" i="2"/>
  <c r="BK519" i="2"/>
  <c r="BJ519" i="2"/>
  <c r="BI519" i="2"/>
  <c r="BH519" i="2"/>
  <c r="BG519" i="2"/>
  <c r="BF519" i="2"/>
  <c r="BE519" i="2"/>
  <c r="BD519" i="2"/>
  <c r="BC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BN518" i="2"/>
  <c r="BM518" i="2"/>
  <c r="BL518" i="2"/>
  <c r="BK518" i="2"/>
  <c r="BJ518" i="2"/>
  <c r="BI518" i="2"/>
  <c r="BH518" i="2"/>
  <c r="BG518" i="2"/>
  <c r="BF518" i="2"/>
  <c r="BE518" i="2"/>
  <c r="BD518" i="2"/>
  <c r="BC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BN517" i="2"/>
  <c r="BM517" i="2"/>
  <c r="BL517" i="2"/>
  <c r="BK517" i="2"/>
  <c r="BJ517" i="2"/>
  <c r="BI517" i="2"/>
  <c r="BH517" i="2"/>
  <c r="BG517" i="2"/>
  <c r="BF517" i="2"/>
  <c r="BE517" i="2"/>
  <c r="BD517" i="2"/>
  <c r="BC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BN516" i="2"/>
  <c r="BM516" i="2"/>
  <c r="BL516" i="2"/>
  <c r="BK516" i="2"/>
  <c r="BJ516" i="2"/>
  <c r="BI516" i="2"/>
  <c r="BH516" i="2"/>
  <c r="BG516" i="2"/>
  <c r="BF516" i="2"/>
  <c r="BE516" i="2"/>
  <c r="BD516" i="2"/>
  <c r="BC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BN515" i="2"/>
  <c r="BM515" i="2"/>
  <c r="BL515" i="2"/>
  <c r="BK515" i="2"/>
  <c r="BJ515" i="2"/>
  <c r="BI515" i="2"/>
  <c r="BH515" i="2"/>
  <c r="BG515" i="2"/>
  <c r="BF515" i="2"/>
  <c r="BE515" i="2"/>
  <c r="BD515" i="2"/>
  <c r="BC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BN514" i="2"/>
  <c r="BM514" i="2"/>
  <c r="BL514" i="2"/>
  <c r="BK514" i="2"/>
  <c r="BJ514" i="2"/>
  <c r="BI514" i="2"/>
  <c r="BH514" i="2"/>
  <c r="BG514" i="2"/>
  <c r="BF514" i="2"/>
  <c r="BE514" i="2"/>
  <c r="BD514" i="2"/>
  <c r="BC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BN513" i="2"/>
  <c r="BM513" i="2"/>
  <c r="BL513" i="2"/>
  <c r="BK513" i="2"/>
  <c r="BJ513" i="2"/>
  <c r="BI513" i="2"/>
  <c r="BH513" i="2"/>
  <c r="BG513" i="2"/>
  <c r="BF513" i="2"/>
  <c r="BE513" i="2"/>
  <c r="BD513" i="2"/>
  <c r="BC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BN512" i="2"/>
  <c r="BM512" i="2"/>
  <c r="BL512" i="2"/>
  <c r="BK512" i="2"/>
  <c r="BJ512" i="2"/>
  <c r="BI512" i="2"/>
  <c r="BH512" i="2"/>
  <c r="BG512" i="2"/>
  <c r="BF512" i="2"/>
  <c r="BE512" i="2"/>
  <c r="BD512" i="2"/>
  <c r="BC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BN511" i="2"/>
  <c r="BM511" i="2"/>
  <c r="BL511" i="2"/>
  <c r="BK511" i="2"/>
  <c r="BJ511" i="2"/>
  <c r="BI511" i="2"/>
  <c r="BH511" i="2"/>
  <c r="BG511" i="2"/>
  <c r="BF511" i="2"/>
  <c r="BE511" i="2"/>
  <c r="BD511" i="2"/>
  <c r="BC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BN510" i="2"/>
  <c r="BM510" i="2"/>
  <c r="BL510" i="2"/>
  <c r="BK510" i="2"/>
  <c r="BJ510" i="2"/>
  <c r="BI510" i="2"/>
  <c r="BH510" i="2"/>
  <c r="BG510" i="2"/>
  <c r="BF510" i="2"/>
  <c r="BE510" i="2"/>
  <c r="BD510" i="2"/>
  <c r="BC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BN509" i="2"/>
  <c r="BM509" i="2"/>
  <c r="BL509" i="2"/>
  <c r="BK509" i="2"/>
  <c r="BJ509" i="2"/>
  <c r="BI509" i="2"/>
  <c r="BH509" i="2"/>
  <c r="BG509" i="2"/>
  <c r="BF509" i="2"/>
  <c r="BE509" i="2"/>
  <c r="BD509" i="2"/>
  <c r="BC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BN508" i="2"/>
  <c r="BM508" i="2"/>
  <c r="BL508" i="2"/>
  <c r="BK508" i="2"/>
  <c r="BJ508" i="2"/>
  <c r="BI508" i="2"/>
  <c r="BH508" i="2"/>
  <c r="BG508" i="2"/>
  <c r="BF508" i="2"/>
  <c r="BE508" i="2"/>
  <c r="BD508" i="2"/>
  <c r="BC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BN507" i="2"/>
  <c r="BM507" i="2"/>
  <c r="BL507" i="2"/>
  <c r="BK507" i="2"/>
  <c r="BJ507" i="2"/>
  <c r="BI507" i="2"/>
  <c r="BH507" i="2"/>
  <c r="BG507" i="2"/>
  <c r="BF507" i="2"/>
  <c r="BE507" i="2"/>
  <c r="BD507" i="2"/>
  <c r="BC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BN506" i="2"/>
  <c r="BM506" i="2"/>
  <c r="BL506" i="2"/>
  <c r="BK506" i="2"/>
  <c r="BJ506" i="2"/>
  <c r="BI506" i="2"/>
  <c r="BH506" i="2"/>
  <c r="BG506" i="2"/>
  <c r="BF506" i="2"/>
  <c r="BE506" i="2"/>
  <c r="BD506" i="2"/>
  <c r="BC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BN505" i="2"/>
  <c r="BM505" i="2"/>
  <c r="BL505" i="2"/>
  <c r="BK505" i="2"/>
  <c r="BJ505" i="2"/>
  <c r="BI505" i="2"/>
  <c r="BH505" i="2"/>
  <c r="BG505" i="2"/>
  <c r="BF505" i="2"/>
  <c r="BE505" i="2"/>
  <c r="BD505" i="2"/>
  <c r="BC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BN504" i="2"/>
  <c r="BM504" i="2"/>
  <c r="BL504" i="2"/>
  <c r="BK504" i="2"/>
  <c r="BJ504" i="2"/>
  <c r="BI504" i="2"/>
  <c r="BH504" i="2"/>
  <c r="BG504" i="2"/>
  <c r="BF504" i="2"/>
  <c r="BE504" i="2"/>
  <c r="BD504" i="2"/>
  <c r="BC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BN503" i="2"/>
  <c r="BM503" i="2"/>
  <c r="BL503" i="2"/>
  <c r="BK503" i="2"/>
  <c r="BJ503" i="2"/>
  <c r="BI503" i="2"/>
  <c r="BH503" i="2"/>
  <c r="BG503" i="2"/>
  <c r="BF503" i="2"/>
  <c r="BE503" i="2"/>
  <c r="BD503" i="2"/>
  <c r="BC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BN502" i="2"/>
  <c r="BM502" i="2"/>
  <c r="BL502" i="2"/>
  <c r="BK502" i="2"/>
  <c r="BJ502" i="2"/>
  <c r="BI502" i="2"/>
  <c r="BH502" i="2"/>
  <c r="BG502" i="2"/>
  <c r="BF502" i="2"/>
  <c r="BE502" i="2"/>
  <c r="BD502" i="2"/>
  <c r="BC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BN501" i="2"/>
  <c r="BM501" i="2"/>
  <c r="BL501" i="2"/>
  <c r="BK501" i="2"/>
  <c r="BJ501" i="2"/>
  <c r="BI501" i="2"/>
  <c r="BH501" i="2"/>
  <c r="BG501" i="2"/>
  <c r="BF501" i="2"/>
  <c r="BE501" i="2"/>
  <c r="BD501" i="2"/>
  <c r="BC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BN500" i="2"/>
  <c r="BM500" i="2"/>
  <c r="BL500" i="2"/>
  <c r="BK500" i="2"/>
  <c r="BJ500" i="2"/>
  <c r="BI500" i="2"/>
  <c r="BH500" i="2"/>
  <c r="BG500" i="2"/>
  <c r="BF500" i="2"/>
  <c r="BE500" i="2"/>
  <c r="BD500" i="2"/>
  <c r="BC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BN499" i="2"/>
  <c r="BM499" i="2"/>
  <c r="BL499" i="2"/>
  <c r="BK499" i="2"/>
  <c r="BJ499" i="2"/>
  <c r="BI499" i="2"/>
  <c r="BH499" i="2"/>
  <c r="BG499" i="2"/>
  <c r="BF499" i="2"/>
  <c r="BE499" i="2"/>
  <c r="BD499" i="2"/>
  <c r="BC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BN498" i="2"/>
  <c r="BM498" i="2"/>
  <c r="BL498" i="2"/>
  <c r="BK498" i="2"/>
  <c r="BJ498" i="2"/>
  <c r="BI498" i="2"/>
  <c r="BH498" i="2"/>
  <c r="BG498" i="2"/>
  <c r="BF498" i="2"/>
  <c r="BE498" i="2"/>
  <c r="BD498" i="2"/>
  <c r="BC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BN497" i="2"/>
  <c r="BM497" i="2"/>
  <c r="BL497" i="2"/>
  <c r="BK497" i="2"/>
  <c r="BJ497" i="2"/>
  <c r="BI497" i="2"/>
  <c r="BH497" i="2"/>
  <c r="BG497" i="2"/>
  <c r="BF497" i="2"/>
  <c r="BE497" i="2"/>
  <c r="BD497" i="2"/>
  <c r="BC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BN496" i="2"/>
  <c r="BM496" i="2"/>
  <c r="BL496" i="2"/>
  <c r="BK496" i="2"/>
  <c r="BJ496" i="2"/>
  <c r="BI496" i="2"/>
  <c r="BH496" i="2"/>
  <c r="BG496" i="2"/>
  <c r="BF496" i="2"/>
  <c r="BE496" i="2"/>
  <c r="BD496" i="2"/>
  <c r="BC496" i="2"/>
  <c r="BB496" i="2"/>
  <c r="BA496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BN495" i="2"/>
  <c r="BM495" i="2"/>
  <c r="BL495" i="2"/>
  <c r="BK495" i="2"/>
  <c r="BJ495" i="2"/>
  <c r="BI495" i="2"/>
  <c r="BH495" i="2"/>
  <c r="BG495" i="2"/>
  <c r="BF495" i="2"/>
  <c r="BE495" i="2"/>
  <c r="BD495" i="2"/>
  <c r="BC495" i="2"/>
  <c r="BB495" i="2"/>
  <c r="BA495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BN494" i="2"/>
  <c r="BM494" i="2"/>
  <c r="BL494" i="2"/>
  <c r="BK494" i="2"/>
  <c r="BJ494" i="2"/>
  <c r="BI494" i="2"/>
  <c r="BH494" i="2"/>
  <c r="BG494" i="2"/>
  <c r="BF494" i="2"/>
  <c r="BE494" i="2"/>
  <c r="BD494" i="2"/>
  <c r="BC494" i="2"/>
  <c r="BB494" i="2"/>
  <c r="BA494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BN493" i="2"/>
  <c r="BM493" i="2"/>
  <c r="BL493" i="2"/>
  <c r="BK493" i="2"/>
  <c r="BJ493" i="2"/>
  <c r="BI493" i="2"/>
  <c r="BH493" i="2"/>
  <c r="BG493" i="2"/>
  <c r="BF493" i="2"/>
  <c r="BE493" i="2"/>
  <c r="BD493" i="2"/>
  <c r="BC493" i="2"/>
  <c r="BB493" i="2"/>
  <c r="BA493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BN492" i="2"/>
  <c r="BM492" i="2"/>
  <c r="BL492" i="2"/>
  <c r="BK492" i="2"/>
  <c r="BJ492" i="2"/>
  <c r="BI492" i="2"/>
  <c r="BH492" i="2"/>
  <c r="BG492" i="2"/>
  <c r="BF492" i="2"/>
  <c r="BE492" i="2"/>
  <c r="BD492" i="2"/>
  <c r="BC492" i="2"/>
  <c r="BB492" i="2"/>
  <c r="BA492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BN491" i="2"/>
  <c r="BM491" i="2"/>
  <c r="BL491" i="2"/>
  <c r="BK491" i="2"/>
  <c r="BJ491" i="2"/>
  <c r="BI491" i="2"/>
  <c r="BH491" i="2"/>
  <c r="BG491" i="2"/>
  <c r="BF491" i="2"/>
  <c r="BE491" i="2"/>
  <c r="BD491" i="2"/>
  <c r="BC491" i="2"/>
  <c r="BB491" i="2"/>
  <c r="BA491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BN490" i="2"/>
  <c r="BM490" i="2"/>
  <c r="BL490" i="2"/>
  <c r="BK490" i="2"/>
  <c r="BJ490" i="2"/>
  <c r="BI490" i="2"/>
  <c r="BH490" i="2"/>
  <c r="BG490" i="2"/>
  <c r="BF490" i="2"/>
  <c r="BE490" i="2"/>
  <c r="BD490" i="2"/>
  <c r="BC490" i="2"/>
  <c r="BB490" i="2"/>
  <c r="BA490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BN489" i="2"/>
  <c r="BM489" i="2"/>
  <c r="BL489" i="2"/>
  <c r="BK489" i="2"/>
  <c r="BJ489" i="2"/>
  <c r="BI489" i="2"/>
  <c r="BH489" i="2"/>
  <c r="BG489" i="2"/>
  <c r="BF489" i="2"/>
  <c r="BE489" i="2"/>
  <c r="BD489" i="2"/>
  <c r="BC489" i="2"/>
  <c r="BB489" i="2"/>
  <c r="BA489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BN488" i="2"/>
  <c r="BM488" i="2"/>
  <c r="BL488" i="2"/>
  <c r="BK488" i="2"/>
  <c r="BJ488" i="2"/>
  <c r="BI488" i="2"/>
  <c r="BH488" i="2"/>
  <c r="BG488" i="2"/>
  <c r="BF488" i="2"/>
  <c r="BE488" i="2"/>
  <c r="BD488" i="2"/>
  <c r="BC488" i="2"/>
  <c r="BB488" i="2"/>
  <c r="BA488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BN487" i="2"/>
  <c r="BM487" i="2"/>
  <c r="BL487" i="2"/>
  <c r="BK487" i="2"/>
  <c r="BJ487" i="2"/>
  <c r="BI487" i="2"/>
  <c r="BH487" i="2"/>
  <c r="BG487" i="2"/>
  <c r="BF487" i="2"/>
  <c r="BE487" i="2"/>
  <c r="BD487" i="2"/>
  <c r="BC487" i="2"/>
  <c r="BB487" i="2"/>
  <c r="BA487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BN486" i="2"/>
  <c r="BM486" i="2"/>
  <c r="BL486" i="2"/>
  <c r="BK486" i="2"/>
  <c r="BJ486" i="2"/>
  <c r="BI486" i="2"/>
  <c r="BH486" i="2"/>
  <c r="BG486" i="2"/>
  <c r="BF486" i="2"/>
  <c r="BE486" i="2"/>
  <c r="BD486" i="2"/>
  <c r="BC486" i="2"/>
  <c r="BB486" i="2"/>
  <c r="BA486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BN485" i="2"/>
  <c r="BM485" i="2"/>
  <c r="BL485" i="2"/>
  <c r="BK485" i="2"/>
  <c r="BJ485" i="2"/>
  <c r="BI485" i="2"/>
  <c r="BH485" i="2"/>
  <c r="BG485" i="2"/>
  <c r="BF485" i="2"/>
  <c r="BE485" i="2"/>
  <c r="BD485" i="2"/>
  <c r="BC485" i="2"/>
  <c r="BB485" i="2"/>
  <c r="BA485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BN484" i="2"/>
  <c r="BM484" i="2"/>
  <c r="BL484" i="2"/>
  <c r="BK484" i="2"/>
  <c r="BJ484" i="2"/>
  <c r="BI484" i="2"/>
  <c r="BH484" i="2"/>
  <c r="BG484" i="2"/>
  <c r="BF484" i="2"/>
  <c r="BE484" i="2"/>
  <c r="BD484" i="2"/>
  <c r="BC484" i="2"/>
  <c r="BB484" i="2"/>
  <c r="BA484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BN483" i="2"/>
  <c r="BM483" i="2"/>
  <c r="BL483" i="2"/>
  <c r="BK483" i="2"/>
  <c r="BJ483" i="2"/>
  <c r="BI483" i="2"/>
  <c r="BH483" i="2"/>
  <c r="BG483" i="2"/>
  <c r="BF483" i="2"/>
  <c r="BE483" i="2"/>
  <c r="BD483" i="2"/>
  <c r="BC483" i="2"/>
  <c r="BB483" i="2"/>
  <c r="BA483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BN482" i="2"/>
  <c r="BM482" i="2"/>
  <c r="BL482" i="2"/>
  <c r="BK482" i="2"/>
  <c r="BJ482" i="2"/>
  <c r="BI482" i="2"/>
  <c r="BH482" i="2"/>
  <c r="BG482" i="2"/>
  <c r="BF482" i="2"/>
  <c r="BE482" i="2"/>
  <c r="BD482" i="2"/>
  <c r="BC482" i="2"/>
  <c r="BB482" i="2"/>
  <c r="BA482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BN481" i="2"/>
  <c r="BM481" i="2"/>
  <c r="BL481" i="2"/>
  <c r="BK481" i="2"/>
  <c r="BJ481" i="2"/>
  <c r="BI481" i="2"/>
  <c r="BH481" i="2"/>
  <c r="BG481" i="2"/>
  <c r="BF481" i="2"/>
  <c r="BE481" i="2"/>
  <c r="BD481" i="2"/>
  <c r="BC481" i="2"/>
  <c r="BB481" i="2"/>
  <c r="BA481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BN480" i="2"/>
  <c r="BM480" i="2"/>
  <c r="BL480" i="2"/>
  <c r="BK480" i="2"/>
  <c r="BJ480" i="2"/>
  <c r="BI480" i="2"/>
  <c r="BH480" i="2"/>
  <c r="BG480" i="2"/>
  <c r="BF480" i="2"/>
  <c r="BE480" i="2"/>
  <c r="BD480" i="2"/>
  <c r="BC480" i="2"/>
  <c r="BB480" i="2"/>
  <c r="BA480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BN479" i="2"/>
  <c r="BM479" i="2"/>
  <c r="BL479" i="2"/>
  <c r="BK479" i="2"/>
  <c r="BJ479" i="2"/>
  <c r="BI479" i="2"/>
  <c r="BH479" i="2"/>
  <c r="BG479" i="2"/>
  <c r="BF479" i="2"/>
  <c r="BE479" i="2"/>
  <c r="BD479" i="2"/>
  <c r="BC479" i="2"/>
  <c r="BB479" i="2"/>
  <c r="BA479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BN478" i="2"/>
  <c r="BM478" i="2"/>
  <c r="BL478" i="2"/>
  <c r="BK478" i="2"/>
  <c r="BJ478" i="2"/>
  <c r="BI478" i="2"/>
  <c r="BH478" i="2"/>
  <c r="BG478" i="2"/>
  <c r="BF478" i="2"/>
  <c r="BE478" i="2"/>
  <c r="BD478" i="2"/>
  <c r="BC478" i="2"/>
  <c r="BB478" i="2"/>
  <c r="BA478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BN477" i="2"/>
  <c r="BM477" i="2"/>
  <c r="BL477" i="2"/>
  <c r="BK477" i="2"/>
  <c r="BJ477" i="2"/>
  <c r="BI477" i="2"/>
  <c r="BH477" i="2"/>
  <c r="BG477" i="2"/>
  <c r="BF477" i="2"/>
  <c r="BE477" i="2"/>
  <c r="BD477" i="2"/>
  <c r="BC477" i="2"/>
  <c r="BB477" i="2"/>
  <c r="BA477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BN476" i="2"/>
  <c r="BM476" i="2"/>
  <c r="BL476" i="2"/>
  <c r="BK476" i="2"/>
  <c r="BJ476" i="2"/>
  <c r="BI476" i="2"/>
  <c r="BH476" i="2"/>
  <c r="BG476" i="2"/>
  <c r="BF476" i="2"/>
  <c r="BE476" i="2"/>
  <c r="BD476" i="2"/>
  <c r="BC476" i="2"/>
  <c r="BB476" i="2"/>
  <c r="BA476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BN475" i="2"/>
  <c r="BM475" i="2"/>
  <c r="BL475" i="2"/>
  <c r="BK475" i="2"/>
  <c r="BJ475" i="2"/>
  <c r="BI475" i="2"/>
  <c r="BH475" i="2"/>
  <c r="BG475" i="2"/>
  <c r="BF475" i="2"/>
  <c r="BE475" i="2"/>
  <c r="BD475" i="2"/>
  <c r="BC475" i="2"/>
  <c r="BB475" i="2"/>
  <c r="BA475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BN474" i="2"/>
  <c r="BM474" i="2"/>
  <c r="BL474" i="2"/>
  <c r="BK474" i="2"/>
  <c r="BJ474" i="2"/>
  <c r="BI474" i="2"/>
  <c r="BH474" i="2"/>
  <c r="BG474" i="2"/>
  <c r="BF474" i="2"/>
  <c r="BE474" i="2"/>
  <c r="BD474" i="2"/>
  <c r="BC474" i="2"/>
  <c r="BB474" i="2"/>
  <c r="BA474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BN473" i="2"/>
  <c r="BM473" i="2"/>
  <c r="BL473" i="2"/>
  <c r="BK473" i="2"/>
  <c r="BJ473" i="2"/>
  <c r="BI473" i="2"/>
  <c r="BH473" i="2"/>
  <c r="BG473" i="2"/>
  <c r="BF473" i="2"/>
  <c r="BE473" i="2"/>
  <c r="BD473" i="2"/>
  <c r="BC473" i="2"/>
  <c r="BB473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BN472" i="2"/>
  <c r="BM472" i="2"/>
  <c r="BL472" i="2"/>
  <c r="BK472" i="2"/>
  <c r="BJ472" i="2"/>
  <c r="BI472" i="2"/>
  <c r="BH472" i="2"/>
  <c r="BG472" i="2"/>
  <c r="BF472" i="2"/>
  <c r="BE472" i="2"/>
  <c r="BD472" i="2"/>
  <c r="BC472" i="2"/>
  <c r="BB472" i="2"/>
  <c r="BA472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BN471" i="2"/>
  <c r="BM471" i="2"/>
  <c r="BL471" i="2"/>
  <c r="BK471" i="2"/>
  <c r="BJ471" i="2"/>
  <c r="BI471" i="2"/>
  <c r="BH471" i="2"/>
  <c r="BG471" i="2"/>
  <c r="BF471" i="2"/>
  <c r="BE471" i="2"/>
  <c r="BD471" i="2"/>
  <c r="BC471" i="2"/>
  <c r="BB471" i="2"/>
  <c r="BA471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BN470" i="2"/>
  <c r="BM470" i="2"/>
  <c r="BL470" i="2"/>
  <c r="BK470" i="2"/>
  <c r="BJ470" i="2"/>
  <c r="BI470" i="2"/>
  <c r="BH470" i="2"/>
  <c r="BG470" i="2"/>
  <c r="BF470" i="2"/>
  <c r="BE470" i="2"/>
  <c r="BD470" i="2"/>
  <c r="BC470" i="2"/>
  <c r="BB470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BN469" i="2"/>
  <c r="BM469" i="2"/>
  <c r="BL469" i="2"/>
  <c r="BK469" i="2"/>
  <c r="BJ469" i="2"/>
  <c r="BI469" i="2"/>
  <c r="BH469" i="2"/>
  <c r="BG469" i="2"/>
  <c r="BF469" i="2"/>
  <c r="BE469" i="2"/>
  <c r="BD469" i="2"/>
  <c r="BC469" i="2"/>
  <c r="BB469" i="2"/>
  <c r="BA469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BN468" i="2"/>
  <c r="BM468" i="2"/>
  <c r="BL468" i="2"/>
  <c r="BK468" i="2"/>
  <c r="BJ468" i="2"/>
  <c r="BI468" i="2"/>
  <c r="BH468" i="2"/>
  <c r="BG468" i="2"/>
  <c r="BF468" i="2"/>
  <c r="BE468" i="2"/>
  <c r="BD468" i="2"/>
  <c r="BC468" i="2"/>
  <c r="BB468" i="2"/>
  <c r="BA468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BN467" i="2"/>
  <c r="BM467" i="2"/>
  <c r="BL467" i="2"/>
  <c r="BK467" i="2"/>
  <c r="BJ467" i="2"/>
  <c r="BI467" i="2"/>
  <c r="BH467" i="2"/>
  <c r="BG467" i="2"/>
  <c r="BF467" i="2"/>
  <c r="BE467" i="2"/>
  <c r="BD467" i="2"/>
  <c r="BC467" i="2"/>
  <c r="BB467" i="2"/>
  <c r="BA467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BN466" i="2"/>
  <c r="BM466" i="2"/>
  <c r="BL466" i="2"/>
  <c r="BK466" i="2"/>
  <c r="BJ466" i="2"/>
  <c r="BI466" i="2"/>
  <c r="BH466" i="2"/>
  <c r="BG466" i="2"/>
  <c r="BF466" i="2"/>
  <c r="BE466" i="2"/>
  <c r="BD466" i="2"/>
  <c r="BC466" i="2"/>
  <c r="BB466" i="2"/>
  <c r="BA466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BN465" i="2"/>
  <c r="BM465" i="2"/>
  <c r="BL465" i="2"/>
  <c r="BK465" i="2"/>
  <c r="BJ465" i="2"/>
  <c r="BI465" i="2"/>
  <c r="BH465" i="2"/>
  <c r="BG465" i="2"/>
  <c r="BF465" i="2"/>
  <c r="BE465" i="2"/>
  <c r="BD465" i="2"/>
  <c r="BC465" i="2"/>
  <c r="BB465" i="2"/>
  <c r="BA465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BN464" i="2"/>
  <c r="BM464" i="2"/>
  <c r="BL464" i="2"/>
  <c r="BK464" i="2"/>
  <c r="BJ464" i="2"/>
  <c r="BI464" i="2"/>
  <c r="BH464" i="2"/>
  <c r="BG464" i="2"/>
  <c r="BF464" i="2"/>
  <c r="BE464" i="2"/>
  <c r="BD464" i="2"/>
  <c r="BC464" i="2"/>
  <c r="BB464" i="2"/>
  <c r="BA464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BN463" i="2"/>
  <c r="BM463" i="2"/>
  <c r="BL463" i="2"/>
  <c r="BK463" i="2"/>
  <c r="BJ463" i="2"/>
  <c r="BI463" i="2"/>
  <c r="BH463" i="2"/>
  <c r="BG463" i="2"/>
  <c r="BF463" i="2"/>
  <c r="BE463" i="2"/>
  <c r="BD463" i="2"/>
  <c r="BC463" i="2"/>
  <c r="BB463" i="2"/>
  <c r="BA463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BN462" i="2"/>
  <c r="BM462" i="2"/>
  <c r="BL462" i="2"/>
  <c r="BK462" i="2"/>
  <c r="BJ462" i="2"/>
  <c r="BI462" i="2"/>
  <c r="BH462" i="2"/>
  <c r="BG462" i="2"/>
  <c r="BF462" i="2"/>
  <c r="BE462" i="2"/>
  <c r="BD462" i="2"/>
  <c r="BC462" i="2"/>
  <c r="BB462" i="2"/>
  <c r="BA462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BN461" i="2"/>
  <c r="BM461" i="2"/>
  <c r="BL461" i="2"/>
  <c r="BK461" i="2"/>
  <c r="BJ461" i="2"/>
  <c r="BI461" i="2"/>
  <c r="BH461" i="2"/>
  <c r="BG461" i="2"/>
  <c r="BF461" i="2"/>
  <c r="BE461" i="2"/>
  <c r="BD461" i="2"/>
  <c r="BC461" i="2"/>
  <c r="BB461" i="2"/>
  <c r="BA461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BN460" i="2"/>
  <c r="BM460" i="2"/>
  <c r="BL460" i="2"/>
  <c r="BK460" i="2"/>
  <c r="BJ460" i="2"/>
  <c r="BI460" i="2"/>
  <c r="BH460" i="2"/>
  <c r="BG460" i="2"/>
  <c r="BF460" i="2"/>
  <c r="BE460" i="2"/>
  <c r="BD460" i="2"/>
  <c r="BC460" i="2"/>
  <c r="BB460" i="2"/>
  <c r="BA460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BN459" i="2"/>
  <c r="BM459" i="2"/>
  <c r="BL459" i="2"/>
  <c r="BK459" i="2"/>
  <c r="BJ459" i="2"/>
  <c r="BI459" i="2"/>
  <c r="BH459" i="2"/>
  <c r="BG459" i="2"/>
  <c r="BF459" i="2"/>
  <c r="BE459" i="2"/>
  <c r="BD459" i="2"/>
  <c r="BC459" i="2"/>
  <c r="BB459" i="2"/>
  <c r="BA459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BN458" i="2"/>
  <c r="BM458" i="2"/>
  <c r="BL458" i="2"/>
  <c r="BK458" i="2"/>
  <c r="BJ458" i="2"/>
  <c r="BI458" i="2"/>
  <c r="BH458" i="2"/>
  <c r="BG458" i="2"/>
  <c r="BF458" i="2"/>
  <c r="BE458" i="2"/>
  <c r="BD458" i="2"/>
  <c r="BC458" i="2"/>
  <c r="BB458" i="2"/>
  <c r="BA458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BN457" i="2"/>
  <c r="BM457" i="2"/>
  <c r="BL457" i="2"/>
  <c r="BK457" i="2"/>
  <c r="BJ457" i="2"/>
  <c r="BI457" i="2"/>
  <c r="BH457" i="2"/>
  <c r="BG457" i="2"/>
  <c r="BF457" i="2"/>
  <c r="BE457" i="2"/>
  <c r="BD457" i="2"/>
  <c r="BC457" i="2"/>
  <c r="BB457" i="2"/>
  <c r="BA457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BN456" i="2"/>
  <c r="BM456" i="2"/>
  <c r="BL456" i="2"/>
  <c r="BK456" i="2"/>
  <c r="BJ456" i="2"/>
  <c r="BI456" i="2"/>
  <c r="BH456" i="2"/>
  <c r="BG456" i="2"/>
  <c r="BF456" i="2"/>
  <c r="BE456" i="2"/>
  <c r="BD456" i="2"/>
  <c r="BC456" i="2"/>
  <c r="BB456" i="2"/>
  <c r="BA456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BN455" i="2"/>
  <c r="BM455" i="2"/>
  <c r="BL455" i="2"/>
  <c r="BK455" i="2"/>
  <c r="BJ455" i="2"/>
  <c r="BI455" i="2"/>
  <c r="BH455" i="2"/>
  <c r="BG455" i="2"/>
  <c r="BF455" i="2"/>
  <c r="BE455" i="2"/>
  <c r="BD455" i="2"/>
  <c r="BC455" i="2"/>
  <c r="BB455" i="2"/>
  <c r="BA455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BN454" i="2"/>
  <c r="BM454" i="2"/>
  <c r="BL454" i="2"/>
  <c r="BK454" i="2"/>
  <c r="BJ454" i="2"/>
  <c r="BI454" i="2"/>
  <c r="BH454" i="2"/>
  <c r="BG454" i="2"/>
  <c r="BF454" i="2"/>
  <c r="BE454" i="2"/>
  <c r="BD454" i="2"/>
  <c r="BC454" i="2"/>
  <c r="BB454" i="2"/>
  <c r="BA454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BN453" i="2"/>
  <c r="BM453" i="2"/>
  <c r="BL453" i="2"/>
  <c r="BK453" i="2"/>
  <c r="BJ453" i="2"/>
  <c r="BI453" i="2"/>
  <c r="BH453" i="2"/>
  <c r="BG453" i="2"/>
  <c r="BF453" i="2"/>
  <c r="BE453" i="2"/>
  <c r="BD453" i="2"/>
  <c r="BC453" i="2"/>
  <c r="BB453" i="2"/>
  <c r="BA453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BN452" i="2"/>
  <c r="BM452" i="2"/>
  <c r="BL452" i="2"/>
  <c r="BK452" i="2"/>
  <c r="BJ452" i="2"/>
  <c r="BI452" i="2"/>
  <c r="BH452" i="2"/>
  <c r="BG452" i="2"/>
  <c r="BF452" i="2"/>
  <c r="BE452" i="2"/>
  <c r="BD452" i="2"/>
  <c r="BC452" i="2"/>
  <c r="BB452" i="2"/>
  <c r="BA452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BN451" i="2"/>
  <c r="BM451" i="2"/>
  <c r="BL451" i="2"/>
  <c r="BK451" i="2"/>
  <c r="BJ451" i="2"/>
  <c r="BI451" i="2"/>
  <c r="BH451" i="2"/>
  <c r="BG451" i="2"/>
  <c r="BF451" i="2"/>
  <c r="BE451" i="2"/>
  <c r="BD451" i="2"/>
  <c r="BC451" i="2"/>
  <c r="BB451" i="2"/>
  <c r="BA451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BN450" i="2"/>
  <c r="BM450" i="2"/>
  <c r="BL450" i="2"/>
  <c r="BK450" i="2"/>
  <c r="BJ450" i="2"/>
  <c r="BI450" i="2"/>
  <c r="BH450" i="2"/>
  <c r="BG450" i="2"/>
  <c r="BF450" i="2"/>
  <c r="BE450" i="2"/>
  <c r="BD450" i="2"/>
  <c r="BC450" i="2"/>
  <c r="BB450" i="2"/>
  <c r="BA450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BN449" i="2"/>
  <c r="BM449" i="2"/>
  <c r="BL449" i="2"/>
  <c r="BK449" i="2"/>
  <c r="BJ449" i="2"/>
  <c r="BI449" i="2"/>
  <c r="BH449" i="2"/>
  <c r="BG449" i="2"/>
  <c r="BF449" i="2"/>
  <c r="BE449" i="2"/>
  <c r="BD449" i="2"/>
  <c r="BC449" i="2"/>
  <c r="BB449" i="2"/>
  <c r="BA449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BN448" i="2"/>
  <c r="BM448" i="2"/>
  <c r="BL448" i="2"/>
  <c r="BK448" i="2"/>
  <c r="BJ448" i="2"/>
  <c r="BI448" i="2"/>
  <c r="BH448" i="2"/>
  <c r="BG448" i="2"/>
  <c r="BF448" i="2"/>
  <c r="BE448" i="2"/>
  <c r="BD448" i="2"/>
  <c r="BC448" i="2"/>
  <c r="BB448" i="2"/>
  <c r="BA448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BN447" i="2"/>
  <c r="BM447" i="2"/>
  <c r="BL447" i="2"/>
  <c r="BK447" i="2"/>
  <c r="BJ447" i="2"/>
  <c r="BI447" i="2"/>
  <c r="BH447" i="2"/>
  <c r="BG447" i="2"/>
  <c r="BF447" i="2"/>
  <c r="BE447" i="2"/>
  <c r="BD447" i="2"/>
  <c r="BC447" i="2"/>
  <c r="BB447" i="2"/>
  <c r="BA447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BN446" i="2"/>
  <c r="BM446" i="2"/>
  <c r="BL446" i="2"/>
  <c r="BK446" i="2"/>
  <c r="BJ446" i="2"/>
  <c r="BI446" i="2"/>
  <c r="BH446" i="2"/>
  <c r="BG446" i="2"/>
  <c r="BF446" i="2"/>
  <c r="BE446" i="2"/>
  <c r="BD446" i="2"/>
  <c r="BC446" i="2"/>
  <c r="BB446" i="2"/>
  <c r="BA446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BN445" i="2"/>
  <c r="BM445" i="2"/>
  <c r="BL445" i="2"/>
  <c r="BK445" i="2"/>
  <c r="BJ445" i="2"/>
  <c r="BI445" i="2"/>
  <c r="BH445" i="2"/>
  <c r="BG445" i="2"/>
  <c r="BF445" i="2"/>
  <c r="BE445" i="2"/>
  <c r="BD445" i="2"/>
  <c r="BC445" i="2"/>
  <c r="BB445" i="2"/>
  <c r="BA445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BN444" i="2"/>
  <c r="BM444" i="2"/>
  <c r="BL444" i="2"/>
  <c r="BK444" i="2"/>
  <c r="BJ444" i="2"/>
  <c r="BI444" i="2"/>
  <c r="BH444" i="2"/>
  <c r="BG444" i="2"/>
  <c r="BF444" i="2"/>
  <c r="BE444" i="2"/>
  <c r="BD444" i="2"/>
  <c r="BC444" i="2"/>
  <c r="BB444" i="2"/>
  <c r="BA444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BN443" i="2"/>
  <c r="BM443" i="2"/>
  <c r="BL443" i="2"/>
  <c r="BK443" i="2"/>
  <c r="BJ443" i="2"/>
  <c r="BI443" i="2"/>
  <c r="BH443" i="2"/>
  <c r="BG443" i="2"/>
  <c r="BF443" i="2"/>
  <c r="BE443" i="2"/>
  <c r="BD443" i="2"/>
  <c r="BC443" i="2"/>
  <c r="BB443" i="2"/>
  <c r="BA443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BN442" i="2"/>
  <c r="BM442" i="2"/>
  <c r="BL442" i="2"/>
  <c r="BK442" i="2"/>
  <c r="BJ442" i="2"/>
  <c r="BI442" i="2"/>
  <c r="BH442" i="2"/>
  <c r="BG442" i="2"/>
  <c r="BF442" i="2"/>
  <c r="BE442" i="2"/>
  <c r="BD442" i="2"/>
  <c r="BC442" i="2"/>
  <c r="BB442" i="2"/>
  <c r="BA442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BN441" i="2"/>
  <c r="BM441" i="2"/>
  <c r="BL441" i="2"/>
  <c r="BK441" i="2"/>
  <c r="BJ441" i="2"/>
  <c r="BI441" i="2"/>
  <c r="BH441" i="2"/>
  <c r="BG441" i="2"/>
  <c r="BF441" i="2"/>
  <c r="BE441" i="2"/>
  <c r="BD441" i="2"/>
  <c r="BC441" i="2"/>
  <c r="BB441" i="2"/>
  <c r="BA441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BN440" i="2"/>
  <c r="BM440" i="2"/>
  <c r="BL440" i="2"/>
  <c r="BK440" i="2"/>
  <c r="BJ440" i="2"/>
  <c r="BI440" i="2"/>
  <c r="BH440" i="2"/>
  <c r="BG440" i="2"/>
  <c r="BF440" i="2"/>
  <c r="BE440" i="2"/>
  <c r="BD440" i="2"/>
  <c r="BC440" i="2"/>
  <c r="BB440" i="2"/>
  <c r="BA440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BN439" i="2"/>
  <c r="BM439" i="2"/>
  <c r="BL439" i="2"/>
  <c r="BK439" i="2"/>
  <c r="BJ439" i="2"/>
  <c r="BI439" i="2"/>
  <c r="BH439" i="2"/>
  <c r="BG439" i="2"/>
  <c r="BF439" i="2"/>
  <c r="BE439" i="2"/>
  <c r="BD439" i="2"/>
  <c r="BC439" i="2"/>
  <c r="BB439" i="2"/>
  <c r="BA439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BN438" i="2"/>
  <c r="BM438" i="2"/>
  <c r="BL438" i="2"/>
  <c r="BK438" i="2"/>
  <c r="BJ438" i="2"/>
  <c r="BI438" i="2"/>
  <c r="BH438" i="2"/>
  <c r="BG438" i="2"/>
  <c r="BF438" i="2"/>
  <c r="BE438" i="2"/>
  <c r="BD438" i="2"/>
  <c r="BC438" i="2"/>
  <c r="BB438" i="2"/>
  <c r="BA438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BN437" i="2"/>
  <c r="BM437" i="2"/>
  <c r="BL437" i="2"/>
  <c r="BK437" i="2"/>
  <c r="BJ437" i="2"/>
  <c r="BI437" i="2"/>
  <c r="BH437" i="2"/>
  <c r="BG437" i="2"/>
  <c r="BF437" i="2"/>
  <c r="BE437" i="2"/>
  <c r="BD437" i="2"/>
  <c r="BC437" i="2"/>
  <c r="BB437" i="2"/>
  <c r="BA437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BN436" i="2"/>
  <c r="BM436" i="2"/>
  <c r="BL436" i="2"/>
  <c r="BK436" i="2"/>
  <c r="BJ436" i="2"/>
  <c r="BI436" i="2"/>
  <c r="BH436" i="2"/>
  <c r="BG436" i="2"/>
  <c r="BF436" i="2"/>
  <c r="BE436" i="2"/>
  <c r="BD436" i="2"/>
  <c r="BC436" i="2"/>
  <c r="BB436" i="2"/>
  <c r="BA436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BN435" i="2"/>
  <c r="BM435" i="2"/>
  <c r="BL435" i="2"/>
  <c r="BK435" i="2"/>
  <c r="BJ435" i="2"/>
  <c r="BI435" i="2"/>
  <c r="BH435" i="2"/>
  <c r="BG435" i="2"/>
  <c r="BF435" i="2"/>
  <c r="BE435" i="2"/>
  <c r="BD435" i="2"/>
  <c r="BC435" i="2"/>
  <c r="BB435" i="2"/>
  <c r="BA435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BN434" i="2"/>
  <c r="BM434" i="2"/>
  <c r="BL434" i="2"/>
  <c r="BK434" i="2"/>
  <c r="BJ434" i="2"/>
  <c r="BI434" i="2"/>
  <c r="BH434" i="2"/>
  <c r="BG434" i="2"/>
  <c r="BF434" i="2"/>
  <c r="BE434" i="2"/>
  <c r="BD434" i="2"/>
  <c r="BC434" i="2"/>
  <c r="BB434" i="2"/>
  <c r="BA434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BN433" i="2"/>
  <c r="BM433" i="2"/>
  <c r="BL433" i="2"/>
  <c r="BK433" i="2"/>
  <c r="BJ433" i="2"/>
  <c r="BI433" i="2"/>
  <c r="BH433" i="2"/>
  <c r="BG433" i="2"/>
  <c r="BF433" i="2"/>
  <c r="BE433" i="2"/>
  <c r="BD433" i="2"/>
  <c r="BC433" i="2"/>
  <c r="BB433" i="2"/>
  <c r="BA433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BN432" i="2"/>
  <c r="BM432" i="2"/>
  <c r="BL432" i="2"/>
  <c r="BK432" i="2"/>
  <c r="BJ432" i="2"/>
  <c r="BI432" i="2"/>
  <c r="BH432" i="2"/>
  <c r="BG432" i="2"/>
  <c r="BF432" i="2"/>
  <c r="BE432" i="2"/>
  <c r="BD432" i="2"/>
  <c r="BC432" i="2"/>
  <c r="BB432" i="2"/>
  <c r="BA432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BN431" i="2"/>
  <c r="BM431" i="2"/>
  <c r="BL431" i="2"/>
  <c r="BK431" i="2"/>
  <c r="BJ431" i="2"/>
  <c r="BI431" i="2"/>
  <c r="BH431" i="2"/>
  <c r="BG431" i="2"/>
  <c r="BF431" i="2"/>
  <c r="BE431" i="2"/>
  <c r="BD431" i="2"/>
  <c r="BC431" i="2"/>
  <c r="BB431" i="2"/>
  <c r="BA431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BN430" i="2"/>
  <c r="BM430" i="2"/>
  <c r="BL430" i="2"/>
  <c r="BK430" i="2"/>
  <c r="BJ430" i="2"/>
  <c r="BI430" i="2"/>
  <c r="BH430" i="2"/>
  <c r="BG430" i="2"/>
  <c r="BF430" i="2"/>
  <c r="BE430" i="2"/>
  <c r="BD430" i="2"/>
  <c r="BC430" i="2"/>
  <c r="BB430" i="2"/>
  <c r="BA430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BN429" i="2"/>
  <c r="BM429" i="2"/>
  <c r="BL429" i="2"/>
  <c r="BK429" i="2"/>
  <c r="BJ429" i="2"/>
  <c r="BI429" i="2"/>
  <c r="BH429" i="2"/>
  <c r="BG429" i="2"/>
  <c r="BF429" i="2"/>
  <c r="BE429" i="2"/>
  <c r="BD429" i="2"/>
  <c r="BC429" i="2"/>
  <c r="BB429" i="2"/>
  <c r="BA429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BN428" i="2"/>
  <c r="BM428" i="2"/>
  <c r="BL428" i="2"/>
  <c r="BK428" i="2"/>
  <c r="BJ428" i="2"/>
  <c r="BI428" i="2"/>
  <c r="BH428" i="2"/>
  <c r="BG428" i="2"/>
  <c r="BF428" i="2"/>
  <c r="BE428" i="2"/>
  <c r="BD428" i="2"/>
  <c r="BC428" i="2"/>
  <c r="BB428" i="2"/>
  <c r="BA428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BN427" i="2"/>
  <c r="BM427" i="2"/>
  <c r="BL427" i="2"/>
  <c r="BK427" i="2"/>
  <c r="BJ427" i="2"/>
  <c r="BI427" i="2"/>
  <c r="BH427" i="2"/>
  <c r="BG427" i="2"/>
  <c r="BF427" i="2"/>
  <c r="BE427" i="2"/>
  <c r="BD427" i="2"/>
  <c r="BC427" i="2"/>
  <c r="BB427" i="2"/>
  <c r="BA427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BN426" i="2"/>
  <c r="BM426" i="2"/>
  <c r="BL426" i="2"/>
  <c r="BK426" i="2"/>
  <c r="BJ426" i="2"/>
  <c r="BI426" i="2"/>
  <c r="BH426" i="2"/>
  <c r="BG426" i="2"/>
  <c r="BF426" i="2"/>
  <c r="BE426" i="2"/>
  <c r="BD426" i="2"/>
  <c r="BC426" i="2"/>
  <c r="BB426" i="2"/>
  <c r="BA426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BN425" i="2"/>
  <c r="BM425" i="2"/>
  <c r="BL425" i="2"/>
  <c r="BK425" i="2"/>
  <c r="BJ425" i="2"/>
  <c r="BI425" i="2"/>
  <c r="BH425" i="2"/>
  <c r="BG425" i="2"/>
  <c r="BF425" i="2"/>
  <c r="BE425" i="2"/>
  <c r="BD425" i="2"/>
  <c r="BC425" i="2"/>
  <c r="BB425" i="2"/>
  <c r="BA425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BN424" i="2"/>
  <c r="BM424" i="2"/>
  <c r="BL424" i="2"/>
  <c r="BK424" i="2"/>
  <c r="BJ424" i="2"/>
  <c r="BI424" i="2"/>
  <c r="BH424" i="2"/>
  <c r="BG424" i="2"/>
  <c r="BF424" i="2"/>
  <c r="BE424" i="2"/>
  <c r="BD424" i="2"/>
  <c r="BC424" i="2"/>
  <c r="BB424" i="2"/>
  <c r="BA424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BN423" i="2"/>
  <c r="BM423" i="2"/>
  <c r="BL423" i="2"/>
  <c r="BK423" i="2"/>
  <c r="BJ423" i="2"/>
  <c r="BI423" i="2"/>
  <c r="BH423" i="2"/>
  <c r="BG423" i="2"/>
  <c r="BF423" i="2"/>
  <c r="BE423" i="2"/>
  <c r="BD423" i="2"/>
  <c r="BC423" i="2"/>
  <c r="BB423" i="2"/>
  <c r="BA423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BN422" i="2"/>
  <c r="BM422" i="2"/>
  <c r="BL422" i="2"/>
  <c r="BK422" i="2"/>
  <c r="BJ422" i="2"/>
  <c r="BI422" i="2"/>
  <c r="BH422" i="2"/>
  <c r="BG422" i="2"/>
  <c r="BF422" i="2"/>
  <c r="BE422" i="2"/>
  <c r="BD422" i="2"/>
  <c r="BC422" i="2"/>
  <c r="BB422" i="2"/>
  <c r="BA422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BN421" i="2"/>
  <c r="BM421" i="2"/>
  <c r="BL421" i="2"/>
  <c r="BK421" i="2"/>
  <c r="BJ421" i="2"/>
  <c r="BI421" i="2"/>
  <c r="BH421" i="2"/>
  <c r="BG421" i="2"/>
  <c r="BF421" i="2"/>
  <c r="BE421" i="2"/>
  <c r="BD421" i="2"/>
  <c r="BC421" i="2"/>
  <c r="BB421" i="2"/>
  <c r="BA421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BN420" i="2"/>
  <c r="BM420" i="2"/>
  <c r="BL420" i="2"/>
  <c r="BK420" i="2"/>
  <c r="BJ420" i="2"/>
  <c r="BI420" i="2"/>
  <c r="BH420" i="2"/>
  <c r="BG420" i="2"/>
  <c r="BF420" i="2"/>
  <c r="BE420" i="2"/>
  <c r="BD420" i="2"/>
  <c r="BC420" i="2"/>
  <c r="BB420" i="2"/>
  <c r="BA420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BN419" i="2"/>
  <c r="BM419" i="2"/>
  <c r="BL419" i="2"/>
  <c r="BK419" i="2"/>
  <c r="BJ419" i="2"/>
  <c r="BI419" i="2"/>
  <c r="BH419" i="2"/>
  <c r="BG419" i="2"/>
  <c r="BF419" i="2"/>
  <c r="BE419" i="2"/>
  <c r="BD419" i="2"/>
  <c r="BC419" i="2"/>
  <c r="BB419" i="2"/>
  <c r="BA419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BN418" i="2"/>
  <c r="BM418" i="2"/>
  <c r="BL418" i="2"/>
  <c r="BK418" i="2"/>
  <c r="BJ418" i="2"/>
  <c r="BI418" i="2"/>
  <c r="BH418" i="2"/>
  <c r="BG418" i="2"/>
  <c r="BF418" i="2"/>
  <c r="BE418" i="2"/>
  <c r="BD418" i="2"/>
  <c r="BC418" i="2"/>
  <c r="BB418" i="2"/>
  <c r="BA418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BN417" i="2"/>
  <c r="BM417" i="2"/>
  <c r="BL417" i="2"/>
  <c r="BK417" i="2"/>
  <c r="BJ417" i="2"/>
  <c r="BI417" i="2"/>
  <c r="BH417" i="2"/>
  <c r="BG417" i="2"/>
  <c r="BF417" i="2"/>
  <c r="BE417" i="2"/>
  <c r="BD417" i="2"/>
  <c r="BC417" i="2"/>
  <c r="BB417" i="2"/>
  <c r="BA417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BN416" i="2"/>
  <c r="BM416" i="2"/>
  <c r="BL416" i="2"/>
  <c r="BK416" i="2"/>
  <c r="BJ416" i="2"/>
  <c r="BI416" i="2"/>
  <c r="BH416" i="2"/>
  <c r="BG416" i="2"/>
  <c r="BF416" i="2"/>
  <c r="BE416" i="2"/>
  <c r="BD416" i="2"/>
  <c r="BC416" i="2"/>
  <c r="BB416" i="2"/>
  <c r="BA416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BN415" i="2"/>
  <c r="BM415" i="2"/>
  <c r="BL415" i="2"/>
  <c r="BK415" i="2"/>
  <c r="BJ415" i="2"/>
  <c r="BI415" i="2"/>
  <c r="BH415" i="2"/>
  <c r="BG415" i="2"/>
  <c r="BF415" i="2"/>
  <c r="BE415" i="2"/>
  <c r="BD415" i="2"/>
  <c r="BC415" i="2"/>
  <c r="BB415" i="2"/>
  <c r="BA415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BN414" i="2"/>
  <c r="BM414" i="2"/>
  <c r="BL414" i="2"/>
  <c r="BK414" i="2"/>
  <c r="BJ414" i="2"/>
  <c r="BI414" i="2"/>
  <c r="BH414" i="2"/>
  <c r="BG414" i="2"/>
  <c r="BF414" i="2"/>
  <c r="BE414" i="2"/>
  <c r="BD414" i="2"/>
  <c r="BC414" i="2"/>
  <c r="BB414" i="2"/>
  <c r="BA414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BN413" i="2"/>
  <c r="BM413" i="2"/>
  <c r="BL413" i="2"/>
  <c r="BK413" i="2"/>
  <c r="BJ413" i="2"/>
  <c r="BI413" i="2"/>
  <c r="BH413" i="2"/>
  <c r="BG413" i="2"/>
  <c r="BF413" i="2"/>
  <c r="BE413" i="2"/>
  <c r="BD413" i="2"/>
  <c r="BC413" i="2"/>
  <c r="BB413" i="2"/>
  <c r="BA413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BN412" i="2"/>
  <c r="BM412" i="2"/>
  <c r="BL412" i="2"/>
  <c r="BK412" i="2"/>
  <c r="BJ412" i="2"/>
  <c r="BI412" i="2"/>
  <c r="BH412" i="2"/>
  <c r="BG412" i="2"/>
  <c r="BF412" i="2"/>
  <c r="BE412" i="2"/>
  <c r="BD412" i="2"/>
  <c r="BC412" i="2"/>
  <c r="BB412" i="2"/>
  <c r="BA412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BN411" i="2"/>
  <c r="BM411" i="2"/>
  <c r="BL411" i="2"/>
  <c r="BK411" i="2"/>
  <c r="BJ411" i="2"/>
  <c r="BI411" i="2"/>
  <c r="BH411" i="2"/>
  <c r="BG411" i="2"/>
  <c r="BF411" i="2"/>
  <c r="BE411" i="2"/>
  <c r="BD411" i="2"/>
  <c r="BC411" i="2"/>
  <c r="BB411" i="2"/>
  <c r="BA411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BN410" i="2"/>
  <c r="BM410" i="2"/>
  <c r="BL410" i="2"/>
  <c r="BK410" i="2"/>
  <c r="BJ410" i="2"/>
  <c r="BI410" i="2"/>
  <c r="BH410" i="2"/>
  <c r="BG410" i="2"/>
  <c r="BF410" i="2"/>
  <c r="BE410" i="2"/>
  <c r="BD410" i="2"/>
  <c r="BC410" i="2"/>
  <c r="BB410" i="2"/>
  <c r="BA410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BN409" i="2"/>
  <c r="BM409" i="2"/>
  <c r="BL409" i="2"/>
  <c r="BK409" i="2"/>
  <c r="BJ409" i="2"/>
  <c r="BI409" i="2"/>
  <c r="BH409" i="2"/>
  <c r="BG409" i="2"/>
  <c r="BF409" i="2"/>
  <c r="BE409" i="2"/>
  <c r="BD409" i="2"/>
  <c r="BC409" i="2"/>
  <c r="BB409" i="2"/>
  <c r="BA409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BN408" i="2"/>
  <c r="BM408" i="2"/>
  <c r="BL408" i="2"/>
  <c r="BK408" i="2"/>
  <c r="BJ408" i="2"/>
  <c r="BI408" i="2"/>
  <c r="BH408" i="2"/>
  <c r="BG408" i="2"/>
  <c r="BF408" i="2"/>
  <c r="BE408" i="2"/>
  <c r="BD408" i="2"/>
  <c r="BC408" i="2"/>
  <c r="BB408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BN407" i="2"/>
  <c r="BM407" i="2"/>
  <c r="BL407" i="2"/>
  <c r="BK407" i="2"/>
  <c r="BJ407" i="2"/>
  <c r="BI407" i="2"/>
  <c r="BH407" i="2"/>
  <c r="BG407" i="2"/>
  <c r="BF407" i="2"/>
  <c r="BE407" i="2"/>
  <c r="BD407" i="2"/>
  <c r="BC407" i="2"/>
  <c r="BB407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BN406" i="2"/>
  <c r="BM406" i="2"/>
  <c r="BL406" i="2"/>
  <c r="BK406" i="2"/>
  <c r="BJ406" i="2"/>
  <c r="BI406" i="2"/>
  <c r="BH406" i="2"/>
  <c r="BG406" i="2"/>
  <c r="BF406" i="2"/>
  <c r="BE406" i="2"/>
  <c r="BD406" i="2"/>
  <c r="BC406" i="2"/>
  <c r="BB406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BN405" i="2"/>
  <c r="BM405" i="2"/>
  <c r="BL405" i="2"/>
  <c r="BK405" i="2"/>
  <c r="BJ405" i="2"/>
  <c r="BI405" i="2"/>
  <c r="BH405" i="2"/>
  <c r="BG405" i="2"/>
  <c r="BF405" i="2"/>
  <c r="BE405" i="2"/>
  <c r="BD405" i="2"/>
  <c r="BC405" i="2"/>
  <c r="BB405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BN404" i="2"/>
  <c r="BM404" i="2"/>
  <c r="BL404" i="2"/>
  <c r="BK404" i="2"/>
  <c r="BJ404" i="2"/>
  <c r="BI404" i="2"/>
  <c r="BH404" i="2"/>
  <c r="BG404" i="2"/>
  <c r="BF404" i="2"/>
  <c r="BE404" i="2"/>
  <c r="BD404" i="2"/>
  <c r="BC404" i="2"/>
  <c r="BB404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BN403" i="2"/>
  <c r="BM403" i="2"/>
  <c r="BL403" i="2"/>
  <c r="BK403" i="2"/>
  <c r="BJ403" i="2"/>
  <c r="BI403" i="2"/>
  <c r="BH403" i="2"/>
  <c r="BG403" i="2"/>
  <c r="BF403" i="2"/>
  <c r="BE403" i="2"/>
  <c r="BD403" i="2"/>
  <c r="BC403" i="2"/>
  <c r="BB403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BN402" i="2"/>
  <c r="BM402" i="2"/>
  <c r="BL402" i="2"/>
  <c r="BK402" i="2"/>
  <c r="BJ402" i="2"/>
  <c r="BI402" i="2"/>
  <c r="BH402" i="2"/>
  <c r="BG402" i="2"/>
  <c r="BF402" i="2"/>
  <c r="BE402" i="2"/>
  <c r="BD402" i="2"/>
  <c r="BC402" i="2"/>
  <c r="BB402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BN401" i="2"/>
  <c r="BM401" i="2"/>
  <c r="BL401" i="2"/>
  <c r="BK401" i="2"/>
  <c r="BJ401" i="2"/>
  <c r="BI401" i="2"/>
  <c r="BH401" i="2"/>
  <c r="BG401" i="2"/>
  <c r="BF401" i="2"/>
  <c r="BE401" i="2"/>
  <c r="BD401" i="2"/>
  <c r="BC401" i="2"/>
  <c r="BB401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BN400" i="2"/>
  <c r="BM400" i="2"/>
  <c r="BL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BN399" i="2"/>
  <c r="BM399" i="2"/>
  <c r="BL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BN398" i="2"/>
  <c r="BM398" i="2"/>
  <c r="BL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BN397" i="2"/>
  <c r="BM397" i="2"/>
  <c r="BL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BN396" i="2"/>
  <c r="BM396" i="2"/>
  <c r="BL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BN395" i="2"/>
  <c r="BM395" i="2"/>
  <c r="BL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BN394" i="2"/>
  <c r="BM394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BN393" i="2"/>
  <c r="BM393" i="2"/>
  <c r="BL393" i="2"/>
  <c r="BK393" i="2"/>
  <c r="BJ393" i="2"/>
  <c r="BI393" i="2"/>
  <c r="BH393" i="2"/>
  <c r="BG393" i="2"/>
  <c r="BF393" i="2"/>
  <c r="BE393" i="2"/>
  <c r="BD393" i="2"/>
  <c r="BC393" i="2"/>
  <c r="BB393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BN392" i="2"/>
  <c r="BM392" i="2"/>
  <c r="BL392" i="2"/>
  <c r="BK392" i="2"/>
  <c r="BJ392" i="2"/>
  <c r="BI392" i="2"/>
  <c r="BH392" i="2"/>
  <c r="BG392" i="2"/>
  <c r="BF392" i="2"/>
  <c r="BE392" i="2"/>
  <c r="BD392" i="2"/>
  <c r="BC392" i="2"/>
  <c r="BB392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BN391" i="2"/>
  <c r="BM391" i="2"/>
  <c r="BL391" i="2"/>
  <c r="BK391" i="2"/>
  <c r="BJ391" i="2"/>
  <c r="BI391" i="2"/>
  <c r="BH391" i="2"/>
  <c r="BG391" i="2"/>
  <c r="BF391" i="2"/>
  <c r="BE391" i="2"/>
  <c r="BD391" i="2"/>
  <c r="BC391" i="2"/>
  <c r="BB391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BN390" i="2"/>
  <c r="BM390" i="2"/>
  <c r="BL390" i="2"/>
  <c r="BK390" i="2"/>
  <c r="BJ390" i="2"/>
  <c r="BI390" i="2"/>
  <c r="BH390" i="2"/>
  <c r="BG390" i="2"/>
  <c r="BF390" i="2"/>
  <c r="BE390" i="2"/>
  <c r="BD390" i="2"/>
  <c r="BC390" i="2"/>
  <c r="BB390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BN389" i="2"/>
  <c r="BM389" i="2"/>
  <c r="BL389" i="2"/>
  <c r="BK389" i="2"/>
  <c r="BJ389" i="2"/>
  <c r="BI389" i="2"/>
  <c r="BH389" i="2"/>
  <c r="BG389" i="2"/>
  <c r="BF389" i="2"/>
  <c r="BE389" i="2"/>
  <c r="BD389" i="2"/>
  <c r="BC389" i="2"/>
  <c r="BB389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BN388" i="2"/>
  <c r="BM388" i="2"/>
  <c r="BL388" i="2"/>
  <c r="BK388" i="2"/>
  <c r="BJ388" i="2"/>
  <c r="BI388" i="2"/>
  <c r="BH388" i="2"/>
  <c r="BG388" i="2"/>
  <c r="BF388" i="2"/>
  <c r="BE388" i="2"/>
  <c r="BD388" i="2"/>
  <c r="BC388" i="2"/>
  <c r="BB388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BN387" i="2"/>
  <c r="BM387" i="2"/>
  <c r="BL387" i="2"/>
  <c r="BK387" i="2"/>
  <c r="BJ387" i="2"/>
  <c r="BI387" i="2"/>
  <c r="BH387" i="2"/>
  <c r="BG387" i="2"/>
  <c r="BF387" i="2"/>
  <c r="BE387" i="2"/>
  <c r="BD387" i="2"/>
  <c r="BC387" i="2"/>
  <c r="BB387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BN386" i="2"/>
  <c r="BM386" i="2"/>
  <c r="BL386" i="2"/>
  <c r="BK386" i="2"/>
  <c r="BJ386" i="2"/>
  <c r="BI386" i="2"/>
  <c r="BH386" i="2"/>
  <c r="BG386" i="2"/>
  <c r="BF386" i="2"/>
  <c r="BE386" i="2"/>
  <c r="BD386" i="2"/>
  <c r="BC386" i="2"/>
  <c r="BB386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BN385" i="2"/>
  <c r="BM385" i="2"/>
  <c r="BL385" i="2"/>
  <c r="BK385" i="2"/>
  <c r="BJ385" i="2"/>
  <c r="BI385" i="2"/>
  <c r="BH385" i="2"/>
  <c r="BG385" i="2"/>
  <c r="BF385" i="2"/>
  <c r="BE385" i="2"/>
  <c r="BD385" i="2"/>
  <c r="BC385" i="2"/>
  <c r="BB385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BN384" i="2"/>
  <c r="BM384" i="2"/>
  <c r="BL384" i="2"/>
  <c r="BK384" i="2"/>
  <c r="BJ384" i="2"/>
  <c r="BI384" i="2"/>
  <c r="BH384" i="2"/>
  <c r="BG384" i="2"/>
  <c r="BF384" i="2"/>
  <c r="BE384" i="2"/>
  <c r="BD384" i="2"/>
  <c r="BC384" i="2"/>
  <c r="BB384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BN383" i="2"/>
  <c r="BM383" i="2"/>
  <c r="BL383" i="2"/>
  <c r="BK383" i="2"/>
  <c r="BJ383" i="2"/>
  <c r="BI383" i="2"/>
  <c r="BH383" i="2"/>
  <c r="BG383" i="2"/>
  <c r="BF383" i="2"/>
  <c r="BE383" i="2"/>
  <c r="BD383" i="2"/>
  <c r="BC383" i="2"/>
  <c r="BB383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BN382" i="2"/>
  <c r="BM382" i="2"/>
  <c r="BL382" i="2"/>
  <c r="BK382" i="2"/>
  <c r="BJ382" i="2"/>
  <c r="BI382" i="2"/>
  <c r="BH382" i="2"/>
  <c r="BG382" i="2"/>
  <c r="BF382" i="2"/>
  <c r="BE382" i="2"/>
  <c r="BD382" i="2"/>
  <c r="BC382" i="2"/>
  <c r="BB382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BN381" i="2"/>
  <c r="BM381" i="2"/>
  <c r="BL381" i="2"/>
  <c r="BK381" i="2"/>
  <c r="BJ381" i="2"/>
  <c r="BI381" i="2"/>
  <c r="BH381" i="2"/>
  <c r="BG381" i="2"/>
  <c r="BF381" i="2"/>
  <c r="BE381" i="2"/>
  <c r="BD381" i="2"/>
  <c r="BC381" i="2"/>
  <c r="BB381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BN380" i="2"/>
  <c r="BM380" i="2"/>
  <c r="BL380" i="2"/>
  <c r="BK380" i="2"/>
  <c r="BJ380" i="2"/>
  <c r="BI380" i="2"/>
  <c r="BH380" i="2"/>
  <c r="BG380" i="2"/>
  <c r="BF380" i="2"/>
  <c r="BE380" i="2"/>
  <c r="BD380" i="2"/>
  <c r="BC380" i="2"/>
  <c r="BB380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BN379" i="2"/>
  <c r="BM379" i="2"/>
  <c r="BL379" i="2"/>
  <c r="BK379" i="2"/>
  <c r="BJ379" i="2"/>
  <c r="BI379" i="2"/>
  <c r="BH379" i="2"/>
  <c r="BG379" i="2"/>
  <c r="BF379" i="2"/>
  <c r="BE379" i="2"/>
  <c r="BD379" i="2"/>
  <c r="BC379" i="2"/>
  <c r="BB379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BN378" i="2"/>
  <c r="BM378" i="2"/>
  <c r="BL378" i="2"/>
  <c r="BK378" i="2"/>
  <c r="BJ378" i="2"/>
  <c r="BI378" i="2"/>
  <c r="BH378" i="2"/>
  <c r="BG378" i="2"/>
  <c r="BF378" i="2"/>
  <c r="BE378" i="2"/>
  <c r="BD378" i="2"/>
  <c r="BC378" i="2"/>
  <c r="BB378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BN377" i="2"/>
  <c r="BM377" i="2"/>
  <c r="BL377" i="2"/>
  <c r="BK377" i="2"/>
  <c r="BJ377" i="2"/>
  <c r="BI377" i="2"/>
  <c r="BH377" i="2"/>
  <c r="BG377" i="2"/>
  <c r="BF377" i="2"/>
  <c r="BE377" i="2"/>
  <c r="BD377" i="2"/>
  <c r="BC377" i="2"/>
  <c r="BB377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BN376" i="2"/>
  <c r="BM376" i="2"/>
  <c r="BL376" i="2"/>
  <c r="BK376" i="2"/>
  <c r="BJ376" i="2"/>
  <c r="BI376" i="2"/>
  <c r="BH376" i="2"/>
  <c r="BG376" i="2"/>
  <c r="BF376" i="2"/>
  <c r="BE376" i="2"/>
  <c r="BD376" i="2"/>
  <c r="BC376" i="2"/>
  <c r="BB376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BN375" i="2"/>
  <c r="BM375" i="2"/>
  <c r="BL375" i="2"/>
  <c r="BK375" i="2"/>
  <c r="BJ375" i="2"/>
  <c r="BI375" i="2"/>
  <c r="BH375" i="2"/>
  <c r="BG375" i="2"/>
  <c r="BF375" i="2"/>
  <c r="BE375" i="2"/>
  <c r="BD375" i="2"/>
  <c r="BC375" i="2"/>
  <c r="BB375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BN374" i="2"/>
  <c r="BM374" i="2"/>
  <c r="BL374" i="2"/>
  <c r="BK374" i="2"/>
  <c r="BJ374" i="2"/>
  <c r="BI374" i="2"/>
  <c r="BH374" i="2"/>
  <c r="BG374" i="2"/>
  <c r="BF374" i="2"/>
  <c r="BE374" i="2"/>
  <c r="BD374" i="2"/>
  <c r="BC374" i="2"/>
  <c r="BB374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BN373" i="2"/>
  <c r="BM373" i="2"/>
  <c r="BL373" i="2"/>
  <c r="BK373" i="2"/>
  <c r="BJ373" i="2"/>
  <c r="BI373" i="2"/>
  <c r="BH373" i="2"/>
  <c r="BG373" i="2"/>
  <c r="BF373" i="2"/>
  <c r="BE373" i="2"/>
  <c r="BD373" i="2"/>
  <c r="BC373" i="2"/>
  <c r="BB373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BN372" i="2"/>
  <c r="BM372" i="2"/>
  <c r="BL372" i="2"/>
  <c r="BK372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BN371" i="2"/>
  <c r="BM371" i="2"/>
  <c r="BL371" i="2"/>
  <c r="BK371" i="2"/>
  <c r="BJ371" i="2"/>
  <c r="BI371" i="2"/>
  <c r="BH371" i="2"/>
  <c r="BG371" i="2"/>
  <c r="BF371" i="2"/>
  <c r="BE371" i="2"/>
  <c r="BD371" i="2"/>
  <c r="BC371" i="2"/>
  <c r="BB371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BN370" i="2"/>
  <c r="BM370" i="2"/>
  <c r="BL370" i="2"/>
  <c r="BK370" i="2"/>
  <c r="BJ370" i="2"/>
  <c r="BI370" i="2"/>
  <c r="BH370" i="2"/>
  <c r="BG370" i="2"/>
  <c r="BF370" i="2"/>
  <c r="BE370" i="2"/>
  <c r="BD370" i="2"/>
  <c r="BC370" i="2"/>
  <c r="BB370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BN369" i="2"/>
  <c r="BM369" i="2"/>
  <c r="BL369" i="2"/>
  <c r="BK369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BN368" i="2"/>
  <c r="BM368" i="2"/>
  <c r="BL368" i="2"/>
  <c r="BK368" i="2"/>
  <c r="BJ368" i="2"/>
  <c r="BI368" i="2"/>
  <c r="BH368" i="2"/>
  <c r="BG368" i="2"/>
  <c r="BF368" i="2"/>
  <c r="BE368" i="2"/>
  <c r="BD368" i="2"/>
  <c r="BC368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BN367" i="2"/>
  <c r="BM367" i="2"/>
  <c r="BL367" i="2"/>
  <c r="BK367" i="2"/>
  <c r="BJ367" i="2"/>
  <c r="BI367" i="2"/>
  <c r="BH367" i="2"/>
  <c r="BG367" i="2"/>
  <c r="BF367" i="2"/>
  <c r="BE367" i="2"/>
  <c r="BD367" i="2"/>
  <c r="BC367" i="2"/>
  <c r="BB367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BN366" i="2"/>
  <c r="BM366" i="2"/>
  <c r="BL366" i="2"/>
  <c r="BK366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BN365" i="2"/>
  <c r="BM365" i="2"/>
  <c r="BL365" i="2"/>
  <c r="BK365" i="2"/>
  <c r="BJ365" i="2"/>
  <c r="BI365" i="2"/>
  <c r="BH365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BN364" i="2"/>
  <c r="BM364" i="2"/>
  <c r="BL364" i="2"/>
  <c r="BK364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BN362" i="2"/>
  <c r="BM362" i="2"/>
  <c r="BL362" i="2"/>
  <c r="BK362" i="2"/>
  <c r="BJ362" i="2"/>
  <c r="BI362" i="2"/>
  <c r="BH362" i="2"/>
  <c r="BG362" i="2"/>
  <c r="BF362" i="2"/>
  <c r="BE362" i="2"/>
  <c r="BD362" i="2"/>
  <c r="BC362" i="2"/>
  <c r="BB362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A4" i="2"/>
  <c r="F607" i="1"/>
  <c r="E607" i="1"/>
  <c r="D607" i="1"/>
  <c r="C607" i="1"/>
  <c r="B607" i="1"/>
  <c r="A607" i="1"/>
  <c r="F606" i="1"/>
  <c r="E606" i="1"/>
  <c r="D606" i="1"/>
  <c r="C606" i="1"/>
  <c r="B606" i="1"/>
  <c r="A606" i="1"/>
  <c r="F605" i="1"/>
  <c r="E605" i="1"/>
  <c r="D605" i="1"/>
  <c r="C605" i="1"/>
  <c r="B605" i="1"/>
  <c r="A605" i="1"/>
  <c r="F604" i="1"/>
  <c r="E604" i="1"/>
  <c r="D604" i="1"/>
  <c r="C604" i="1"/>
  <c r="B604" i="1"/>
  <c r="A604" i="1"/>
  <c r="F603" i="1"/>
  <c r="E603" i="1"/>
  <c r="D603" i="1"/>
  <c r="C603" i="1"/>
  <c r="B603" i="1"/>
  <c r="A603" i="1"/>
  <c r="F602" i="1"/>
  <c r="E602" i="1"/>
  <c r="D602" i="1"/>
  <c r="C602" i="1"/>
  <c r="B602" i="1"/>
  <c r="A602" i="1"/>
  <c r="F601" i="1"/>
  <c r="E601" i="1"/>
  <c r="D601" i="1"/>
  <c r="C601" i="1"/>
  <c r="B601" i="1"/>
  <c r="A601" i="1"/>
  <c r="F600" i="1"/>
  <c r="E600" i="1"/>
  <c r="D600" i="1"/>
  <c r="C600" i="1"/>
  <c r="B600" i="1"/>
  <c r="A600" i="1"/>
  <c r="F599" i="1"/>
  <c r="E599" i="1"/>
  <c r="D599" i="1"/>
  <c r="C599" i="1"/>
  <c r="B599" i="1"/>
  <c r="A599" i="1"/>
  <c r="F598" i="1"/>
  <c r="E598" i="1"/>
  <c r="D598" i="1"/>
  <c r="C598" i="1"/>
  <c r="B598" i="1"/>
  <c r="A598" i="1"/>
  <c r="F597" i="1"/>
  <c r="E597" i="1"/>
  <c r="D597" i="1"/>
  <c r="C597" i="1"/>
  <c r="B597" i="1"/>
  <c r="A597" i="1"/>
  <c r="F596" i="1"/>
  <c r="E596" i="1"/>
  <c r="D596" i="1"/>
  <c r="C596" i="1"/>
  <c r="B596" i="1"/>
  <c r="A596" i="1"/>
  <c r="F595" i="1"/>
  <c r="E595" i="1"/>
  <c r="D595" i="1"/>
  <c r="C595" i="1"/>
  <c r="B595" i="1"/>
  <c r="A595" i="1"/>
  <c r="F594" i="1"/>
  <c r="E594" i="1"/>
  <c r="D594" i="1"/>
  <c r="C594" i="1"/>
  <c r="B594" i="1"/>
  <c r="A594" i="1"/>
  <c r="F593" i="1"/>
  <c r="E593" i="1"/>
  <c r="D593" i="1"/>
  <c r="C593" i="1"/>
  <c r="B593" i="1"/>
  <c r="A593" i="1"/>
  <c r="F592" i="1"/>
  <c r="E592" i="1"/>
  <c r="D592" i="1"/>
  <c r="C592" i="1"/>
  <c r="B592" i="1"/>
  <c r="A592" i="1"/>
  <c r="F591" i="1"/>
  <c r="E591" i="1"/>
  <c r="D591" i="1"/>
  <c r="C591" i="1"/>
  <c r="B591" i="1"/>
  <c r="A591" i="1"/>
  <c r="F590" i="1"/>
  <c r="E590" i="1"/>
  <c r="D590" i="1"/>
  <c r="C590" i="1"/>
  <c r="B590" i="1"/>
  <c r="A590" i="1"/>
  <c r="F589" i="1"/>
  <c r="E589" i="1"/>
  <c r="D589" i="1"/>
  <c r="C589" i="1"/>
  <c r="B589" i="1"/>
  <c r="A589" i="1"/>
  <c r="F588" i="1"/>
  <c r="E588" i="1"/>
  <c r="D588" i="1"/>
  <c r="C588" i="1"/>
  <c r="B588" i="1"/>
  <c r="A588" i="1"/>
  <c r="F587" i="1"/>
  <c r="E587" i="1"/>
  <c r="D587" i="1"/>
  <c r="C587" i="1"/>
  <c r="B587" i="1"/>
  <c r="A587" i="1"/>
  <c r="F586" i="1"/>
  <c r="E586" i="1"/>
  <c r="D586" i="1"/>
  <c r="C586" i="1"/>
  <c r="B586" i="1"/>
  <c r="A586" i="1"/>
  <c r="F585" i="1"/>
  <c r="E585" i="1"/>
  <c r="D585" i="1"/>
  <c r="C585" i="1"/>
  <c r="B585" i="1"/>
  <c r="A585" i="1"/>
  <c r="F584" i="1"/>
  <c r="E584" i="1"/>
  <c r="D584" i="1"/>
  <c r="C584" i="1"/>
  <c r="B584" i="1"/>
  <c r="A584" i="1"/>
  <c r="F583" i="1"/>
  <c r="E583" i="1"/>
  <c r="D583" i="1"/>
  <c r="C583" i="1"/>
  <c r="B583" i="1"/>
  <c r="A583" i="1"/>
  <c r="F582" i="1"/>
  <c r="E582" i="1"/>
  <c r="D582" i="1"/>
  <c r="C582" i="1"/>
  <c r="B582" i="1"/>
  <c r="A582" i="1"/>
  <c r="F581" i="1"/>
  <c r="E581" i="1"/>
  <c r="D581" i="1"/>
  <c r="C581" i="1"/>
  <c r="B581" i="1"/>
  <c r="A581" i="1"/>
  <c r="F580" i="1"/>
  <c r="E580" i="1"/>
  <c r="D580" i="1"/>
  <c r="C580" i="1"/>
  <c r="B580" i="1"/>
  <c r="A580" i="1"/>
  <c r="F579" i="1"/>
  <c r="E579" i="1"/>
  <c r="D579" i="1"/>
  <c r="C579" i="1"/>
  <c r="B579" i="1"/>
  <c r="A579" i="1"/>
  <c r="F578" i="1"/>
  <c r="E578" i="1"/>
  <c r="D578" i="1"/>
  <c r="C578" i="1"/>
  <c r="B578" i="1"/>
  <c r="A578" i="1"/>
  <c r="F577" i="1"/>
  <c r="E577" i="1"/>
  <c r="D577" i="1"/>
  <c r="C577" i="1"/>
  <c r="B577" i="1"/>
  <c r="A577" i="1"/>
  <c r="F576" i="1"/>
  <c r="E576" i="1"/>
  <c r="D576" i="1"/>
  <c r="C576" i="1"/>
  <c r="B576" i="1"/>
  <c r="A576" i="1"/>
  <c r="F575" i="1"/>
  <c r="E575" i="1"/>
  <c r="D575" i="1"/>
  <c r="C575" i="1"/>
  <c r="B575" i="1"/>
  <c r="A575" i="1"/>
  <c r="F574" i="1"/>
  <c r="E574" i="1"/>
  <c r="D574" i="1"/>
  <c r="C574" i="1"/>
  <c r="B574" i="1"/>
  <c r="A574" i="1"/>
  <c r="F573" i="1"/>
  <c r="E573" i="1"/>
  <c r="D573" i="1"/>
  <c r="C573" i="1"/>
  <c r="B573" i="1"/>
  <c r="A573" i="1"/>
  <c r="F572" i="1"/>
  <c r="E572" i="1"/>
  <c r="D572" i="1"/>
  <c r="C572" i="1"/>
  <c r="B572" i="1"/>
  <c r="A572" i="1"/>
  <c r="F571" i="1"/>
  <c r="E571" i="1"/>
  <c r="D571" i="1"/>
  <c r="C571" i="1"/>
  <c r="B571" i="1"/>
  <c r="A571" i="1"/>
  <c r="F570" i="1"/>
  <c r="E570" i="1"/>
  <c r="D570" i="1"/>
  <c r="C570" i="1"/>
  <c r="B570" i="1"/>
  <c r="A570" i="1"/>
  <c r="F569" i="1"/>
  <c r="E569" i="1"/>
  <c r="D569" i="1"/>
  <c r="C569" i="1"/>
  <c r="B569" i="1"/>
  <c r="A569" i="1"/>
  <c r="F568" i="1"/>
  <c r="E568" i="1"/>
  <c r="D568" i="1"/>
  <c r="C568" i="1"/>
  <c r="B568" i="1"/>
  <c r="A568" i="1"/>
  <c r="F567" i="1"/>
  <c r="E567" i="1"/>
  <c r="D567" i="1"/>
  <c r="C567" i="1"/>
  <c r="B567" i="1"/>
  <c r="A567" i="1"/>
  <c r="F566" i="1"/>
  <c r="E566" i="1"/>
  <c r="D566" i="1"/>
  <c r="C566" i="1"/>
  <c r="B566" i="1"/>
  <c r="A566" i="1"/>
  <c r="F565" i="1"/>
  <c r="E565" i="1"/>
  <c r="D565" i="1"/>
  <c r="C565" i="1"/>
  <c r="B565" i="1"/>
  <c r="A565" i="1"/>
  <c r="F564" i="1"/>
  <c r="E564" i="1"/>
  <c r="D564" i="1"/>
  <c r="C564" i="1"/>
  <c r="B564" i="1"/>
  <c r="A564" i="1"/>
  <c r="F563" i="1"/>
  <c r="E563" i="1"/>
  <c r="D563" i="1"/>
  <c r="C563" i="1"/>
  <c r="B563" i="1"/>
  <c r="A563" i="1"/>
  <c r="F562" i="1"/>
  <c r="E562" i="1"/>
  <c r="D562" i="1"/>
  <c r="C562" i="1"/>
  <c r="B562" i="1"/>
  <c r="A562" i="1"/>
  <c r="F561" i="1"/>
  <c r="E561" i="1"/>
  <c r="D561" i="1"/>
  <c r="C561" i="1"/>
  <c r="B561" i="1"/>
  <c r="A561" i="1"/>
  <c r="F560" i="1"/>
  <c r="E560" i="1"/>
  <c r="D560" i="1"/>
  <c r="C560" i="1"/>
  <c r="B560" i="1"/>
  <c r="A560" i="1"/>
  <c r="F559" i="1"/>
  <c r="E559" i="1"/>
  <c r="D559" i="1"/>
  <c r="C559" i="1"/>
  <c r="B559" i="1"/>
  <c r="A559" i="1"/>
  <c r="F558" i="1"/>
  <c r="E558" i="1"/>
  <c r="D558" i="1"/>
  <c r="C558" i="1"/>
  <c r="B558" i="1"/>
  <c r="A558" i="1"/>
  <c r="F557" i="1"/>
  <c r="E557" i="1"/>
  <c r="D557" i="1"/>
  <c r="C557" i="1"/>
  <c r="B557" i="1"/>
  <c r="A557" i="1"/>
  <c r="F556" i="1"/>
  <c r="E556" i="1"/>
  <c r="D556" i="1"/>
  <c r="C556" i="1"/>
  <c r="B556" i="1"/>
  <c r="A556" i="1"/>
  <c r="F555" i="1"/>
  <c r="E555" i="1"/>
  <c r="D555" i="1"/>
  <c r="C555" i="1"/>
  <c r="B555" i="1"/>
  <c r="A555" i="1"/>
  <c r="F554" i="1"/>
  <c r="E554" i="1"/>
  <c r="D554" i="1"/>
  <c r="C554" i="1"/>
  <c r="B554" i="1"/>
  <c r="A554" i="1"/>
  <c r="F553" i="1"/>
  <c r="E553" i="1"/>
  <c r="D553" i="1"/>
  <c r="C553" i="1"/>
  <c r="B553" i="1"/>
  <c r="A553" i="1"/>
  <c r="F552" i="1"/>
  <c r="E552" i="1"/>
  <c r="D552" i="1"/>
  <c r="C552" i="1"/>
  <c r="B552" i="1"/>
  <c r="A552" i="1"/>
  <c r="F551" i="1"/>
  <c r="E551" i="1"/>
  <c r="D551" i="1"/>
  <c r="C551" i="1"/>
  <c r="B551" i="1"/>
  <c r="A551" i="1"/>
  <c r="F550" i="1"/>
  <c r="E550" i="1"/>
  <c r="D550" i="1"/>
  <c r="C550" i="1"/>
  <c r="B550" i="1"/>
  <c r="A550" i="1"/>
  <c r="F549" i="1"/>
  <c r="E549" i="1"/>
  <c r="D549" i="1"/>
  <c r="C549" i="1"/>
  <c r="B549" i="1"/>
  <c r="A549" i="1"/>
  <c r="F548" i="1"/>
  <c r="E548" i="1"/>
  <c r="D548" i="1"/>
  <c r="C548" i="1"/>
  <c r="B548" i="1"/>
  <c r="A548" i="1"/>
  <c r="F547" i="1"/>
  <c r="E547" i="1"/>
  <c r="D547" i="1"/>
  <c r="C547" i="1"/>
  <c r="B547" i="1"/>
  <c r="A547" i="1"/>
  <c r="F546" i="1"/>
  <c r="E546" i="1"/>
  <c r="D546" i="1"/>
  <c r="C546" i="1"/>
  <c r="B546" i="1"/>
  <c r="A546" i="1"/>
  <c r="F545" i="1"/>
  <c r="E545" i="1"/>
  <c r="D545" i="1"/>
  <c r="C545" i="1"/>
  <c r="B545" i="1"/>
  <c r="A545" i="1"/>
  <c r="F544" i="1"/>
  <c r="E544" i="1"/>
  <c r="D544" i="1"/>
  <c r="C544" i="1"/>
  <c r="B544" i="1"/>
  <c r="A544" i="1"/>
  <c r="F543" i="1"/>
  <c r="E543" i="1"/>
  <c r="D543" i="1"/>
  <c r="C543" i="1"/>
  <c r="B543" i="1"/>
  <c r="A543" i="1"/>
  <c r="F542" i="1"/>
  <c r="E542" i="1"/>
  <c r="D542" i="1"/>
  <c r="C542" i="1"/>
  <c r="B542" i="1"/>
  <c r="A542" i="1"/>
  <c r="F541" i="1"/>
  <c r="E541" i="1"/>
  <c r="D541" i="1"/>
  <c r="C541" i="1"/>
  <c r="B541" i="1"/>
  <c r="A541" i="1"/>
  <c r="F540" i="1"/>
  <c r="E540" i="1"/>
  <c r="D540" i="1"/>
  <c r="C540" i="1"/>
  <c r="B540" i="1"/>
  <c r="A540" i="1"/>
  <c r="F539" i="1"/>
  <c r="E539" i="1"/>
  <c r="D539" i="1"/>
  <c r="C539" i="1"/>
  <c r="B539" i="1"/>
  <c r="A539" i="1"/>
  <c r="F538" i="1"/>
  <c r="E538" i="1"/>
  <c r="D538" i="1"/>
  <c r="C538" i="1"/>
  <c r="B538" i="1"/>
  <c r="A538" i="1"/>
  <c r="F537" i="1"/>
  <c r="E537" i="1"/>
  <c r="D537" i="1"/>
  <c r="C537" i="1"/>
  <c r="B537" i="1"/>
  <c r="A537" i="1"/>
  <c r="F536" i="1"/>
  <c r="E536" i="1"/>
  <c r="D536" i="1"/>
  <c r="C536" i="1"/>
  <c r="B536" i="1"/>
  <c r="A536" i="1"/>
  <c r="F535" i="1"/>
  <c r="E535" i="1"/>
  <c r="D535" i="1"/>
  <c r="C535" i="1"/>
  <c r="B535" i="1"/>
  <c r="A535" i="1"/>
  <c r="F534" i="1"/>
  <c r="E534" i="1"/>
  <c r="D534" i="1"/>
  <c r="C534" i="1"/>
  <c r="B534" i="1"/>
  <c r="A534" i="1"/>
  <c r="F533" i="1"/>
  <c r="E533" i="1"/>
  <c r="D533" i="1"/>
  <c r="C533" i="1"/>
  <c r="B533" i="1"/>
  <c r="A533" i="1"/>
  <c r="F532" i="1"/>
  <c r="E532" i="1"/>
  <c r="D532" i="1"/>
  <c r="C532" i="1"/>
  <c r="B532" i="1"/>
  <c r="A532" i="1"/>
  <c r="F531" i="1"/>
  <c r="E531" i="1"/>
  <c r="D531" i="1"/>
  <c r="C531" i="1"/>
  <c r="B531" i="1"/>
  <c r="A531" i="1"/>
  <c r="F530" i="1"/>
  <c r="E530" i="1"/>
  <c r="D530" i="1"/>
  <c r="C530" i="1"/>
  <c r="B530" i="1"/>
  <c r="A530" i="1"/>
  <c r="F529" i="1"/>
  <c r="E529" i="1"/>
  <c r="D529" i="1"/>
  <c r="C529" i="1"/>
  <c r="B529" i="1"/>
  <c r="A529" i="1"/>
  <c r="F528" i="1"/>
  <c r="E528" i="1"/>
  <c r="D528" i="1"/>
  <c r="C528" i="1"/>
  <c r="B528" i="1"/>
  <c r="A528" i="1"/>
  <c r="F527" i="1"/>
  <c r="E527" i="1"/>
  <c r="D527" i="1"/>
  <c r="C527" i="1"/>
  <c r="B527" i="1"/>
  <c r="A527" i="1"/>
  <c r="F526" i="1"/>
  <c r="E526" i="1"/>
  <c r="D526" i="1"/>
  <c r="C526" i="1"/>
  <c r="B526" i="1"/>
  <c r="A526" i="1"/>
  <c r="F525" i="1"/>
  <c r="E525" i="1"/>
  <c r="D525" i="1"/>
  <c r="C525" i="1"/>
  <c r="B525" i="1"/>
  <c r="A525" i="1"/>
  <c r="F524" i="1"/>
  <c r="E524" i="1"/>
  <c r="D524" i="1"/>
  <c r="C524" i="1"/>
  <c r="B524" i="1"/>
  <c r="A524" i="1"/>
  <c r="F523" i="1"/>
  <c r="E523" i="1"/>
  <c r="D523" i="1"/>
  <c r="C523" i="1"/>
  <c r="B523" i="1"/>
  <c r="A523" i="1"/>
  <c r="F522" i="1"/>
  <c r="E522" i="1"/>
  <c r="D522" i="1"/>
  <c r="C522" i="1"/>
  <c r="B522" i="1"/>
  <c r="A522" i="1"/>
  <c r="F521" i="1"/>
  <c r="E521" i="1"/>
  <c r="D521" i="1"/>
  <c r="C521" i="1"/>
  <c r="B521" i="1"/>
  <c r="A521" i="1"/>
  <c r="F520" i="1"/>
  <c r="E520" i="1"/>
  <c r="D520" i="1"/>
  <c r="C520" i="1"/>
  <c r="B520" i="1"/>
  <c r="A520" i="1"/>
  <c r="F519" i="1"/>
  <c r="E519" i="1"/>
  <c r="D519" i="1"/>
  <c r="C519" i="1"/>
  <c r="B519" i="1"/>
  <c r="A519" i="1"/>
  <c r="F518" i="1"/>
  <c r="E518" i="1"/>
  <c r="D518" i="1"/>
  <c r="C518" i="1"/>
  <c r="B518" i="1"/>
  <c r="A518" i="1"/>
  <c r="F517" i="1"/>
  <c r="E517" i="1"/>
  <c r="D517" i="1"/>
  <c r="C517" i="1"/>
  <c r="B517" i="1"/>
  <c r="A517" i="1"/>
  <c r="F516" i="1"/>
  <c r="E516" i="1"/>
  <c r="D516" i="1"/>
  <c r="C516" i="1"/>
  <c r="B516" i="1"/>
  <c r="A516" i="1"/>
  <c r="F515" i="1"/>
  <c r="E515" i="1"/>
  <c r="D515" i="1"/>
  <c r="C515" i="1"/>
  <c r="B515" i="1"/>
  <c r="A515" i="1"/>
  <c r="F514" i="1"/>
  <c r="E514" i="1"/>
  <c r="D514" i="1"/>
  <c r="C514" i="1"/>
  <c r="B514" i="1"/>
  <c r="A514" i="1"/>
  <c r="F513" i="1"/>
  <c r="E513" i="1"/>
  <c r="D513" i="1"/>
  <c r="C513" i="1"/>
  <c r="B513" i="1"/>
  <c r="A513" i="1"/>
  <c r="F512" i="1"/>
  <c r="E512" i="1"/>
  <c r="D512" i="1"/>
  <c r="C512" i="1"/>
  <c r="B512" i="1"/>
  <c r="A512" i="1"/>
  <c r="F511" i="1"/>
  <c r="E511" i="1"/>
  <c r="D511" i="1"/>
  <c r="C511" i="1"/>
  <c r="B511" i="1"/>
  <c r="A511" i="1"/>
  <c r="F510" i="1"/>
  <c r="E510" i="1"/>
  <c r="D510" i="1"/>
  <c r="C510" i="1"/>
  <c r="B510" i="1"/>
  <c r="A510" i="1"/>
  <c r="F509" i="1"/>
  <c r="E509" i="1"/>
  <c r="D509" i="1"/>
  <c r="C509" i="1"/>
  <c r="B509" i="1"/>
  <c r="A509" i="1"/>
  <c r="F508" i="1"/>
  <c r="E508" i="1"/>
  <c r="D508" i="1"/>
  <c r="C508" i="1"/>
  <c r="B508" i="1"/>
  <c r="A508" i="1"/>
  <c r="F507" i="1"/>
  <c r="E507" i="1"/>
  <c r="D507" i="1"/>
  <c r="C507" i="1"/>
  <c r="B507" i="1"/>
  <c r="A507" i="1"/>
  <c r="F506" i="1"/>
  <c r="E506" i="1"/>
  <c r="D506" i="1"/>
  <c r="C506" i="1"/>
  <c r="B506" i="1"/>
  <c r="A506" i="1"/>
  <c r="F505" i="1"/>
  <c r="E505" i="1"/>
  <c r="D505" i="1"/>
  <c r="C505" i="1"/>
  <c r="B505" i="1"/>
  <c r="A505" i="1"/>
  <c r="F504" i="1"/>
  <c r="E504" i="1"/>
  <c r="D504" i="1"/>
  <c r="C504" i="1"/>
  <c r="B504" i="1"/>
  <c r="A504" i="1"/>
  <c r="F503" i="1"/>
  <c r="E503" i="1"/>
  <c r="D503" i="1"/>
  <c r="C503" i="1"/>
  <c r="B503" i="1"/>
  <c r="A503" i="1"/>
  <c r="F502" i="1"/>
  <c r="E502" i="1"/>
  <c r="D502" i="1"/>
  <c r="C502" i="1"/>
  <c r="B502" i="1"/>
  <c r="A502" i="1"/>
  <c r="F501" i="1"/>
  <c r="E501" i="1"/>
  <c r="D501" i="1"/>
  <c r="C501" i="1"/>
  <c r="B501" i="1"/>
  <c r="A501" i="1"/>
  <c r="F500" i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<sst xmlns="http://schemas.openxmlformats.org/spreadsheetml/2006/main" count="117" uniqueCount="102">
  <si>
    <t>Start_Date</t>
  </si>
  <si>
    <t>Communication Services - XLC</t>
  </si>
  <si>
    <t>Consumer Discretionary - XLY</t>
  </si>
  <si>
    <t>Consumer Staples - XLP</t>
  </si>
  <si>
    <t>Energy - XLE</t>
  </si>
  <si>
    <t>Financials - XLF</t>
  </si>
  <si>
    <t>Health Care - XLV</t>
  </si>
  <si>
    <t>Industrials - XLI</t>
  </si>
  <si>
    <t>Materials - XLB</t>
  </si>
  <si>
    <t>Technology - XLK</t>
  </si>
  <si>
    <t>Utilities - XLU</t>
  </si>
  <si>
    <t>Real Estate - XLRE</t>
  </si>
  <si>
    <t>Date</t>
  </si>
  <si>
    <t>End_Date</t>
  </si>
  <si>
    <t>Open</t>
  </si>
  <si>
    <t>High</t>
  </si>
  <si>
    <t>Low</t>
  </si>
  <si>
    <t>Close</t>
  </si>
  <si>
    <t>Volume</t>
  </si>
  <si>
    <t>SP500</t>
  </si>
  <si>
    <t>XLC</t>
  </si>
  <si>
    <t>Communication Services</t>
  </si>
  <si>
    <t>Consumer Discretionary</t>
  </si>
  <si>
    <t>XLY</t>
  </si>
  <si>
    <t>XLP</t>
  </si>
  <si>
    <t>Consumer Staples</t>
  </si>
  <si>
    <t>XLE</t>
  </si>
  <si>
    <t>Energy</t>
  </si>
  <si>
    <t>XLF</t>
  </si>
  <si>
    <t>Financials</t>
  </si>
  <si>
    <t>XLV</t>
  </si>
  <si>
    <t>Health Care</t>
  </si>
  <si>
    <t xml:space="preserve">Industrials </t>
  </si>
  <si>
    <t>XLI</t>
  </si>
  <si>
    <t>XLB</t>
  </si>
  <si>
    <t>Materials</t>
  </si>
  <si>
    <t>XLK</t>
  </si>
  <si>
    <t>Technology</t>
  </si>
  <si>
    <t>XLU</t>
  </si>
  <si>
    <t>Utilities</t>
  </si>
  <si>
    <t>Real Estate</t>
  </si>
  <si>
    <t>XLRE</t>
  </si>
  <si>
    <t>SP500_Open</t>
  </si>
  <si>
    <t>SP500_High</t>
  </si>
  <si>
    <t>SP500_Low</t>
  </si>
  <si>
    <t>SP500_Close</t>
  </si>
  <si>
    <t>SP500_Volume</t>
  </si>
  <si>
    <t>XLC_Open</t>
  </si>
  <si>
    <t>XLC_High</t>
  </si>
  <si>
    <t>XLC_Low</t>
  </si>
  <si>
    <t>XLC_Close</t>
  </si>
  <si>
    <t>XLC_Volume</t>
  </si>
  <si>
    <t>XLY_Open</t>
  </si>
  <si>
    <t>XLY_High</t>
  </si>
  <si>
    <t>XLY_Low</t>
  </si>
  <si>
    <t>XLY_Close</t>
  </si>
  <si>
    <t>XLY_Volume</t>
  </si>
  <si>
    <t>XLP_Open</t>
  </si>
  <si>
    <t>XLP_High</t>
  </si>
  <si>
    <t>XLP_Low</t>
  </si>
  <si>
    <t>XLP_Close</t>
  </si>
  <si>
    <t>XLP_Volume</t>
  </si>
  <si>
    <t>XLE_Open</t>
  </si>
  <si>
    <t>XLE_High</t>
  </si>
  <si>
    <t>XLE_Low</t>
  </si>
  <si>
    <t>XLE_Close</t>
  </si>
  <si>
    <t>XLE_Volume</t>
  </si>
  <si>
    <t>XLF_Open</t>
  </si>
  <si>
    <t>XLF_High</t>
  </si>
  <si>
    <t>XLF_Low</t>
  </si>
  <si>
    <t>XLF_Close</t>
  </si>
  <si>
    <t>XLF_Volume</t>
  </si>
  <si>
    <t>XLV_Open</t>
  </si>
  <si>
    <t>XLV_High</t>
  </si>
  <si>
    <t>XLV_Low</t>
  </si>
  <si>
    <t>XLV_Close</t>
  </si>
  <si>
    <t>XLV_Volume</t>
  </si>
  <si>
    <t>XLI_Open</t>
  </si>
  <si>
    <t>XLI_High</t>
  </si>
  <si>
    <t>XLI_Low</t>
  </si>
  <si>
    <t>XLI_Close</t>
  </si>
  <si>
    <t>XLI_Volume</t>
  </si>
  <si>
    <t>XLB_Open</t>
  </si>
  <si>
    <t>XLB_High</t>
  </si>
  <si>
    <t>XLB_Low</t>
  </si>
  <si>
    <t>XLB_Close</t>
  </si>
  <si>
    <t>XLB_Volume</t>
  </si>
  <si>
    <t>XLK_Open</t>
  </si>
  <si>
    <t>XLK_High</t>
  </si>
  <si>
    <t>XLK_Low</t>
  </si>
  <si>
    <t>XLK_Close</t>
  </si>
  <si>
    <t>XLK_Volume</t>
  </si>
  <si>
    <t>XLU_Open</t>
  </si>
  <si>
    <t>XLU_High</t>
  </si>
  <si>
    <t>XLU_Low</t>
  </si>
  <si>
    <t>XLU_Close</t>
  </si>
  <si>
    <t>XLU_Volume</t>
  </si>
  <si>
    <t>XLRE_Open</t>
  </si>
  <si>
    <t>XLRE_High</t>
  </si>
  <si>
    <t>XLRE_Low</t>
  </si>
  <si>
    <t>XLRE_Close</t>
  </si>
  <si>
    <t>XLRE_Volume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</si>
</sst>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8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07"/>
  <sheetViews>
    <sheetView workbookViewId="0"/>
  </sheetViews>
  <sheetFormatPr baseColWidth="10" defaultColWidth="14.5" defaultRowHeight="15.75" customHeight="1" x14ac:dyDescent="0.15"/>
  <cols>
    <col min="1" max="1" width="18.1640625" customWidth="1"/>
    <col min="2" max="5" width="7.83203125" customWidth="1"/>
    <col min="6" max="6" width="11.5" customWidth="1"/>
    <col min="8" max="8" width="10" customWidth="1"/>
    <col min="9" max="9" width="10.33203125" customWidth="1"/>
  </cols>
  <sheetData>
    <row r="1" spans="1:9" ht="15.75" customHeight="1" x14ac:dyDescent="0.15">
      <c r="A1" s="3" t="str">
        <f ca="1">IFERROR(__xludf.DUMMYFUNCTION("GOOGLEFINANCE("".INX"",""all"", I1, I2, ""DAILY"")"),"Date")</f>
        <v>Date</v>
      </c>
      <c r="B1" s="3" t="str">
        <f ca="1">IFERROR(__xludf.DUMMYFUNCTION("""COMPUTED_VALUE"""),"Open")</f>
        <v>Open</v>
      </c>
      <c r="C1" s="3" t="str">
        <f ca="1">IFERROR(__xludf.DUMMYFUNCTION("""COMPUTED_VALUE"""),"High")</f>
        <v>High</v>
      </c>
      <c r="D1" s="3" t="str">
        <f ca="1">IFERROR(__xludf.DUMMYFUNCTION("""COMPUTED_VALUE"""),"Low")</f>
        <v>Low</v>
      </c>
      <c r="E1" s="3" t="str">
        <f ca="1">IFERROR(__xludf.DUMMYFUNCTION("""COMPUTED_VALUE"""),"Close")</f>
        <v>Close</v>
      </c>
      <c r="F1" s="3" t="str">
        <f ca="1">IFERROR(__xludf.DUMMYFUNCTION("""COMPUTED_VALUE"""),"Volume")</f>
        <v>Volume</v>
      </c>
      <c r="H1" s="1" t="s">
        <v>0</v>
      </c>
      <c r="I1" s="2">
        <v>42131</v>
      </c>
    </row>
    <row r="2" spans="1:9" ht="15.75" customHeight="1" x14ac:dyDescent="0.15">
      <c r="A2" s="4">
        <f ca="1">IFERROR(__xludf.DUMMYFUNCTION("""COMPUTED_VALUE"""),42131.6666666666)</f>
        <v>42131.666666666599</v>
      </c>
      <c r="B2" s="3">
        <f ca="1">IFERROR(__xludf.DUMMYFUNCTION("""COMPUTED_VALUE"""),2079.96)</f>
        <v>2079.96</v>
      </c>
      <c r="C2" s="3">
        <f ca="1">IFERROR(__xludf.DUMMYFUNCTION("""COMPUTED_VALUE"""),2092.9)</f>
        <v>2092.9</v>
      </c>
      <c r="D2" s="3">
        <f ca="1">IFERROR(__xludf.DUMMYFUNCTION("""COMPUTED_VALUE"""),2074.99)</f>
        <v>2074.9899999999998</v>
      </c>
      <c r="E2" s="3">
        <f ca="1">IFERROR(__xludf.DUMMYFUNCTION("""COMPUTED_VALUE"""),2088)</f>
        <v>2088</v>
      </c>
      <c r="F2" s="3">
        <f ca="1">IFERROR(__xludf.DUMMYFUNCTION("""COMPUTED_VALUE"""),0)</f>
        <v>0</v>
      </c>
      <c r="H2" s="1" t="s">
        <v>13</v>
      </c>
      <c r="I2" s="2">
        <v>43008</v>
      </c>
    </row>
    <row r="3" spans="1:9" ht="15.75" customHeight="1" x14ac:dyDescent="0.15">
      <c r="A3" s="4">
        <f ca="1">IFERROR(__xludf.DUMMYFUNCTION("""COMPUTED_VALUE"""),42132.6666666666)</f>
        <v>42132.666666666599</v>
      </c>
      <c r="B3" s="3">
        <f ca="1">IFERROR(__xludf.DUMMYFUNCTION("""COMPUTED_VALUE"""),2092.13)</f>
        <v>2092.13</v>
      </c>
      <c r="C3" s="3">
        <f ca="1">IFERROR(__xludf.DUMMYFUNCTION("""COMPUTED_VALUE"""),2117.66)</f>
        <v>2117.66</v>
      </c>
      <c r="D3" s="3">
        <f ca="1">IFERROR(__xludf.DUMMYFUNCTION("""COMPUTED_VALUE"""),2092.13)</f>
        <v>2092.13</v>
      </c>
      <c r="E3" s="3">
        <f ca="1">IFERROR(__xludf.DUMMYFUNCTION("""COMPUTED_VALUE"""),2116.1)</f>
        <v>2116.1</v>
      </c>
      <c r="F3" s="3">
        <f ca="1">IFERROR(__xludf.DUMMYFUNCTION("""COMPUTED_VALUE"""),0)</f>
        <v>0</v>
      </c>
    </row>
    <row r="4" spans="1:9" ht="15.75" customHeight="1" x14ac:dyDescent="0.15">
      <c r="A4" s="4">
        <f ca="1">IFERROR(__xludf.DUMMYFUNCTION("""COMPUTED_VALUE"""),42135.6666666666)</f>
        <v>42135.666666666599</v>
      </c>
      <c r="B4" s="3">
        <f ca="1">IFERROR(__xludf.DUMMYFUNCTION("""COMPUTED_VALUE"""),2115.56)</f>
        <v>2115.56</v>
      </c>
      <c r="C4" s="3">
        <f ca="1">IFERROR(__xludf.DUMMYFUNCTION("""COMPUTED_VALUE"""),2117.69)</f>
        <v>2117.69</v>
      </c>
      <c r="D4" s="3">
        <f ca="1">IFERROR(__xludf.DUMMYFUNCTION("""COMPUTED_VALUE"""),2104.58)</f>
        <v>2104.58</v>
      </c>
      <c r="E4" s="3">
        <f ca="1">IFERROR(__xludf.DUMMYFUNCTION("""COMPUTED_VALUE"""),2105.33)</f>
        <v>2105.33</v>
      </c>
      <c r="F4" s="3">
        <f ca="1">IFERROR(__xludf.DUMMYFUNCTION("""COMPUTED_VALUE"""),0)</f>
        <v>0</v>
      </c>
    </row>
    <row r="5" spans="1:9" ht="15.75" customHeight="1" x14ac:dyDescent="0.15">
      <c r="A5" s="4">
        <f ca="1">IFERROR(__xludf.DUMMYFUNCTION("""COMPUTED_VALUE"""),42136.6666666666)</f>
        <v>42136.666666666599</v>
      </c>
      <c r="B5" s="3">
        <f ca="1">IFERROR(__xludf.DUMMYFUNCTION("""COMPUTED_VALUE"""),2102.87)</f>
        <v>2102.87</v>
      </c>
      <c r="C5" s="3">
        <f ca="1">IFERROR(__xludf.DUMMYFUNCTION("""COMPUTED_VALUE"""),2105.06)</f>
        <v>2105.06</v>
      </c>
      <c r="D5" s="3">
        <f ca="1">IFERROR(__xludf.DUMMYFUNCTION("""COMPUTED_VALUE"""),2085.57)</f>
        <v>2085.5700000000002</v>
      </c>
      <c r="E5" s="3">
        <f ca="1">IFERROR(__xludf.DUMMYFUNCTION("""COMPUTED_VALUE"""),2099.12)</f>
        <v>2099.12</v>
      </c>
      <c r="F5" s="3">
        <f ca="1">IFERROR(__xludf.DUMMYFUNCTION("""COMPUTED_VALUE"""),0)</f>
        <v>0</v>
      </c>
    </row>
    <row r="6" spans="1:9" ht="15.75" customHeight="1" x14ac:dyDescent="0.15">
      <c r="A6" s="4">
        <f ca="1">IFERROR(__xludf.DUMMYFUNCTION("""COMPUTED_VALUE"""),42137.6666666666)</f>
        <v>42137.666666666599</v>
      </c>
      <c r="B6" s="3">
        <f ca="1">IFERROR(__xludf.DUMMYFUNCTION("""COMPUTED_VALUE"""),2099.62)</f>
        <v>2099.62</v>
      </c>
      <c r="C6" s="3">
        <f ca="1">IFERROR(__xludf.DUMMYFUNCTION("""COMPUTED_VALUE"""),2110.19)</f>
        <v>2110.19</v>
      </c>
      <c r="D6" s="3">
        <f ca="1">IFERROR(__xludf.DUMMYFUNCTION("""COMPUTED_VALUE"""),2096.04)</f>
        <v>2096.04</v>
      </c>
      <c r="E6" s="3">
        <f ca="1">IFERROR(__xludf.DUMMYFUNCTION("""COMPUTED_VALUE"""),2098.48)</f>
        <v>2098.48</v>
      </c>
      <c r="F6" s="3">
        <f ca="1">IFERROR(__xludf.DUMMYFUNCTION("""COMPUTED_VALUE"""),0)</f>
        <v>0</v>
      </c>
    </row>
    <row r="7" spans="1:9" ht="15.75" customHeight="1" x14ac:dyDescent="0.15">
      <c r="A7" s="4">
        <f ca="1">IFERROR(__xludf.DUMMYFUNCTION("""COMPUTED_VALUE"""),42138.6666666666)</f>
        <v>42138.666666666599</v>
      </c>
      <c r="B7" s="3">
        <f ca="1">IFERROR(__xludf.DUMMYFUNCTION("""COMPUTED_VALUE"""),2100.43)</f>
        <v>2100.4299999999998</v>
      </c>
      <c r="C7" s="3">
        <f ca="1">IFERROR(__xludf.DUMMYFUNCTION("""COMPUTED_VALUE"""),2121.45)</f>
        <v>2121.4499999999998</v>
      </c>
      <c r="D7" s="3">
        <f ca="1">IFERROR(__xludf.DUMMYFUNCTION("""COMPUTED_VALUE"""),2100.43)</f>
        <v>2100.4299999999998</v>
      </c>
      <c r="E7" s="3">
        <f ca="1">IFERROR(__xludf.DUMMYFUNCTION("""COMPUTED_VALUE"""),2121.1)</f>
        <v>2121.1</v>
      </c>
      <c r="F7" s="3">
        <f ca="1">IFERROR(__xludf.DUMMYFUNCTION("""COMPUTED_VALUE"""),0)</f>
        <v>0</v>
      </c>
    </row>
    <row r="8" spans="1:9" ht="15.75" customHeight="1" x14ac:dyDescent="0.15">
      <c r="A8" s="4">
        <f ca="1">IFERROR(__xludf.DUMMYFUNCTION("""COMPUTED_VALUE"""),42139.6666666666)</f>
        <v>42139.666666666599</v>
      </c>
      <c r="B8" s="3">
        <f ca="1">IFERROR(__xludf.DUMMYFUNCTION("""COMPUTED_VALUE"""),2122.07)</f>
        <v>2122.0700000000002</v>
      </c>
      <c r="C8" s="3">
        <f ca="1">IFERROR(__xludf.DUMMYFUNCTION("""COMPUTED_VALUE"""),2123.89)</f>
        <v>2123.89</v>
      </c>
      <c r="D8" s="3">
        <f ca="1">IFERROR(__xludf.DUMMYFUNCTION("""COMPUTED_VALUE"""),2116.79)</f>
        <v>2116.79</v>
      </c>
      <c r="E8" s="3">
        <f ca="1">IFERROR(__xludf.DUMMYFUNCTION("""COMPUTED_VALUE"""),2122.73)</f>
        <v>2122.73</v>
      </c>
      <c r="F8" s="3">
        <f ca="1">IFERROR(__xludf.DUMMYFUNCTION("""COMPUTED_VALUE"""),0)</f>
        <v>0</v>
      </c>
    </row>
    <row r="9" spans="1:9" ht="15.75" customHeight="1" x14ac:dyDescent="0.15">
      <c r="A9" s="4">
        <f ca="1">IFERROR(__xludf.DUMMYFUNCTION("""COMPUTED_VALUE"""),42142.6666666666)</f>
        <v>42142.666666666599</v>
      </c>
      <c r="B9" s="3">
        <f ca="1">IFERROR(__xludf.DUMMYFUNCTION("""COMPUTED_VALUE"""),2121.3)</f>
        <v>2121.3000000000002</v>
      </c>
      <c r="C9" s="3">
        <f ca="1">IFERROR(__xludf.DUMMYFUNCTION("""COMPUTED_VALUE"""),2131.78)</f>
        <v>2131.7800000000002</v>
      </c>
      <c r="D9" s="3">
        <f ca="1">IFERROR(__xludf.DUMMYFUNCTION("""COMPUTED_VALUE"""),2120.01)</f>
        <v>2120.0100000000002</v>
      </c>
      <c r="E9" s="3">
        <f ca="1">IFERROR(__xludf.DUMMYFUNCTION("""COMPUTED_VALUE"""),2129.2)</f>
        <v>2129.1999999999998</v>
      </c>
      <c r="F9" s="3">
        <f ca="1">IFERROR(__xludf.DUMMYFUNCTION("""COMPUTED_VALUE"""),0)</f>
        <v>0</v>
      </c>
    </row>
    <row r="10" spans="1:9" ht="15.75" customHeight="1" x14ac:dyDescent="0.15">
      <c r="A10" s="4">
        <f ca="1">IFERROR(__xludf.DUMMYFUNCTION("""COMPUTED_VALUE"""),42143.6666666666)</f>
        <v>42143.666666666599</v>
      </c>
      <c r="B10" s="3">
        <f ca="1">IFERROR(__xludf.DUMMYFUNCTION("""COMPUTED_VALUE"""),2129.45)</f>
        <v>2129.4499999999998</v>
      </c>
      <c r="C10" s="3">
        <f ca="1">IFERROR(__xludf.DUMMYFUNCTION("""COMPUTED_VALUE"""),2133.02)</f>
        <v>2133.02</v>
      </c>
      <c r="D10" s="3">
        <f ca="1">IFERROR(__xludf.DUMMYFUNCTION("""COMPUTED_VALUE"""),2124.5)</f>
        <v>2124.5</v>
      </c>
      <c r="E10" s="3">
        <f ca="1">IFERROR(__xludf.DUMMYFUNCTION("""COMPUTED_VALUE"""),2127.83)</f>
        <v>2127.83</v>
      </c>
      <c r="F10" s="3">
        <f ca="1">IFERROR(__xludf.DUMMYFUNCTION("""COMPUTED_VALUE"""),0)</f>
        <v>0</v>
      </c>
    </row>
    <row r="11" spans="1:9" ht="15.75" customHeight="1" x14ac:dyDescent="0.15">
      <c r="A11" s="4">
        <f ca="1">IFERROR(__xludf.DUMMYFUNCTION("""COMPUTED_VALUE"""),42144.6666666666)</f>
        <v>42144.666666666599</v>
      </c>
      <c r="B11" s="3">
        <f ca="1">IFERROR(__xludf.DUMMYFUNCTION("""COMPUTED_VALUE"""),2127.79)</f>
        <v>2127.79</v>
      </c>
      <c r="C11" s="3">
        <f ca="1">IFERROR(__xludf.DUMMYFUNCTION("""COMPUTED_VALUE"""),2134.72)</f>
        <v>2134.7199999999998</v>
      </c>
      <c r="D11" s="3">
        <f ca="1">IFERROR(__xludf.DUMMYFUNCTION("""COMPUTED_VALUE"""),2122.59)</f>
        <v>2122.59</v>
      </c>
      <c r="E11" s="3">
        <f ca="1">IFERROR(__xludf.DUMMYFUNCTION("""COMPUTED_VALUE"""),2125.85)</f>
        <v>2125.85</v>
      </c>
      <c r="F11" s="3">
        <f ca="1">IFERROR(__xludf.DUMMYFUNCTION("""COMPUTED_VALUE"""),0)</f>
        <v>0</v>
      </c>
    </row>
    <row r="12" spans="1:9" ht="15.75" customHeight="1" x14ac:dyDescent="0.15">
      <c r="A12" s="4">
        <f ca="1">IFERROR(__xludf.DUMMYFUNCTION("""COMPUTED_VALUE"""),42145.6666666666)</f>
        <v>42145.666666666599</v>
      </c>
      <c r="B12" s="3">
        <f ca="1">IFERROR(__xludf.DUMMYFUNCTION("""COMPUTED_VALUE"""),2125.55)</f>
        <v>2125.5500000000002</v>
      </c>
      <c r="C12" s="3">
        <f ca="1">IFERROR(__xludf.DUMMYFUNCTION("""COMPUTED_VALUE"""),2134.28)</f>
        <v>2134.2800000000002</v>
      </c>
      <c r="D12" s="3">
        <f ca="1">IFERROR(__xludf.DUMMYFUNCTION("""COMPUTED_VALUE"""),2122.95)</f>
        <v>2122.9499999999998</v>
      </c>
      <c r="E12" s="3">
        <f ca="1">IFERROR(__xludf.DUMMYFUNCTION("""COMPUTED_VALUE"""),2130.82)</f>
        <v>2130.8200000000002</v>
      </c>
      <c r="F12" s="3">
        <f ca="1">IFERROR(__xludf.DUMMYFUNCTION("""COMPUTED_VALUE"""),0)</f>
        <v>0</v>
      </c>
    </row>
    <row r="13" spans="1:9" ht="15.75" customHeight="1" x14ac:dyDescent="0.15">
      <c r="A13" s="4">
        <f ca="1">IFERROR(__xludf.DUMMYFUNCTION("""COMPUTED_VALUE"""),42146.6666666666)</f>
        <v>42146.666666666599</v>
      </c>
      <c r="B13" s="3">
        <f ca="1">IFERROR(__xludf.DUMMYFUNCTION("""COMPUTED_VALUE"""),2130.36)</f>
        <v>2130.36</v>
      </c>
      <c r="C13" s="3">
        <f ca="1">IFERROR(__xludf.DUMMYFUNCTION("""COMPUTED_VALUE"""),2132.15)</f>
        <v>2132.15</v>
      </c>
      <c r="D13" s="3">
        <f ca="1">IFERROR(__xludf.DUMMYFUNCTION("""COMPUTED_VALUE"""),2126.06)</f>
        <v>2126.06</v>
      </c>
      <c r="E13" s="3">
        <f ca="1">IFERROR(__xludf.DUMMYFUNCTION("""COMPUTED_VALUE"""),2126.06)</f>
        <v>2126.06</v>
      </c>
      <c r="F13" s="3">
        <f ca="1">IFERROR(__xludf.DUMMYFUNCTION("""COMPUTED_VALUE"""),0)</f>
        <v>0</v>
      </c>
    </row>
    <row r="14" spans="1:9" ht="15.75" customHeight="1" x14ac:dyDescent="0.15">
      <c r="A14" s="4">
        <f ca="1">IFERROR(__xludf.DUMMYFUNCTION("""COMPUTED_VALUE"""),42150.6666666666)</f>
        <v>42150.666666666599</v>
      </c>
      <c r="B14" s="3">
        <f ca="1">IFERROR(__xludf.DUMMYFUNCTION("""COMPUTED_VALUE"""),2125.34)</f>
        <v>2125.34</v>
      </c>
      <c r="C14" s="3">
        <f ca="1">IFERROR(__xludf.DUMMYFUNCTION("""COMPUTED_VALUE"""),2125.34)</f>
        <v>2125.34</v>
      </c>
      <c r="D14" s="3">
        <f ca="1">IFERROR(__xludf.DUMMYFUNCTION("""COMPUTED_VALUE"""),2099.18)</f>
        <v>2099.1799999999998</v>
      </c>
      <c r="E14" s="3">
        <f ca="1">IFERROR(__xludf.DUMMYFUNCTION("""COMPUTED_VALUE"""),2104.2)</f>
        <v>2104.1999999999998</v>
      </c>
      <c r="F14" s="3">
        <f ca="1">IFERROR(__xludf.DUMMYFUNCTION("""COMPUTED_VALUE"""),0)</f>
        <v>0</v>
      </c>
    </row>
    <row r="15" spans="1:9" ht="15.75" customHeight="1" x14ac:dyDescent="0.15">
      <c r="A15" s="4">
        <f ca="1">IFERROR(__xludf.DUMMYFUNCTION("""COMPUTED_VALUE"""),42151.6666666666)</f>
        <v>42151.666666666599</v>
      </c>
      <c r="B15" s="3">
        <f ca="1">IFERROR(__xludf.DUMMYFUNCTION("""COMPUTED_VALUE"""),2105.13)</f>
        <v>2105.13</v>
      </c>
      <c r="C15" s="3">
        <f ca="1">IFERROR(__xludf.DUMMYFUNCTION("""COMPUTED_VALUE"""),2126.22)</f>
        <v>2126.2199999999998</v>
      </c>
      <c r="D15" s="3">
        <f ca="1">IFERROR(__xludf.DUMMYFUNCTION("""COMPUTED_VALUE"""),2105.13)</f>
        <v>2105.13</v>
      </c>
      <c r="E15" s="3">
        <f ca="1">IFERROR(__xludf.DUMMYFUNCTION("""COMPUTED_VALUE"""),2123.48)</f>
        <v>2123.48</v>
      </c>
      <c r="F15" s="3">
        <f ca="1">IFERROR(__xludf.DUMMYFUNCTION("""COMPUTED_VALUE"""),0)</f>
        <v>0</v>
      </c>
    </row>
    <row r="16" spans="1:9" ht="15.75" customHeight="1" x14ac:dyDescent="0.15">
      <c r="A16" s="4">
        <f ca="1">IFERROR(__xludf.DUMMYFUNCTION("""COMPUTED_VALUE"""),42152.6666666666)</f>
        <v>42152.666666666599</v>
      </c>
      <c r="B16" s="3">
        <f ca="1">IFERROR(__xludf.DUMMYFUNCTION("""COMPUTED_VALUE"""),2122.27)</f>
        <v>2122.27</v>
      </c>
      <c r="C16" s="3">
        <f ca="1">IFERROR(__xludf.DUMMYFUNCTION("""COMPUTED_VALUE"""),2122.27)</f>
        <v>2122.27</v>
      </c>
      <c r="D16" s="3">
        <f ca="1">IFERROR(__xludf.DUMMYFUNCTION("""COMPUTED_VALUE"""),2112.86)</f>
        <v>2112.86</v>
      </c>
      <c r="E16" s="3">
        <f ca="1">IFERROR(__xludf.DUMMYFUNCTION("""COMPUTED_VALUE"""),2120.79)</f>
        <v>2120.79</v>
      </c>
      <c r="F16" s="3">
        <f ca="1">IFERROR(__xludf.DUMMYFUNCTION("""COMPUTED_VALUE"""),0)</f>
        <v>0</v>
      </c>
    </row>
    <row r="17" spans="1:6" ht="15.75" customHeight="1" x14ac:dyDescent="0.15">
      <c r="A17" s="4">
        <f ca="1">IFERROR(__xludf.DUMMYFUNCTION("""COMPUTED_VALUE"""),42153.6666666666)</f>
        <v>42153.666666666599</v>
      </c>
      <c r="B17" s="3">
        <f ca="1">IFERROR(__xludf.DUMMYFUNCTION("""COMPUTED_VALUE"""),2120.66)</f>
        <v>2120.66</v>
      </c>
      <c r="C17" s="3">
        <f ca="1">IFERROR(__xludf.DUMMYFUNCTION("""COMPUTED_VALUE"""),2120.66)</f>
        <v>2120.66</v>
      </c>
      <c r="D17" s="3">
        <f ca="1">IFERROR(__xludf.DUMMYFUNCTION("""COMPUTED_VALUE"""),2104.89)</f>
        <v>2104.89</v>
      </c>
      <c r="E17" s="3">
        <f ca="1">IFERROR(__xludf.DUMMYFUNCTION("""COMPUTED_VALUE"""),2107.39)</f>
        <v>2107.39</v>
      </c>
      <c r="F17" s="3">
        <f ca="1">IFERROR(__xludf.DUMMYFUNCTION("""COMPUTED_VALUE"""),0)</f>
        <v>0</v>
      </c>
    </row>
    <row r="18" spans="1:6" ht="15.75" customHeight="1" x14ac:dyDescent="0.15">
      <c r="A18" s="4">
        <f ca="1">IFERROR(__xludf.DUMMYFUNCTION("""COMPUTED_VALUE"""),42156.6666666666)</f>
        <v>42156.666666666599</v>
      </c>
      <c r="B18" s="3">
        <f ca="1">IFERROR(__xludf.DUMMYFUNCTION("""COMPUTED_VALUE"""),2108.64)</f>
        <v>2108.64</v>
      </c>
      <c r="C18" s="3">
        <f ca="1">IFERROR(__xludf.DUMMYFUNCTION("""COMPUTED_VALUE"""),2119.15)</f>
        <v>2119.15</v>
      </c>
      <c r="D18" s="3">
        <f ca="1">IFERROR(__xludf.DUMMYFUNCTION("""COMPUTED_VALUE"""),2102.54)</f>
        <v>2102.54</v>
      </c>
      <c r="E18" s="3">
        <f ca="1">IFERROR(__xludf.DUMMYFUNCTION("""COMPUTED_VALUE"""),2111.73)</f>
        <v>2111.73</v>
      </c>
      <c r="F18" s="3">
        <f ca="1">IFERROR(__xludf.DUMMYFUNCTION("""COMPUTED_VALUE"""),0)</f>
        <v>0</v>
      </c>
    </row>
    <row r="19" spans="1:6" ht="15.75" customHeight="1" x14ac:dyDescent="0.15">
      <c r="A19" s="4">
        <f ca="1">IFERROR(__xludf.DUMMYFUNCTION("""COMPUTED_VALUE"""),42157.6666666666)</f>
        <v>42157.666666666599</v>
      </c>
      <c r="B19" s="3">
        <f ca="1">IFERROR(__xludf.DUMMYFUNCTION("""COMPUTED_VALUE"""),2110.41)</f>
        <v>2110.41</v>
      </c>
      <c r="C19" s="3">
        <f ca="1">IFERROR(__xludf.DUMMYFUNCTION("""COMPUTED_VALUE"""),2117.59)</f>
        <v>2117.59</v>
      </c>
      <c r="D19" s="3">
        <f ca="1">IFERROR(__xludf.DUMMYFUNCTION("""COMPUTED_VALUE"""),2099.14)</f>
        <v>2099.14</v>
      </c>
      <c r="E19" s="3">
        <f ca="1">IFERROR(__xludf.DUMMYFUNCTION("""COMPUTED_VALUE"""),2109.6)</f>
        <v>2109.6</v>
      </c>
      <c r="F19" s="3">
        <f ca="1">IFERROR(__xludf.DUMMYFUNCTION("""COMPUTED_VALUE"""),0)</f>
        <v>0</v>
      </c>
    </row>
    <row r="20" spans="1:6" ht="15.75" customHeight="1" x14ac:dyDescent="0.15">
      <c r="A20" s="4">
        <f ca="1">IFERROR(__xludf.DUMMYFUNCTION("""COMPUTED_VALUE"""),42158.6666666666)</f>
        <v>42158.666666666599</v>
      </c>
      <c r="B20" s="3">
        <f ca="1">IFERROR(__xludf.DUMMYFUNCTION("""COMPUTED_VALUE"""),2110.64)</f>
        <v>2110.64</v>
      </c>
      <c r="C20" s="3">
        <f ca="1">IFERROR(__xludf.DUMMYFUNCTION("""COMPUTED_VALUE"""),2121.92)</f>
        <v>2121.92</v>
      </c>
      <c r="D20" s="3">
        <f ca="1">IFERROR(__xludf.DUMMYFUNCTION("""COMPUTED_VALUE"""),2109.61)</f>
        <v>2109.61</v>
      </c>
      <c r="E20" s="3">
        <f ca="1">IFERROR(__xludf.DUMMYFUNCTION("""COMPUTED_VALUE"""),2114.07)</f>
        <v>2114.0700000000002</v>
      </c>
      <c r="F20" s="3">
        <f ca="1">IFERROR(__xludf.DUMMYFUNCTION("""COMPUTED_VALUE"""),0)</f>
        <v>0</v>
      </c>
    </row>
    <row r="21" spans="1:6" ht="15.75" customHeight="1" x14ac:dyDescent="0.15">
      <c r="A21" s="4">
        <f ca="1">IFERROR(__xludf.DUMMYFUNCTION("""COMPUTED_VALUE"""),42159.6666666666)</f>
        <v>42159.666666666599</v>
      </c>
      <c r="B21" s="3">
        <f ca="1">IFERROR(__xludf.DUMMYFUNCTION("""COMPUTED_VALUE"""),2112.35)</f>
        <v>2112.35</v>
      </c>
      <c r="C21" s="3">
        <f ca="1">IFERROR(__xludf.DUMMYFUNCTION("""COMPUTED_VALUE"""),2112.89)</f>
        <v>2112.89</v>
      </c>
      <c r="D21" s="3">
        <f ca="1">IFERROR(__xludf.DUMMYFUNCTION("""COMPUTED_VALUE"""),2093.23)</f>
        <v>2093.23</v>
      </c>
      <c r="E21" s="3">
        <f ca="1">IFERROR(__xludf.DUMMYFUNCTION("""COMPUTED_VALUE"""),2095.84)</f>
        <v>2095.84</v>
      </c>
      <c r="F21" s="3">
        <f ca="1">IFERROR(__xludf.DUMMYFUNCTION("""COMPUTED_VALUE"""),0)</f>
        <v>0</v>
      </c>
    </row>
    <row r="22" spans="1:6" ht="15.75" customHeight="1" x14ac:dyDescent="0.15">
      <c r="A22" s="4">
        <f ca="1">IFERROR(__xludf.DUMMYFUNCTION("""COMPUTED_VALUE"""),42160.6666666666)</f>
        <v>42160.666666666599</v>
      </c>
      <c r="B22" s="3">
        <f ca="1">IFERROR(__xludf.DUMMYFUNCTION("""COMPUTED_VALUE"""),2095.09)</f>
        <v>2095.09</v>
      </c>
      <c r="C22" s="3">
        <f ca="1">IFERROR(__xludf.DUMMYFUNCTION("""COMPUTED_VALUE"""),2100.99)</f>
        <v>2100.9899999999998</v>
      </c>
      <c r="D22" s="3">
        <f ca="1">IFERROR(__xludf.DUMMYFUNCTION("""COMPUTED_VALUE"""),2085.67)</f>
        <v>2085.67</v>
      </c>
      <c r="E22" s="3">
        <f ca="1">IFERROR(__xludf.DUMMYFUNCTION("""COMPUTED_VALUE"""),2092.83)</f>
        <v>2092.83</v>
      </c>
      <c r="F22" s="3">
        <f ca="1">IFERROR(__xludf.DUMMYFUNCTION("""COMPUTED_VALUE"""),0)</f>
        <v>0</v>
      </c>
    </row>
    <row r="23" spans="1:6" ht="15.75" customHeight="1" x14ac:dyDescent="0.15">
      <c r="A23" s="4">
        <f ca="1">IFERROR(__xludf.DUMMYFUNCTION("""COMPUTED_VALUE"""),42163.6666666666)</f>
        <v>42163.666666666599</v>
      </c>
      <c r="B23" s="3">
        <f ca="1">IFERROR(__xludf.DUMMYFUNCTION("""COMPUTED_VALUE"""),2092.34)</f>
        <v>2092.34</v>
      </c>
      <c r="C23" s="3">
        <f ca="1">IFERROR(__xludf.DUMMYFUNCTION("""COMPUTED_VALUE"""),2093.01)</f>
        <v>2093.0100000000002</v>
      </c>
      <c r="D23" s="3">
        <f ca="1">IFERROR(__xludf.DUMMYFUNCTION("""COMPUTED_VALUE"""),2079.11)</f>
        <v>2079.11</v>
      </c>
      <c r="E23" s="3">
        <f ca="1">IFERROR(__xludf.DUMMYFUNCTION("""COMPUTED_VALUE"""),2079.28)</f>
        <v>2079.2800000000002</v>
      </c>
      <c r="F23" s="3">
        <f ca="1">IFERROR(__xludf.DUMMYFUNCTION("""COMPUTED_VALUE"""),0)</f>
        <v>0</v>
      </c>
    </row>
    <row r="24" spans="1:6" ht="15.75" customHeight="1" x14ac:dyDescent="0.15">
      <c r="A24" s="4">
        <f ca="1">IFERROR(__xludf.DUMMYFUNCTION("""COMPUTED_VALUE"""),42164.6666666666)</f>
        <v>42164.666666666599</v>
      </c>
      <c r="B24" s="3">
        <f ca="1">IFERROR(__xludf.DUMMYFUNCTION("""COMPUTED_VALUE"""),2079.07)</f>
        <v>2079.0700000000002</v>
      </c>
      <c r="C24" s="3">
        <f ca="1">IFERROR(__xludf.DUMMYFUNCTION("""COMPUTED_VALUE"""),2085.62)</f>
        <v>2085.62</v>
      </c>
      <c r="D24" s="3">
        <f ca="1">IFERROR(__xludf.DUMMYFUNCTION("""COMPUTED_VALUE"""),2072.14)</f>
        <v>2072.14</v>
      </c>
      <c r="E24" s="3">
        <f ca="1">IFERROR(__xludf.DUMMYFUNCTION("""COMPUTED_VALUE"""),2080.15)</f>
        <v>2080.15</v>
      </c>
      <c r="F24" s="3">
        <f ca="1">IFERROR(__xludf.DUMMYFUNCTION("""COMPUTED_VALUE"""),0)</f>
        <v>0</v>
      </c>
    </row>
    <row r="25" spans="1:6" ht="15.75" customHeight="1" x14ac:dyDescent="0.15">
      <c r="A25" s="4">
        <f ca="1">IFERROR(__xludf.DUMMYFUNCTION("""COMPUTED_VALUE"""),42165.6666666666)</f>
        <v>42165.666666666599</v>
      </c>
      <c r="B25" s="3">
        <f ca="1">IFERROR(__xludf.DUMMYFUNCTION("""COMPUTED_VALUE"""),2081.12)</f>
        <v>2081.12</v>
      </c>
      <c r="C25" s="3">
        <f ca="1">IFERROR(__xludf.DUMMYFUNCTION("""COMPUTED_VALUE"""),2108.5)</f>
        <v>2108.5</v>
      </c>
      <c r="D25" s="3">
        <f ca="1">IFERROR(__xludf.DUMMYFUNCTION("""COMPUTED_VALUE"""),2081.12)</f>
        <v>2081.12</v>
      </c>
      <c r="E25" s="3">
        <f ca="1">IFERROR(__xludf.DUMMYFUNCTION("""COMPUTED_VALUE"""),2105.2)</f>
        <v>2105.1999999999998</v>
      </c>
      <c r="F25" s="3">
        <f ca="1">IFERROR(__xludf.DUMMYFUNCTION("""COMPUTED_VALUE"""),0)</f>
        <v>0</v>
      </c>
    </row>
    <row r="26" spans="1:6" ht="15.75" customHeight="1" x14ac:dyDescent="0.15">
      <c r="A26" s="4">
        <f ca="1">IFERROR(__xludf.DUMMYFUNCTION("""COMPUTED_VALUE"""),42166.6666666666)</f>
        <v>42166.666666666599</v>
      </c>
      <c r="B26" s="3">
        <f ca="1">IFERROR(__xludf.DUMMYFUNCTION("""COMPUTED_VALUE"""),2106.24)</f>
        <v>2106.2399999999998</v>
      </c>
      <c r="C26" s="3">
        <f ca="1">IFERROR(__xludf.DUMMYFUNCTION("""COMPUTED_VALUE"""),2115.02)</f>
        <v>2115.02</v>
      </c>
      <c r="D26" s="3">
        <f ca="1">IFERROR(__xludf.DUMMYFUNCTION("""COMPUTED_VALUE"""),2106.24)</f>
        <v>2106.2399999999998</v>
      </c>
      <c r="E26" s="3">
        <f ca="1">IFERROR(__xludf.DUMMYFUNCTION("""COMPUTED_VALUE"""),2108.86)</f>
        <v>2108.86</v>
      </c>
      <c r="F26" s="3">
        <f ca="1">IFERROR(__xludf.DUMMYFUNCTION("""COMPUTED_VALUE"""),0)</f>
        <v>0</v>
      </c>
    </row>
    <row r="27" spans="1:6" ht="15.75" customHeight="1" x14ac:dyDescent="0.15">
      <c r="A27" s="4">
        <f ca="1">IFERROR(__xludf.DUMMYFUNCTION("""COMPUTED_VALUE"""),42167.6666666666)</f>
        <v>42167.666666666599</v>
      </c>
      <c r="B27" s="3">
        <f ca="1">IFERROR(__xludf.DUMMYFUNCTION("""COMPUTED_VALUE"""),2107.43)</f>
        <v>2107.4299999999998</v>
      </c>
      <c r="C27" s="3">
        <f ca="1">IFERROR(__xludf.DUMMYFUNCTION("""COMPUTED_VALUE"""),2107.43)</f>
        <v>2107.4299999999998</v>
      </c>
      <c r="D27" s="3">
        <f ca="1">IFERROR(__xludf.DUMMYFUNCTION("""COMPUTED_VALUE"""),2091.33)</f>
        <v>2091.33</v>
      </c>
      <c r="E27" s="3">
        <f ca="1">IFERROR(__xludf.DUMMYFUNCTION("""COMPUTED_VALUE"""),2094.11)</f>
        <v>2094.11</v>
      </c>
      <c r="F27" s="3">
        <f ca="1">IFERROR(__xludf.DUMMYFUNCTION("""COMPUTED_VALUE"""),0)</f>
        <v>0</v>
      </c>
    </row>
    <row r="28" spans="1:6" ht="15.75" customHeight="1" x14ac:dyDescent="0.15">
      <c r="A28" s="4">
        <f ca="1">IFERROR(__xludf.DUMMYFUNCTION("""COMPUTED_VALUE"""),42170.6666666666)</f>
        <v>42170.666666666599</v>
      </c>
      <c r="B28" s="3">
        <f ca="1">IFERROR(__xludf.DUMMYFUNCTION("""COMPUTED_VALUE"""),2091.34)</f>
        <v>2091.34</v>
      </c>
      <c r="C28" s="3">
        <f ca="1">IFERROR(__xludf.DUMMYFUNCTION("""COMPUTED_VALUE"""),2091.34)</f>
        <v>2091.34</v>
      </c>
      <c r="D28" s="3">
        <f ca="1">IFERROR(__xludf.DUMMYFUNCTION("""COMPUTED_VALUE"""),2072.49)</f>
        <v>2072.4899999999998</v>
      </c>
      <c r="E28" s="3">
        <f ca="1">IFERROR(__xludf.DUMMYFUNCTION("""COMPUTED_VALUE"""),2084.43)</f>
        <v>2084.4299999999998</v>
      </c>
      <c r="F28" s="3">
        <f ca="1">IFERROR(__xludf.DUMMYFUNCTION("""COMPUTED_VALUE"""),0)</f>
        <v>0</v>
      </c>
    </row>
    <row r="29" spans="1:6" ht="15.75" customHeight="1" x14ac:dyDescent="0.15">
      <c r="A29" s="4">
        <f ca="1">IFERROR(__xludf.DUMMYFUNCTION("""COMPUTED_VALUE"""),42171.6666666666)</f>
        <v>42171.666666666599</v>
      </c>
      <c r="B29" s="3">
        <f ca="1">IFERROR(__xludf.DUMMYFUNCTION("""COMPUTED_VALUE"""),2084.26)</f>
        <v>2084.2600000000002</v>
      </c>
      <c r="C29" s="3">
        <f ca="1">IFERROR(__xludf.DUMMYFUNCTION("""COMPUTED_VALUE"""),2097.4)</f>
        <v>2097.4</v>
      </c>
      <c r="D29" s="3">
        <f ca="1">IFERROR(__xludf.DUMMYFUNCTION("""COMPUTED_VALUE"""),2082.1)</f>
        <v>2082.1</v>
      </c>
      <c r="E29" s="3">
        <f ca="1">IFERROR(__xludf.DUMMYFUNCTION("""COMPUTED_VALUE"""),2096.29)</f>
        <v>2096.29</v>
      </c>
      <c r="F29" s="3">
        <f ca="1">IFERROR(__xludf.DUMMYFUNCTION("""COMPUTED_VALUE"""),0)</f>
        <v>0</v>
      </c>
    </row>
    <row r="30" spans="1:6" ht="15.75" customHeight="1" x14ac:dyDescent="0.15">
      <c r="A30" s="4">
        <f ca="1">IFERROR(__xludf.DUMMYFUNCTION("""COMPUTED_VALUE"""),42172.6666666666)</f>
        <v>42172.666666666599</v>
      </c>
      <c r="B30" s="3">
        <f ca="1">IFERROR(__xludf.DUMMYFUNCTION("""COMPUTED_VALUE"""),2097.4)</f>
        <v>2097.4</v>
      </c>
      <c r="C30" s="3">
        <f ca="1">IFERROR(__xludf.DUMMYFUNCTION("""COMPUTED_VALUE"""),2106.79)</f>
        <v>2106.79</v>
      </c>
      <c r="D30" s="3">
        <f ca="1">IFERROR(__xludf.DUMMYFUNCTION("""COMPUTED_VALUE"""),2088.86)</f>
        <v>2088.86</v>
      </c>
      <c r="E30" s="3">
        <f ca="1">IFERROR(__xludf.DUMMYFUNCTION("""COMPUTED_VALUE"""),2100.44)</f>
        <v>2100.44</v>
      </c>
      <c r="F30" s="3">
        <f ca="1">IFERROR(__xludf.DUMMYFUNCTION("""COMPUTED_VALUE"""),0)</f>
        <v>0</v>
      </c>
    </row>
    <row r="31" spans="1:6" ht="15.75" customHeight="1" x14ac:dyDescent="0.15">
      <c r="A31" s="4">
        <f ca="1">IFERROR(__xludf.DUMMYFUNCTION("""COMPUTED_VALUE"""),42173.6666666666)</f>
        <v>42173.666666666599</v>
      </c>
      <c r="B31" s="3">
        <f ca="1">IFERROR(__xludf.DUMMYFUNCTION("""COMPUTED_VALUE"""),2101.58)</f>
        <v>2101.58</v>
      </c>
      <c r="C31" s="3">
        <f ca="1">IFERROR(__xludf.DUMMYFUNCTION("""COMPUTED_VALUE"""),2126.65)</f>
        <v>2126.65</v>
      </c>
      <c r="D31" s="3">
        <f ca="1">IFERROR(__xludf.DUMMYFUNCTION("""COMPUTED_VALUE"""),2101.58)</f>
        <v>2101.58</v>
      </c>
      <c r="E31" s="3">
        <f ca="1">IFERROR(__xludf.DUMMYFUNCTION("""COMPUTED_VALUE"""),2121.24)</f>
        <v>2121.2399999999998</v>
      </c>
      <c r="F31" s="3">
        <f ca="1">IFERROR(__xludf.DUMMYFUNCTION("""COMPUTED_VALUE"""),0)</f>
        <v>0</v>
      </c>
    </row>
    <row r="32" spans="1:6" ht="15.75" customHeight="1" x14ac:dyDescent="0.15">
      <c r="A32" s="4">
        <f ca="1">IFERROR(__xludf.DUMMYFUNCTION("""COMPUTED_VALUE"""),42174.6666666666)</f>
        <v>42174.666666666599</v>
      </c>
      <c r="B32" s="3">
        <f ca="1">IFERROR(__xludf.DUMMYFUNCTION("""COMPUTED_VALUE"""),2121.06)</f>
        <v>2121.06</v>
      </c>
      <c r="C32" s="3">
        <f ca="1">IFERROR(__xludf.DUMMYFUNCTION("""COMPUTED_VALUE"""),2121.64)</f>
        <v>2121.64</v>
      </c>
      <c r="D32" s="3">
        <f ca="1">IFERROR(__xludf.DUMMYFUNCTION("""COMPUTED_VALUE"""),2109.45)</f>
        <v>2109.4499999999998</v>
      </c>
      <c r="E32" s="3">
        <f ca="1">IFERROR(__xludf.DUMMYFUNCTION("""COMPUTED_VALUE"""),2109.99)</f>
        <v>2109.9899999999998</v>
      </c>
      <c r="F32" s="3">
        <f ca="1">IFERROR(__xludf.DUMMYFUNCTION("""COMPUTED_VALUE"""),0)</f>
        <v>0</v>
      </c>
    </row>
    <row r="33" spans="1:6" ht="15.75" customHeight="1" x14ac:dyDescent="0.15">
      <c r="A33" s="4">
        <f ca="1">IFERROR(__xludf.DUMMYFUNCTION("""COMPUTED_VALUE"""),42177.6666666666)</f>
        <v>42177.666666666599</v>
      </c>
      <c r="B33" s="3">
        <f ca="1">IFERROR(__xludf.DUMMYFUNCTION("""COMPUTED_VALUE"""),2112.5)</f>
        <v>2112.5</v>
      </c>
      <c r="C33" s="3">
        <f ca="1">IFERROR(__xludf.DUMMYFUNCTION("""COMPUTED_VALUE"""),2129.87)</f>
        <v>2129.87</v>
      </c>
      <c r="D33" s="3">
        <f ca="1">IFERROR(__xludf.DUMMYFUNCTION("""COMPUTED_VALUE"""),2112.5)</f>
        <v>2112.5</v>
      </c>
      <c r="E33" s="3">
        <f ca="1">IFERROR(__xludf.DUMMYFUNCTION("""COMPUTED_VALUE"""),2122.85)</f>
        <v>2122.85</v>
      </c>
      <c r="F33" s="3">
        <f ca="1">IFERROR(__xludf.DUMMYFUNCTION("""COMPUTED_VALUE"""),0)</f>
        <v>0</v>
      </c>
    </row>
    <row r="34" spans="1:6" ht="15.75" customHeight="1" x14ac:dyDescent="0.15">
      <c r="A34" s="4">
        <f ca="1">IFERROR(__xludf.DUMMYFUNCTION("""COMPUTED_VALUE"""),42178.6666666666)</f>
        <v>42178.666666666599</v>
      </c>
      <c r="B34" s="3">
        <f ca="1">IFERROR(__xludf.DUMMYFUNCTION("""COMPUTED_VALUE"""),2123.16)</f>
        <v>2123.16</v>
      </c>
      <c r="C34" s="3">
        <f ca="1">IFERROR(__xludf.DUMMYFUNCTION("""COMPUTED_VALUE"""),2128.03)</f>
        <v>2128.0300000000002</v>
      </c>
      <c r="D34" s="3">
        <f ca="1">IFERROR(__xludf.DUMMYFUNCTION("""COMPUTED_VALUE"""),2119.89)</f>
        <v>2119.89</v>
      </c>
      <c r="E34" s="3">
        <f ca="1">IFERROR(__xludf.DUMMYFUNCTION("""COMPUTED_VALUE"""),2124.2)</f>
        <v>2124.1999999999998</v>
      </c>
      <c r="F34" s="3">
        <f ca="1">IFERROR(__xludf.DUMMYFUNCTION("""COMPUTED_VALUE"""),0)</f>
        <v>0</v>
      </c>
    </row>
    <row r="35" spans="1:6" ht="15.75" customHeight="1" x14ac:dyDescent="0.15">
      <c r="A35" s="4">
        <f ca="1">IFERROR(__xludf.DUMMYFUNCTION("""COMPUTED_VALUE"""),42179.6666666666)</f>
        <v>42179.666666666599</v>
      </c>
      <c r="B35" s="3">
        <f ca="1">IFERROR(__xludf.DUMMYFUNCTION("""COMPUTED_VALUE"""),2123.65)</f>
        <v>2123.65</v>
      </c>
      <c r="C35" s="3">
        <f ca="1">IFERROR(__xludf.DUMMYFUNCTION("""COMPUTED_VALUE"""),2125.1)</f>
        <v>2125.1</v>
      </c>
      <c r="D35" s="3">
        <f ca="1">IFERROR(__xludf.DUMMYFUNCTION("""COMPUTED_VALUE"""),2108.58)</f>
        <v>2108.58</v>
      </c>
      <c r="E35" s="3">
        <f ca="1">IFERROR(__xludf.DUMMYFUNCTION("""COMPUTED_VALUE"""),2108.58)</f>
        <v>2108.58</v>
      </c>
      <c r="F35" s="3">
        <f ca="1">IFERROR(__xludf.DUMMYFUNCTION("""COMPUTED_VALUE"""),0)</f>
        <v>0</v>
      </c>
    </row>
    <row r="36" spans="1:6" ht="15.75" customHeight="1" x14ac:dyDescent="0.15">
      <c r="A36" s="4">
        <f ca="1">IFERROR(__xludf.DUMMYFUNCTION("""COMPUTED_VALUE"""),42180.6666666666)</f>
        <v>42180.666666666599</v>
      </c>
      <c r="B36" s="3">
        <f ca="1">IFERROR(__xludf.DUMMYFUNCTION("""COMPUTED_VALUE"""),2109.96)</f>
        <v>2109.96</v>
      </c>
      <c r="C36" s="3">
        <f ca="1">IFERROR(__xludf.DUMMYFUNCTION("""COMPUTED_VALUE"""),2116.04)</f>
        <v>2116.04</v>
      </c>
      <c r="D36" s="3">
        <f ca="1">IFERROR(__xludf.DUMMYFUNCTION("""COMPUTED_VALUE"""),2101.78)</f>
        <v>2101.7800000000002</v>
      </c>
      <c r="E36" s="3">
        <f ca="1">IFERROR(__xludf.DUMMYFUNCTION("""COMPUTED_VALUE"""),2102.31)</f>
        <v>2102.31</v>
      </c>
      <c r="F36" s="3">
        <f ca="1">IFERROR(__xludf.DUMMYFUNCTION("""COMPUTED_VALUE"""),0)</f>
        <v>0</v>
      </c>
    </row>
    <row r="37" spans="1:6" ht="15.75" customHeight="1" x14ac:dyDescent="0.15">
      <c r="A37" s="4">
        <f ca="1">IFERROR(__xludf.DUMMYFUNCTION("""COMPUTED_VALUE"""),42181.6666666666)</f>
        <v>42181.666666666599</v>
      </c>
      <c r="B37" s="3">
        <f ca="1">IFERROR(__xludf.DUMMYFUNCTION("""COMPUTED_VALUE"""),2102.62)</f>
        <v>2102.62</v>
      </c>
      <c r="C37" s="3">
        <f ca="1">IFERROR(__xludf.DUMMYFUNCTION("""COMPUTED_VALUE"""),2108.92)</f>
        <v>2108.92</v>
      </c>
      <c r="D37" s="3">
        <f ca="1">IFERROR(__xludf.DUMMYFUNCTION("""COMPUTED_VALUE"""),2095.38)</f>
        <v>2095.38</v>
      </c>
      <c r="E37" s="3">
        <f ca="1">IFERROR(__xludf.DUMMYFUNCTION("""COMPUTED_VALUE"""),2101.49)</f>
        <v>2101.4899999999998</v>
      </c>
      <c r="F37" s="3">
        <f ca="1">IFERROR(__xludf.DUMMYFUNCTION("""COMPUTED_VALUE"""),0)</f>
        <v>0</v>
      </c>
    </row>
    <row r="38" spans="1:6" ht="15.75" customHeight="1" x14ac:dyDescent="0.15">
      <c r="A38" s="4">
        <f ca="1">IFERROR(__xludf.DUMMYFUNCTION("""COMPUTED_VALUE"""),42184.6666666666)</f>
        <v>42184.666666666599</v>
      </c>
      <c r="B38" s="3">
        <f ca="1">IFERROR(__xludf.DUMMYFUNCTION("""COMPUTED_VALUE"""),2098.63)</f>
        <v>2098.63</v>
      </c>
      <c r="C38" s="3">
        <f ca="1">IFERROR(__xludf.DUMMYFUNCTION("""COMPUTED_VALUE"""),2098.63)</f>
        <v>2098.63</v>
      </c>
      <c r="D38" s="3">
        <f ca="1">IFERROR(__xludf.DUMMYFUNCTION("""COMPUTED_VALUE"""),2056.64)</f>
        <v>2056.64</v>
      </c>
      <c r="E38" s="3">
        <f ca="1">IFERROR(__xludf.DUMMYFUNCTION("""COMPUTED_VALUE"""),2057.64)</f>
        <v>2057.64</v>
      </c>
      <c r="F38" s="3">
        <f ca="1">IFERROR(__xludf.DUMMYFUNCTION("""COMPUTED_VALUE"""),0)</f>
        <v>0</v>
      </c>
    </row>
    <row r="39" spans="1:6" ht="15.75" customHeight="1" x14ac:dyDescent="0.15">
      <c r="A39" s="4">
        <f ca="1">IFERROR(__xludf.DUMMYFUNCTION("""COMPUTED_VALUE"""),42185.6666666666)</f>
        <v>42185.666666666599</v>
      </c>
      <c r="B39" s="3">
        <f ca="1">IFERROR(__xludf.DUMMYFUNCTION("""COMPUTED_VALUE"""),2061.19)</f>
        <v>2061.19</v>
      </c>
      <c r="C39" s="3">
        <f ca="1">IFERROR(__xludf.DUMMYFUNCTION("""COMPUTED_VALUE"""),2074.28)</f>
        <v>2074.2800000000002</v>
      </c>
      <c r="D39" s="3">
        <f ca="1">IFERROR(__xludf.DUMMYFUNCTION("""COMPUTED_VALUE"""),2056.32)</f>
        <v>2056.3200000000002</v>
      </c>
      <c r="E39" s="3">
        <f ca="1">IFERROR(__xludf.DUMMYFUNCTION("""COMPUTED_VALUE"""),2063.11)</f>
        <v>2063.11</v>
      </c>
      <c r="F39" s="3">
        <f ca="1">IFERROR(__xludf.DUMMYFUNCTION("""COMPUTED_VALUE"""),0)</f>
        <v>0</v>
      </c>
    </row>
    <row r="40" spans="1:6" ht="13" x14ac:dyDescent="0.15">
      <c r="A40" s="4">
        <f ca="1">IFERROR(__xludf.DUMMYFUNCTION("""COMPUTED_VALUE"""),42186.6666666666)</f>
        <v>42186.666666666599</v>
      </c>
      <c r="B40" s="3">
        <f ca="1">IFERROR(__xludf.DUMMYFUNCTION("""COMPUTED_VALUE"""),2067)</f>
        <v>2067</v>
      </c>
      <c r="C40" s="3">
        <f ca="1">IFERROR(__xludf.DUMMYFUNCTION("""COMPUTED_VALUE"""),2082.78)</f>
        <v>2082.7800000000002</v>
      </c>
      <c r="D40" s="3">
        <f ca="1">IFERROR(__xludf.DUMMYFUNCTION("""COMPUTED_VALUE"""),2067)</f>
        <v>2067</v>
      </c>
      <c r="E40" s="3">
        <f ca="1">IFERROR(__xludf.DUMMYFUNCTION("""COMPUTED_VALUE"""),2077.42)</f>
        <v>2077.42</v>
      </c>
      <c r="F40" s="3">
        <f ca="1">IFERROR(__xludf.DUMMYFUNCTION("""COMPUTED_VALUE"""),0)</f>
        <v>0</v>
      </c>
    </row>
    <row r="41" spans="1:6" ht="13" x14ac:dyDescent="0.15">
      <c r="A41" s="4">
        <f ca="1">IFERROR(__xludf.DUMMYFUNCTION("""COMPUTED_VALUE"""),42187.6666666666)</f>
        <v>42187.666666666599</v>
      </c>
      <c r="B41" s="3">
        <f ca="1">IFERROR(__xludf.DUMMYFUNCTION("""COMPUTED_VALUE"""),2078.03)</f>
        <v>2078.0300000000002</v>
      </c>
      <c r="C41" s="3">
        <f ca="1">IFERROR(__xludf.DUMMYFUNCTION("""COMPUTED_VALUE"""),2085.06)</f>
        <v>2085.06</v>
      </c>
      <c r="D41" s="3">
        <f ca="1">IFERROR(__xludf.DUMMYFUNCTION("""COMPUTED_VALUE"""),2071.02)</f>
        <v>2071.02</v>
      </c>
      <c r="E41" s="3">
        <f ca="1">IFERROR(__xludf.DUMMYFUNCTION("""COMPUTED_VALUE"""),2076.78)</f>
        <v>2076.7800000000002</v>
      </c>
      <c r="F41" s="3">
        <f ca="1">IFERROR(__xludf.DUMMYFUNCTION("""COMPUTED_VALUE"""),0)</f>
        <v>0</v>
      </c>
    </row>
    <row r="42" spans="1:6" ht="13" x14ac:dyDescent="0.15">
      <c r="A42" s="4">
        <f ca="1">IFERROR(__xludf.DUMMYFUNCTION("""COMPUTED_VALUE"""),42191.6666666666)</f>
        <v>42191.666666666599</v>
      </c>
      <c r="B42" s="3">
        <f ca="1">IFERROR(__xludf.DUMMYFUNCTION("""COMPUTED_VALUE"""),2073.95)</f>
        <v>2073.9499999999998</v>
      </c>
      <c r="C42" s="3">
        <f ca="1">IFERROR(__xludf.DUMMYFUNCTION("""COMPUTED_VALUE"""),2078.61)</f>
        <v>2078.61</v>
      </c>
      <c r="D42" s="3">
        <f ca="1">IFERROR(__xludf.DUMMYFUNCTION("""COMPUTED_VALUE"""),2058.4)</f>
        <v>2058.4</v>
      </c>
      <c r="E42" s="3">
        <f ca="1">IFERROR(__xludf.DUMMYFUNCTION("""COMPUTED_VALUE"""),2068.76)</f>
        <v>2068.7600000000002</v>
      </c>
      <c r="F42" s="3">
        <f ca="1">IFERROR(__xludf.DUMMYFUNCTION("""COMPUTED_VALUE"""),0)</f>
        <v>0</v>
      </c>
    </row>
    <row r="43" spans="1:6" ht="13" x14ac:dyDescent="0.15">
      <c r="A43" s="4">
        <f ca="1">IFERROR(__xludf.DUMMYFUNCTION("""COMPUTED_VALUE"""),42192.6666666666)</f>
        <v>42192.666666666599</v>
      </c>
      <c r="B43" s="3">
        <f ca="1">IFERROR(__xludf.DUMMYFUNCTION("""COMPUTED_VALUE"""),2069.52)</f>
        <v>2069.52</v>
      </c>
      <c r="C43" s="3">
        <f ca="1">IFERROR(__xludf.DUMMYFUNCTION("""COMPUTED_VALUE"""),2083.74)</f>
        <v>2083.7399999999998</v>
      </c>
      <c r="D43" s="3">
        <f ca="1">IFERROR(__xludf.DUMMYFUNCTION("""COMPUTED_VALUE"""),2044.02)</f>
        <v>2044.02</v>
      </c>
      <c r="E43" s="3">
        <f ca="1">IFERROR(__xludf.DUMMYFUNCTION("""COMPUTED_VALUE"""),2081.34)</f>
        <v>2081.34</v>
      </c>
      <c r="F43" s="3">
        <f ca="1">IFERROR(__xludf.DUMMYFUNCTION("""COMPUTED_VALUE"""),0)</f>
        <v>0</v>
      </c>
    </row>
    <row r="44" spans="1:6" ht="13" x14ac:dyDescent="0.15">
      <c r="A44" s="4">
        <f ca="1">IFERROR(__xludf.DUMMYFUNCTION("""COMPUTED_VALUE"""),42193.6666666666)</f>
        <v>42193.666666666599</v>
      </c>
      <c r="B44" s="3">
        <f ca="1">IFERROR(__xludf.DUMMYFUNCTION("""COMPUTED_VALUE"""),2077.66)</f>
        <v>2077.66</v>
      </c>
      <c r="C44" s="3">
        <f ca="1">IFERROR(__xludf.DUMMYFUNCTION("""COMPUTED_VALUE"""),2077.66)</f>
        <v>2077.66</v>
      </c>
      <c r="D44" s="3">
        <f ca="1">IFERROR(__xludf.DUMMYFUNCTION("""COMPUTED_VALUE"""),2044.66)</f>
        <v>2044.66</v>
      </c>
      <c r="E44" s="3">
        <f ca="1">IFERROR(__xludf.DUMMYFUNCTION("""COMPUTED_VALUE"""),2046.68)</f>
        <v>2046.68</v>
      </c>
      <c r="F44" s="3">
        <f ca="1">IFERROR(__xludf.DUMMYFUNCTION("""COMPUTED_VALUE"""),0)</f>
        <v>0</v>
      </c>
    </row>
    <row r="45" spans="1:6" ht="13" x14ac:dyDescent="0.15">
      <c r="A45" s="4">
        <f ca="1">IFERROR(__xludf.DUMMYFUNCTION("""COMPUTED_VALUE"""),42194.6666666666)</f>
        <v>42194.666666666599</v>
      </c>
      <c r="B45" s="3">
        <f ca="1">IFERROR(__xludf.DUMMYFUNCTION("""COMPUTED_VALUE"""),2049.73)</f>
        <v>2049.73</v>
      </c>
      <c r="C45" s="3">
        <f ca="1">IFERROR(__xludf.DUMMYFUNCTION("""COMPUTED_VALUE"""),2074.28)</f>
        <v>2074.2800000000002</v>
      </c>
      <c r="D45" s="3">
        <f ca="1">IFERROR(__xludf.DUMMYFUNCTION("""COMPUTED_VALUE"""),2049.73)</f>
        <v>2049.73</v>
      </c>
      <c r="E45" s="3">
        <f ca="1">IFERROR(__xludf.DUMMYFUNCTION("""COMPUTED_VALUE"""),2051.31)</f>
        <v>2051.31</v>
      </c>
      <c r="F45" s="3">
        <f ca="1">IFERROR(__xludf.DUMMYFUNCTION("""COMPUTED_VALUE"""),0)</f>
        <v>0</v>
      </c>
    </row>
    <row r="46" spans="1:6" ht="13" x14ac:dyDescent="0.15">
      <c r="A46" s="4">
        <f ca="1">IFERROR(__xludf.DUMMYFUNCTION("""COMPUTED_VALUE"""),42195.6666666666)</f>
        <v>42195.666666666599</v>
      </c>
      <c r="B46" s="3">
        <f ca="1">IFERROR(__xludf.DUMMYFUNCTION("""COMPUTED_VALUE"""),2052.74)</f>
        <v>2052.7399999999998</v>
      </c>
      <c r="C46" s="3">
        <f ca="1">IFERROR(__xludf.DUMMYFUNCTION("""COMPUTED_VALUE"""),2081.31)</f>
        <v>2081.31</v>
      </c>
      <c r="D46" s="3">
        <f ca="1">IFERROR(__xludf.DUMMYFUNCTION("""COMPUTED_VALUE"""),2052.74)</f>
        <v>2052.7399999999998</v>
      </c>
      <c r="E46" s="3">
        <f ca="1">IFERROR(__xludf.DUMMYFUNCTION("""COMPUTED_VALUE"""),2076.62)</f>
        <v>2076.62</v>
      </c>
      <c r="F46" s="3">
        <f ca="1">IFERROR(__xludf.DUMMYFUNCTION("""COMPUTED_VALUE"""),0)</f>
        <v>0</v>
      </c>
    </row>
    <row r="47" spans="1:6" ht="13" x14ac:dyDescent="0.15">
      <c r="A47" s="4">
        <f ca="1">IFERROR(__xludf.DUMMYFUNCTION("""COMPUTED_VALUE"""),42198.6666666666)</f>
        <v>42198.666666666599</v>
      </c>
      <c r="B47" s="3">
        <f ca="1">IFERROR(__xludf.DUMMYFUNCTION("""COMPUTED_VALUE"""),2080.03)</f>
        <v>2080.0300000000002</v>
      </c>
      <c r="C47" s="3">
        <f ca="1">IFERROR(__xludf.DUMMYFUNCTION("""COMPUTED_VALUE"""),2100.67)</f>
        <v>2100.67</v>
      </c>
      <c r="D47" s="3">
        <f ca="1">IFERROR(__xludf.DUMMYFUNCTION("""COMPUTED_VALUE"""),2080.03)</f>
        <v>2080.0300000000002</v>
      </c>
      <c r="E47" s="3">
        <f ca="1">IFERROR(__xludf.DUMMYFUNCTION("""COMPUTED_VALUE"""),2099.6)</f>
        <v>2099.6</v>
      </c>
      <c r="F47" s="3">
        <f ca="1">IFERROR(__xludf.DUMMYFUNCTION("""COMPUTED_VALUE"""),0)</f>
        <v>0</v>
      </c>
    </row>
    <row r="48" spans="1:6" ht="13" x14ac:dyDescent="0.15">
      <c r="A48" s="4">
        <f ca="1">IFERROR(__xludf.DUMMYFUNCTION("""COMPUTED_VALUE"""),42199.6666666666)</f>
        <v>42199.666666666599</v>
      </c>
      <c r="B48" s="3">
        <f ca="1">IFERROR(__xludf.DUMMYFUNCTION("""COMPUTED_VALUE"""),2099.72)</f>
        <v>2099.7199999999998</v>
      </c>
      <c r="C48" s="3">
        <f ca="1">IFERROR(__xludf.DUMMYFUNCTION("""COMPUTED_VALUE"""),2111.98)</f>
        <v>2111.98</v>
      </c>
      <c r="D48" s="3">
        <f ca="1">IFERROR(__xludf.DUMMYFUNCTION("""COMPUTED_VALUE"""),2098.18)</f>
        <v>2098.1799999999998</v>
      </c>
      <c r="E48" s="3">
        <f ca="1">IFERROR(__xludf.DUMMYFUNCTION("""COMPUTED_VALUE"""),2108.95)</f>
        <v>2108.9499999999998</v>
      </c>
      <c r="F48" s="3">
        <f ca="1">IFERROR(__xludf.DUMMYFUNCTION("""COMPUTED_VALUE"""),0)</f>
        <v>0</v>
      </c>
    </row>
    <row r="49" spans="1:6" ht="13" x14ac:dyDescent="0.15">
      <c r="A49" s="4">
        <f ca="1">IFERROR(__xludf.DUMMYFUNCTION("""COMPUTED_VALUE"""),42200.6666666666)</f>
        <v>42200.666666666599</v>
      </c>
      <c r="B49" s="3">
        <f ca="1">IFERROR(__xludf.DUMMYFUNCTION("""COMPUTED_VALUE"""),2109.01)</f>
        <v>2109.0100000000002</v>
      </c>
      <c r="C49" s="3">
        <f ca="1">IFERROR(__xludf.DUMMYFUNCTION("""COMPUTED_VALUE"""),2114.14)</f>
        <v>2114.14</v>
      </c>
      <c r="D49" s="3">
        <f ca="1">IFERROR(__xludf.DUMMYFUNCTION("""COMPUTED_VALUE"""),2102.49)</f>
        <v>2102.4899999999998</v>
      </c>
      <c r="E49" s="3">
        <f ca="1">IFERROR(__xludf.DUMMYFUNCTION("""COMPUTED_VALUE"""),2107.4)</f>
        <v>2107.4</v>
      </c>
      <c r="F49" s="3">
        <f ca="1">IFERROR(__xludf.DUMMYFUNCTION("""COMPUTED_VALUE"""),0)</f>
        <v>0</v>
      </c>
    </row>
    <row r="50" spans="1:6" ht="13" x14ac:dyDescent="0.15">
      <c r="A50" s="4">
        <f ca="1">IFERROR(__xludf.DUMMYFUNCTION("""COMPUTED_VALUE"""),42201.6666666666)</f>
        <v>42201.666666666599</v>
      </c>
      <c r="B50" s="3">
        <f ca="1">IFERROR(__xludf.DUMMYFUNCTION("""COMPUTED_VALUE"""),2110.55)</f>
        <v>2110.5500000000002</v>
      </c>
      <c r="C50" s="3">
        <f ca="1">IFERROR(__xludf.DUMMYFUNCTION("""COMPUTED_VALUE"""),2124.42)</f>
        <v>2124.42</v>
      </c>
      <c r="D50" s="3">
        <f ca="1">IFERROR(__xludf.DUMMYFUNCTION("""COMPUTED_VALUE"""),2110.55)</f>
        <v>2110.5500000000002</v>
      </c>
      <c r="E50" s="3">
        <f ca="1">IFERROR(__xludf.DUMMYFUNCTION("""COMPUTED_VALUE"""),2124.29)</f>
        <v>2124.29</v>
      </c>
      <c r="F50" s="3">
        <f ca="1">IFERROR(__xludf.DUMMYFUNCTION("""COMPUTED_VALUE"""),0)</f>
        <v>0</v>
      </c>
    </row>
    <row r="51" spans="1:6" ht="13" x14ac:dyDescent="0.15">
      <c r="A51" s="4">
        <f ca="1">IFERROR(__xludf.DUMMYFUNCTION("""COMPUTED_VALUE"""),42202.6666666666)</f>
        <v>42202.666666666599</v>
      </c>
      <c r="B51" s="3">
        <f ca="1">IFERROR(__xludf.DUMMYFUNCTION("""COMPUTED_VALUE"""),2126.8)</f>
        <v>2126.8000000000002</v>
      </c>
      <c r="C51" s="3">
        <f ca="1">IFERROR(__xludf.DUMMYFUNCTION("""COMPUTED_VALUE"""),2128.91)</f>
        <v>2128.91</v>
      </c>
      <c r="D51" s="3">
        <f ca="1">IFERROR(__xludf.DUMMYFUNCTION("""COMPUTED_VALUE"""),2119.88)</f>
        <v>2119.88</v>
      </c>
      <c r="E51" s="3">
        <f ca="1">IFERROR(__xludf.DUMMYFUNCTION("""COMPUTED_VALUE"""),2126.64)</f>
        <v>2126.64</v>
      </c>
      <c r="F51" s="3">
        <f ca="1">IFERROR(__xludf.DUMMYFUNCTION("""COMPUTED_VALUE"""),0)</f>
        <v>0</v>
      </c>
    </row>
    <row r="52" spans="1:6" ht="13" x14ac:dyDescent="0.15">
      <c r="A52" s="4">
        <f ca="1">IFERROR(__xludf.DUMMYFUNCTION("""COMPUTED_VALUE"""),42205.6666666666)</f>
        <v>42205.666666666599</v>
      </c>
      <c r="B52" s="3">
        <f ca="1">IFERROR(__xludf.DUMMYFUNCTION("""COMPUTED_VALUE"""),2126.85)</f>
        <v>2126.85</v>
      </c>
      <c r="C52" s="3">
        <f ca="1">IFERROR(__xludf.DUMMYFUNCTION("""COMPUTED_VALUE"""),2132.82)</f>
        <v>2132.8200000000002</v>
      </c>
      <c r="D52" s="3">
        <f ca="1">IFERROR(__xludf.DUMMYFUNCTION("""COMPUTED_VALUE"""),2123.65)</f>
        <v>2123.65</v>
      </c>
      <c r="E52" s="3">
        <f ca="1">IFERROR(__xludf.DUMMYFUNCTION("""COMPUTED_VALUE"""),2128.28)</f>
        <v>2128.2800000000002</v>
      </c>
      <c r="F52" s="3">
        <f ca="1">IFERROR(__xludf.DUMMYFUNCTION("""COMPUTED_VALUE"""),0)</f>
        <v>0</v>
      </c>
    </row>
    <row r="53" spans="1:6" ht="13" x14ac:dyDescent="0.15">
      <c r="A53" s="4">
        <f ca="1">IFERROR(__xludf.DUMMYFUNCTION("""COMPUTED_VALUE"""),42206.6666666666)</f>
        <v>42206.666666666599</v>
      </c>
      <c r="B53" s="3">
        <f ca="1">IFERROR(__xludf.DUMMYFUNCTION("""COMPUTED_VALUE"""),2127.55)</f>
        <v>2127.5500000000002</v>
      </c>
      <c r="C53" s="3">
        <f ca="1">IFERROR(__xludf.DUMMYFUNCTION("""COMPUTED_VALUE"""),2128.49)</f>
        <v>2128.4899999999998</v>
      </c>
      <c r="D53" s="3">
        <f ca="1">IFERROR(__xludf.DUMMYFUNCTION("""COMPUTED_VALUE"""),2115.4)</f>
        <v>2115.4</v>
      </c>
      <c r="E53" s="3">
        <f ca="1">IFERROR(__xludf.DUMMYFUNCTION("""COMPUTED_VALUE"""),2119.21)</f>
        <v>2119.21</v>
      </c>
      <c r="F53" s="3">
        <f ca="1">IFERROR(__xludf.DUMMYFUNCTION("""COMPUTED_VALUE"""),0)</f>
        <v>0</v>
      </c>
    </row>
    <row r="54" spans="1:6" ht="13" x14ac:dyDescent="0.15">
      <c r="A54" s="4">
        <f ca="1">IFERROR(__xludf.DUMMYFUNCTION("""COMPUTED_VALUE"""),42207.6666666666)</f>
        <v>42207.666666666599</v>
      </c>
      <c r="B54" s="3">
        <f ca="1">IFERROR(__xludf.DUMMYFUNCTION("""COMPUTED_VALUE"""),2118.21)</f>
        <v>2118.21</v>
      </c>
      <c r="C54" s="3">
        <f ca="1">IFERROR(__xludf.DUMMYFUNCTION("""COMPUTED_VALUE"""),2118.51)</f>
        <v>2118.5100000000002</v>
      </c>
      <c r="D54" s="3">
        <f ca="1">IFERROR(__xludf.DUMMYFUNCTION("""COMPUTED_VALUE"""),2110)</f>
        <v>2110</v>
      </c>
      <c r="E54" s="3">
        <f ca="1">IFERROR(__xludf.DUMMYFUNCTION("""COMPUTED_VALUE"""),2114.15)</f>
        <v>2114.15</v>
      </c>
      <c r="F54" s="3">
        <f ca="1">IFERROR(__xludf.DUMMYFUNCTION("""COMPUTED_VALUE"""),0)</f>
        <v>0</v>
      </c>
    </row>
    <row r="55" spans="1:6" ht="13" x14ac:dyDescent="0.15">
      <c r="A55" s="4">
        <f ca="1">IFERROR(__xludf.DUMMYFUNCTION("""COMPUTED_VALUE"""),42208.6666666666)</f>
        <v>42208.666666666599</v>
      </c>
      <c r="B55" s="3">
        <f ca="1">IFERROR(__xludf.DUMMYFUNCTION("""COMPUTED_VALUE"""),2114.16)</f>
        <v>2114.16</v>
      </c>
      <c r="C55" s="3">
        <f ca="1">IFERROR(__xludf.DUMMYFUNCTION("""COMPUTED_VALUE"""),2116.87)</f>
        <v>2116.87</v>
      </c>
      <c r="D55" s="3">
        <f ca="1">IFERROR(__xludf.DUMMYFUNCTION("""COMPUTED_VALUE"""),2098.63)</f>
        <v>2098.63</v>
      </c>
      <c r="E55" s="3">
        <f ca="1">IFERROR(__xludf.DUMMYFUNCTION("""COMPUTED_VALUE"""),2102.15)</f>
        <v>2102.15</v>
      </c>
      <c r="F55" s="3">
        <f ca="1">IFERROR(__xludf.DUMMYFUNCTION("""COMPUTED_VALUE"""),0)</f>
        <v>0</v>
      </c>
    </row>
    <row r="56" spans="1:6" ht="13" x14ac:dyDescent="0.15">
      <c r="A56" s="4">
        <f ca="1">IFERROR(__xludf.DUMMYFUNCTION("""COMPUTED_VALUE"""),42209.6666666666)</f>
        <v>42209.666666666599</v>
      </c>
      <c r="B56" s="3">
        <f ca="1">IFERROR(__xludf.DUMMYFUNCTION("""COMPUTED_VALUE"""),2102.24)</f>
        <v>2102.2399999999998</v>
      </c>
      <c r="C56" s="3">
        <f ca="1">IFERROR(__xludf.DUMMYFUNCTION("""COMPUTED_VALUE"""),2106.01)</f>
        <v>2106.0100000000002</v>
      </c>
      <c r="D56" s="3">
        <f ca="1">IFERROR(__xludf.DUMMYFUNCTION("""COMPUTED_VALUE"""),2077.09)</f>
        <v>2077.09</v>
      </c>
      <c r="E56" s="3">
        <f ca="1">IFERROR(__xludf.DUMMYFUNCTION("""COMPUTED_VALUE"""),2079.65)</f>
        <v>2079.65</v>
      </c>
      <c r="F56" s="3">
        <f ca="1">IFERROR(__xludf.DUMMYFUNCTION("""COMPUTED_VALUE"""),0)</f>
        <v>0</v>
      </c>
    </row>
    <row r="57" spans="1:6" ht="13" x14ac:dyDescent="0.15">
      <c r="A57" s="4">
        <f ca="1">IFERROR(__xludf.DUMMYFUNCTION("""COMPUTED_VALUE"""),42212.6666666666)</f>
        <v>42212.666666666599</v>
      </c>
      <c r="B57" s="3">
        <f ca="1">IFERROR(__xludf.DUMMYFUNCTION("""COMPUTED_VALUE"""),2078.19)</f>
        <v>2078.19</v>
      </c>
      <c r="C57" s="3">
        <f ca="1">IFERROR(__xludf.DUMMYFUNCTION("""COMPUTED_VALUE"""),2078.19)</f>
        <v>2078.19</v>
      </c>
      <c r="D57" s="3">
        <f ca="1">IFERROR(__xludf.DUMMYFUNCTION("""COMPUTED_VALUE"""),2063.52)</f>
        <v>2063.52</v>
      </c>
      <c r="E57" s="3">
        <f ca="1">IFERROR(__xludf.DUMMYFUNCTION("""COMPUTED_VALUE"""),2067.64)</f>
        <v>2067.64</v>
      </c>
      <c r="F57" s="3">
        <f ca="1">IFERROR(__xludf.DUMMYFUNCTION("""COMPUTED_VALUE"""),0)</f>
        <v>0</v>
      </c>
    </row>
    <row r="58" spans="1:6" ht="13" x14ac:dyDescent="0.15">
      <c r="A58" s="4">
        <f ca="1">IFERROR(__xludf.DUMMYFUNCTION("""COMPUTED_VALUE"""),42213.6666666666)</f>
        <v>42213.666666666599</v>
      </c>
      <c r="B58" s="3">
        <f ca="1">IFERROR(__xludf.DUMMYFUNCTION("""COMPUTED_VALUE"""),2070.75)</f>
        <v>2070.75</v>
      </c>
      <c r="C58" s="3">
        <f ca="1">IFERROR(__xludf.DUMMYFUNCTION("""COMPUTED_VALUE"""),2095.6)</f>
        <v>2095.6</v>
      </c>
      <c r="D58" s="3">
        <f ca="1">IFERROR(__xludf.DUMMYFUNCTION("""COMPUTED_VALUE"""),2069.09)</f>
        <v>2069.09</v>
      </c>
      <c r="E58" s="3">
        <f ca="1">IFERROR(__xludf.DUMMYFUNCTION("""COMPUTED_VALUE"""),2093.25)</f>
        <v>2093.25</v>
      </c>
      <c r="F58" s="3">
        <f ca="1">IFERROR(__xludf.DUMMYFUNCTION("""COMPUTED_VALUE"""),0)</f>
        <v>0</v>
      </c>
    </row>
    <row r="59" spans="1:6" ht="13" x14ac:dyDescent="0.15">
      <c r="A59" s="4">
        <f ca="1">IFERROR(__xludf.DUMMYFUNCTION("""COMPUTED_VALUE"""),42214.6666666666)</f>
        <v>42214.666666666599</v>
      </c>
      <c r="B59" s="3">
        <f ca="1">IFERROR(__xludf.DUMMYFUNCTION("""COMPUTED_VALUE"""),2094.7)</f>
        <v>2094.6999999999998</v>
      </c>
      <c r="C59" s="3">
        <f ca="1">IFERROR(__xludf.DUMMYFUNCTION("""COMPUTED_VALUE"""),2110.6)</f>
        <v>2110.6</v>
      </c>
      <c r="D59" s="3">
        <f ca="1">IFERROR(__xludf.DUMMYFUNCTION("""COMPUTED_VALUE"""),2094.08)</f>
        <v>2094.08</v>
      </c>
      <c r="E59" s="3">
        <f ca="1">IFERROR(__xludf.DUMMYFUNCTION("""COMPUTED_VALUE"""),2108.57)</f>
        <v>2108.5700000000002</v>
      </c>
      <c r="F59" s="3">
        <f ca="1">IFERROR(__xludf.DUMMYFUNCTION("""COMPUTED_VALUE"""),0)</f>
        <v>0</v>
      </c>
    </row>
    <row r="60" spans="1:6" ht="13" x14ac:dyDescent="0.15">
      <c r="A60" s="4">
        <f ca="1">IFERROR(__xludf.DUMMYFUNCTION("""COMPUTED_VALUE"""),42215.6666666666)</f>
        <v>42215.666666666599</v>
      </c>
      <c r="B60" s="3">
        <f ca="1">IFERROR(__xludf.DUMMYFUNCTION("""COMPUTED_VALUE"""),2106.78)</f>
        <v>2106.7800000000002</v>
      </c>
      <c r="C60" s="3">
        <f ca="1">IFERROR(__xludf.DUMMYFUNCTION("""COMPUTED_VALUE"""),2110.48)</f>
        <v>2110.48</v>
      </c>
      <c r="D60" s="3">
        <f ca="1">IFERROR(__xludf.DUMMYFUNCTION("""COMPUTED_VALUE"""),2094.97)</f>
        <v>2094.9699999999998</v>
      </c>
      <c r="E60" s="3">
        <f ca="1">IFERROR(__xludf.DUMMYFUNCTION("""COMPUTED_VALUE"""),2108.63)</f>
        <v>2108.63</v>
      </c>
      <c r="F60" s="3">
        <f ca="1">IFERROR(__xludf.DUMMYFUNCTION("""COMPUTED_VALUE"""),0)</f>
        <v>0</v>
      </c>
    </row>
    <row r="61" spans="1:6" ht="13" x14ac:dyDescent="0.15">
      <c r="A61" s="4">
        <f ca="1">IFERROR(__xludf.DUMMYFUNCTION("""COMPUTED_VALUE"""),42216.6666666666)</f>
        <v>42216.666666666599</v>
      </c>
      <c r="B61" s="3">
        <f ca="1">IFERROR(__xludf.DUMMYFUNCTION("""COMPUTED_VALUE"""),2111.6)</f>
        <v>2111.6</v>
      </c>
      <c r="C61" s="3">
        <f ca="1">IFERROR(__xludf.DUMMYFUNCTION("""COMPUTED_VALUE"""),2114.24)</f>
        <v>2114.2399999999998</v>
      </c>
      <c r="D61" s="3">
        <f ca="1">IFERROR(__xludf.DUMMYFUNCTION("""COMPUTED_VALUE"""),2102.07)</f>
        <v>2102.0700000000002</v>
      </c>
      <c r="E61" s="3">
        <f ca="1">IFERROR(__xludf.DUMMYFUNCTION("""COMPUTED_VALUE"""),2103.84)</f>
        <v>2103.84</v>
      </c>
      <c r="F61" s="3">
        <f ca="1">IFERROR(__xludf.DUMMYFUNCTION("""COMPUTED_VALUE"""),0)</f>
        <v>0</v>
      </c>
    </row>
    <row r="62" spans="1:6" ht="13" x14ac:dyDescent="0.15">
      <c r="A62" s="4">
        <f ca="1">IFERROR(__xludf.DUMMYFUNCTION("""COMPUTED_VALUE"""),42219.6666666666)</f>
        <v>42219.666666666599</v>
      </c>
      <c r="B62" s="3">
        <f ca="1">IFERROR(__xludf.DUMMYFUNCTION("""COMPUTED_VALUE"""),2104.49)</f>
        <v>2104.4899999999998</v>
      </c>
      <c r="C62" s="3">
        <f ca="1">IFERROR(__xludf.DUMMYFUNCTION("""COMPUTED_VALUE"""),2105.7)</f>
        <v>2105.6999999999998</v>
      </c>
      <c r="D62" s="3">
        <f ca="1">IFERROR(__xludf.DUMMYFUNCTION("""COMPUTED_VALUE"""),2087.31)</f>
        <v>2087.31</v>
      </c>
      <c r="E62" s="3">
        <f ca="1">IFERROR(__xludf.DUMMYFUNCTION("""COMPUTED_VALUE"""),2098.04)</f>
        <v>2098.04</v>
      </c>
      <c r="F62" s="3">
        <f ca="1">IFERROR(__xludf.DUMMYFUNCTION("""COMPUTED_VALUE"""),0)</f>
        <v>0</v>
      </c>
    </row>
    <row r="63" spans="1:6" ht="13" x14ac:dyDescent="0.15">
      <c r="A63" s="4">
        <f ca="1">IFERROR(__xludf.DUMMYFUNCTION("""COMPUTED_VALUE"""),42220.6666666666)</f>
        <v>42220.666666666599</v>
      </c>
      <c r="B63" s="3">
        <f ca="1">IFERROR(__xludf.DUMMYFUNCTION("""COMPUTED_VALUE"""),2097.68)</f>
        <v>2097.6799999999998</v>
      </c>
      <c r="C63" s="3">
        <f ca="1">IFERROR(__xludf.DUMMYFUNCTION("""COMPUTED_VALUE"""),2102.51)</f>
        <v>2102.5100000000002</v>
      </c>
      <c r="D63" s="3">
        <f ca="1">IFERROR(__xludf.DUMMYFUNCTION("""COMPUTED_VALUE"""),2088.6)</f>
        <v>2088.6</v>
      </c>
      <c r="E63" s="3">
        <f ca="1">IFERROR(__xludf.DUMMYFUNCTION("""COMPUTED_VALUE"""),2093.32)</f>
        <v>2093.3200000000002</v>
      </c>
      <c r="F63" s="3">
        <f ca="1">IFERROR(__xludf.DUMMYFUNCTION("""COMPUTED_VALUE"""),0)</f>
        <v>0</v>
      </c>
    </row>
    <row r="64" spans="1:6" ht="13" x14ac:dyDescent="0.15">
      <c r="A64" s="4">
        <f ca="1">IFERROR(__xludf.DUMMYFUNCTION("""COMPUTED_VALUE"""),42221.6666666666)</f>
        <v>42221.666666666599</v>
      </c>
      <c r="B64" s="3">
        <f ca="1">IFERROR(__xludf.DUMMYFUNCTION("""COMPUTED_VALUE"""),2095.27)</f>
        <v>2095.27</v>
      </c>
      <c r="C64" s="3">
        <f ca="1">IFERROR(__xludf.DUMMYFUNCTION("""COMPUTED_VALUE"""),2112.66)</f>
        <v>2112.66</v>
      </c>
      <c r="D64" s="3">
        <f ca="1">IFERROR(__xludf.DUMMYFUNCTION("""COMPUTED_VALUE"""),2095.27)</f>
        <v>2095.27</v>
      </c>
      <c r="E64" s="3">
        <f ca="1">IFERROR(__xludf.DUMMYFUNCTION("""COMPUTED_VALUE"""),2099.84)</f>
        <v>2099.84</v>
      </c>
      <c r="F64" s="3">
        <f ca="1">IFERROR(__xludf.DUMMYFUNCTION("""COMPUTED_VALUE"""),0)</f>
        <v>0</v>
      </c>
    </row>
    <row r="65" spans="1:6" ht="13" x14ac:dyDescent="0.15">
      <c r="A65" s="4">
        <f ca="1">IFERROR(__xludf.DUMMYFUNCTION("""COMPUTED_VALUE"""),42222.6666666666)</f>
        <v>42222.666666666599</v>
      </c>
      <c r="B65" s="3">
        <f ca="1">IFERROR(__xludf.DUMMYFUNCTION("""COMPUTED_VALUE"""),2100.75)</f>
        <v>2100.75</v>
      </c>
      <c r="C65" s="3">
        <f ca="1">IFERROR(__xludf.DUMMYFUNCTION("""COMPUTED_VALUE"""),2103.32)</f>
        <v>2103.3200000000002</v>
      </c>
      <c r="D65" s="3">
        <f ca="1">IFERROR(__xludf.DUMMYFUNCTION("""COMPUTED_VALUE"""),2075.53)</f>
        <v>2075.5300000000002</v>
      </c>
      <c r="E65" s="3">
        <f ca="1">IFERROR(__xludf.DUMMYFUNCTION("""COMPUTED_VALUE"""),2083.56)</f>
        <v>2083.56</v>
      </c>
      <c r="F65" s="3">
        <f ca="1">IFERROR(__xludf.DUMMYFUNCTION("""COMPUTED_VALUE"""),0)</f>
        <v>0</v>
      </c>
    </row>
    <row r="66" spans="1:6" ht="13" x14ac:dyDescent="0.15">
      <c r="A66" s="4">
        <f ca="1">IFERROR(__xludf.DUMMYFUNCTION("""COMPUTED_VALUE"""),42223.6666666666)</f>
        <v>42223.666666666599</v>
      </c>
      <c r="B66" s="3">
        <f ca="1">IFERROR(__xludf.DUMMYFUNCTION("""COMPUTED_VALUE"""),2082.61)</f>
        <v>2082.61</v>
      </c>
      <c r="C66" s="3">
        <f ca="1">IFERROR(__xludf.DUMMYFUNCTION("""COMPUTED_VALUE"""),2082.61)</f>
        <v>2082.61</v>
      </c>
      <c r="D66" s="3">
        <f ca="1">IFERROR(__xludf.DUMMYFUNCTION("""COMPUTED_VALUE"""),2067.91)</f>
        <v>2067.91</v>
      </c>
      <c r="E66" s="3">
        <f ca="1">IFERROR(__xludf.DUMMYFUNCTION("""COMPUTED_VALUE"""),2077.57)</f>
        <v>2077.5700000000002</v>
      </c>
      <c r="F66" s="3">
        <f ca="1">IFERROR(__xludf.DUMMYFUNCTION("""COMPUTED_VALUE"""),0)</f>
        <v>0</v>
      </c>
    </row>
    <row r="67" spans="1:6" ht="13" x14ac:dyDescent="0.15">
      <c r="A67" s="4">
        <f ca="1">IFERROR(__xludf.DUMMYFUNCTION("""COMPUTED_VALUE"""),42226.6666666666)</f>
        <v>42226.666666666599</v>
      </c>
      <c r="B67" s="3">
        <f ca="1">IFERROR(__xludf.DUMMYFUNCTION("""COMPUTED_VALUE"""),2080.98)</f>
        <v>2080.98</v>
      </c>
      <c r="C67" s="3">
        <f ca="1">IFERROR(__xludf.DUMMYFUNCTION("""COMPUTED_VALUE"""),2105.35)</f>
        <v>2105.35</v>
      </c>
      <c r="D67" s="3">
        <f ca="1">IFERROR(__xludf.DUMMYFUNCTION("""COMPUTED_VALUE"""),2080.98)</f>
        <v>2080.98</v>
      </c>
      <c r="E67" s="3">
        <f ca="1">IFERROR(__xludf.DUMMYFUNCTION("""COMPUTED_VALUE"""),2104.18)</f>
        <v>2104.1799999999998</v>
      </c>
      <c r="F67" s="3">
        <f ca="1">IFERROR(__xludf.DUMMYFUNCTION("""COMPUTED_VALUE"""),0)</f>
        <v>0</v>
      </c>
    </row>
    <row r="68" spans="1:6" ht="13" x14ac:dyDescent="0.15">
      <c r="A68" s="4">
        <f ca="1">IFERROR(__xludf.DUMMYFUNCTION("""COMPUTED_VALUE"""),42227.6666666666)</f>
        <v>42227.666666666599</v>
      </c>
      <c r="B68" s="3">
        <f ca="1">IFERROR(__xludf.DUMMYFUNCTION("""COMPUTED_VALUE"""),2102.66)</f>
        <v>2102.66</v>
      </c>
      <c r="C68" s="3">
        <f ca="1">IFERROR(__xludf.DUMMYFUNCTION("""COMPUTED_VALUE"""),2102.66)</f>
        <v>2102.66</v>
      </c>
      <c r="D68" s="3">
        <f ca="1">IFERROR(__xludf.DUMMYFUNCTION("""COMPUTED_VALUE"""),2076.49)</f>
        <v>2076.4899999999998</v>
      </c>
      <c r="E68" s="3">
        <f ca="1">IFERROR(__xludf.DUMMYFUNCTION("""COMPUTED_VALUE"""),2084.07)</f>
        <v>2084.0700000000002</v>
      </c>
      <c r="F68" s="3">
        <f ca="1">IFERROR(__xludf.DUMMYFUNCTION("""COMPUTED_VALUE"""),0)</f>
        <v>0</v>
      </c>
    </row>
    <row r="69" spans="1:6" ht="13" x14ac:dyDescent="0.15">
      <c r="A69" s="4">
        <f ca="1">IFERROR(__xludf.DUMMYFUNCTION("""COMPUTED_VALUE"""),42228.6666666666)</f>
        <v>42228.666666666599</v>
      </c>
      <c r="B69" s="3">
        <f ca="1">IFERROR(__xludf.DUMMYFUNCTION("""COMPUTED_VALUE"""),2081.1)</f>
        <v>2081.1</v>
      </c>
      <c r="C69" s="3">
        <f ca="1">IFERROR(__xludf.DUMMYFUNCTION("""COMPUTED_VALUE"""),2089.06)</f>
        <v>2089.06</v>
      </c>
      <c r="D69" s="3">
        <f ca="1">IFERROR(__xludf.DUMMYFUNCTION("""COMPUTED_VALUE"""),2052.09)</f>
        <v>2052.09</v>
      </c>
      <c r="E69" s="3">
        <f ca="1">IFERROR(__xludf.DUMMYFUNCTION("""COMPUTED_VALUE"""),2086.05)</f>
        <v>2086.0500000000002</v>
      </c>
      <c r="F69" s="3">
        <f ca="1">IFERROR(__xludf.DUMMYFUNCTION("""COMPUTED_VALUE"""),0)</f>
        <v>0</v>
      </c>
    </row>
    <row r="70" spans="1:6" ht="13" x14ac:dyDescent="0.15">
      <c r="A70" s="4">
        <f ca="1">IFERROR(__xludf.DUMMYFUNCTION("""COMPUTED_VALUE"""),42229.6666666666)</f>
        <v>42229.666666666599</v>
      </c>
      <c r="B70" s="3">
        <f ca="1">IFERROR(__xludf.DUMMYFUNCTION("""COMPUTED_VALUE"""),2086.19)</f>
        <v>2086.19</v>
      </c>
      <c r="C70" s="3">
        <f ca="1">IFERROR(__xludf.DUMMYFUNCTION("""COMPUTED_VALUE"""),2092.93)</f>
        <v>2092.9299999999998</v>
      </c>
      <c r="D70" s="3">
        <f ca="1">IFERROR(__xludf.DUMMYFUNCTION("""COMPUTED_VALUE"""),2078.26)</f>
        <v>2078.2600000000002</v>
      </c>
      <c r="E70" s="3">
        <f ca="1">IFERROR(__xludf.DUMMYFUNCTION("""COMPUTED_VALUE"""),2083.39)</f>
        <v>2083.39</v>
      </c>
      <c r="F70" s="3">
        <f ca="1">IFERROR(__xludf.DUMMYFUNCTION("""COMPUTED_VALUE"""),0)</f>
        <v>0</v>
      </c>
    </row>
    <row r="71" spans="1:6" ht="13" x14ac:dyDescent="0.15">
      <c r="A71" s="4">
        <f ca="1">IFERROR(__xludf.DUMMYFUNCTION("""COMPUTED_VALUE"""),42230.6666666666)</f>
        <v>42230.666666666599</v>
      </c>
      <c r="B71" s="3">
        <f ca="1">IFERROR(__xludf.DUMMYFUNCTION("""COMPUTED_VALUE"""),2083.15)</f>
        <v>2083.15</v>
      </c>
      <c r="C71" s="3">
        <f ca="1">IFERROR(__xludf.DUMMYFUNCTION("""COMPUTED_VALUE"""),2092.45)</f>
        <v>2092.4499999999998</v>
      </c>
      <c r="D71" s="3">
        <f ca="1">IFERROR(__xludf.DUMMYFUNCTION("""COMPUTED_VALUE"""),2080.61)</f>
        <v>2080.61</v>
      </c>
      <c r="E71" s="3">
        <f ca="1">IFERROR(__xludf.DUMMYFUNCTION("""COMPUTED_VALUE"""),2091.54)</f>
        <v>2091.54</v>
      </c>
      <c r="F71" s="3">
        <f ca="1">IFERROR(__xludf.DUMMYFUNCTION("""COMPUTED_VALUE"""),0)</f>
        <v>0</v>
      </c>
    </row>
    <row r="72" spans="1:6" ht="13" x14ac:dyDescent="0.15">
      <c r="A72" s="4">
        <f ca="1">IFERROR(__xludf.DUMMYFUNCTION("""COMPUTED_VALUE"""),42233.6666666666)</f>
        <v>42233.666666666599</v>
      </c>
      <c r="B72" s="3">
        <f ca="1">IFERROR(__xludf.DUMMYFUNCTION("""COMPUTED_VALUE"""),2089.7)</f>
        <v>2089.6999999999998</v>
      </c>
      <c r="C72" s="3">
        <f ca="1">IFERROR(__xludf.DUMMYFUNCTION("""COMPUTED_VALUE"""),2102.87)</f>
        <v>2102.87</v>
      </c>
      <c r="D72" s="3">
        <f ca="1">IFERROR(__xludf.DUMMYFUNCTION("""COMPUTED_VALUE"""),2079.3)</f>
        <v>2079.3000000000002</v>
      </c>
      <c r="E72" s="3">
        <f ca="1">IFERROR(__xludf.DUMMYFUNCTION("""COMPUTED_VALUE"""),2102.44)</f>
        <v>2102.44</v>
      </c>
      <c r="F72" s="3">
        <f ca="1">IFERROR(__xludf.DUMMYFUNCTION("""COMPUTED_VALUE"""),0)</f>
        <v>0</v>
      </c>
    </row>
    <row r="73" spans="1:6" ht="13" x14ac:dyDescent="0.15">
      <c r="A73" s="4">
        <f ca="1">IFERROR(__xludf.DUMMYFUNCTION("""COMPUTED_VALUE"""),42234.6666666666)</f>
        <v>42234.666666666599</v>
      </c>
      <c r="B73" s="3">
        <f ca="1">IFERROR(__xludf.DUMMYFUNCTION("""COMPUTED_VALUE"""),2101.99)</f>
        <v>2101.9899999999998</v>
      </c>
      <c r="C73" s="3">
        <f ca="1">IFERROR(__xludf.DUMMYFUNCTION("""COMPUTED_VALUE"""),2103.47)</f>
        <v>2103.4699999999998</v>
      </c>
      <c r="D73" s="3">
        <f ca="1">IFERROR(__xludf.DUMMYFUNCTION("""COMPUTED_VALUE"""),2094.14)</f>
        <v>2094.14</v>
      </c>
      <c r="E73" s="3">
        <f ca="1">IFERROR(__xludf.DUMMYFUNCTION("""COMPUTED_VALUE"""),2096.92)</f>
        <v>2096.92</v>
      </c>
      <c r="F73" s="3">
        <f ca="1">IFERROR(__xludf.DUMMYFUNCTION("""COMPUTED_VALUE"""),0)</f>
        <v>0</v>
      </c>
    </row>
    <row r="74" spans="1:6" ht="13" x14ac:dyDescent="0.15">
      <c r="A74" s="4">
        <f ca="1">IFERROR(__xludf.DUMMYFUNCTION("""COMPUTED_VALUE"""),42235.6666666666)</f>
        <v>42235.666666666599</v>
      </c>
      <c r="B74" s="3">
        <f ca="1">IFERROR(__xludf.DUMMYFUNCTION("""COMPUTED_VALUE"""),2095.69)</f>
        <v>2095.69</v>
      </c>
      <c r="C74" s="3">
        <f ca="1">IFERROR(__xludf.DUMMYFUNCTION("""COMPUTED_VALUE"""),2096.17)</f>
        <v>2096.17</v>
      </c>
      <c r="D74" s="3">
        <f ca="1">IFERROR(__xludf.DUMMYFUNCTION("""COMPUTED_VALUE"""),2070.53)</f>
        <v>2070.5300000000002</v>
      </c>
      <c r="E74" s="3">
        <f ca="1">IFERROR(__xludf.DUMMYFUNCTION("""COMPUTED_VALUE"""),2079.61)</f>
        <v>2079.61</v>
      </c>
      <c r="F74" s="3">
        <f ca="1">IFERROR(__xludf.DUMMYFUNCTION("""COMPUTED_VALUE"""),0)</f>
        <v>0</v>
      </c>
    </row>
    <row r="75" spans="1:6" ht="13" x14ac:dyDescent="0.15">
      <c r="A75" s="4">
        <f ca="1">IFERROR(__xludf.DUMMYFUNCTION("""COMPUTED_VALUE"""),42236.6666666666)</f>
        <v>42236.666666666599</v>
      </c>
      <c r="B75" s="3">
        <f ca="1">IFERROR(__xludf.DUMMYFUNCTION("""COMPUTED_VALUE"""),2076.61)</f>
        <v>2076.61</v>
      </c>
      <c r="C75" s="3">
        <f ca="1">IFERROR(__xludf.DUMMYFUNCTION("""COMPUTED_VALUE"""),2076.61)</f>
        <v>2076.61</v>
      </c>
      <c r="D75" s="3">
        <f ca="1">IFERROR(__xludf.DUMMYFUNCTION("""COMPUTED_VALUE"""),2035.73)</f>
        <v>2035.73</v>
      </c>
      <c r="E75" s="3">
        <f ca="1">IFERROR(__xludf.DUMMYFUNCTION("""COMPUTED_VALUE"""),2035.73)</f>
        <v>2035.73</v>
      </c>
      <c r="F75" s="3">
        <f ca="1">IFERROR(__xludf.DUMMYFUNCTION("""COMPUTED_VALUE"""),0)</f>
        <v>0</v>
      </c>
    </row>
    <row r="76" spans="1:6" ht="13" x14ac:dyDescent="0.15">
      <c r="A76" s="4">
        <f ca="1">IFERROR(__xludf.DUMMYFUNCTION("""COMPUTED_VALUE"""),42237.6666666666)</f>
        <v>42237.666666666599</v>
      </c>
      <c r="B76" s="3">
        <f ca="1">IFERROR(__xludf.DUMMYFUNCTION("""COMPUTED_VALUE"""),2034.08)</f>
        <v>2034.08</v>
      </c>
      <c r="C76" s="3">
        <f ca="1">IFERROR(__xludf.DUMMYFUNCTION("""COMPUTED_VALUE"""),2034.08)</f>
        <v>2034.08</v>
      </c>
      <c r="D76" s="3">
        <f ca="1">IFERROR(__xludf.DUMMYFUNCTION("""COMPUTED_VALUE"""),1970.89)</f>
        <v>1970.89</v>
      </c>
      <c r="E76" s="3">
        <f ca="1">IFERROR(__xludf.DUMMYFUNCTION("""COMPUTED_VALUE"""),1970.89)</f>
        <v>1970.89</v>
      </c>
      <c r="F76" s="3">
        <f ca="1">IFERROR(__xludf.DUMMYFUNCTION("""COMPUTED_VALUE"""),0)</f>
        <v>0</v>
      </c>
    </row>
    <row r="77" spans="1:6" ht="13" x14ac:dyDescent="0.15">
      <c r="A77" s="4">
        <f ca="1">IFERROR(__xludf.DUMMYFUNCTION("""COMPUTED_VALUE"""),42240.6666666666)</f>
        <v>42240.666666666599</v>
      </c>
      <c r="B77" s="3">
        <f ca="1">IFERROR(__xludf.DUMMYFUNCTION("""COMPUTED_VALUE"""),1965.15)</f>
        <v>1965.15</v>
      </c>
      <c r="C77" s="3">
        <f ca="1">IFERROR(__xludf.DUMMYFUNCTION("""COMPUTED_VALUE"""),1965.15)</f>
        <v>1965.15</v>
      </c>
      <c r="D77" s="3">
        <f ca="1">IFERROR(__xludf.DUMMYFUNCTION("""COMPUTED_VALUE"""),1867.01)</f>
        <v>1867.01</v>
      </c>
      <c r="E77" s="3">
        <f ca="1">IFERROR(__xludf.DUMMYFUNCTION("""COMPUTED_VALUE"""),1893.21)</f>
        <v>1893.21</v>
      </c>
      <c r="F77" s="3">
        <f ca="1">IFERROR(__xludf.DUMMYFUNCTION("""COMPUTED_VALUE"""),0)</f>
        <v>0</v>
      </c>
    </row>
    <row r="78" spans="1:6" ht="13" x14ac:dyDescent="0.15">
      <c r="A78" s="4">
        <f ca="1">IFERROR(__xludf.DUMMYFUNCTION("""COMPUTED_VALUE"""),42241.6666666666)</f>
        <v>42241.666666666599</v>
      </c>
      <c r="B78" s="3">
        <f ca="1">IFERROR(__xludf.DUMMYFUNCTION("""COMPUTED_VALUE"""),1898.08)</f>
        <v>1898.08</v>
      </c>
      <c r="C78" s="3">
        <f ca="1">IFERROR(__xludf.DUMMYFUNCTION("""COMPUTED_VALUE"""),1948.04)</f>
        <v>1948.04</v>
      </c>
      <c r="D78" s="3">
        <f ca="1">IFERROR(__xludf.DUMMYFUNCTION("""COMPUTED_VALUE"""),1867.08)</f>
        <v>1867.08</v>
      </c>
      <c r="E78" s="3">
        <f ca="1">IFERROR(__xludf.DUMMYFUNCTION("""COMPUTED_VALUE"""),1867.61)</f>
        <v>1867.61</v>
      </c>
      <c r="F78" s="3">
        <f ca="1">IFERROR(__xludf.DUMMYFUNCTION("""COMPUTED_VALUE"""),0)</f>
        <v>0</v>
      </c>
    </row>
    <row r="79" spans="1:6" ht="13" x14ac:dyDescent="0.15">
      <c r="A79" s="4">
        <f ca="1">IFERROR(__xludf.DUMMYFUNCTION("""COMPUTED_VALUE"""),42242.6666666666)</f>
        <v>42242.666666666599</v>
      </c>
      <c r="B79" s="3">
        <f ca="1">IFERROR(__xludf.DUMMYFUNCTION("""COMPUTED_VALUE"""),1872.75)</f>
        <v>1872.75</v>
      </c>
      <c r="C79" s="3">
        <f ca="1">IFERROR(__xludf.DUMMYFUNCTION("""COMPUTED_VALUE"""),1943.09)</f>
        <v>1943.09</v>
      </c>
      <c r="D79" s="3">
        <f ca="1">IFERROR(__xludf.DUMMYFUNCTION("""COMPUTED_VALUE"""),1872.75)</f>
        <v>1872.75</v>
      </c>
      <c r="E79" s="3">
        <f ca="1">IFERROR(__xludf.DUMMYFUNCTION("""COMPUTED_VALUE"""),1940.51)</f>
        <v>1940.51</v>
      </c>
      <c r="F79" s="3">
        <f ca="1">IFERROR(__xludf.DUMMYFUNCTION("""COMPUTED_VALUE"""),0)</f>
        <v>0</v>
      </c>
    </row>
    <row r="80" spans="1:6" ht="13" x14ac:dyDescent="0.15">
      <c r="A80" s="4">
        <f ca="1">IFERROR(__xludf.DUMMYFUNCTION("""COMPUTED_VALUE"""),42243.6666666666)</f>
        <v>42243.666666666599</v>
      </c>
      <c r="B80" s="3">
        <f ca="1">IFERROR(__xludf.DUMMYFUNCTION("""COMPUTED_VALUE"""),1942.77)</f>
        <v>1942.77</v>
      </c>
      <c r="C80" s="3">
        <f ca="1">IFERROR(__xludf.DUMMYFUNCTION("""COMPUTED_VALUE"""),1989.6)</f>
        <v>1989.6</v>
      </c>
      <c r="D80" s="3">
        <f ca="1">IFERROR(__xludf.DUMMYFUNCTION("""COMPUTED_VALUE"""),1942.77)</f>
        <v>1942.77</v>
      </c>
      <c r="E80" s="3">
        <f ca="1">IFERROR(__xludf.DUMMYFUNCTION("""COMPUTED_VALUE"""),1987.66)</f>
        <v>1987.66</v>
      </c>
      <c r="F80" s="3">
        <f ca="1">IFERROR(__xludf.DUMMYFUNCTION("""COMPUTED_VALUE"""),0)</f>
        <v>0</v>
      </c>
    </row>
    <row r="81" spans="1:6" ht="13" x14ac:dyDescent="0.15">
      <c r="A81" s="4">
        <f ca="1">IFERROR(__xludf.DUMMYFUNCTION("""COMPUTED_VALUE"""),42244.6666666666)</f>
        <v>42244.666666666599</v>
      </c>
      <c r="B81" s="3">
        <f ca="1">IFERROR(__xludf.DUMMYFUNCTION("""COMPUTED_VALUE"""),1986.06)</f>
        <v>1986.06</v>
      </c>
      <c r="C81" s="3">
        <f ca="1">IFERROR(__xludf.DUMMYFUNCTION("""COMPUTED_VALUE"""),1993.48)</f>
        <v>1993.48</v>
      </c>
      <c r="D81" s="3">
        <f ca="1">IFERROR(__xludf.DUMMYFUNCTION("""COMPUTED_VALUE"""),1975.19)</f>
        <v>1975.19</v>
      </c>
      <c r="E81" s="3">
        <f ca="1">IFERROR(__xludf.DUMMYFUNCTION("""COMPUTED_VALUE"""),1988.87)</f>
        <v>1988.87</v>
      </c>
      <c r="F81" s="3">
        <f ca="1">IFERROR(__xludf.DUMMYFUNCTION("""COMPUTED_VALUE"""),0)</f>
        <v>0</v>
      </c>
    </row>
    <row r="82" spans="1:6" ht="13" x14ac:dyDescent="0.15">
      <c r="A82" s="4">
        <f ca="1">IFERROR(__xludf.DUMMYFUNCTION("""COMPUTED_VALUE"""),42247.6666666666)</f>
        <v>42247.666666666599</v>
      </c>
      <c r="B82" s="3">
        <f ca="1">IFERROR(__xludf.DUMMYFUNCTION("""COMPUTED_VALUE"""),1986.73)</f>
        <v>1986.73</v>
      </c>
      <c r="C82" s="3">
        <f ca="1">IFERROR(__xludf.DUMMYFUNCTION("""COMPUTED_VALUE"""),1986.73)</f>
        <v>1986.73</v>
      </c>
      <c r="D82" s="3">
        <f ca="1">IFERROR(__xludf.DUMMYFUNCTION("""COMPUTED_VALUE"""),1965.98)</f>
        <v>1965.98</v>
      </c>
      <c r="E82" s="3">
        <f ca="1">IFERROR(__xludf.DUMMYFUNCTION("""COMPUTED_VALUE"""),1972.18)</f>
        <v>1972.18</v>
      </c>
      <c r="F82" s="3">
        <f ca="1">IFERROR(__xludf.DUMMYFUNCTION("""COMPUTED_VALUE"""),0)</f>
        <v>0</v>
      </c>
    </row>
    <row r="83" spans="1:6" ht="13" x14ac:dyDescent="0.15">
      <c r="A83" s="4">
        <f ca="1">IFERROR(__xludf.DUMMYFUNCTION("""COMPUTED_VALUE"""),42248.6666666666)</f>
        <v>42248.666666666599</v>
      </c>
      <c r="B83" s="3">
        <f ca="1">IFERROR(__xludf.DUMMYFUNCTION("""COMPUTED_VALUE"""),1970.09)</f>
        <v>1970.09</v>
      </c>
      <c r="C83" s="3">
        <f ca="1">IFERROR(__xludf.DUMMYFUNCTION("""COMPUTED_VALUE"""),1970.09)</f>
        <v>1970.09</v>
      </c>
      <c r="D83" s="3">
        <f ca="1">IFERROR(__xludf.DUMMYFUNCTION("""COMPUTED_VALUE"""),1903.07)</f>
        <v>1903.07</v>
      </c>
      <c r="E83" s="3">
        <f ca="1">IFERROR(__xludf.DUMMYFUNCTION("""COMPUTED_VALUE"""),1913.85)</f>
        <v>1913.85</v>
      </c>
      <c r="F83" s="3">
        <f ca="1">IFERROR(__xludf.DUMMYFUNCTION("""COMPUTED_VALUE"""),0)</f>
        <v>0</v>
      </c>
    </row>
    <row r="84" spans="1:6" ht="13" x14ac:dyDescent="0.15">
      <c r="A84" s="4">
        <f ca="1">IFERROR(__xludf.DUMMYFUNCTION("""COMPUTED_VALUE"""),42249.6666666666)</f>
        <v>42249.666666666599</v>
      </c>
      <c r="B84" s="3">
        <f ca="1">IFERROR(__xludf.DUMMYFUNCTION("""COMPUTED_VALUE"""),1916.52)</f>
        <v>1916.52</v>
      </c>
      <c r="C84" s="3">
        <f ca="1">IFERROR(__xludf.DUMMYFUNCTION("""COMPUTED_VALUE"""),1948.91)</f>
        <v>1948.91</v>
      </c>
      <c r="D84" s="3">
        <f ca="1">IFERROR(__xludf.DUMMYFUNCTION("""COMPUTED_VALUE"""),1916.52)</f>
        <v>1916.52</v>
      </c>
      <c r="E84" s="3">
        <f ca="1">IFERROR(__xludf.DUMMYFUNCTION("""COMPUTED_VALUE"""),1948.86)</f>
        <v>1948.86</v>
      </c>
      <c r="F84" s="3">
        <f ca="1">IFERROR(__xludf.DUMMYFUNCTION("""COMPUTED_VALUE"""),0)</f>
        <v>0</v>
      </c>
    </row>
    <row r="85" spans="1:6" ht="13" x14ac:dyDescent="0.15">
      <c r="A85" s="4">
        <f ca="1">IFERROR(__xludf.DUMMYFUNCTION("""COMPUTED_VALUE"""),42250.6666666666)</f>
        <v>42250.666666666599</v>
      </c>
      <c r="B85" s="3">
        <f ca="1">IFERROR(__xludf.DUMMYFUNCTION("""COMPUTED_VALUE"""),1950.79)</f>
        <v>1950.79</v>
      </c>
      <c r="C85" s="3">
        <f ca="1">IFERROR(__xludf.DUMMYFUNCTION("""COMPUTED_VALUE"""),1975.01)</f>
        <v>1975.01</v>
      </c>
      <c r="D85" s="3">
        <f ca="1">IFERROR(__xludf.DUMMYFUNCTION("""COMPUTED_VALUE"""),1944.72)</f>
        <v>1944.72</v>
      </c>
      <c r="E85" s="3">
        <f ca="1">IFERROR(__xludf.DUMMYFUNCTION("""COMPUTED_VALUE"""),1951.13)</f>
        <v>1951.13</v>
      </c>
      <c r="F85" s="3">
        <f ca="1">IFERROR(__xludf.DUMMYFUNCTION("""COMPUTED_VALUE"""),0)</f>
        <v>0</v>
      </c>
    </row>
    <row r="86" spans="1:6" ht="13" x14ac:dyDescent="0.15">
      <c r="A86" s="4">
        <f ca="1">IFERROR(__xludf.DUMMYFUNCTION("""COMPUTED_VALUE"""),42251.6666666666)</f>
        <v>42251.666666666599</v>
      </c>
      <c r="B86" s="3">
        <f ca="1">IFERROR(__xludf.DUMMYFUNCTION("""COMPUTED_VALUE"""),1947.76)</f>
        <v>1947.76</v>
      </c>
      <c r="C86" s="3">
        <f ca="1">IFERROR(__xludf.DUMMYFUNCTION("""COMPUTED_VALUE"""),1947.76)</f>
        <v>1947.76</v>
      </c>
      <c r="D86" s="3">
        <f ca="1">IFERROR(__xludf.DUMMYFUNCTION("""COMPUTED_VALUE"""),1911.21)</f>
        <v>1911.21</v>
      </c>
      <c r="E86" s="3">
        <f ca="1">IFERROR(__xludf.DUMMYFUNCTION("""COMPUTED_VALUE"""),1921.22)</f>
        <v>1921.22</v>
      </c>
      <c r="F86" s="3">
        <f ca="1">IFERROR(__xludf.DUMMYFUNCTION("""COMPUTED_VALUE"""),0)</f>
        <v>0</v>
      </c>
    </row>
    <row r="87" spans="1:6" ht="13" x14ac:dyDescent="0.15">
      <c r="A87" s="4">
        <f ca="1">IFERROR(__xludf.DUMMYFUNCTION("""COMPUTED_VALUE"""),42255.6666666666)</f>
        <v>42255.666666666599</v>
      </c>
      <c r="B87" s="3">
        <f ca="1">IFERROR(__xludf.DUMMYFUNCTION("""COMPUTED_VALUE"""),1927.3)</f>
        <v>1927.3</v>
      </c>
      <c r="C87" s="3">
        <f ca="1">IFERROR(__xludf.DUMMYFUNCTION("""COMPUTED_VALUE"""),1970.42)</f>
        <v>1970.42</v>
      </c>
      <c r="D87" s="3">
        <f ca="1">IFERROR(__xludf.DUMMYFUNCTION("""COMPUTED_VALUE"""),1927.3)</f>
        <v>1927.3</v>
      </c>
      <c r="E87" s="3">
        <f ca="1">IFERROR(__xludf.DUMMYFUNCTION("""COMPUTED_VALUE"""),1969.41)</f>
        <v>1969.41</v>
      </c>
      <c r="F87" s="3">
        <f ca="1">IFERROR(__xludf.DUMMYFUNCTION("""COMPUTED_VALUE"""),0)</f>
        <v>0</v>
      </c>
    </row>
    <row r="88" spans="1:6" ht="13" x14ac:dyDescent="0.15">
      <c r="A88" s="4">
        <f ca="1">IFERROR(__xludf.DUMMYFUNCTION("""COMPUTED_VALUE"""),42256.6666666666)</f>
        <v>42256.666666666599</v>
      </c>
      <c r="B88" s="3">
        <f ca="1">IFERROR(__xludf.DUMMYFUNCTION("""COMPUTED_VALUE"""),1971.45)</f>
        <v>1971.45</v>
      </c>
      <c r="C88" s="3">
        <f ca="1">IFERROR(__xludf.DUMMYFUNCTION("""COMPUTED_VALUE"""),1988.63)</f>
        <v>1988.63</v>
      </c>
      <c r="D88" s="3">
        <f ca="1">IFERROR(__xludf.DUMMYFUNCTION("""COMPUTED_VALUE"""),1937.88)</f>
        <v>1937.88</v>
      </c>
      <c r="E88" s="3">
        <f ca="1">IFERROR(__xludf.DUMMYFUNCTION("""COMPUTED_VALUE"""),1942.04)</f>
        <v>1942.04</v>
      </c>
      <c r="F88" s="3">
        <f ca="1">IFERROR(__xludf.DUMMYFUNCTION("""COMPUTED_VALUE"""),0)</f>
        <v>0</v>
      </c>
    </row>
    <row r="89" spans="1:6" ht="13" x14ac:dyDescent="0.15">
      <c r="A89" s="4">
        <f ca="1">IFERROR(__xludf.DUMMYFUNCTION("""COMPUTED_VALUE"""),42257.6666666666)</f>
        <v>42257.666666666599</v>
      </c>
      <c r="B89" s="3">
        <f ca="1">IFERROR(__xludf.DUMMYFUNCTION("""COMPUTED_VALUE"""),1941.59)</f>
        <v>1941.59</v>
      </c>
      <c r="C89" s="3">
        <f ca="1">IFERROR(__xludf.DUMMYFUNCTION("""COMPUTED_VALUE"""),1965.29)</f>
        <v>1965.29</v>
      </c>
      <c r="D89" s="3">
        <f ca="1">IFERROR(__xludf.DUMMYFUNCTION("""COMPUTED_VALUE"""),1937.19)</f>
        <v>1937.19</v>
      </c>
      <c r="E89" s="3">
        <f ca="1">IFERROR(__xludf.DUMMYFUNCTION("""COMPUTED_VALUE"""),1952.29)</f>
        <v>1952.29</v>
      </c>
      <c r="F89" s="3">
        <f ca="1">IFERROR(__xludf.DUMMYFUNCTION("""COMPUTED_VALUE"""),0)</f>
        <v>0</v>
      </c>
    </row>
    <row r="90" spans="1:6" ht="13" x14ac:dyDescent="0.15">
      <c r="A90" s="4">
        <f ca="1">IFERROR(__xludf.DUMMYFUNCTION("""COMPUTED_VALUE"""),42258.6666666666)</f>
        <v>42258.666666666599</v>
      </c>
      <c r="B90" s="3">
        <f ca="1">IFERROR(__xludf.DUMMYFUNCTION("""COMPUTED_VALUE"""),1951.45)</f>
        <v>1951.45</v>
      </c>
      <c r="C90" s="3">
        <f ca="1">IFERROR(__xludf.DUMMYFUNCTION("""COMPUTED_VALUE"""),1961.05)</f>
        <v>1961.05</v>
      </c>
      <c r="D90" s="3">
        <f ca="1">IFERROR(__xludf.DUMMYFUNCTION("""COMPUTED_VALUE"""),1939.19)</f>
        <v>1939.19</v>
      </c>
      <c r="E90" s="3">
        <f ca="1">IFERROR(__xludf.DUMMYFUNCTION("""COMPUTED_VALUE"""),1961.05)</f>
        <v>1961.05</v>
      </c>
      <c r="F90" s="3">
        <f ca="1">IFERROR(__xludf.DUMMYFUNCTION("""COMPUTED_VALUE"""),0)</f>
        <v>0</v>
      </c>
    </row>
    <row r="91" spans="1:6" ht="13" x14ac:dyDescent="0.15">
      <c r="A91" s="4">
        <f ca="1">IFERROR(__xludf.DUMMYFUNCTION("""COMPUTED_VALUE"""),42261.6666666666)</f>
        <v>42261.666666666599</v>
      </c>
      <c r="B91" s="3">
        <f ca="1">IFERROR(__xludf.DUMMYFUNCTION("""COMPUTED_VALUE"""),1963.06)</f>
        <v>1963.06</v>
      </c>
      <c r="C91" s="3">
        <f ca="1">IFERROR(__xludf.DUMMYFUNCTION("""COMPUTED_VALUE"""),1963.06)</f>
        <v>1963.06</v>
      </c>
      <c r="D91" s="3">
        <f ca="1">IFERROR(__xludf.DUMMYFUNCTION("""COMPUTED_VALUE"""),1948.27)</f>
        <v>1948.27</v>
      </c>
      <c r="E91" s="3">
        <f ca="1">IFERROR(__xludf.DUMMYFUNCTION("""COMPUTED_VALUE"""),1953.03)</f>
        <v>1953.03</v>
      </c>
      <c r="F91" s="3">
        <f ca="1">IFERROR(__xludf.DUMMYFUNCTION("""COMPUTED_VALUE"""),0)</f>
        <v>0</v>
      </c>
    </row>
    <row r="92" spans="1:6" ht="13" x14ac:dyDescent="0.15">
      <c r="A92" s="4">
        <f ca="1">IFERROR(__xludf.DUMMYFUNCTION("""COMPUTED_VALUE"""),42262.6666666666)</f>
        <v>42262.666666666599</v>
      </c>
      <c r="B92" s="3">
        <f ca="1">IFERROR(__xludf.DUMMYFUNCTION("""COMPUTED_VALUE"""),1955.1)</f>
        <v>1955.1</v>
      </c>
      <c r="C92" s="3">
        <f ca="1">IFERROR(__xludf.DUMMYFUNCTION("""COMPUTED_VALUE"""),1983.19)</f>
        <v>1983.19</v>
      </c>
      <c r="D92" s="3">
        <f ca="1">IFERROR(__xludf.DUMMYFUNCTION("""COMPUTED_VALUE"""),1954.3)</f>
        <v>1954.3</v>
      </c>
      <c r="E92" s="3">
        <f ca="1">IFERROR(__xludf.DUMMYFUNCTION("""COMPUTED_VALUE"""),1978.09)</f>
        <v>1978.09</v>
      </c>
      <c r="F92" s="3">
        <f ca="1">IFERROR(__xludf.DUMMYFUNCTION("""COMPUTED_VALUE"""),0)</f>
        <v>0</v>
      </c>
    </row>
    <row r="93" spans="1:6" ht="13" x14ac:dyDescent="0.15">
      <c r="A93" s="4">
        <f ca="1">IFERROR(__xludf.DUMMYFUNCTION("""COMPUTED_VALUE"""),42263.6666666666)</f>
        <v>42263.666666666599</v>
      </c>
      <c r="B93" s="3">
        <f ca="1">IFERROR(__xludf.DUMMYFUNCTION("""COMPUTED_VALUE"""),1978.02)</f>
        <v>1978.02</v>
      </c>
      <c r="C93" s="3">
        <f ca="1">IFERROR(__xludf.DUMMYFUNCTION("""COMPUTED_VALUE"""),1997.26)</f>
        <v>1997.26</v>
      </c>
      <c r="D93" s="3">
        <f ca="1">IFERROR(__xludf.DUMMYFUNCTION("""COMPUTED_VALUE"""),1977.93)</f>
        <v>1977.93</v>
      </c>
      <c r="E93" s="3">
        <f ca="1">IFERROR(__xludf.DUMMYFUNCTION("""COMPUTED_VALUE"""),1995.31)</f>
        <v>1995.31</v>
      </c>
      <c r="F93" s="3">
        <f ca="1">IFERROR(__xludf.DUMMYFUNCTION("""COMPUTED_VALUE"""),0)</f>
        <v>0</v>
      </c>
    </row>
    <row r="94" spans="1:6" ht="13" x14ac:dyDescent="0.15">
      <c r="A94" s="4">
        <f ca="1">IFERROR(__xludf.DUMMYFUNCTION("""COMPUTED_VALUE"""),42264.6666666666)</f>
        <v>42264.666666666599</v>
      </c>
      <c r="B94" s="3">
        <f ca="1">IFERROR(__xludf.DUMMYFUNCTION("""COMPUTED_VALUE"""),1995.33)</f>
        <v>1995.33</v>
      </c>
      <c r="C94" s="3">
        <f ca="1">IFERROR(__xludf.DUMMYFUNCTION("""COMPUTED_VALUE"""),2020.86)</f>
        <v>2020.86</v>
      </c>
      <c r="D94" s="3">
        <f ca="1">IFERROR(__xludf.DUMMYFUNCTION("""COMPUTED_VALUE"""),1986.73)</f>
        <v>1986.73</v>
      </c>
      <c r="E94" s="3">
        <f ca="1">IFERROR(__xludf.DUMMYFUNCTION("""COMPUTED_VALUE"""),1990.2)</f>
        <v>1990.2</v>
      </c>
      <c r="F94" s="3">
        <f ca="1">IFERROR(__xludf.DUMMYFUNCTION("""COMPUTED_VALUE"""),0)</f>
        <v>0</v>
      </c>
    </row>
    <row r="95" spans="1:6" ht="13" x14ac:dyDescent="0.15">
      <c r="A95" s="4">
        <f ca="1">IFERROR(__xludf.DUMMYFUNCTION("""COMPUTED_VALUE"""),42265.6666666666)</f>
        <v>42265.666666666599</v>
      </c>
      <c r="B95" s="3">
        <f ca="1">IFERROR(__xludf.DUMMYFUNCTION("""COMPUTED_VALUE"""),1989.66)</f>
        <v>1989.66</v>
      </c>
      <c r="C95" s="3">
        <f ca="1">IFERROR(__xludf.DUMMYFUNCTION("""COMPUTED_VALUE"""),1989.66)</f>
        <v>1989.66</v>
      </c>
      <c r="D95" s="3">
        <f ca="1">IFERROR(__xludf.DUMMYFUNCTION("""COMPUTED_VALUE"""),1953.45)</f>
        <v>1953.45</v>
      </c>
      <c r="E95" s="3">
        <f ca="1">IFERROR(__xludf.DUMMYFUNCTION("""COMPUTED_VALUE"""),1958.03)</f>
        <v>1958.03</v>
      </c>
      <c r="F95" s="3">
        <f ca="1">IFERROR(__xludf.DUMMYFUNCTION("""COMPUTED_VALUE"""),0)</f>
        <v>0</v>
      </c>
    </row>
    <row r="96" spans="1:6" ht="13" x14ac:dyDescent="0.15">
      <c r="A96" s="4">
        <f ca="1">IFERROR(__xludf.DUMMYFUNCTION("""COMPUTED_VALUE"""),42268.6666666666)</f>
        <v>42268.666666666599</v>
      </c>
      <c r="B96" s="3">
        <f ca="1">IFERROR(__xludf.DUMMYFUNCTION("""COMPUTED_VALUE"""),1960.84)</f>
        <v>1960.84</v>
      </c>
      <c r="C96" s="3">
        <f ca="1">IFERROR(__xludf.DUMMYFUNCTION("""COMPUTED_VALUE"""),1979.64)</f>
        <v>1979.64</v>
      </c>
      <c r="D96" s="3">
        <f ca="1">IFERROR(__xludf.DUMMYFUNCTION("""COMPUTED_VALUE"""),1955.8)</f>
        <v>1955.8</v>
      </c>
      <c r="E96" s="3">
        <f ca="1">IFERROR(__xludf.DUMMYFUNCTION("""COMPUTED_VALUE"""),1966.97)</f>
        <v>1966.97</v>
      </c>
      <c r="F96" s="3">
        <f ca="1">IFERROR(__xludf.DUMMYFUNCTION("""COMPUTED_VALUE"""),0)</f>
        <v>0</v>
      </c>
    </row>
    <row r="97" spans="1:6" ht="13" x14ac:dyDescent="0.15">
      <c r="A97" s="4">
        <f ca="1">IFERROR(__xludf.DUMMYFUNCTION("""COMPUTED_VALUE"""),42269.6666666666)</f>
        <v>42269.666666666599</v>
      </c>
      <c r="B97" s="3">
        <f ca="1">IFERROR(__xludf.DUMMYFUNCTION("""COMPUTED_VALUE"""),1961.39)</f>
        <v>1961.39</v>
      </c>
      <c r="C97" s="3">
        <f ca="1">IFERROR(__xludf.DUMMYFUNCTION("""COMPUTED_VALUE"""),1961.39)</f>
        <v>1961.39</v>
      </c>
      <c r="D97" s="3">
        <f ca="1">IFERROR(__xludf.DUMMYFUNCTION("""COMPUTED_VALUE"""),1929.22)</f>
        <v>1929.22</v>
      </c>
      <c r="E97" s="3">
        <f ca="1">IFERROR(__xludf.DUMMYFUNCTION("""COMPUTED_VALUE"""),1942.74)</f>
        <v>1942.74</v>
      </c>
      <c r="F97" s="3">
        <f ca="1">IFERROR(__xludf.DUMMYFUNCTION("""COMPUTED_VALUE"""),0)</f>
        <v>0</v>
      </c>
    </row>
    <row r="98" spans="1:6" ht="13" x14ac:dyDescent="0.15">
      <c r="A98" s="4">
        <f ca="1">IFERROR(__xludf.DUMMYFUNCTION("""COMPUTED_VALUE"""),42270.6666666666)</f>
        <v>42270.666666666599</v>
      </c>
      <c r="B98" s="3">
        <f ca="1">IFERROR(__xludf.DUMMYFUNCTION("""COMPUTED_VALUE"""),1943.24)</f>
        <v>1943.24</v>
      </c>
      <c r="C98" s="3">
        <f ca="1">IFERROR(__xludf.DUMMYFUNCTION("""COMPUTED_VALUE"""),1949.52)</f>
        <v>1949.52</v>
      </c>
      <c r="D98" s="3">
        <f ca="1">IFERROR(__xludf.DUMMYFUNCTION("""COMPUTED_VALUE"""),1932.57)</f>
        <v>1932.57</v>
      </c>
      <c r="E98" s="3">
        <f ca="1">IFERROR(__xludf.DUMMYFUNCTION("""COMPUTED_VALUE"""),1938.76)</f>
        <v>1938.76</v>
      </c>
      <c r="F98" s="3">
        <f ca="1">IFERROR(__xludf.DUMMYFUNCTION("""COMPUTED_VALUE"""),0)</f>
        <v>0</v>
      </c>
    </row>
    <row r="99" spans="1:6" ht="13" x14ac:dyDescent="0.15">
      <c r="A99" s="4">
        <f ca="1">IFERROR(__xludf.DUMMYFUNCTION("""COMPUTED_VALUE"""),42271.6666666666)</f>
        <v>42271.666666666599</v>
      </c>
      <c r="B99" s="3">
        <f ca="1">IFERROR(__xludf.DUMMYFUNCTION("""COMPUTED_VALUE"""),1934.81)</f>
        <v>1934.81</v>
      </c>
      <c r="C99" s="3">
        <f ca="1">IFERROR(__xludf.DUMMYFUNCTION("""COMPUTED_VALUE"""),1937.17)</f>
        <v>1937.17</v>
      </c>
      <c r="D99" s="3">
        <f ca="1">IFERROR(__xludf.DUMMYFUNCTION("""COMPUTED_VALUE"""),1908.92)</f>
        <v>1908.92</v>
      </c>
      <c r="E99" s="3">
        <f ca="1">IFERROR(__xludf.DUMMYFUNCTION("""COMPUTED_VALUE"""),1932.24)</f>
        <v>1932.24</v>
      </c>
      <c r="F99" s="3">
        <f ca="1">IFERROR(__xludf.DUMMYFUNCTION("""COMPUTED_VALUE"""),0)</f>
        <v>0</v>
      </c>
    </row>
    <row r="100" spans="1:6" ht="13" x14ac:dyDescent="0.15">
      <c r="A100" s="4">
        <f ca="1">IFERROR(__xludf.DUMMYFUNCTION("""COMPUTED_VALUE"""),42272.6666666666)</f>
        <v>42272.666666666599</v>
      </c>
      <c r="B100" s="3">
        <f ca="1">IFERROR(__xludf.DUMMYFUNCTION("""COMPUTED_VALUE"""),1935.93)</f>
        <v>1935.93</v>
      </c>
      <c r="C100" s="3">
        <f ca="1">IFERROR(__xludf.DUMMYFUNCTION("""COMPUTED_VALUE"""),1952.89)</f>
        <v>1952.89</v>
      </c>
      <c r="D100" s="3">
        <f ca="1">IFERROR(__xludf.DUMMYFUNCTION("""COMPUTED_VALUE"""),1921.5)</f>
        <v>1921.5</v>
      </c>
      <c r="E100" s="3">
        <f ca="1">IFERROR(__xludf.DUMMYFUNCTION("""COMPUTED_VALUE"""),1931.34)</f>
        <v>1931.34</v>
      </c>
      <c r="F100" s="3">
        <f ca="1">IFERROR(__xludf.DUMMYFUNCTION("""COMPUTED_VALUE"""),0)</f>
        <v>0</v>
      </c>
    </row>
    <row r="101" spans="1:6" ht="13" x14ac:dyDescent="0.15">
      <c r="A101" s="4">
        <f ca="1">IFERROR(__xludf.DUMMYFUNCTION("""COMPUTED_VALUE"""),42275.6666666666)</f>
        <v>42275.666666666599</v>
      </c>
      <c r="B101" s="3">
        <f ca="1">IFERROR(__xludf.DUMMYFUNCTION("""COMPUTED_VALUE"""),1929.18)</f>
        <v>1929.18</v>
      </c>
      <c r="C101" s="3">
        <f ca="1">IFERROR(__xludf.DUMMYFUNCTION("""COMPUTED_VALUE"""),1929.18)</f>
        <v>1929.18</v>
      </c>
      <c r="D101" s="3">
        <f ca="1">IFERROR(__xludf.DUMMYFUNCTION("""COMPUTED_VALUE"""),1879.21)</f>
        <v>1879.21</v>
      </c>
      <c r="E101" s="3">
        <f ca="1">IFERROR(__xludf.DUMMYFUNCTION("""COMPUTED_VALUE"""),1881.77)</f>
        <v>1881.77</v>
      </c>
      <c r="F101" s="3">
        <f ca="1">IFERROR(__xludf.DUMMYFUNCTION("""COMPUTED_VALUE"""),0)</f>
        <v>0</v>
      </c>
    </row>
    <row r="102" spans="1:6" ht="13" x14ac:dyDescent="0.15">
      <c r="A102" s="4">
        <f ca="1">IFERROR(__xludf.DUMMYFUNCTION("""COMPUTED_VALUE"""),42276.6666666666)</f>
        <v>42276.666666666599</v>
      </c>
      <c r="B102" s="3">
        <f ca="1">IFERROR(__xludf.DUMMYFUNCTION("""COMPUTED_VALUE"""),1881.9)</f>
        <v>1881.9</v>
      </c>
      <c r="C102" s="3">
        <f ca="1">IFERROR(__xludf.DUMMYFUNCTION("""COMPUTED_VALUE"""),1899.48)</f>
        <v>1899.48</v>
      </c>
      <c r="D102" s="3">
        <f ca="1">IFERROR(__xludf.DUMMYFUNCTION("""COMPUTED_VALUE"""),1871.91)</f>
        <v>1871.91</v>
      </c>
      <c r="E102" s="3">
        <f ca="1">IFERROR(__xludf.DUMMYFUNCTION("""COMPUTED_VALUE"""),1884.09)</f>
        <v>1884.09</v>
      </c>
      <c r="F102" s="3">
        <f ca="1">IFERROR(__xludf.DUMMYFUNCTION("""COMPUTED_VALUE"""),0)</f>
        <v>0</v>
      </c>
    </row>
    <row r="103" spans="1:6" ht="13" x14ac:dyDescent="0.15">
      <c r="A103" s="4">
        <f ca="1">IFERROR(__xludf.DUMMYFUNCTION("""COMPUTED_VALUE"""),42277.6666666666)</f>
        <v>42277.666666666599</v>
      </c>
      <c r="B103" s="3">
        <f ca="1">IFERROR(__xludf.DUMMYFUNCTION("""COMPUTED_VALUE"""),1887.14)</f>
        <v>1887.14</v>
      </c>
      <c r="C103" s="3">
        <f ca="1">IFERROR(__xludf.DUMMYFUNCTION("""COMPUTED_VALUE"""),1920.53)</f>
        <v>1920.53</v>
      </c>
      <c r="D103" s="3">
        <f ca="1">IFERROR(__xludf.DUMMYFUNCTION("""COMPUTED_VALUE"""),1887.14)</f>
        <v>1887.14</v>
      </c>
      <c r="E103" s="3">
        <f ca="1">IFERROR(__xludf.DUMMYFUNCTION("""COMPUTED_VALUE"""),1920.03)</f>
        <v>1920.03</v>
      </c>
      <c r="F103" s="3">
        <f ca="1">IFERROR(__xludf.DUMMYFUNCTION("""COMPUTED_VALUE"""),0)</f>
        <v>0</v>
      </c>
    </row>
    <row r="104" spans="1:6" ht="13" x14ac:dyDescent="0.15">
      <c r="A104" s="4">
        <f ca="1">IFERROR(__xludf.DUMMYFUNCTION("""COMPUTED_VALUE"""),42278.6666666666)</f>
        <v>42278.666666666599</v>
      </c>
      <c r="B104" s="3">
        <f ca="1">IFERROR(__xludf.DUMMYFUNCTION("""COMPUTED_VALUE"""),1919.65)</f>
        <v>1919.65</v>
      </c>
      <c r="C104" s="3">
        <f ca="1">IFERROR(__xludf.DUMMYFUNCTION("""COMPUTED_VALUE"""),1927.21)</f>
        <v>1927.21</v>
      </c>
      <c r="D104" s="3">
        <f ca="1">IFERROR(__xludf.DUMMYFUNCTION("""COMPUTED_VALUE"""),1900.7)</f>
        <v>1900.7</v>
      </c>
      <c r="E104" s="3">
        <f ca="1">IFERROR(__xludf.DUMMYFUNCTION("""COMPUTED_VALUE"""),1923.82)</f>
        <v>1923.82</v>
      </c>
      <c r="F104" s="3">
        <f ca="1">IFERROR(__xludf.DUMMYFUNCTION("""COMPUTED_VALUE"""),0)</f>
        <v>0</v>
      </c>
    </row>
    <row r="105" spans="1:6" ht="13" x14ac:dyDescent="0.15">
      <c r="A105" s="4">
        <f ca="1">IFERROR(__xludf.DUMMYFUNCTION("""COMPUTED_VALUE"""),42279.6666666666)</f>
        <v>42279.666666666599</v>
      </c>
      <c r="B105" s="3">
        <f ca="1">IFERROR(__xludf.DUMMYFUNCTION("""COMPUTED_VALUE"""),1921.77)</f>
        <v>1921.77</v>
      </c>
      <c r="C105" s="3">
        <f ca="1">IFERROR(__xludf.DUMMYFUNCTION("""COMPUTED_VALUE"""),1951.36)</f>
        <v>1951.36</v>
      </c>
      <c r="D105" s="3">
        <f ca="1">IFERROR(__xludf.DUMMYFUNCTION("""COMPUTED_VALUE"""),1893.7)</f>
        <v>1893.7</v>
      </c>
      <c r="E105" s="3">
        <f ca="1">IFERROR(__xludf.DUMMYFUNCTION("""COMPUTED_VALUE"""),1951.36)</f>
        <v>1951.36</v>
      </c>
      <c r="F105" s="3">
        <f ca="1">IFERROR(__xludf.DUMMYFUNCTION("""COMPUTED_VALUE"""),0)</f>
        <v>0</v>
      </c>
    </row>
    <row r="106" spans="1:6" ht="13" x14ac:dyDescent="0.15">
      <c r="A106" s="4">
        <f ca="1">IFERROR(__xludf.DUMMYFUNCTION("""COMPUTED_VALUE"""),42282.6666666666)</f>
        <v>42282.666666666599</v>
      </c>
      <c r="B106" s="3">
        <f ca="1">IFERROR(__xludf.DUMMYFUNCTION("""COMPUTED_VALUE"""),1954.33)</f>
        <v>1954.33</v>
      </c>
      <c r="C106" s="3">
        <f ca="1">IFERROR(__xludf.DUMMYFUNCTION("""COMPUTED_VALUE"""),1989.17)</f>
        <v>1989.17</v>
      </c>
      <c r="D106" s="3">
        <f ca="1">IFERROR(__xludf.DUMMYFUNCTION("""COMPUTED_VALUE"""),1954.33)</f>
        <v>1954.33</v>
      </c>
      <c r="E106" s="3">
        <f ca="1">IFERROR(__xludf.DUMMYFUNCTION("""COMPUTED_VALUE"""),1987.05)</f>
        <v>1987.05</v>
      </c>
      <c r="F106" s="3">
        <f ca="1">IFERROR(__xludf.DUMMYFUNCTION("""COMPUTED_VALUE"""),0)</f>
        <v>0</v>
      </c>
    </row>
    <row r="107" spans="1:6" ht="13" x14ac:dyDescent="0.15">
      <c r="A107" s="4">
        <f ca="1">IFERROR(__xludf.DUMMYFUNCTION("""COMPUTED_VALUE"""),42283.6666666666)</f>
        <v>42283.666666666599</v>
      </c>
      <c r="B107" s="3">
        <f ca="1">IFERROR(__xludf.DUMMYFUNCTION("""COMPUTED_VALUE"""),1986.63)</f>
        <v>1986.63</v>
      </c>
      <c r="C107" s="3">
        <f ca="1">IFERROR(__xludf.DUMMYFUNCTION("""COMPUTED_VALUE"""),1991.62)</f>
        <v>1991.62</v>
      </c>
      <c r="D107" s="3">
        <f ca="1">IFERROR(__xludf.DUMMYFUNCTION("""COMPUTED_VALUE"""),1971.99)</f>
        <v>1971.99</v>
      </c>
      <c r="E107" s="3">
        <f ca="1">IFERROR(__xludf.DUMMYFUNCTION("""COMPUTED_VALUE"""),1979.92)</f>
        <v>1979.92</v>
      </c>
      <c r="F107" s="3">
        <f ca="1">IFERROR(__xludf.DUMMYFUNCTION("""COMPUTED_VALUE"""),0)</f>
        <v>0</v>
      </c>
    </row>
    <row r="108" spans="1:6" ht="13" x14ac:dyDescent="0.15">
      <c r="A108" s="4">
        <f ca="1">IFERROR(__xludf.DUMMYFUNCTION("""COMPUTED_VALUE"""),42284.6666666666)</f>
        <v>42284.666666666599</v>
      </c>
      <c r="B108" s="3">
        <f ca="1">IFERROR(__xludf.DUMMYFUNCTION("""COMPUTED_VALUE"""),1982.34)</f>
        <v>1982.34</v>
      </c>
      <c r="C108" s="3">
        <f ca="1">IFERROR(__xludf.DUMMYFUNCTION("""COMPUTED_VALUE"""),1999.31)</f>
        <v>1999.31</v>
      </c>
      <c r="D108" s="3">
        <f ca="1">IFERROR(__xludf.DUMMYFUNCTION("""COMPUTED_VALUE"""),1976.44)</f>
        <v>1976.44</v>
      </c>
      <c r="E108" s="3">
        <f ca="1">IFERROR(__xludf.DUMMYFUNCTION("""COMPUTED_VALUE"""),1995.83)</f>
        <v>1995.83</v>
      </c>
      <c r="F108" s="3">
        <f ca="1">IFERROR(__xludf.DUMMYFUNCTION("""COMPUTED_VALUE"""),0)</f>
        <v>0</v>
      </c>
    </row>
    <row r="109" spans="1:6" ht="13" x14ac:dyDescent="0.15">
      <c r="A109" s="4">
        <f ca="1">IFERROR(__xludf.DUMMYFUNCTION("""COMPUTED_VALUE"""),42285.6666666666)</f>
        <v>42285.666666666599</v>
      </c>
      <c r="B109" s="3">
        <f ca="1">IFERROR(__xludf.DUMMYFUNCTION("""COMPUTED_VALUE"""),1994.01)</f>
        <v>1994.01</v>
      </c>
      <c r="C109" s="3">
        <f ca="1">IFERROR(__xludf.DUMMYFUNCTION("""COMPUTED_VALUE"""),2016.5)</f>
        <v>2016.5</v>
      </c>
      <c r="D109" s="3">
        <f ca="1">IFERROR(__xludf.DUMMYFUNCTION("""COMPUTED_VALUE"""),1987.53)</f>
        <v>1987.53</v>
      </c>
      <c r="E109" s="3">
        <f ca="1">IFERROR(__xludf.DUMMYFUNCTION("""COMPUTED_VALUE"""),2013.43)</f>
        <v>2013.43</v>
      </c>
      <c r="F109" s="3">
        <f ca="1">IFERROR(__xludf.DUMMYFUNCTION("""COMPUTED_VALUE"""),0)</f>
        <v>0</v>
      </c>
    </row>
    <row r="110" spans="1:6" ht="13" x14ac:dyDescent="0.15">
      <c r="A110" s="4">
        <f ca="1">IFERROR(__xludf.DUMMYFUNCTION("""COMPUTED_VALUE"""),42286.6666666666)</f>
        <v>42286.666666666599</v>
      </c>
      <c r="B110" s="3">
        <f ca="1">IFERROR(__xludf.DUMMYFUNCTION("""COMPUTED_VALUE"""),2013.73)</f>
        <v>2013.73</v>
      </c>
      <c r="C110" s="3">
        <f ca="1">IFERROR(__xludf.DUMMYFUNCTION("""COMPUTED_VALUE"""),2020.13)</f>
        <v>2020.13</v>
      </c>
      <c r="D110" s="3">
        <f ca="1">IFERROR(__xludf.DUMMYFUNCTION("""COMPUTED_VALUE"""),2007.61)</f>
        <v>2007.61</v>
      </c>
      <c r="E110" s="3">
        <f ca="1">IFERROR(__xludf.DUMMYFUNCTION("""COMPUTED_VALUE"""),2014.89)</f>
        <v>2014.89</v>
      </c>
      <c r="F110" s="3">
        <f ca="1">IFERROR(__xludf.DUMMYFUNCTION("""COMPUTED_VALUE"""),0)</f>
        <v>0</v>
      </c>
    </row>
    <row r="111" spans="1:6" ht="13" x14ac:dyDescent="0.15">
      <c r="A111" s="4">
        <f ca="1">IFERROR(__xludf.DUMMYFUNCTION("""COMPUTED_VALUE"""),42289.6666666666)</f>
        <v>42289.666666666599</v>
      </c>
      <c r="B111" s="3">
        <f ca="1">IFERROR(__xludf.DUMMYFUNCTION("""COMPUTED_VALUE"""),2015.65)</f>
        <v>2015.65</v>
      </c>
      <c r="C111" s="3">
        <f ca="1">IFERROR(__xludf.DUMMYFUNCTION("""COMPUTED_VALUE"""),2018.66)</f>
        <v>2018.66</v>
      </c>
      <c r="D111" s="3">
        <f ca="1">IFERROR(__xludf.DUMMYFUNCTION("""COMPUTED_VALUE"""),2010.55)</f>
        <v>2010.55</v>
      </c>
      <c r="E111" s="3">
        <f ca="1">IFERROR(__xludf.DUMMYFUNCTION("""COMPUTED_VALUE"""),2017.46)</f>
        <v>2017.46</v>
      </c>
      <c r="F111" s="3">
        <f ca="1">IFERROR(__xludf.DUMMYFUNCTION("""COMPUTED_VALUE"""),0)</f>
        <v>0</v>
      </c>
    </row>
    <row r="112" spans="1:6" ht="13" x14ac:dyDescent="0.15">
      <c r="A112" s="4">
        <f ca="1">IFERROR(__xludf.DUMMYFUNCTION("""COMPUTED_VALUE"""),42290.6666666666)</f>
        <v>42290.666666666599</v>
      </c>
      <c r="B112" s="3">
        <f ca="1">IFERROR(__xludf.DUMMYFUNCTION("""COMPUTED_VALUE"""),2015)</f>
        <v>2015</v>
      </c>
      <c r="C112" s="3">
        <f ca="1">IFERROR(__xludf.DUMMYFUNCTION("""COMPUTED_VALUE"""),2022.34)</f>
        <v>2022.34</v>
      </c>
      <c r="D112" s="3">
        <f ca="1">IFERROR(__xludf.DUMMYFUNCTION("""COMPUTED_VALUE"""),2001.78)</f>
        <v>2001.78</v>
      </c>
      <c r="E112" s="3">
        <f ca="1">IFERROR(__xludf.DUMMYFUNCTION("""COMPUTED_VALUE"""),2003.69)</f>
        <v>2003.69</v>
      </c>
      <c r="F112" s="3">
        <f ca="1">IFERROR(__xludf.DUMMYFUNCTION("""COMPUTED_VALUE"""),0)</f>
        <v>0</v>
      </c>
    </row>
    <row r="113" spans="1:6" ht="13" x14ac:dyDescent="0.15">
      <c r="A113" s="4">
        <f ca="1">IFERROR(__xludf.DUMMYFUNCTION("""COMPUTED_VALUE"""),42291.6666666666)</f>
        <v>42291.666666666599</v>
      </c>
      <c r="B113" s="3">
        <f ca="1">IFERROR(__xludf.DUMMYFUNCTION("""COMPUTED_VALUE"""),2003.66)</f>
        <v>2003.66</v>
      </c>
      <c r="C113" s="3">
        <f ca="1">IFERROR(__xludf.DUMMYFUNCTION("""COMPUTED_VALUE"""),2009.56)</f>
        <v>2009.56</v>
      </c>
      <c r="D113" s="3">
        <f ca="1">IFERROR(__xludf.DUMMYFUNCTION("""COMPUTED_VALUE"""),1990.73)</f>
        <v>1990.73</v>
      </c>
      <c r="E113" s="3">
        <f ca="1">IFERROR(__xludf.DUMMYFUNCTION("""COMPUTED_VALUE"""),1994.24)</f>
        <v>1994.24</v>
      </c>
      <c r="F113" s="3">
        <f ca="1">IFERROR(__xludf.DUMMYFUNCTION("""COMPUTED_VALUE"""),0)</f>
        <v>0</v>
      </c>
    </row>
    <row r="114" spans="1:6" ht="13" x14ac:dyDescent="0.15">
      <c r="A114" s="4">
        <f ca="1">IFERROR(__xludf.DUMMYFUNCTION("""COMPUTED_VALUE"""),42292.6666666666)</f>
        <v>42292.666666666599</v>
      </c>
      <c r="B114" s="3">
        <f ca="1">IFERROR(__xludf.DUMMYFUNCTION("""COMPUTED_VALUE"""),1996.47)</f>
        <v>1996.47</v>
      </c>
      <c r="C114" s="3">
        <f ca="1">IFERROR(__xludf.DUMMYFUNCTION("""COMPUTED_VALUE"""),2024.15)</f>
        <v>2024.15</v>
      </c>
      <c r="D114" s="3">
        <f ca="1">IFERROR(__xludf.DUMMYFUNCTION("""COMPUTED_VALUE"""),1996.47)</f>
        <v>1996.47</v>
      </c>
      <c r="E114" s="3">
        <f ca="1">IFERROR(__xludf.DUMMYFUNCTION("""COMPUTED_VALUE"""),2023.86)</f>
        <v>2023.86</v>
      </c>
      <c r="F114" s="3">
        <f ca="1">IFERROR(__xludf.DUMMYFUNCTION("""COMPUTED_VALUE"""),0)</f>
        <v>0</v>
      </c>
    </row>
    <row r="115" spans="1:6" ht="13" x14ac:dyDescent="0.15">
      <c r="A115" s="4">
        <f ca="1">IFERROR(__xludf.DUMMYFUNCTION("""COMPUTED_VALUE"""),42293.6666666666)</f>
        <v>42293.666666666599</v>
      </c>
      <c r="B115" s="3">
        <f ca="1">IFERROR(__xludf.DUMMYFUNCTION("""COMPUTED_VALUE"""),2024.37)</f>
        <v>2024.37</v>
      </c>
      <c r="C115" s="3">
        <f ca="1">IFERROR(__xludf.DUMMYFUNCTION("""COMPUTED_VALUE"""),2033.54)</f>
        <v>2033.54</v>
      </c>
      <c r="D115" s="3">
        <f ca="1">IFERROR(__xludf.DUMMYFUNCTION("""COMPUTED_VALUE"""),2020.46)</f>
        <v>2020.46</v>
      </c>
      <c r="E115" s="3">
        <f ca="1">IFERROR(__xludf.DUMMYFUNCTION("""COMPUTED_VALUE"""),2033.11)</f>
        <v>2033.11</v>
      </c>
      <c r="F115" s="3">
        <f ca="1">IFERROR(__xludf.DUMMYFUNCTION("""COMPUTED_VALUE"""),0)</f>
        <v>0</v>
      </c>
    </row>
    <row r="116" spans="1:6" ht="13" x14ac:dyDescent="0.15">
      <c r="A116" s="4">
        <f ca="1">IFERROR(__xludf.DUMMYFUNCTION("""COMPUTED_VALUE"""),42296.6666666666)</f>
        <v>42296.666666666599</v>
      </c>
      <c r="B116" s="3">
        <f ca="1">IFERROR(__xludf.DUMMYFUNCTION("""COMPUTED_VALUE"""),2031.73)</f>
        <v>2031.73</v>
      </c>
      <c r="C116" s="3">
        <f ca="1">IFERROR(__xludf.DUMMYFUNCTION("""COMPUTED_VALUE"""),2034.45)</f>
        <v>2034.45</v>
      </c>
      <c r="D116" s="3">
        <f ca="1">IFERROR(__xludf.DUMMYFUNCTION("""COMPUTED_VALUE"""),2022.31)</f>
        <v>2022.31</v>
      </c>
      <c r="E116" s="3">
        <f ca="1">IFERROR(__xludf.DUMMYFUNCTION("""COMPUTED_VALUE"""),2033.66)</f>
        <v>2033.66</v>
      </c>
      <c r="F116" s="3">
        <f ca="1">IFERROR(__xludf.DUMMYFUNCTION("""COMPUTED_VALUE"""),0)</f>
        <v>0</v>
      </c>
    </row>
    <row r="117" spans="1:6" ht="13" x14ac:dyDescent="0.15">
      <c r="A117" s="4">
        <f ca="1">IFERROR(__xludf.DUMMYFUNCTION("""COMPUTED_VALUE"""),42297.6666666666)</f>
        <v>42297.666666666599</v>
      </c>
      <c r="B117" s="3">
        <f ca="1">IFERROR(__xludf.DUMMYFUNCTION("""COMPUTED_VALUE"""),2033.13)</f>
        <v>2033.13</v>
      </c>
      <c r="C117" s="3">
        <f ca="1">IFERROR(__xludf.DUMMYFUNCTION("""COMPUTED_VALUE"""),2039.12)</f>
        <v>2039.12</v>
      </c>
      <c r="D117" s="3">
        <f ca="1">IFERROR(__xludf.DUMMYFUNCTION("""COMPUTED_VALUE"""),2026.61)</f>
        <v>2026.61</v>
      </c>
      <c r="E117" s="3">
        <f ca="1">IFERROR(__xludf.DUMMYFUNCTION("""COMPUTED_VALUE"""),2030.77)</f>
        <v>2030.77</v>
      </c>
      <c r="F117" s="3">
        <f ca="1">IFERROR(__xludf.DUMMYFUNCTION("""COMPUTED_VALUE"""),0)</f>
        <v>0</v>
      </c>
    </row>
    <row r="118" spans="1:6" ht="13" x14ac:dyDescent="0.15">
      <c r="A118" s="4">
        <f ca="1">IFERROR(__xludf.DUMMYFUNCTION("""COMPUTED_VALUE"""),42298.6666666666)</f>
        <v>42298.666666666599</v>
      </c>
      <c r="B118" s="3">
        <f ca="1">IFERROR(__xludf.DUMMYFUNCTION("""COMPUTED_VALUE"""),2033.47)</f>
        <v>2033.47</v>
      </c>
      <c r="C118" s="3">
        <f ca="1">IFERROR(__xludf.DUMMYFUNCTION("""COMPUTED_VALUE"""),2037.97)</f>
        <v>2037.97</v>
      </c>
      <c r="D118" s="3">
        <f ca="1">IFERROR(__xludf.DUMMYFUNCTION("""COMPUTED_VALUE"""),2017.22)</f>
        <v>2017.22</v>
      </c>
      <c r="E118" s="3">
        <f ca="1">IFERROR(__xludf.DUMMYFUNCTION("""COMPUTED_VALUE"""),2018.94)</f>
        <v>2018.94</v>
      </c>
      <c r="F118" s="3">
        <f ca="1">IFERROR(__xludf.DUMMYFUNCTION("""COMPUTED_VALUE"""),0)</f>
        <v>0</v>
      </c>
    </row>
    <row r="119" spans="1:6" ht="13" x14ac:dyDescent="0.15">
      <c r="A119" s="4">
        <f ca="1">IFERROR(__xludf.DUMMYFUNCTION("""COMPUTED_VALUE"""),42299.6666666666)</f>
        <v>42299.666666666599</v>
      </c>
      <c r="B119" s="3">
        <f ca="1">IFERROR(__xludf.DUMMYFUNCTION("""COMPUTED_VALUE"""),2021.88)</f>
        <v>2021.88</v>
      </c>
      <c r="C119" s="3">
        <f ca="1">IFERROR(__xludf.DUMMYFUNCTION("""COMPUTED_VALUE"""),2055.2)</f>
        <v>2055.1999999999998</v>
      </c>
      <c r="D119" s="3">
        <f ca="1">IFERROR(__xludf.DUMMYFUNCTION("""COMPUTED_VALUE"""),2021.88)</f>
        <v>2021.88</v>
      </c>
      <c r="E119" s="3">
        <f ca="1">IFERROR(__xludf.DUMMYFUNCTION("""COMPUTED_VALUE"""),2052.51)</f>
        <v>2052.5100000000002</v>
      </c>
      <c r="F119" s="3">
        <f ca="1">IFERROR(__xludf.DUMMYFUNCTION("""COMPUTED_VALUE"""),0)</f>
        <v>0</v>
      </c>
    </row>
    <row r="120" spans="1:6" ht="13" x14ac:dyDescent="0.15">
      <c r="A120" s="4">
        <f ca="1">IFERROR(__xludf.DUMMYFUNCTION("""COMPUTED_VALUE"""),42300.6666666666)</f>
        <v>42300.666666666599</v>
      </c>
      <c r="B120" s="3">
        <f ca="1">IFERROR(__xludf.DUMMYFUNCTION("""COMPUTED_VALUE"""),2058.19)</f>
        <v>2058.19</v>
      </c>
      <c r="C120" s="3">
        <f ca="1">IFERROR(__xludf.DUMMYFUNCTION("""COMPUTED_VALUE"""),2079.74)</f>
        <v>2079.7399999999998</v>
      </c>
      <c r="D120" s="3">
        <f ca="1">IFERROR(__xludf.DUMMYFUNCTION("""COMPUTED_VALUE"""),2058.19)</f>
        <v>2058.19</v>
      </c>
      <c r="E120" s="3">
        <f ca="1">IFERROR(__xludf.DUMMYFUNCTION("""COMPUTED_VALUE"""),2075.15)</f>
        <v>2075.15</v>
      </c>
      <c r="F120" s="3">
        <f ca="1">IFERROR(__xludf.DUMMYFUNCTION("""COMPUTED_VALUE"""),0)</f>
        <v>0</v>
      </c>
    </row>
    <row r="121" spans="1:6" ht="13" x14ac:dyDescent="0.15">
      <c r="A121" s="4">
        <f ca="1">IFERROR(__xludf.DUMMYFUNCTION("""COMPUTED_VALUE"""),42303.6666666666)</f>
        <v>42303.666666666599</v>
      </c>
      <c r="B121" s="3">
        <f ca="1">IFERROR(__xludf.DUMMYFUNCTION("""COMPUTED_VALUE"""),2075.08)</f>
        <v>2075.08</v>
      </c>
      <c r="C121" s="3">
        <f ca="1">IFERROR(__xludf.DUMMYFUNCTION("""COMPUTED_VALUE"""),2075.14)</f>
        <v>2075.14</v>
      </c>
      <c r="D121" s="3">
        <f ca="1">IFERROR(__xludf.DUMMYFUNCTION("""COMPUTED_VALUE"""),2066.53)</f>
        <v>2066.5300000000002</v>
      </c>
      <c r="E121" s="3">
        <f ca="1">IFERROR(__xludf.DUMMYFUNCTION("""COMPUTED_VALUE"""),2071.18)</f>
        <v>2071.1799999999998</v>
      </c>
      <c r="F121" s="3">
        <f ca="1">IFERROR(__xludf.DUMMYFUNCTION("""COMPUTED_VALUE"""),0)</f>
        <v>0</v>
      </c>
    </row>
    <row r="122" spans="1:6" ht="13" x14ac:dyDescent="0.15">
      <c r="A122" s="4">
        <f ca="1">IFERROR(__xludf.DUMMYFUNCTION("""COMPUTED_VALUE"""),42304.6666666666)</f>
        <v>42304.666666666599</v>
      </c>
      <c r="B122" s="3">
        <f ca="1">IFERROR(__xludf.DUMMYFUNCTION("""COMPUTED_VALUE"""),2068.75)</f>
        <v>2068.75</v>
      </c>
      <c r="C122" s="3">
        <f ca="1">IFERROR(__xludf.DUMMYFUNCTION("""COMPUTED_VALUE"""),2070.37)</f>
        <v>2070.37</v>
      </c>
      <c r="D122" s="3">
        <f ca="1">IFERROR(__xludf.DUMMYFUNCTION("""COMPUTED_VALUE"""),2058.84)</f>
        <v>2058.84</v>
      </c>
      <c r="E122" s="3">
        <f ca="1">IFERROR(__xludf.DUMMYFUNCTION("""COMPUTED_VALUE"""),2065.89)</f>
        <v>2065.89</v>
      </c>
      <c r="F122" s="3">
        <f ca="1">IFERROR(__xludf.DUMMYFUNCTION("""COMPUTED_VALUE"""),0)</f>
        <v>0</v>
      </c>
    </row>
    <row r="123" spans="1:6" ht="13" x14ac:dyDescent="0.15">
      <c r="A123" s="4">
        <f ca="1">IFERROR(__xludf.DUMMYFUNCTION("""COMPUTED_VALUE"""),42305.6666666666)</f>
        <v>42305.666666666599</v>
      </c>
      <c r="B123" s="3">
        <f ca="1">IFERROR(__xludf.DUMMYFUNCTION("""COMPUTED_VALUE"""),2066.48)</f>
        <v>2066.48</v>
      </c>
      <c r="C123" s="3">
        <f ca="1">IFERROR(__xludf.DUMMYFUNCTION("""COMPUTED_VALUE"""),2090.35)</f>
        <v>2090.35</v>
      </c>
      <c r="D123" s="3">
        <f ca="1">IFERROR(__xludf.DUMMYFUNCTION("""COMPUTED_VALUE"""),2063.11)</f>
        <v>2063.11</v>
      </c>
      <c r="E123" s="3">
        <f ca="1">IFERROR(__xludf.DUMMYFUNCTION("""COMPUTED_VALUE"""),2090.35)</f>
        <v>2090.35</v>
      </c>
      <c r="F123" s="3">
        <f ca="1">IFERROR(__xludf.DUMMYFUNCTION("""COMPUTED_VALUE"""),0)</f>
        <v>0</v>
      </c>
    </row>
    <row r="124" spans="1:6" ht="13" x14ac:dyDescent="0.15">
      <c r="A124" s="4">
        <f ca="1">IFERROR(__xludf.DUMMYFUNCTION("""COMPUTED_VALUE"""),42306.6666666666)</f>
        <v>42306.666666666599</v>
      </c>
      <c r="B124" s="3">
        <f ca="1">IFERROR(__xludf.DUMMYFUNCTION("""COMPUTED_VALUE"""),2088.35)</f>
        <v>2088.35</v>
      </c>
      <c r="C124" s="3">
        <f ca="1">IFERROR(__xludf.DUMMYFUNCTION("""COMPUTED_VALUE"""),2092.52)</f>
        <v>2092.52</v>
      </c>
      <c r="D124" s="3">
        <f ca="1">IFERROR(__xludf.DUMMYFUNCTION("""COMPUTED_VALUE"""),2082.63)</f>
        <v>2082.63</v>
      </c>
      <c r="E124" s="3">
        <f ca="1">IFERROR(__xludf.DUMMYFUNCTION("""COMPUTED_VALUE"""),2089.41)</f>
        <v>2089.41</v>
      </c>
      <c r="F124" s="3">
        <f ca="1">IFERROR(__xludf.DUMMYFUNCTION("""COMPUTED_VALUE"""),0)</f>
        <v>0</v>
      </c>
    </row>
    <row r="125" spans="1:6" ht="13" x14ac:dyDescent="0.15">
      <c r="A125" s="4">
        <f ca="1">IFERROR(__xludf.DUMMYFUNCTION("""COMPUTED_VALUE"""),42307.6666666666)</f>
        <v>42307.666666666599</v>
      </c>
      <c r="B125" s="3">
        <f ca="1">IFERROR(__xludf.DUMMYFUNCTION("""COMPUTED_VALUE"""),2090)</f>
        <v>2090</v>
      </c>
      <c r="C125" s="3">
        <f ca="1">IFERROR(__xludf.DUMMYFUNCTION("""COMPUTED_VALUE"""),2094.32)</f>
        <v>2094.3200000000002</v>
      </c>
      <c r="D125" s="3">
        <f ca="1">IFERROR(__xludf.DUMMYFUNCTION("""COMPUTED_VALUE"""),2079.34)</f>
        <v>2079.34</v>
      </c>
      <c r="E125" s="3">
        <f ca="1">IFERROR(__xludf.DUMMYFUNCTION("""COMPUTED_VALUE"""),2079.36)</f>
        <v>2079.36</v>
      </c>
      <c r="F125" s="3">
        <f ca="1">IFERROR(__xludf.DUMMYFUNCTION("""COMPUTED_VALUE"""),0)</f>
        <v>0</v>
      </c>
    </row>
    <row r="126" spans="1:6" ht="13" x14ac:dyDescent="0.15">
      <c r="A126" s="4">
        <f ca="1">IFERROR(__xludf.DUMMYFUNCTION("""COMPUTED_VALUE"""),42310.6666666666)</f>
        <v>42310.666666666599</v>
      </c>
      <c r="B126" s="3">
        <f ca="1">IFERROR(__xludf.DUMMYFUNCTION("""COMPUTED_VALUE"""),2080.76)</f>
        <v>2080.7600000000002</v>
      </c>
      <c r="C126" s="3">
        <f ca="1">IFERROR(__xludf.DUMMYFUNCTION("""COMPUTED_VALUE"""),2106.2)</f>
        <v>2106.1999999999998</v>
      </c>
      <c r="D126" s="3">
        <f ca="1">IFERROR(__xludf.DUMMYFUNCTION("""COMPUTED_VALUE"""),2080.76)</f>
        <v>2080.7600000000002</v>
      </c>
      <c r="E126" s="3">
        <f ca="1">IFERROR(__xludf.DUMMYFUNCTION("""COMPUTED_VALUE"""),2104.05)</f>
        <v>2104.0500000000002</v>
      </c>
      <c r="F126" s="3">
        <f ca="1">IFERROR(__xludf.DUMMYFUNCTION("""COMPUTED_VALUE"""),0)</f>
        <v>0</v>
      </c>
    </row>
    <row r="127" spans="1:6" ht="13" x14ac:dyDescent="0.15">
      <c r="A127" s="4">
        <f ca="1">IFERROR(__xludf.DUMMYFUNCTION("""COMPUTED_VALUE"""),42311.6666666666)</f>
        <v>42311.666666666599</v>
      </c>
      <c r="B127" s="3">
        <f ca="1">IFERROR(__xludf.DUMMYFUNCTION("""COMPUTED_VALUE"""),2102.63)</f>
        <v>2102.63</v>
      </c>
      <c r="C127" s="3">
        <f ca="1">IFERROR(__xludf.DUMMYFUNCTION("""COMPUTED_VALUE"""),2116.48)</f>
        <v>2116.48</v>
      </c>
      <c r="D127" s="3">
        <f ca="1">IFERROR(__xludf.DUMMYFUNCTION("""COMPUTED_VALUE"""),2097.51)</f>
        <v>2097.5100000000002</v>
      </c>
      <c r="E127" s="3">
        <f ca="1">IFERROR(__xludf.DUMMYFUNCTION("""COMPUTED_VALUE"""),2109.79)</f>
        <v>2109.79</v>
      </c>
      <c r="F127" s="3">
        <f ca="1">IFERROR(__xludf.DUMMYFUNCTION("""COMPUTED_VALUE"""),0)</f>
        <v>0</v>
      </c>
    </row>
    <row r="128" spans="1:6" ht="13" x14ac:dyDescent="0.15">
      <c r="A128" s="4">
        <f ca="1">IFERROR(__xludf.DUMMYFUNCTION("""COMPUTED_VALUE"""),42312.6666666666)</f>
        <v>42312.666666666599</v>
      </c>
      <c r="B128" s="3">
        <f ca="1">IFERROR(__xludf.DUMMYFUNCTION("""COMPUTED_VALUE"""),2110.6)</f>
        <v>2110.6</v>
      </c>
      <c r="C128" s="3">
        <f ca="1">IFERROR(__xludf.DUMMYFUNCTION("""COMPUTED_VALUE"""),2114.59)</f>
        <v>2114.59</v>
      </c>
      <c r="D128" s="3">
        <f ca="1">IFERROR(__xludf.DUMMYFUNCTION("""COMPUTED_VALUE"""),2096.98)</f>
        <v>2096.98</v>
      </c>
      <c r="E128" s="3">
        <f ca="1">IFERROR(__xludf.DUMMYFUNCTION("""COMPUTED_VALUE"""),2102.31)</f>
        <v>2102.31</v>
      </c>
      <c r="F128" s="3">
        <f ca="1">IFERROR(__xludf.DUMMYFUNCTION("""COMPUTED_VALUE"""),0)</f>
        <v>0</v>
      </c>
    </row>
    <row r="129" spans="1:6" ht="13" x14ac:dyDescent="0.15">
      <c r="A129" s="4">
        <f ca="1">IFERROR(__xludf.DUMMYFUNCTION("""COMPUTED_VALUE"""),42313.6666666666)</f>
        <v>42313.666666666599</v>
      </c>
      <c r="B129" s="3">
        <f ca="1">IFERROR(__xludf.DUMMYFUNCTION("""COMPUTED_VALUE"""),2101.68)</f>
        <v>2101.6799999999998</v>
      </c>
      <c r="C129" s="3">
        <f ca="1">IFERROR(__xludf.DUMMYFUNCTION("""COMPUTED_VALUE"""),2108.78)</f>
        <v>2108.7800000000002</v>
      </c>
      <c r="D129" s="3">
        <f ca="1">IFERROR(__xludf.DUMMYFUNCTION("""COMPUTED_VALUE"""),2090.41)</f>
        <v>2090.41</v>
      </c>
      <c r="E129" s="3">
        <f ca="1">IFERROR(__xludf.DUMMYFUNCTION("""COMPUTED_VALUE"""),2099.93)</f>
        <v>2099.9299999999998</v>
      </c>
      <c r="F129" s="3">
        <f ca="1">IFERROR(__xludf.DUMMYFUNCTION("""COMPUTED_VALUE"""),0)</f>
        <v>0</v>
      </c>
    </row>
    <row r="130" spans="1:6" ht="13" x14ac:dyDescent="0.15">
      <c r="A130" s="4">
        <f ca="1">IFERROR(__xludf.DUMMYFUNCTION("""COMPUTED_VALUE"""),42314.6666666666)</f>
        <v>42314.666666666599</v>
      </c>
      <c r="B130" s="3">
        <f ca="1">IFERROR(__xludf.DUMMYFUNCTION("""COMPUTED_VALUE"""),2098.6)</f>
        <v>2098.6</v>
      </c>
      <c r="C130" s="3">
        <f ca="1">IFERROR(__xludf.DUMMYFUNCTION("""COMPUTED_VALUE"""),2101.91)</f>
        <v>2101.91</v>
      </c>
      <c r="D130" s="3">
        <f ca="1">IFERROR(__xludf.DUMMYFUNCTION("""COMPUTED_VALUE"""),2083.74)</f>
        <v>2083.7399999999998</v>
      </c>
      <c r="E130" s="3">
        <f ca="1">IFERROR(__xludf.DUMMYFUNCTION("""COMPUTED_VALUE"""),2099.2)</f>
        <v>2099.1999999999998</v>
      </c>
      <c r="F130" s="3">
        <f ca="1">IFERROR(__xludf.DUMMYFUNCTION("""COMPUTED_VALUE"""),0)</f>
        <v>0</v>
      </c>
    </row>
    <row r="131" spans="1:6" ht="13" x14ac:dyDescent="0.15">
      <c r="A131" s="4">
        <f ca="1">IFERROR(__xludf.DUMMYFUNCTION("""COMPUTED_VALUE"""),42317.6666666666)</f>
        <v>42317.666666666599</v>
      </c>
      <c r="B131" s="3">
        <f ca="1">IFERROR(__xludf.DUMMYFUNCTION("""COMPUTED_VALUE"""),2096.56)</f>
        <v>2096.56</v>
      </c>
      <c r="C131" s="3">
        <f ca="1">IFERROR(__xludf.DUMMYFUNCTION("""COMPUTED_VALUE"""),2096.56)</f>
        <v>2096.56</v>
      </c>
      <c r="D131" s="3">
        <f ca="1">IFERROR(__xludf.DUMMYFUNCTION("""COMPUTED_VALUE"""),2068.24)</f>
        <v>2068.2399999999998</v>
      </c>
      <c r="E131" s="3">
        <f ca="1">IFERROR(__xludf.DUMMYFUNCTION("""COMPUTED_VALUE"""),2078.58)</f>
        <v>2078.58</v>
      </c>
      <c r="F131" s="3">
        <f ca="1">IFERROR(__xludf.DUMMYFUNCTION("""COMPUTED_VALUE"""),0)</f>
        <v>0</v>
      </c>
    </row>
    <row r="132" spans="1:6" ht="13" x14ac:dyDescent="0.15">
      <c r="A132" s="4">
        <f ca="1">IFERROR(__xludf.DUMMYFUNCTION("""COMPUTED_VALUE"""),42318.6666666666)</f>
        <v>42318.666666666599</v>
      </c>
      <c r="B132" s="3">
        <f ca="1">IFERROR(__xludf.DUMMYFUNCTION("""COMPUTED_VALUE"""),2077.19)</f>
        <v>2077.19</v>
      </c>
      <c r="C132" s="3">
        <f ca="1">IFERROR(__xludf.DUMMYFUNCTION("""COMPUTED_VALUE"""),2083.67)</f>
        <v>2083.67</v>
      </c>
      <c r="D132" s="3">
        <f ca="1">IFERROR(__xludf.DUMMYFUNCTION("""COMPUTED_VALUE"""),2069.91)</f>
        <v>2069.91</v>
      </c>
      <c r="E132" s="3">
        <f ca="1">IFERROR(__xludf.DUMMYFUNCTION("""COMPUTED_VALUE"""),2081.72)</f>
        <v>2081.7199999999998</v>
      </c>
      <c r="F132" s="3">
        <f ca="1">IFERROR(__xludf.DUMMYFUNCTION("""COMPUTED_VALUE"""),0)</f>
        <v>0</v>
      </c>
    </row>
    <row r="133" spans="1:6" ht="13" x14ac:dyDescent="0.15">
      <c r="A133" s="4">
        <f ca="1">IFERROR(__xludf.DUMMYFUNCTION("""COMPUTED_VALUE"""),42319.6666666666)</f>
        <v>42319.666666666599</v>
      </c>
      <c r="B133" s="3">
        <f ca="1">IFERROR(__xludf.DUMMYFUNCTION("""COMPUTED_VALUE"""),2083.41)</f>
        <v>2083.41</v>
      </c>
      <c r="C133" s="3">
        <f ca="1">IFERROR(__xludf.DUMMYFUNCTION("""COMPUTED_VALUE"""),2086.94)</f>
        <v>2086.94</v>
      </c>
      <c r="D133" s="3">
        <f ca="1">IFERROR(__xludf.DUMMYFUNCTION("""COMPUTED_VALUE"""),2074.85)</f>
        <v>2074.85</v>
      </c>
      <c r="E133" s="3">
        <f ca="1">IFERROR(__xludf.DUMMYFUNCTION("""COMPUTED_VALUE"""),2075)</f>
        <v>2075</v>
      </c>
      <c r="F133" s="3">
        <f ca="1">IFERROR(__xludf.DUMMYFUNCTION("""COMPUTED_VALUE"""),0)</f>
        <v>0</v>
      </c>
    </row>
    <row r="134" spans="1:6" ht="13" x14ac:dyDescent="0.15">
      <c r="A134" s="4">
        <f ca="1">IFERROR(__xludf.DUMMYFUNCTION("""COMPUTED_VALUE"""),42320.6666666666)</f>
        <v>42320.666666666599</v>
      </c>
      <c r="B134" s="3">
        <f ca="1">IFERROR(__xludf.DUMMYFUNCTION("""COMPUTED_VALUE"""),2072.29)</f>
        <v>2072.29</v>
      </c>
      <c r="C134" s="3">
        <f ca="1">IFERROR(__xludf.DUMMYFUNCTION("""COMPUTED_VALUE"""),2072.29)</f>
        <v>2072.29</v>
      </c>
      <c r="D134" s="3">
        <f ca="1">IFERROR(__xludf.DUMMYFUNCTION("""COMPUTED_VALUE"""),2045.66)</f>
        <v>2045.66</v>
      </c>
      <c r="E134" s="3">
        <f ca="1">IFERROR(__xludf.DUMMYFUNCTION("""COMPUTED_VALUE"""),2045.97)</f>
        <v>2045.97</v>
      </c>
      <c r="F134" s="3">
        <f ca="1">IFERROR(__xludf.DUMMYFUNCTION("""COMPUTED_VALUE"""),0)</f>
        <v>0</v>
      </c>
    </row>
    <row r="135" spans="1:6" ht="13" x14ac:dyDescent="0.15">
      <c r="A135" s="4">
        <f ca="1">IFERROR(__xludf.DUMMYFUNCTION("""COMPUTED_VALUE"""),42321.6666666666)</f>
        <v>42321.666666666599</v>
      </c>
      <c r="B135" s="3">
        <f ca="1">IFERROR(__xludf.DUMMYFUNCTION("""COMPUTED_VALUE"""),2044.64)</f>
        <v>2044.64</v>
      </c>
      <c r="C135" s="3">
        <f ca="1">IFERROR(__xludf.DUMMYFUNCTION("""COMPUTED_VALUE"""),2044.64)</f>
        <v>2044.64</v>
      </c>
      <c r="D135" s="3">
        <f ca="1">IFERROR(__xludf.DUMMYFUNCTION("""COMPUTED_VALUE"""),2022.02)</f>
        <v>2022.02</v>
      </c>
      <c r="E135" s="3">
        <f ca="1">IFERROR(__xludf.DUMMYFUNCTION("""COMPUTED_VALUE"""),2023.04)</f>
        <v>2023.04</v>
      </c>
      <c r="F135" s="3">
        <f ca="1">IFERROR(__xludf.DUMMYFUNCTION("""COMPUTED_VALUE"""),0)</f>
        <v>0</v>
      </c>
    </row>
    <row r="136" spans="1:6" ht="13" x14ac:dyDescent="0.15">
      <c r="A136" s="4">
        <f ca="1">IFERROR(__xludf.DUMMYFUNCTION("""COMPUTED_VALUE"""),42324.6666666666)</f>
        <v>42324.666666666599</v>
      </c>
      <c r="B136" s="3">
        <f ca="1">IFERROR(__xludf.DUMMYFUNCTION("""COMPUTED_VALUE"""),2022.08)</f>
        <v>2022.08</v>
      </c>
      <c r="C136" s="3">
        <f ca="1">IFERROR(__xludf.DUMMYFUNCTION("""COMPUTED_VALUE"""),2053.22)</f>
        <v>2053.2199999999998</v>
      </c>
      <c r="D136" s="3">
        <f ca="1">IFERROR(__xludf.DUMMYFUNCTION("""COMPUTED_VALUE"""),2019.39)</f>
        <v>2019.39</v>
      </c>
      <c r="E136" s="3">
        <f ca="1">IFERROR(__xludf.DUMMYFUNCTION("""COMPUTED_VALUE"""),2053.19)</f>
        <v>2053.19</v>
      </c>
      <c r="F136" s="3">
        <f ca="1">IFERROR(__xludf.DUMMYFUNCTION("""COMPUTED_VALUE"""),0)</f>
        <v>0</v>
      </c>
    </row>
    <row r="137" spans="1:6" ht="13" x14ac:dyDescent="0.15">
      <c r="A137" s="4">
        <f ca="1">IFERROR(__xludf.DUMMYFUNCTION("""COMPUTED_VALUE"""),42325.6666666666)</f>
        <v>42325.666666666599</v>
      </c>
      <c r="B137" s="3">
        <f ca="1">IFERROR(__xludf.DUMMYFUNCTION("""COMPUTED_VALUE"""),2053.67)</f>
        <v>2053.67</v>
      </c>
      <c r="C137" s="3">
        <f ca="1">IFERROR(__xludf.DUMMYFUNCTION("""COMPUTED_VALUE"""),2066.69)</f>
        <v>2066.69</v>
      </c>
      <c r="D137" s="3">
        <f ca="1">IFERROR(__xludf.DUMMYFUNCTION("""COMPUTED_VALUE"""),2045.9)</f>
        <v>2045.9</v>
      </c>
      <c r="E137" s="3">
        <f ca="1">IFERROR(__xludf.DUMMYFUNCTION("""COMPUTED_VALUE"""),2050.44)</f>
        <v>2050.44</v>
      </c>
      <c r="F137" s="3">
        <f ca="1">IFERROR(__xludf.DUMMYFUNCTION("""COMPUTED_VALUE"""),0)</f>
        <v>0</v>
      </c>
    </row>
    <row r="138" spans="1:6" ht="13" x14ac:dyDescent="0.15">
      <c r="A138" s="4">
        <f ca="1">IFERROR(__xludf.DUMMYFUNCTION("""COMPUTED_VALUE"""),42326.6666666666)</f>
        <v>42326.666666666599</v>
      </c>
      <c r="B138" s="3">
        <f ca="1">IFERROR(__xludf.DUMMYFUNCTION("""COMPUTED_VALUE"""),2051.99)</f>
        <v>2051.9899999999998</v>
      </c>
      <c r="C138" s="3">
        <f ca="1">IFERROR(__xludf.DUMMYFUNCTION("""COMPUTED_VALUE"""),2085.31)</f>
        <v>2085.31</v>
      </c>
      <c r="D138" s="3">
        <f ca="1">IFERROR(__xludf.DUMMYFUNCTION("""COMPUTED_VALUE"""),2051.99)</f>
        <v>2051.9899999999998</v>
      </c>
      <c r="E138" s="3">
        <f ca="1">IFERROR(__xludf.DUMMYFUNCTION("""COMPUTED_VALUE"""),2083.58)</f>
        <v>2083.58</v>
      </c>
      <c r="F138" s="3">
        <f ca="1">IFERROR(__xludf.DUMMYFUNCTION("""COMPUTED_VALUE"""),0)</f>
        <v>0</v>
      </c>
    </row>
    <row r="139" spans="1:6" ht="13" x14ac:dyDescent="0.15">
      <c r="A139" s="4">
        <f ca="1">IFERROR(__xludf.DUMMYFUNCTION("""COMPUTED_VALUE"""),42327.6666666666)</f>
        <v>42327.666666666599</v>
      </c>
      <c r="B139" s="3">
        <f ca="1">IFERROR(__xludf.DUMMYFUNCTION("""COMPUTED_VALUE"""),2083.7)</f>
        <v>2083.6999999999998</v>
      </c>
      <c r="C139" s="3">
        <f ca="1">IFERROR(__xludf.DUMMYFUNCTION("""COMPUTED_VALUE"""),2086.74)</f>
        <v>2086.7399999999998</v>
      </c>
      <c r="D139" s="3">
        <f ca="1">IFERROR(__xludf.DUMMYFUNCTION("""COMPUTED_VALUE"""),2078.76)</f>
        <v>2078.7600000000002</v>
      </c>
      <c r="E139" s="3">
        <f ca="1">IFERROR(__xludf.DUMMYFUNCTION("""COMPUTED_VALUE"""),2081.24)</f>
        <v>2081.2399999999998</v>
      </c>
      <c r="F139" s="3">
        <f ca="1">IFERROR(__xludf.DUMMYFUNCTION("""COMPUTED_VALUE"""),0)</f>
        <v>0</v>
      </c>
    </row>
    <row r="140" spans="1:6" ht="13" x14ac:dyDescent="0.15">
      <c r="A140" s="4">
        <f ca="1">IFERROR(__xludf.DUMMYFUNCTION("""COMPUTED_VALUE"""),42328.6666666666)</f>
        <v>42328.666666666599</v>
      </c>
      <c r="B140" s="3">
        <f ca="1">IFERROR(__xludf.DUMMYFUNCTION("""COMPUTED_VALUE"""),2082.82)</f>
        <v>2082.8200000000002</v>
      </c>
      <c r="C140" s="3">
        <f ca="1">IFERROR(__xludf.DUMMYFUNCTION("""COMPUTED_VALUE"""),2097.06)</f>
        <v>2097.06</v>
      </c>
      <c r="D140" s="3">
        <f ca="1">IFERROR(__xludf.DUMMYFUNCTION("""COMPUTED_VALUE"""),2082.82)</f>
        <v>2082.8200000000002</v>
      </c>
      <c r="E140" s="3">
        <f ca="1">IFERROR(__xludf.DUMMYFUNCTION("""COMPUTED_VALUE"""),2089.17)</f>
        <v>2089.17</v>
      </c>
      <c r="F140" s="3">
        <f ca="1">IFERROR(__xludf.DUMMYFUNCTION("""COMPUTED_VALUE"""),0)</f>
        <v>0</v>
      </c>
    </row>
    <row r="141" spans="1:6" ht="13" x14ac:dyDescent="0.15">
      <c r="A141" s="4">
        <f ca="1">IFERROR(__xludf.DUMMYFUNCTION("""COMPUTED_VALUE"""),42331.6666666666)</f>
        <v>42331.666666666599</v>
      </c>
      <c r="B141" s="3">
        <f ca="1">IFERROR(__xludf.DUMMYFUNCTION("""COMPUTED_VALUE"""),2089.41)</f>
        <v>2089.41</v>
      </c>
      <c r="C141" s="3">
        <f ca="1">IFERROR(__xludf.DUMMYFUNCTION("""COMPUTED_VALUE"""),2095.61)</f>
        <v>2095.61</v>
      </c>
      <c r="D141" s="3">
        <f ca="1">IFERROR(__xludf.DUMMYFUNCTION("""COMPUTED_VALUE"""),2081.39)</f>
        <v>2081.39</v>
      </c>
      <c r="E141" s="3">
        <f ca="1">IFERROR(__xludf.DUMMYFUNCTION("""COMPUTED_VALUE"""),2086.59)</f>
        <v>2086.59</v>
      </c>
      <c r="F141" s="3">
        <f ca="1">IFERROR(__xludf.DUMMYFUNCTION("""COMPUTED_VALUE"""),0)</f>
        <v>0</v>
      </c>
    </row>
    <row r="142" spans="1:6" ht="13" x14ac:dyDescent="0.15">
      <c r="A142" s="4">
        <f ca="1">IFERROR(__xludf.DUMMYFUNCTION("""COMPUTED_VALUE"""),42332.6666666666)</f>
        <v>42332.666666666599</v>
      </c>
      <c r="B142" s="3">
        <f ca="1">IFERROR(__xludf.DUMMYFUNCTION("""COMPUTED_VALUE"""),2084.42)</f>
        <v>2084.42</v>
      </c>
      <c r="C142" s="3">
        <f ca="1">IFERROR(__xludf.DUMMYFUNCTION("""COMPUTED_VALUE"""),2094.12)</f>
        <v>2094.12</v>
      </c>
      <c r="D142" s="3">
        <f ca="1">IFERROR(__xludf.DUMMYFUNCTION("""COMPUTED_VALUE"""),2070.29)</f>
        <v>2070.29</v>
      </c>
      <c r="E142" s="3">
        <f ca="1">IFERROR(__xludf.DUMMYFUNCTION("""COMPUTED_VALUE"""),2089.14)</f>
        <v>2089.14</v>
      </c>
      <c r="F142" s="3">
        <f ca="1">IFERROR(__xludf.DUMMYFUNCTION("""COMPUTED_VALUE"""),0)</f>
        <v>0</v>
      </c>
    </row>
    <row r="143" spans="1:6" ht="13" x14ac:dyDescent="0.15">
      <c r="A143" s="4">
        <f ca="1">IFERROR(__xludf.DUMMYFUNCTION("""COMPUTED_VALUE"""),42333.6666666666)</f>
        <v>42333.666666666599</v>
      </c>
      <c r="B143" s="3">
        <f ca="1">IFERROR(__xludf.DUMMYFUNCTION("""COMPUTED_VALUE"""),2089.3)</f>
        <v>2089.3000000000002</v>
      </c>
      <c r="C143" s="3">
        <f ca="1">IFERROR(__xludf.DUMMYFUNCTION("""COMPUTED_VALUE"""),2093)</f>
        <v>2093</v>
      </c>
      <c r="D143" s="3">
        <f ca="1">IFERROR(__xludf.DUMMYFUNCTION("""COMPUTED_VALUE"""),2086.3)</f>
        <v>2086.3000000000002</v>
      </c>
      <c r="E143" s="3">
        <f ca="1">IFERROR(__xludf.DUMMYFUNCTION("""COMPUTED_VALUE"""),2088.87)</f>
        <v>2088.87</v>
      </c>
      <c r="F143" s="3">
        <f ca="1">IFERROR(__xludf.DUMMYFUNCTION("""COMPUTED_VALUE"""),0)</f>
        <v>0</v>
      </c>
    </row>
    <row r="144" spans="1:6" ht="13" x14ac:dyDescent="0.15">
      <c r="A144" s="4">
        <f ca="1">IFERROR(__xludf.DUMMYFUNCTION("""COMPUTED_VALUE"""),42335.6666666666)</f>
        <v>42335.666666666599</v>
      </c>
      <c r="B144" s="3">
        <f ca="1">IFERROR(__xludf.DUMMYFUNCTION("""COMPUTED_VALUE"""),2088.82)</f>
        <v>2088.8200000000002</v>
      </c>
      <c r="C144" s="3">
        <f ca="1">IFERROR(__xludf.DUMMYFUNCTION("""COMPUTED_VALUE"""),2093.29)</f>
        <v>2093.29</v>
      </c>
      <c r="D144" s="3">
        <f ca="1">IFERROR(__xludf.DUMMYFUNCTION("""COMPUTED_VALUE"""),2084.13)</f>
        <v>2084.13</v>
      </c>
      <c r="E144" s="3">
        <f ca="1">IFERROR(__xludf.DUMMYFUNCTION("""COMPUTED_VALUE"""),2090.11)</f>
        <v>2090.11</v>
      </c>
      <c r="F144" s="3">
        <f ca="1">IFERROR(__xludf.DUMMYFUNCTION("""COMPUTED_VALUE"""),0)</f>
        <v>0</v>
      </c>
    </row>
    <row r="145" spans="1:6" ht="13" x14ac:dyDescent="0.15">
      <c r="A145" s="4">
        <f ca="1">IFERROR(__xludf.DUMMYFUNCTION("""COMPUTED_VALUE"""),42338.6666666666)</f>
        <v>42338.666666666599</v>
      </c>
      <c r="B145" s="3">
        <f ca="1">IFERROR(__xludf.DUMMYFUNCTION("""COMPUTED_VALUE"""),2090.95)</f>
        <v>2090.9499999999998</v>
      </c>
      <c r="C145" s="3">
        <f ca="1">IFERROR(__xludf.DUMMYFUNCTION("""COMPUTED_VALUE"""),2093.81)</f>
        <v>2093.81</v>
      </c>
      <c r="D145" s="3">
        <f ca="1">IFERROR(__xludf.DUMMYFUNCTION("""COMPUTED_VALUE"""),2080.41)</f>
        <v>2080.41</v>
      </c>
      <c r="E145" s="3">
        <f ca="1">IFERROR(__xludf.DUMMYFUNCTION("""COMPUTED_VALUE"""),2080.41)</f>
        <v>2080.41</v>
      </c>
      <c r="F145" s="3">
        <f ca="1">IFERROR(__xludf.DUMMYFUNCTION("""COMPUTED_VALUE"""),0)</f>
        <v>0</v>
      </c>
    </row>
    <row r="146" spans="1:6" ht="13" x14ac:dyDescent="0.15">
      <c r="A146" s="4">
        <f ca="1">IFERROR(__xludf.DUMMYFUNCTION("""COMPUTED_VALUE"""),42339.6666666666)</f>
        <v>42339.666666666599</v>
      </c>
      <c r="B146" s="3">
        <f ca="1">IFERROR(__xludf.DUMMYFUNCTION("""COMPUTED_VALUE"""),2082.93)</f>
        <v>2082.9299999999998</v>
      </c>
      <c r="C146" s="3">
        <f ca="1">IFERROR(__xludf.DUMMYFUNCTION("""COMPUTED_VALUE"""),2103.37)</f>
        <v>2103.37</v>
      </c>
      <c r="D146" s="3">
        <f ca="1">IFERROR(__xludf.DUMMYFUNCTION("""COMPUTED_VALUE"""),2082.93)</f>
        <v>2082.9299999999998</v>
      </c>
      <c r="E146" s="3">
        <f ca="1">IFERROR(__xludf.DUMMYFUNCTION("""COMPUTED_VALUE"""),2102.63)</f>
        <v>2102.63</v>
      </c>
      <c r="F146" s="3">
        <f ca="1">IFERROR(__xludf.DUMMYFUNCTION("""COMPUTED_VALUE"""),0)</f>
        <v>0</v>
      </c>
    </row>
    <row r="147" spans="1:6" ht="13" x14ac:dyDescent="0.15">
      <c r="A147" s="4">
        <f ca="1">IFERROR(__xludf.DUMMYFUNCTION("""COMPUTED_VALUE"""),42340.6666666666)</f>
        <v>42340.666666666599</v>
      </c>
      <c r="B147" s="3">
        <f ca="1">IFERROR(__xludf.DUMMYFUNCTION("""COMPUTED_VALUE"""),2101.71)</f>
        <v>2101.71</v>
      </c>
      <c r="C147" s="3">
        <f ca="1">IFERROR(__xludf.DUMMYFUNCTION("""COMPUTED_VALUE"""),2104.27)</f>
        <v>2104.27</v>
      </c>
      <c r="D147" s="3">
        <f ca="1">IFERROR(__xludf.DUMMYFUNCTION("""COMPUTED_VALUE"""),2077.11)</f>
        <v>2077.11</v>
      </c>
      <c r="E147" s="3">
        <f ca="1">IFERROR(__xludf.DUMMYFUNCTION("""COMPUTED_VALUE"""),2079.51)</f>
        <v>2079.5100000000002</v>
      </c>
      <c r="F147" s="3">
        <f ca="1">IFERROR(__xludf.DUMMYFUNCTION("""COMPUTED_VALUE"""),0)</f>
        <v>0</v>
      </c>
    </row>
    <row r="148" spans="1:6" ht="13" x14ac:dyDescent="0.15">
      <c r="A148" s="4">
        <f ca="1">IFERROR(__xludf.DUMMYFUNCTION("""COMPUTED_VALUE"""),42341.6666666666)</f>
        <v>42341.666666666599</v>
      </c>
      <c r="B148" s="3">
        <f ca="1">IFERROR(__xludf.DUMMYFUNCTION("""COMPUTED_VALUE"""),2080.71)</f>
        <v>2080.71</v>
      </c>
      <c r="C148" s="3">
        <f ca="1">IFERROR(__xludf.DUMMYFUNCTION("""COMPUTED_VALUE"""),2085)</f>
        <v>2085</v>
      </c>
      <c r="D148" s="3">
        <f ca="1">IFERROR(__xludf.DUMMYFUNCTION("""COMPUTED_VALUE"""),2042.35)</f>
        <v>2042.35</v>
      </c>
      <c r="E148" s="3">
        <f ca="1">IFERROR(__xludf.DUMMYFUNCTION("""COMPUTED_VALUE"""),2049.62)</f>
        <v>2049.62</v>
      </c>
      <c r="F148" s="3">
        <f ca="1">IFERROR(__xludf.DUMMYFUNCTION("""COMPUTED_VALUE"""),0)</f>
        <v>0</v>
      </c>
    </row>
    <row r="149" spans="1:6" ht="13" x14ac:dyDescent="0.15">
      <c r="A149" s="4">
        <f ca="1">IFERROR(__xludf.DUMMYFUNCTION("""COMPUTED_VALUE"""),42342.6666666666)</f>
        <v>42342.666666666599</v>
      </c>
      <c r="B149" s="3">
        <f ca="1">IFERROR(__xludf.DUMMYFUNCTION("""COMPUTED_VALUE"""),2051.24)</f>
        <v>2051.2399999999998</v>
      </c>
      <c r="C149" s="3">
        <f ca="1">IFERROR(__xludf.DUMMYFUNCTION("""COMPUTED_VALUE"""),2093.84)</f>
        <v>2093.84</v>
      </c>
      <c r="D149" s="3">
        <f ca="1">IFERROR(__xludf.DUMMYFUNCTION("""COMPUTED_VALUE"""),2051.24)</f>
        <v>2051.2399999999998</v>
      </c>
      <c r="E149" s="3">
        <f ca="1">IFERROR(__xludf.DUMMYFUNCTION("""COMPUTED_VALUE"""),2091.69)</f>
        <v>2091.69</v>
      </c>
      <c r="F149" s="3">
        <f ca="1">IFERROR(__xludf.DUMMYFUNCTION("""COMPUTED_VALUE"""),0)</f>
        <v>0</v>
      </c>
    </row>
    <row r="150" spans="1:6" ht="13" x14ac:dyDescent="0.15">
      <c r="A150" s="4">
        <f ca="1">IFERROR(__xludf.DUMMYFUNCTION("""COMPUTED_VALUE"""),42345.6666666666)</f>
        <v>42345.666666666599</v>
      </c>
      <c r="B150" s="3">
        <f ca="1">IFERROR(__xludf.DUMMYFUNCTION("""COMPUTED_VALUE"""),2090.42)</f>
        <v>2090.42</v>
      </c>
      <c r="C150" s="3">
        <f ca="1">IFERROR(__xludf.DUMMYFUNCTION("""COMPUTED_VALUE"""),2090.42)</f>
        <v>2090.42</v>
      </c>
      <c r="D150" s="3">
        <f ca="1">IFERROR(__xludf.DUMMYFUNCTION("""COMPUTED_VALUE"""),2066.78)</f>
        <v>2066.7800000000002</v>
      </c>
      <c r="E150" s="3">
        <f ca="1">IFERROR(__xludf.DUMMYFUNCTION("""COMPUTED_VALUE"""),2077.07)</f>
        <v>2077.0700000000002</v>
      </c>
      <c r="F150" s="3">
        <f ca="1">IFERROR(__xludf.DUMMYFUNCTION("""COMPUTED_VALUE"""),0)</f>
        <v>0</v>
      </c>
    </row>
    <row r="151" spans="1:6" ht="13" x14ac:dyDescent="0.15">
      <c r="A151" s="4">
        <f ca="1">IFERROR(__xludf.DUMMYFUNCTION("""COMPUTED_VALUE"""),42346.6666666666)</f>
        <v>42346.666666666599</v>
      </c>
      <c r="B151" s="3">
        <f ca="1">IFERROR(__xludf.DUMMYFUNCTION("""COMPUTED_VALUE"""),2073.39)</f>
        <v>2073.39</v>
      </c>
      <c r="C151" s="3">
        <f ca="1">IFERROR(__xludf.DUMMYFUNCTION("""COMPUTED_VALUE"""),2073.85)</f>
        <v>2073.85</v>
      </c>
      <c r="D151" s="3">
        <f ca="1">IFERROR(__xludf.DUMMYFUNCTION("""COMPUTED_VALUE"""),2052.32)</f>
        <v>2052.3200000000002</v>
      </c>
      <c r="E151" s="3">
        <f ca="1">IFERROR(__xludf.DUMMYFUNCTION("""COMPUTED_VALUE"""),2063.59)</f>
        <v>2063.59</v>
      </c>
      <c r="F151" s="3">
        <f ca="1">IFERROR(__xludf.DUMMYFUNCTION("""COMPUTED_VALUE"""),0)</f>
        <v>0</v>
      </c>
    </row>
    <row r="152" spans="1:6" ht="13" x14ac:dyDescent="0.15">
      <c r="A152" s="4">
        <f ca="1">IFERROR(__xludf.DUMMYFUNCTION("""COMPUTED_VALUE"""),42347.6666666666)</f>
        <v>42347.666666666599</v>
      </c>
      <c r="B152" s="3">
        <f ca="1">IFERROR(__xludf.DUMMYFUNCTION("""COMPUTED_VALUE"""),2061.17)</f>
        <v>2061.17</v>
      </c>
      <c r="C152" s="3">
        <f ca="1">IFERROR(__xludf.DUMMYFUNCTION("""COMPUTED_VALUE"""),2080.33)</f>
        <v>2080.33</v>
      </c>
      <c r="D152" s="3">
        <f ca="1">IFERROR(__xludf.DUMMYFUNCTION("""COMPUTED_VALUE"""),2036.53)</f>
        <v>2036.53</v>
      </c>
      <c r="E152" s="3">
        <f ca="1">IFERROR(__xludf.DUMMYFUNCTION("""COMPUTED_VALUE"""),2047.62)</f>
        <v>2047.62</v>
      </c>
      <c r="F152" s="3">
        <f ca="1">IFERROR(__xludf.DUMMYFUNCTION("""COMPUTED_VALUE"""),0)</f>
        <v>0</v>
      </c>
    </row>
    <row r="153" spans="1:6" ht="13" x14ac:dyDescent="0.15">
      <c r="A153" s="4">
        <f ca="1">IFERROR(__xludf.DUMMYFUNCTION("""COMPUTED_VALUE"""),42348.6666666666)</f>
        <v>42348.666666666599</v>
      </c>
      <c r="B153" s="3">
        <f ca="1">IFERROR(__xludf.DUMMYFUNCTION("""COMPUTED_VALUE"""),2047.93)</f>
        <v>2047.93</v>
      </c>
      <c r="C153" s="3">
        <f ca="1">IFERROR(__xludf.DUMMYFUNCTION("""COMPUTED_VALUE"""),2067.65)</f>
        <v>2067.65</v>
      </c>
      <c r="D153" s="3">
        <f ca="1">IFERROR(__xludf.DUMMYFUNCTION("""COMPUTED_VALUE"""),2045.67)</f>
        <v>2045.67</v>
      </c>
      <c r="E153" s="3">
        <f ca="1">IFERROR(__xludf.DUMMYFUNCTION("""COMPUTED_VALUE"""),2052.23)</f>
        <v>2052.23</v>
      </c>
      <c r="F153" s="3">
        <f ca="1">IFERROR(__xludf.DUMMYFUNCTION("""COMPUTED_VALUE"""),0)</f>
        <v>0</v>
      </c>
    </row>
    <row r="154" spans="1:6" ht="13" x14ac:dyDescent="0.15">
      <c r="A154" s="4">
        <f ca="1">IFERROR(__xludf.DUMMYFUNCTION("""COMPUTED_VALUE"""),42349.6666666666)</f>
        <v>42349.666666666599</v>
      </c>
      <c r="B154" s="3">
        <f ca="1">IFERROR(__xludf.DUMMYFUNCTION("""COMPUTED_VALUE"""),2047.27)</f>
        <v>2047.27</v>
      </c>
      <c r="C154" s="3">
        <f ca="1">IFERROR(__xludf.DUMMYFUNCTION("""COMPUTED_VALUE"""),2047.27)</f>
        <v>2047.27</v>
      </c>
      <c r="D154" s="3">
        <f ca="1">IFERROR(__xludf.DUMMYFUNCTION("""COMPUTED_VALUE"""),2008.8)</f>
        <v>2008.8</v>
      </c>
      <c r="E154" s="3">
        <f ca="1">IFERROR(__xludf.DUMMYFUNCTION("""COMPUTED_VALUE"""),2012.37)</f>
        <v>2012.37</v>
      </c>
      <c r="F154" s="3">
        <f ca="1">IFERROR(__xludf.DUMMYFUNCTION("""COMPUTED_VALUE"""),0)</f>
        <v>0</v>
      </c>
    </row>
    <row r="155" spans="1:6" ht="13" x14ac:dyDescent="0.15">
      <c r="A155" s="4">
        <f ca="1">IFERROR(__xludf.DUMMYFUNCTION("""COMPUTED_VALUE"""),42352.6666666666)</f>
        <v>42352.666666666599</v>
      </c>
      <c r="B155" s="3">
        <f ca="1">IFERROR(__xludf.DUMMYFUNCTION("""COMPUTED_VALUE"""),2013.37)</f>
        <v>2013.37</v>
      </c>
      <c r="C155" s="3">
        <f ca="1">IFERROR(__xludf.DUMMYFUNCTION("""COMPUTED_VALUE"""),2022.92)</f>
        <v>2022.92</v>
      </c>
      <c r="D155" s="3">
        <f ca="1">IFERROR(__xludf.DUMMYFUNCTION("""COMPUTED_VALUE"""),1993.26)</f>
        <v>1993.26</v>
      </c>
      <c r="E155" s="3">
        <f ca="1">IFERROR(__xludf.DUMMYFUNCTION("""COMPUTED_VALUE"""),2021.94)</f>
        <v>2021.94</v>
      </c>
      <c r="F155" s="3">
        <f ca="1">IFERROR(__xludf.DUMMYFUNCTION("""COMPUTED_VALUE"""),0)</f>
        <v>0</v>
      </c>
    </row>
    <row r="156" spans="1:6" ht="13" x14ac:dyDescent="0.15">
      <c r="A156" s="4">
        <f ca="1">IFERROR(__xludf.DUMMYFUNCTION("""COMPUTED_VALUE"""),42353.6666666666)</f>
        <v>42353.666666666599</v>
      </c>
      <c r="B156" s="3">
        <f ca="1">IFERROR(__xludf.DUMMYFUNCTION("""COMPUTED_VALUE"""),2025.55)</f>
        <v>2025.55</v>
      </c>
      <c r="C156" s="3">
        <f ca="1">IFERROR(__xludf.DUMMYFUNCTION("""COMPUTED_VALUE"""),2053.87)</f>
        <v>2053.87</v>
      </c>
      <c r="D156" s="3">
        <f ca="1">IFERROR(__xludf.DUMMYFUNCTION("""COMPUTED_VALUE"""),2025.55)</f>
        <v>2025.55</v>
      </c>
      <c r="E156" s="3">
        <f ca="1">IFERROR(__xludf.DUMMYFUNCTION("""COMPUTED_VALUE"""),2043.41)</f>
        <v>2043.41</v>
      </c>
      <c r="F156" s="3">
        <f ca="1">IFERROR(__xludf.DUMMYFUNCTION("""COMPUTED_VALUE"""),0)</f>
        <v>0</v>
      </c>
    </row>
    <row r="157" spans="1:6" ht="13" x14ac:dyDescent="0.15">
      <c r="A157" s="4">
        <f ca="1">IFERROR(__xludf.DUMMYFUNCTION("""COMPUTED_VALUE"""),42354.6666666666)</f>
        <v>42354.666666666599</v>
      </c>
      <c r="B157" s="3">
        <f ca="1">IFERROR(__xludf.DUMMYFUNCTION("""COMPUTED_VALUE"""),2046.5)</f>
        <v>2046.5</v>
      </c>
      <c r="C157" s="3">
        <f ca="1">IFERROR(__xludf.DUMMYFUNCTION("""COMPUTED_VALUE"""),2076.72)</f>
        <v>2076.7199999999998</v>
      </c>
      <c r="D157" s="3">
        <f ca="1">IFERROR(__xludf.DUMMYFUNCTION("""COMPUTED_VALUE"""),2042.43)</f>
        <v>2042.43</v>
      </c>
      <c r="E157" s="3">
        <f ca="1">IFERROR(__xludf.DUMMYFUNCTION("""COMPUTED_VALUE"""),2073.07)</f>
        <v>2073.0700000000002</v>
      </c>
      <c r="F157" s="3">
        <f ca="1">IFERROR(__xludf.DUMMYFUNCTION("""COMPUTED_VALUE"""),0)</f>
        <v>0</v>
      </c>
    </row>
    <row r="158" spans="1:6" ht="13" x14ac:dyDescent="0.15">
      <c r="A158" s="4">
        <f ca="1">IFERROR(__xludf.DUMMYFUNCTION("""COMPUTED_VALUE"""),42355.6666666666)</f>
        <v>42355.666666666599</v>
      </c>
      <c r="B158" s="3">
        <f ca="1">IFERROR(__xludf.DUMMYFUNCTION("""COMPUTED_VALUE"""),2073.76)</f>
        <v>2073.7600000000002</v>
      </c>
      <c r="C158" s="3">
        <f ca="1">IFERROR(__xludf.DUMMYFUNCTION("""COMPUTED_VALUE"""),2076.37)</f>
        <v>2076.37</v>
      </c>
      <c r="D158" s="3">
        <f ca="1">IFERROR(__xludf.DUMMYFUNCTION("""COMPUTED_VALUE"""),2041.66)</f>
        <v>2041.66</v>
      </c>
      <c r="E158" s="3">
        <f ca="1">IFERROR(__xludf.DUMMYFUNCTION("""COMPUTED_VALUE"""),2041.89)</f>
        <v>2041.89</v>
      </c>
      <c r="F158" s="3">
        <f ca="1">IFERROR(__xludf.DUMMYFUNCTION("""COMPUTED_VALUE"""),0)</f>
        <v>0</v>
      </c>
    </row>
    <row r="159" spans="1:6" ht="13" x14ac:dyDescent="0.15">
      <c r="A159" s="4">
        <f ca="1">IFERROR(__xludf.DUMMYFUNCTION("""COMPUTED_VALUE"""),42356.6666666666)</f>
        <v>42356.666666666599</v>
      </c>
      <c r="B159" s="3">
        <f ca="1">IFERROR(__xludf.DUMMYFUNCTION("""COMPUTED_VALUE"""),2040.81)</f>
        <v>2040.81</v>
      </c>
      <c r="C159" s="3">
        <f ca="1">IFERROR(__xludf.DUMMYFUNCTION("""COMPUTED_VALUE"""),2040.81)</f>
        <v>2040.81</v>
      </c>
      <c r="D159" s="3">
        <f ca="1">IFERROR(__xludf.DUMMYFUNCTION("""COMPUTED_VALUE"""),2005.33)</f>
        <v>2005.33</v>
      </c>
      <c r="E159" s="3">
        <f ca="1">IFERROR(__xludf.DUMMYFUNCTION("""COMPUTED_VALUE"""),2005.55)</f>
        <v>2005.55</v>
      </c>
      <c r="F159" s="3">
        <f ca="1">IFERROR(__xludf.DUMMYFUNCTION("""COMPUTED_VALUE"""),0)</f>
        <v>0</v>
      </c>
    </row>
    <row r="160" spans="1:6" ht="13" x14ac:dyDescent="0.15">
      <c r="A160" s="4">
        <f ca="1">IFERROR(__xludf.DUMMYFUNCTION("""COMPUTED_VALUE"""),42359.6666666666)</f>
        <v>42359.666666666599</v>
      </c>
      <c r="B160" s="3">
        <f ca="1">IFERROR(__xludf.DUMMYFUNCTION("""COMPUTED_VALUE"""),2010.27)</f>
        <v>2010.27</v>
      </c>
      <c r="C160" s="3">
        <f ca="1">IFERROR(__xludf.DUMMYFUNCTION("""COMPUTED_VALUE"""),2022.9)</f>
        <v>2022.9</v>
      </c>
      <c r="D160" s="3">
        <f ca="1">IFERROR(__xludf.DUMMYFUNCTION("""COMPUTED_VALUE"""),2005.93)</f>
        <v>2005.93</v>
      </c>
      <c r="E160" s="3">
        <f ca="1">IFERROR(__xludf.DUMMYFUNCTION("""COMPUTED_VALUE"""),2021.15)</f>
        <v>2021.15</v>
      </c>
      <c r="F160" s="3">
        <f ca="1">IFERROR(__xludf.DUMMYFUNCTION("""COMPUTED_VALUE"""),0)</f>
        <v>0</v>
      </c>
    </row>
    <row r="161" spans="1:6" ht="13" x14ac:dyDescent="0.15">
      <c r="A161" s="4">
        <f ca="1">IFERROR(__xludf.DUMMYFUNCTION("""COMPUTED_VALUE"""),42360.6666666666)</f>
        <v>42360.666666666599</v>
      </c>
      <c r="B161" s="3">
        <f ca="1">IFERROR(__xludf.DUMMYFUNCTION("""COMPUTED_VALUE"""),2023.15)</f>
        <v>2023.15</v>
      </c>
      <c r="C161" s="3">
        <f ca="1">IFERROR(__xludf.DUMMYFUNCTION("""COMPUTED_VALUE"""),2042.74)</f>
        <v>2042.74</v>
      </c>
      <c r="D161" s="3">
        <f ca="1">IFERROR(__xludf.DUMMYFUNCTION("""COMPUTED_VALUE"""),2020.49)</f>
        <v>2020.49</v>
      </c>
      <c r="E161" s="3">
        <f ca="1">IFERROR(__xludf.DUMMYFUNCTION("""COMPUTED_VALUE"""),2038.97)</f>
        <v>2038.97</v>
      </c>
      <c r="F161" s="3">
        <f ca="1">IFERROR(__xludf.DUMMYFUNCTION("""COMPUTED_VALUE"""),0)</f>
        <v>0</v>
      </c>
    </row>
    <row r="162" spans="1:6" ht="13" x14ac:dyDescent="0.15">
      <c r="A162" s="4">
        <f ca="1">IFERROR(__xludf.DUMMYFUNCTION("""COMPUTED_VALUE"""),42361.6666666666)</f>
        <v>42361.666666666599</v>
      </c>
      <c r="B162" s="3">
        <f ca="1">IFERROR(__xludf.DUMMYFUNCTION("""COMPUTED_VALUE"""),2042.2)</f>
        <v>2042.2</v>
      </c>
      <c r="C162" s="3">
        <f ca="1">IFERROR(__xludf.DUMMYFUNCTION("""COMPUTED_VALUE"""),2064.73)</f>
        <v>2064.73</v>
      </c>
      <c r="D162" s="3">
        <f ca="1">IFERROR(__xludf.DUMMYFUNCTION("""COMPUTED_VALUE"""),2042.2)</f>
        <v>2042.2</v>
      </c>
      <c r="E162" s="3">
        <f ca="1">IFERROR(__xludf.DUMMYFUNCTION("""COMPUTED_VALUE"""),2064.29)</f>
        <v>2064.29</v>
      </c>
      <c r="F162" s="3">
        <f ca="1">IFERROR(__xludf.DUMMYFUNCTION("""COMPUTED_VALUE"""),0)</f>
        <v>0</v>
      </c>
    </row>
    <row r="163" spans="1:6" ht="13" x14ac:dyDescent="0.15">
      <c r="A163" s="4">
        <f ca="1">IFERROR(__xludf.DUMMYFUNCTION("""COMPUTED_VALUE"""),42362.6666666666)</f>
        <v>42362.666666666599</v>
      </c>
      <c r="B163" s="3">
        <f ca="1">IFERROR(__xludf.DUMMYFUNCTION("""COMPUTED_VALUE"""),2063.52)</f>
        <v>2063.52</v>
      </c>
      <c r="C163" s="3">
        <f ca="1">IFERROR(__xludf.DUMMYFUNCTION("""COMPUTED_VALUE"""),2067.36)</f>
        <v>2067.36</v>
      </c>
      <c r="D163" s="3">
        <f ca="1">IFERROR(__xludf.DUMMYFUNCTION("""COMPUTED_VALUE"""),2058.73)</f>
        <v>2058.73</v>
      </c>
      <c r="E163" s="3">
        <f ca="1">IFERROR(__xludf.DUMMYFUNCTION("""COMPUTED_VALUE"""),2060.99)</f>
        <v>2060.9899999999998</v>
      </c>
      <c r="F163" s="3">
        <f ca="1">IFERROR(__xludf.DUMMYFUNCTION("""COMPUTED_VALUE"""),0)</f>
        <v>0</v>
      </c>
    </row>
    <row r="164" spans="1:6" ht="13" x14ac:dyDescent="0.15">
      <c r="A164" s="4">
        <f ca="1">IFERROR(__xludf.DUMMYFUNCTION("""COMPUTED_VALUE"""),42366.6666666666)</f>
        <v>42366.666666666599</v>
      </c>
      <c r="B164" s="3">
        <f ca="1">IFERROR(__xludf.DUMMYFUNCTION("""COMPUTED_VALUE"""),2057.77)</f>
        <v>2057.77</v>
      </c>
      <c r="C164" s="3">
        <f ca="1">IFERROR(__xludf.DUMMYFUNCTION("""COMPUTED_VALUE"""),2057.77)</f>
        <v>2057.77</v>
      </c>
      <c r="D164" s="3">
        <f ca="1">IFERROR(__xludf.DUMMYFUNCTION("""COMPUTED_VALUE"""),2044.2)</f>
        <v>2044.2</v>
      </c>
      <c r="E164" s="3">
        <f ca="1">IFERROR(__xludf.DUMMYFUNCTION("""COMPUTED_VALUE"""),2056.5)</f>
        <v>2056.5</v>
      </c>
      <c r="F164" s="3">
        <f ca="1">IFERROR(__xludf.DUMMYFUNCTION("""COMPUTED_VALUE"""),0)</f>
        <v>0</v>
      </c>
    </row>
    <row r="165" spans="1:6" ht="13" x14ac:dyDescent="0.15">
      <c r="A165" s="4">
        <f ca="1">IFERROR(__xludf.DUMMYFUNCTION("""COMPUTED_VALUE"""),42367.6666666666)</f>
        <v>42367.666666666599</v>
      </c>
      <c r="B165" s="3">
        <f ca="1">IFERROR(__xludf.DUMMYFUNCTION("""COMPUTED_VALUE"""),2060.54)</f>
        <v>2060.54</v>
      </c>
      <c r="C165" s="3">
        <f ca="1">IFERROR(__xludf.DUMMYFUNCTION("""COMPUTED_VALUE"""),2081.56)</f>
        <v>2081.56</v>
      </c>
      <c r="D165" s="3">
        <f ca="1">IFERROR(__xludf.DUMMYFUNCTION("""COMPUTED_VALUE"""),2060.54)</f>
        <v>2060.54</v>
      </c>
      <c r="E165" s="3">
        <f ca="1">IFERROR(__xludf.DUMMYFUNCTION("""COMPUTED_VALUE"""),2078.36)</f>
        <v>2078.36</v>
      </c>
      <c r="F165" s="3">
        <f ca="1">IFERROR(__xludf.DUMMYFUNCTION("""COMPUTED_VALUE"""),0)</f>
        <v>0</v>
      </c>
    </row>
    <row r="166" spans="1:6" ht="13" x14ac:dyDescent="0.15">
      <c r="A166" s="4">
        <f ca="1">IFERROR(__xludf.DUMMYFUNCTION("""COMPUTED_VALUE"""),42368.6666666666)</f>
        <v>42368.666666666599</v>
      </c>
      <c r="B166" s="3">
        <f ca="1">IFERROR(__xludf.DUMMYFUNCTION("""COMPUTED_VALUE"""),2077.34)</f>
        <v>2077.34</v>
      </c>
      <c r="C166" s="3">
        <f ca="1">IFERROR(__xludf.DUMMYFUNCTION("""COMPUTED_VALUE"""),2077.34)</f>
        <v>2077.34</v>
      </c>
      <c r="D166" s="3">
        <f ca="1">IFERROR(__xludf.DUMMYFUNCTION("""COMPUTED_VALUE"""),2061.97)</f>
        <v>2061.9699999999998</v>
      </c>
      <c r="E166" s="3">
        <f ca="1">IFERROR(__xludf.DUMMYFUNCTION("""COMPUTED_VALUE"""),2063.36)</f>
        <v>2063.36</v>
      </c>
      <c r="F166" s="3">
        <f ca="1">IFERROR(__xludf.DUMMYFUNCTION("""COMPUTED_VALUE"""),0)</f>
        <v>0</v>
      </c>
    </row>
    <row r="167" spans="1:6" ht="13" x14ac:dyDescent="0.15">
      <c r="A167" s="4">
        <f ca="1">IFERROR(__xludf.DUMMYFUNCTION("""COMPUTED_VALUE"""),42369.6666666666)</f>
        <v>42369.666666666599</v>
      </c>
      <c r="B167" s="3">
        <f ca="1">IFERROR(__xludf.DUMMYFUNCTION("""COMPUTED_VALUE"""),2060.59)</f>
        <v>2060.59</v>
      </c>
      <c r="C167" s="3">
        <f ca="1">IFERROR(__xludf.DUMMYFUNCTION("""COMPUTED_VALUE"""),2062.54)</f>
        <v>2062.54</v>
      </c>
      <c r="D167" s="3">
        <f ca="1">IFERROR(__xludf.DUMMYFUNCTION("""COMPUTED_VALUE"""),2043.62)</f>
        <v>2043.62</v>
      </c>
      <c r="E167" s="3">
        <f ca="1">IFERROR(__xludf.DUMMYFUNCTION("""COMPUTED_VALUE"""),2043.94)</f>
        <v>2043.94</v>
      </c>
      <c r="F167" s="3">
        <f ca="1">IFERROR(__xludf.DUMMYFUNCTION("""COMPUTED_VALUE"""),0)</f>
        <v>0</v>
      </c>
    </row>
    <row r="168" spans="1:6" ht="13" x14ac:dyDescent="0.15">
      <c r="A168" s="4">
        <f ca="1">IFERROR(__xludf.DUMMYFUNCTION("""COMPUTED_VALUE"""),42373.6666666666)</f>
        <v>42373.666666666599</v>
      </c>
      <c r="B168" s="3">
        <f ca="1">IFERROR(__xludf.DUMMYFUNCTION("""COMPUTED_VALUE"""),2038.2)</f>
        <v>2038.2</v>
      </c>
      <c r="C168" s="3">
        <f ca="1">IFERROR(__xludf.DUMMYFUNCTION("""COMPUTED_VALUE"""),2038.2)</f>
        <v>2038.2</v>
      </c>
      <c r="D168" s="3">
        <f ca="1">IFERROR(__xludf.DUMMYFUNCTION("""COMPUTED_VALUE"""),1989.68)</f>
        <v>1989.68</v>
      </c>
      <c r="E168" s="3">
        <f ca="1">IFERROR(__xludf.DUMMYFUNCTION("""COMPUTED_VALUE"""),2012.66)</f>
        <v>2012.66</v>
      </c>
      <c r="F168" s="3">
        <f ca="1">IFERROR(__xludf.DUMMYFUNCTION("""COMPUTED_VALUE"""),0)</f>
        <v>0</v>
      </c>
    </row>
    <row r="169" spans="1:6" ht="13" x14ac:dyDescent="0.15">
      <c r="A169" s="4">
        <f ca="1">IFERROR(__xludf.DUMMYFUNCTION("""COMPUTED_VALUE"""),42374.6666666666)</f>
        <v>42374.666666666599</v>
      </c>
      <c r="B169" s="3">
        <f ca="1">IFERROR(__xludf.DUMMYFUNCTION("""COMPUTED_VALUE"""),2013.78)</f>
        <v>2013.78</v>
      </c>
      <c r="C169" s="3">
        <f ca="1">IFERROR(__xludf.DUMMYFUNCTION("""COMPUTED_VALUE"""),2021.94)</f>
        <v>2021.94</v>
      </c>
      <c r="D169" s="3">
        <f ca="1">IFERROR(__xludf.DUMMYFUNCTION("""COMPUTED_VALUE"""),2004.17)</f>
        <v>2004.17</v>
      </c>
      <c r="E169" s="3">
        <f ca="1">IFERROR(__xludf.DUMMYFUNCTION("""COMPUTED_VALUE"""),2016.71)</f>
        <v>2016.71</v>
      </c>
      <c r="F169" s="3">
        <f ca="1">IFERROR(__xludf.DUMMYFUNCTION("""COMPUTED_VALUE"""),0)</f>
        <v>0</v>
      </c>
    </row>
    <row r="170" spans="1:6" ht="13" x14ac:dyDescent="0.15">
      <c r="A170" s="4">
        <f ca="1">IFERROR(__xludf.DUMMYFUNCTION("""COMPUTED_VALUE"""),42375.6666666666)</f>
        <v>42375.666666666599</v>
      </c>
      <c r="B170" s="3">
        <f ca="1">IFERROR(__xludf.DUMMYFUNCTION("""COMPUTED_VALUE"""),2011.71)</f>
        <v>2011.71</v>
      </c>
      <c r="C170" s="3">
        <f ca="1">IFERROR(__xludf.DUMMYFUNCTION("""COMPUTED_VALUE"""),2011.71)</f>
        <v>2011.71</v>
      </c>
      <c r="D170" s="3">
        <f ca="1">IFERROR(__xludf.DUMMYFUNCTION("""COMPUTED_VALUE"""),1979.05)</f>
        <v>1979.05</v>
      </c>
      <c r="E170" s="3">
        <f ca="1">IFERROR(__xludf.DUMMYFUNCTION("""COMPUTED_VALUE"""),1990.26)</f>
        <v>1990.26</v>
      </c>
      <c r="F170" s="3">
        <f ca="1">IFERROR(__xludf.DUMMYFUNCTION("""COMPUTED_VALUE"""),0)</f>
        <v>0</v>
      </c>
    </row>
    <row r="171" spans="1:6" ht="13" x14ac:dyDescent="0.15">
      <c r="A171" s="4">
        <f ca="1">IFERROR(__xludf.DUMMYFUNCTION("""COMPUTED_VALUE"""),42376.6666666666)</f>
        <v>42376.666666666599</v>
      </c>
      <c r="B171" s="3">
        <f ca="1">IFERROR(__xludf.DUMMYFUNCTION("""COMPUTED_VALUE"""),1985.32)</f>
        <v>1985.32</v>
      </c>
      <c r="C171" s="3">
        <f ca="1">IFERROR(__xludf.DUMMYFUNCTION("""COMPUTED_VALUE"""),1985.32)</f>
        <v>1985.32</v>
      </c>
      <c r="D171" s="3">
        <f ca="1">IFERROR(__xludf.DUMMYFUNCTION("""COMPUTED_VALUE"""),1938.83)</f>
        <v>1938.83</v>
      </c>
      <c r="E171" s="3">
        <f ca="1">IFERROR(__xludf.DUMMYFUNCTION("""COMPUTED_VALUE"""),1943.09)</f>
        <v>1943.09</v>
      </c>
      <c r="F171" s="3">
        <f ca="1">IFERROR(__xludf.DUMMYFUNCTION("""COMPUTED_VALUE"""),0)</f>
        <v>0</v>
      </c>
    </row>
    <row r="172" spans="1:6" ht="13" x14ac:dyDescent="0.15">
      <c r="A172" s="4">
        <f ca="1">IFERROR(__xludf.DUMMYFUNCTION("""COMPUTED_VALUE"""),42377.6666666666)</f>
        <v>42377.666666666599</v>
      </c>
      <c r="B172" s="3">
        <f ca="1">IFERROR(__xludf.DUMMYFUNCTION("""COMPUTED_VALUE"""),1945.97)</f>
        <v>1945.97</v>
      </c>
      <c r="C172" s="3">
        <f ca="1">IFERROR(__xludf.DUMMYFUNCTION("""COMPUTED_VALUE"""),1960.4)</f>
        <v>1960.4</v>
      </c>
      <c r="D172" s="3">
        <f ca="1">IFERROR(__xludf.DUMMYFUNCTION("""COMPUTED_VALUE"""),1918.46)</f>
        <v>1918.46</v>
      </c>
      <c r="E172" s="3">
        <f ca="1">IFERROR(__xludf.DUMMYFUNCTION("""COMPUTED_VALUE"""),1922.03)</f>
        <v>1922.03</v>
      </c>
      <c r="F172" s="3">
        <f ca="1">IFERROR(__xludf.DUMMYFUNCTION("""COMPUTED_VALUE"""),0)</f>
        <v>0</v>
      </c>
    </row>
    <row r="173" spans="1:6" ht="13" x14ac:dyDescent="0.15">
      <c r="A173" s="4">
        <f ca="1">IFERROR(__xludf.DUMMYFUNCTION("""COMPUTED_VALUE"""),42380.6666666666)</f>
        <v>42380.666666666599</v>
      </c>
      <c r="B173" s="3">
        <f ca="1">IFERROR(__xludf.DUMMYFUNCTION("""COMPUTED_VALUE"""),1926.12)</f>
        <v>1926.12</v>
      </c>
      <c r="C173" s="3">
        <f ca="1">IFERROR(__xludf.DUMMYFUNCTION("""COMPUTED_VALUE"""),1935.65)</f>
        <v>1935.65</v>
      </c>
      <c r="D173" s="3">
        <f ca="1">IFERROR(__xludf.DUMMYFUNCTION("""COMPUTED_VALUE"""),1901.1)</f>
        <v>1901.1</v>
      </c>
      <c r="E173" s="3">
        <f ca="1">IFERROR(__xludf.DUMMYFUNCTION("""COMPUTED_VALUE"""),1923.67)</f>
        <v>1923.67</v>
      </c>
      <c r="F173" s="3">
        <f ca="1">IFERROR(__xludf.DUMMYFUNCTION("""COMPUTED_VALUE"""),0)</f>
        <v>0</v>
      </c>
    </row>
    <row r="174" spans="1:6" ht="13" x14ac:dyDescent="0.15">
      <c r="A174" s="4">
        <f ca="1">IFERROR(__xludf.DUMMYFUNCTION("""COMPUTED_VALUE"""),42381.6666666666)</f>
        <v>42381.666666666599</v>
      </c>
      <c r="B174" s="3">
        <f ca="1">IFERROR(__xludf.DUMMYFUNCTION("""COMPUTED_VALUE"""),1927.83)</f>
        <v>1927.83</v>
      </c>
      <c r="C174" s="3">
        <f ca="1">IFERROR(__xludf.DUMMYFUNCTION("""COMPUTED_VALUE"""),1947.38)</f>
        <v>1947.38</v>
      </c>
      <c r="D174" s="3">
        <f ca="1">IFERROR(__xludf.DUMMYFUNCTION("""COMPUTED_VALUE"""),1914.35)</f>
        <v>1914.35</v>
      </c>
      <c r="E174" s="3">
        <f ca="1">IFERROR(__xludf.DUMMYFUNCTION("""COMPUTED_VALUE"""),1938.68)</f>
        <v>1938.68</v>
      </c>
      <c r="F174" s="3">
        <f ca="1">IFERROR(__xludf.DUMMYFUNCTION("""COMPUTED_VALUE"""),0)</f>
        <v>0</v>
      </c>
    </row>
    <row r="175" spans="1:6" ht="13" x14ac:dyDescent="0.15">
      <c r="A175" s="4">
        <f ca="1">IFERROR(__xludf.DUMMYFUNCTION("""COMPUTED_VALUE"""),42382.6666666666)</f>
        <v>42382.666666666599</v>
      </c>
      <c r="B175" s="3">
        <f ca="1">IFERROR(__xludf.DUMMYFUNCTION("""COMPUTED_VALUE"""),1940.34)</f>
        <v>1940.34</v>
      </c>
      <c r="C175" s="3">
        <f ca="1">IFERROR(__xludf.DUMMYFUNCTION("""COMPUTED_VALUE"""),1950.33)</f>
        <v>1950.33</v>
      </c>
      <c r="D175" s="3">
        <f ca="1">IFERROR(__xludf.DUMMYFUNCTION("""COMPUTED_VALUE"""),1886.41)</f>
        <v>1886.41</v>
      </c>
      <c r="E175" s="3">
        <f ca="1">IFERROR(__xludf.DUMMYFUNCTION("""COMPUTED_VALUE"""),1890.28)</f>
        <v>1890.28</v>
      </c>
      <c r="F175" s="3">
        <f ca="1">IFERROR(__xludf.DUMMYFUNCTION("""COMPUTED_VALUE"""),0)</f>
        <v>0</v>
      </c>
    </row>
    <row r="176" spans="1:6" ht="13" x14ac:dyDescent="0.15">
      <c r="A176" s="4">
        <f ca="1">IFERROR(__xludf.DUMMYFUNCTION("""COMPUTED_VALUE"""),42383.6666666666)</f>
        <v>42383.666666666599</v>
      </c>
      <c r="B176" s="3">
        <f ca="1">IFERROR(__xludf.DUMMYFUNCTION("""COMPUTED_VALUE"""),1891.68)</f>
        <v>1891.68</v>
      </c>
      <c r="C176" s="3">
        <f ca="1">IFERROR(__xludf.DUMMYFUNCTION("""COMPUTED_VALUE"""),1934.47)</f>
        <v>1934.47</v>
      </c>
      <c r="D176" s="3">
        <f ca="1">IFERROR(__xludf.DUMMYFUNCTION("""COMPUTED_VALUE"""),1878.93)</f>
        <v>1878.93</v>
      </c>
      <c r="E176" s="3">
        <f ca="1">IFERROR(__xludf.DUMMYFUNCTION("""COMPUTED_VALUE"""),1921.84)</f>
        <v>1921.84</v>
      </c>
      <c r="F176" s="3">
        <f ca="1">IFERROR(__xludf.DUMMYFUNCTION("""COMPUTED_VALUE"""),0)</f>
        <v>0</v>
      </c>
    </row>
    <row r="177" spans="1:6" ht="13" x14ac:dyDescent="0.15">
      <c r="A177" s="4">
        <f ca="1">IFERROR(__xludf.DUMMYFUNCTION("""COMPUTED_VALUE"""),42384.6666666666)</f>
        <v>42384.666666666599</v>
      </c>
      <c r="B177" s="3">
        <f ca="1">IFERROR(__xludf.DUMMYFUNCTION("""COMPUTED_VALUE"""),1916.68)</f>
        <v>1916.68</v>
      </c>
      <c r="C177" s="3">
        <f ca="1">IFERROR(__xludf.DUMMYFUNCTION("""COMPUTED_VALUE"""),1916.68)</f>
        <v>1916.68</v>
      </c>
      <c r="D177" s="3">
        <f ca="1">IFERROR(__xludf.DUMMYFUNCTION("""COMPUTED_VALUE"""),1857.83)</f>
        <v>1857.83</v>
      </c>
      <c r="E177" s="3">
        <f ca="1">IFERROR(__xludf.DUMMYFUNCTION("""COMPUTED_VALUE"""),1880.33)</f>
        <v>1880.33</v>
      </c>
      <c r="F177" s="3">
        <f ca="1">IFERROR(__xludf.DUMMYFUNCTION("""COMPUTED_VALUE"""),0)</f>
        <v>0</v>
      </c>
    </row>
    <row r="178" spans="1:6" ht="13" x14ac:dyDescent="0.15">
      <c r="A178" s="4">
        <f ca="1">IFERROR(__xludf.DUMMYFUNCTION("""COMPUTED_VALUE"""),42388.6666666666)</f>
        <v>42388.666666666599</v>
      </c>
      <c r="B178" s="3">
        <f ca="1">IFERROR(__xludf.DUMMYFUNCTION("""COMPUTED_VALUE"""),1888.66)</f>
        <v>1888.66</v>
      </c>
      <c r="C178" s="3">
        <f ca="1">IFERROR(__xludf.DUMMYFUNCTION("""COMPUTED_VALUE"""),1901.44)</f>
        <v>1901.44</v>
      </c>
      <c r="D178" s="3">
        <f ca="1">IFERROR(__xludf.DUMMYFUNCTION("""COMPUTED_VALUE"""),1864.6)</f>
        <v>1864.6</v>
      </c>
      <c r="E178" s="3">
        <f ca="1">IFERROR(__xludf.DUMMYFUNCTION("""COMPUTED_VALUE"""),1881.33)</f>
        <v>1881.33</v>
      </c>
      <c r="F178" s="3">
        <f ca="1">IFERROR(__xludf.DUMMYFUNCTION("""COMPUTED_VALUE"""),0)</f>
        <v>0</v>
      </c>
    </row>
    <row r="179" spans="1:6" ht="13" x14ac:dyDescent="0.15">
      <c r="A179" s="4">
        <f ca="1">IFERROR(__xludf.DUMMYFUNCTION("""COMPUTED_VALUE"""),42389.6666666666)</f>
        <v>42389.666666666599</v>
      </c>
      <c r="B179" s="3">
        <f ca="1">IFERROR(__xludf.DUMMYFUNCTION("""COMPUTED_VALUE"""),1876.18)</f>
        <v>1876.18</v>
      </c>
      <c r="C179" s="3">
        <f ca="1">IFERROR(__xludf.DUMMYFUNCTION("""COMPUTED_VALUE"""),1876.18)</f>
        <v>1876.18</v>
      </c>
      <c r="D179" s="3">
        <f ca="1">IFERROR(__xludf.DUMMYFUNCTION("""COMPUTED_VALUE"""),1812.29)</f>
        <v>1812.29</v>
      </c>
      <c r="E179" s="3">
        <f ca="1">IFERROR(__xludf.DUMMYFUNCTION("""COMPUTED_VALUE"""),1859.33)</f>
        <v>1859.33</v>
      </c>
      <c r="F179" s="3">
        <f ca="1">IFERROR(__xludf.DUMMYFUNCTION("""COMPUTED_VALUE"""),0)</f>
        <v>0</v>
      </c>
    </row>
    <row r="180" spans="1:6" ht="13" x14ac:dyDescent="0.15">
      <c r="A180" s="4">
        <f ca="1">IFERROR(__xludf.DUMMYFUNCTION("""COMPUTED_VALUE"""),42390.6666666666)</f>
        <v>42390.666666666599</v>
      </c>
      <c r="B180" s="3">
        <f ca="1">IFERROR(__xludf.DUMMYFUNCTION("""COMPUTED_VALUE"""),1861.46)</f>
        <v>1861.46</v>
      </c>
      <c r="C180" s="3">
        <f ca="1">IFERROR(__xludf.DUMMYFUNCTION("""COMPUTED_VALUE"""),1889.85)</f>
        <v>1889.85</v>
      </c>
      <c r="D180" s="3">
        <f ca="1">IFERROR(__xludf.DUMMYFUNCTION("""COMPUTED_VALUE"""),1848.98)</f>
        <v>1848.98</v>
      </c>
      <c r="E180" s="3">
        <f ca="1">IFERROR(__xludf.DUMMYFUNCTION("""COMPUTED_VALUE"""),1868.99)</f>
        <v>1868.99</v>
      </c>
      <c r="F180" s="3">
        <f ca="1">IFERROR(__xludf.DUMMYFUNCTION("""COMPUTED_VALUE"""),0)</f>
        <v>0</v>
      </c>
    </row>
    <row r="181" spans="1:6" ht="13" x14ac:dyDescent="0.15">
      <c r="A181" s="4">
        <f ca="1">IFERROR(__xludf.DUMMYFUNCTION("""COMPUTED_VALUE"""),42391.6666666666)</f>
        <v>42391.666666666599</v>
      </c>
      <c r="B181" s="3">
        <f ca="1">IFERROR(__xludf.DUMMYFUNCTION("""COMPUTED_VALUE"""),1877.4)</f>
        <v>1877.4</v>
      </c>
      <c r="C181" s="3">
        <f ca="1">IFERROR(__xludf.DUMMYFUNCTION("""COMPUTED_VALUE"""),1908.85)</f>
        <v>1908.85</v>
      </c>
      <c r="D181" s="3">
        <f ca="1">IFERROR(__xludf.DUMMYFUNCTION("""COMPUTED_VALUE"""),1877.4)</f>
        <v>1877.4</v>
      </c>
      <c r="E181" s="3">
        <f ca="1">IFERROR(__xludf.DUMMYFUNCTION("""COMPUTED_VALUE"""),1906.9)</f>
        <v>1906.9</v>
      </c>
      <c r="F181" s="3">
        <f ca="1">IFERROR(__xludf.DUMMYFUNCTION("""COMPUTED_VALUE"""),0)</f>
        <v>0</v>
      </c>
    </row>
    <row r="182" spans="1:6" ht="13" x14ac:dyDescent="0.15">
      <c r="A182" s="4">
        <f ca="1">IFERROR(__xludf.DUMMYFUNCTION("""COMPUTED_VALUE"""),42394.6666666666)</f>
        <v>42394.666666666599</v>
      </c>
      <c r="B182" s="3">
        <f ca="1">IFERROR(__xludf.DUMMYFUNCTION("""COMPUTED_VALUE"""),1906.28)</f>
        <v>1906.28</v>
      </c>
      <c r="C182" s="3">
        <f ca="1">IFERROR(__xludf.DUMMYFUNCTION("""COMPUTED_VALUE"""),1906.28)</f>
        <v>1906.28</v>
      </c>
      <c r="D182" s="3">
        <f ca="1">IFERROR(__xludf.DUMMYFUNCTION("""COMPUTED_VALUE"""),1875.97)</f>
        <v>1875.97</v>
      </c>
      <c r="E182" s="3">
        <f ca="1">IFERROR(__xludf.DUMMYFUNCTION("""COMPUTED_VALUE"""),1877.08)</f>
        <v>1877.08</v>
      </c>
      <c r="F182" s="3">
        <f ca="1">IFERROR(__xludf.DUMMYFUNCTION("""COMPUTED_VALUE"""),0)</f>
        <v>0</v>
      </c>
    </row>
    <row r="183" spans="1:6" ht="13" x14ac:dyDescent="0.15">
      <c r="A183" s="4">
        <f ca="1">IFERROR(__xludf.DUMMYFUNCTION("""COMPUTED_VALUE"""),42395.6666666666)</f>
        <v>42395.666666666599</v>
      </c>
      <c r="B183" s="3">
        <f ca="1">IFERROR(__xludf.DUMMYFUNCTION("""COMPUTED_VALUE"""),1878.79)</f>
        <v>1878.79</v>
      </c>
      <c r="C183" s="3">
        <f ca="1">IFERROR(__xludf.DUMMYFUNCTION("""COMPUTED_VALUE"""),1906.73)</f>
        <v>1906.73</v>
      </c>
      <c r="D183" s="3">
        <f ca="1">IFERROR(__xludf.DUMMYFUNCTION("""COMPUTED_VALUE"""),1878.79)</f>
        <v>1878.79</v>
      </c>
      <c r="E183" s="3">
        <f ca="1">IFERROR(__xludf.DUMMYFUNCTION("""COMPUTED_VALUE"""),1903.63)</f>
        <v>1903.63</v>
      </c>
      <c r="F183" s="3">
        <f ca="1">IFERROR(__xludf.DUMMYFUNCTION("""COMPUTED_VALUE"""),0)</f>
        <v>0</v>
      </c>
    </row>
    <row r="184" spans="1:6" ht="13" x14ac:dyDescent="0.15">
      <c r="A184" s="4">
        <f ca="1">IFERROR(__xludf.DUMMYFUNCTION("""COMPUTED_VALUE"""),42396.6666666666)</f>
        <v>42396.666666666599</v>
      </c>
      <c r="B184" s="3">
        <f ca="1">IFERROR(__xludf.DUMMYFUNCTION("""COMPUTED_VALUE"""),1902.52)</f>
        <v>1902.52</v>
      </c>
      <c r="C184" s="3">
        <f ca="1">IFERROR(__xludf.DUMMYFUNCTION("""COMPUTED_VALUE"""),1916.99)</f>
        <v>1916.99</v>
      </c>
      <c r="D184" s="3">
        <f ca="1">IFERROR(__xludf.DUMMYFUNCTION("""COMPUTED_VALUE"""),1872.7)</f>
        <v>1872.7</v>
      </c>
      <c r="E184" s="3">
        <f ca="1">IFERROR(__xludf.DUMMYFUNCTION("""COMPUTED_VALUE"""),1882.95)</f>
        <v>1882.95</v>
      </c>
      <c r="F184" s="3">
        <f ca="1">IFERROR(__xludf.DUMMYFUNCTION("""COMPUTED_VALUE"""),0)</f>
        <v>0</v>
      </c>
    </row>
    <row r="185" spans="1:6" ht="13" x14ac:dyDescent="0.15">
      <c r="A185" s="4">
        <f ca="1">IFERROR(__xludf.DUMMYFUNCTION("""COMPUTED_VALUE"""),42397.6666666666)</f>
        <v>42397.666666666599</v>
      </c>
      <c r="B185" s="3">
        <f ca="1">IFERROR(__xludf.DUMMYFUNCTION("""COMPUTED_VALUE"""),1885.22)</f>
        <v>1885.22</v>
      </c>
      <c r="C185" s="3">
        <f ca="1">IFERROR(__xludf.DUMMYFUNCTION("""COMPUTED_VALUE"""),1902.96)</f>
        <v>1902.96</v>
      </c>
      <c r="D185" s="3">
        <f ca="1">IFERROR(__xludf.DUMMYFUNCTION("""COMPUTED_VALUE"""),1873.65)</f>
        <v>1873.65</v>
      </c>
      <c r="E185" s="3">
        <f ca="1">IFERROR(__xludf.DUMMYFUNCTION("""COMPUTED_VALUE"""),1893.36)</f>
        <v>1893.36</v>
      </c>
      <c r="F185" s="3">
        <f ca="1">IFERROR(__xludf.DUMMYFUNCTION("""COMPUTED_VALUE"""),0)</f>
        <v>0</v>
      </c>
    </row>
    <row r="186" spans="1:6" ht="13" x14ac:dyDescent="0.15">
      <c r="A186" s="4">
        <f ca="1">IFERROR(__xludf.DUMMYFUNCTION("""COMPUTED_VALUE"""),42398.6666666666)</f>
        <v>42398.666666666599</v>
      </c>
      <c r="B186" s="3">
        <f ca="1">IFERROR(__xludf.DUMMYFUNCTION("""COMPUTED_VALUE"""),1894)</f>
        <v>1894</v>
      </c>
      <c r="C186" s="3">
        <f ca="1">IFERROR(__xludf.DUMMYFUNCTION("""COMPUTED_VALUE"""),1940.24)</f>
        <v>1940.24</v>
      </c>
      <c r="D186" s="3">
        <f ca="1">IFERROR(__xludf.DUMMYFUNCTION("""COMPUTED_VALUE"""),1894)</f>
        <v>1894</v>
      </c>
      <c r="E186" s="3">
        <f ca="1">IFERROR(__xludf.DUMMYFUNCTION("""COMPUTED_VALUE"""),1940.24)</f>
        <v>1940.24</v>
      </c>
      <c r="F186" s="3">
        <f ca="1">IFERROR(__xludf.DUMMYFUNCTION("""COMPUTED_VALUE"""),0)</f>
        <v>0</v>
      </c>
    </row>
    <row r="187" spans="1:6" ht="13" x14ac:dyDescent="0.15">
      <c r="A187" s="4">
        <f ca="1">IFERROR(__xludf.DUMMYFUNCTION("""COMPUTED_VALUE"""),42401.6666666666)</f>
        <v>42401.666666666599</v>
      </c>
      <c r="B187" s="3">
        <f ca="1">IFERROR(__xludf.DUMMYFUNCTION("""COMPUTED_VALUE"""),1936.94)</f>
        <v>1936.94</v>
      </c>
      <c r="C187" s="3">
        <f ca="1">IFERROR(__xludf.DUMMYFUNCTION("""COMPUTED_VALUE"""),1947.2)</f>
        <v>1947.2</v>
      </c>
      <c r="D187" s="3">
        <f ca="1">IFERROR(__xludf.DUMMYFUNCTION("""COMPUTED_VALUE"""),1920.3)</f>
        <v>1920.3</v>
      </c>
      <c r="E187" s="3">
        <f ca="1">IFERROR(__xludf.DUMMYFUNCTION("""COMPUTED_VALUE"""),1939.38)</f>
        <v>1939.38</v>
      </c>
      <c r="F187" s="3">
        <f ca="1">IFERROR(__xludf.DUMMYFUNCTION("""COMPUTED_VALUE"""),0)</f>
        <v>0</v>
      </c>
    </row>
    <row r="188" spans="1:6" ht="13" x14ac:dyDescent="0.15">
      <c r="A188" s="4">
        <f ca="1">IFERROR(__xludf.DUMMYFUNCTION("""COMPUTED_VALUE"""),42402.6666666666)</f>
        <v>42402.666666666599</v>
      </c>
      <c r="B188" s="3">
        <f ca="1">IFERROR(__xludf.DUMMYFUNCTION("""COMPUTED_VALUE"""),1935.26)</f>
        <v>1935.26</v>
      </c>
      <c r="C188" s="3">
        <f ca="1">IFERROR(__xludf.DUMMYFUNCTION("""COMPUTED_VALUE"""),1935.26)</f>
        <v>1935.26</v>
      </c>
      <c r="D188" s="3">
        <f ca="1">IFERROR(__xludf.DUMMYFUNCTION("""COMPUTED_VALUE"""),1897.29)</f>
        <v>1897.29</v>
      </c>
      <c r="E188" s="3">
        <f ca="1">IFERROR(__xludf.DUMMYFUNCTION("""COMPUTED_VALUE"""),1903.03)</f>
        <v>1903.03</v>
      </c>
      <c r="F188" s="3">
        <f ca="1">IFERROR(__xludf.DUMMYFUNCTION("""COMPUTED_VALUE"""),0)</f>
        <v>0</v>
      </c>
    </row>
    <row r="189" spans="1:6" ht="13" x14ac:dyDescent="0.15">
      <c r="A189" s="4">
        <f ca="1">IFERROR(__xludf.DUMMYFUNCTION("""COMPUTED_VALUE"""),42403.6666666666)</f>
        <v>42403.666666666599</v>
      </c>
      <c r="B189" s="3">
        <f ca="1">IFERROR(__xludf.DUMMYFUNCTION("""COMPUTED_VALUE"""),1907.07)</f>
        <v>1907.07</v>
      </c>
      <c r="C189" s="3">
        <f ca="1">IFERROR(__xludf.DUMMYFUNCTION("""COMPUTED_VALUE"""),1918.01)</f>
        <v>1918.01</v>
      </c>
      <c r="D189" s="3">
        <f ca="1">IFERROR(__xludf.DUMMYFUNCTION("""COMPUTED_VALUE"""),1872.23)</f>
        <v>1872.23</v>
      </c>
      <c r="E189" s="3">
        <f ca="1">IFERROR(__xludf.DUMMYFUNCTION("""COMPUTED_VALUE"""),1912.53)</f>
        <v>1912.53</v>
      </c>
      <c r="F189" s="3">
        <f ca="1">IFERROR(__xludf.DUMMYFUNCTION("""COMPUTED_VALUE"""),0)</f>
        <v>0</v>
      </c>
    </row>
    <row r="190" spans="1:6" ht="13" x14ac:dyDescent="0.15">
      <c r="A190" s="4">
        <f ca="1">IFERROR(__xludf.DUMMYFUNCTION("""COMPUTED_VALUE"""),42404.6666666666)</f>
        <v>42404.666666666599</v>
      </c>
      <c r="B190" s="3">
        <f ca="1">IFERROR(__xludf.DUMMYFUNCTION("""COMPUTED_VALUE"""),1911.67)</f>
        <v>1911.67</v>
      </c>
      <c r="C190" s="3">
        <f ca="1">IFERROR(__xludf.DUMMYFUNCTION("""COMPUTED_VALUE"""),1927.35)</f>
        <v>1927.35</v>
      </c>
      <c r="D190" s="3">
        <f ca="1">IFERROR(__xludf.DUMMYFUNCTION("""COMPUTED_VALUE"""),1900.52)</f>
        <v>1900.52</v>
      </c>
      <c r="E190" s="3">
        <f ca="1">IFERROR(__xludf.DUMMYFUNCTION("""COMPUTED_VALUE"""),1915.45)</f>
        <v>1915.45</v>
      </c>
      <c r="F190" s="3">
        <f ca="1">IFERROR(__xludf.DUMMYFUNCTION("""COMPUTED_VALUE"""),0)</f>
        <v>0</v>
      </c>
    </row>
    <row r="191" spans="1:6" ht="13" x14ac:dyDescent="0.15">
      <c r="A191" s="4">
        <f ca="1">IFERROR(__xludf.DUMMYFUNCTION("""COMPUTED_VALUE"""),42405.6666666666)</f>
        <v>42405.666666666599</v>
      </c>
      <c r="B191" s="3">
        <f ca="1">IFERROR(__xludf.DUMMYFUNCTION("""COMPUTED_VALUE"""),1913.07)</f>
        <v>1913.07</v>
      </c>
      <c r="C191" s="3">
        <f ca="1">IFERROR(__xludf.DUMMYFUNCTION("""COMPUTED_VALUE"""),1913.07)</f>
        <v>1913.07</v>
      </c>
      <c r="D191" s="3">
        <f ca="1">IFERROR(__xludf.DUMMYFUNCTION("""COMPUTED_VALUE"""),1872.65)</f>
        <v>1872.65</v>
      </c>
      <c r="E191" s="3">
        <f ca="1">IFERROR(__xludf.DUMMYFUNCTION("""COMPUTED_VALUE"""),1880.05)</f>
        <v>1880.05</v>
      </c>
      <c r="F191" s="3">
        <f ca="1">IFERROR(__xludf.DUMMYFUNCTION("""COMPUTED_VALUE"""),0)</f>
        <v>0</v>
      </c>
    </row>
    <row r="192" spans="1:6" ht="13" x14ac:dyDescent="0.15">
      <c r="A192" s="4">
        <f ca="1">IFERROR(__xludf.DUMMYFUNCTION("""COMPUTED_VALUE"""),42408.6666666666)</f>
        <v>42408.666666666599</v>
      </c>
      <c r="B192" s="3">
        <f ca="1">IFERROR(__xludf.DUMMYFUNCTION("""COMPUTED_VALUE"""),1873.25)</f>
        <v>1873.25</v>
      </c>
      <c r="C192" s="3">
        <f ca="1">IFERROR(__xludf.DUMMYFUNCTION("""COMPUTED_VALUE"""),1873.25)</f>
        <v>1873.25</v>
      </c>
      <c r="D192" s="3">
        <f ca="1">IFERROR(__xludf.DUMMYFUNCTION("""COMPUTED_VALUE"""),1828.46)</f>
        <v>1828.46</v>
      </c>
      <c r="E192" s="3">
        <f ca="1">IFERROR(__xludf.DUMMYFUNCTION("""COMPUTED_VALUE"""),1853.44)</f>
        <v>1853.44</v>
      </c>
      <c r="F192" s="3">
        <f ca="1">IFERROR(__xludf.DUMMYFUNCTION("""COMPUTED_VALUE"""),0)</f>
        <v>0</v>
      </c>
    </row>
    <row r="193" spans="1:6" ht="13" x14ac:dyDescent="0.15">
      <c r="A193" s="4">
        <f ca="1">IFERROR(__xludf.DUMMYFUNCTION("""COMPUTED_VALUE"""),42409.6666666666)</f>
        <v>42409.666666666599</v>
      </c>
      <c r="B193" s="3">
        <f ca="1">IFERROR(__xludf.DUMMYFUNCTION("""COMPUTED_VALUE"""),1848.46)</f>
        <v>1848.46</v>
      </c>
      <c r="C193" s="3">
        <f ca="1">IFERROR(__xludf.DUMMYFUNCTION("""COMPUTED_VALUE"""),1868.25)</f>
        <v>1868.25</v>
      </c>
      <c r="D193" s="3">
        <f ca="1">IFERROR(__xludf.DUMMYFUNCTION("""COMPUTED_VALUE"""),1834.94)</f>
        <v>1834.94</v>
      </c>
      <c r="E193" s="3">
        <f ca="1">IFERROR(__xludf.DUMMYFUNCTION("""COMPUTED_VALUE"""),1852.21)</f>
        <v>1852.21</v>
      </c>
      <c r="F193" s="3">
        <f ca="1">IFERROR(__xludf.DUMMYFUNCTION("""COMPUTED_VALUE"""),0)</f>
        <v>0</v>
      </c>
    </row>
    <row r="194" spans="1:6" ht="13" x14ac:dyDescent="0.15">
      <c r="A194" s="4">
        <f ca="1">IFERROR(__xludf.DUMMYFUNCTION("""COMPUTED_VALUE"""),42410.6666666666)</f>
        <v>42410.666666666599</v>
      </c>
      <c r="B194" s="3">
        <f ca="1">IFERROR(__xludf.DUMMYFUNCTION("""COMPUTED_VALUE"""),1857.1)</f>
        <v>1857.1</v>
      </c>
      <c r="C194" s="3">
        <f ca="1">IFERROR(__xludf.DUMMYFUNCTION("""COMPUTED_VALUE"""),1881.6)</f>
        <v>1881.6</v>
      </c>
      <c r="D194" s="3">
        <f ca="1">IFERROR(__xludf.DUMMYFUNCTION("""COMPUTED_VALUE"""),1850.32)</f>
        <v>1850.32</v>
      </c>
      <c r="E194" s="3">
        <f ca="1">IFERROR(__xludf.DUMMYFUNCTION("""COMPUTED_VALUE"""),1851.86)</f>
        <v>1851.86</v>
      </c>
      <c r="F194" s="3">
        <f ca="1">IFERROR(__xludf.DUMMYFUNCTION("""COMPUTED_VALUE"""),0)</f>
        <v>0</v>
      </c>
    </row>
    <row r="195" spans="1:6" ht="13" x14ac:dyDescent="0.15">
      <c r="A195" s="4">
        <f ca="1">IFERROR(__xludf.DUMMYFUNCTION("""COMPUTED_VALUE"""),42411.6666666666)</f>
        <v>42411.666666666599</v>
      </c>
      <c r="B195" s="3">
        <f ca="1">IFERROR(__xludf.DUMMYFUNCTION("""COMPUTED_VALUE"""),1847)</f>
        <v>1847</v>
      </c>
      <c r="C195" s="3">
        <f ca="1">IFERROR(__xludf.DUMMYFUNCTION("""COMPUTED_VALUE"""),1847)</f>
        <v>1847</v>
      </c>
      <c r="D195" s="3">
        <f ca="1">IFERROR(__xludf.DUMMYFUNCTION("""COMPUTED_VALUE"""),1810.1)</f>
        <v>1810.1</v>
      </c>
      <c r="E195" s="3">
        <f ca="1">IFERROR(__xludf.DUMMYFUNCTION("""COMPUTED_VALUE"""),1829.08)</f>
        <v>1829.08</v>
      </c>
      <c r="F195" s="3">
        <f ca="1">IFERROR(__xludf.DUMMYFUNCTION("""COMPUTED_VALUE"""),0)</f>
        <v>0</v>
      </c>
    </row>
    <row r="196" spans="1:6" ht="13" x14ac:dyDescent="0.15">
      <c r="A196" s="4">
        <f ca="1">IFERROR(__xludf.DUMMYFUNCTION("""COMPUTED_VALUE"""),42412.6666666666)</f>
        <v>42412.666666666599</v>
      </c>
      <c r="B196" s="3">
        <f ca="1">IFERROR(__xludf.DUMMYFUNCTION("""COMPUTED_VALUE"""),1833.4)</f>
        <v>1833.4</v>
      </c>
      <c r="C196" s="3">
        <f ca="1">IFERROR(__xludf.DUMMYFUNCTION("""COMPUTED_VALUE"""),1864.78)</f>
        <v>1864.78</v>
      </c>
      <c r="D196" s="3">
        <f ca="1">IFERROR(__xludf.DUMMYFUNCTION("""COMPUTED_VALUE"""),1833.4)</f>
        <v>1833.4</v>
      </c>
      <c r="E196" s="3">
        <f ca="1">IFERROR(__xludf.DUMMYFUNCTION("""COMPUTED_VALUE"""),1864.78)</f>
        <v>1864.78</v>
      </c>
      <c r="F196" s="3">
        <f ca="1">IFERROR(__xludf.DUMMYFUNCTION("""COMPUTED_VALUE"""),0)</f>
        <v>0</v>
      </c>
    </row>
    <row r="197" spans="1:6" ht="13" x14ac:dyDescent="0.15">
      <c r="A197" s="4">
        <f ca="1">IFERROR(__xludf.DUMMYFUNCTION("""COMPUTED_VALUE"""),42416.6666666666)</f>
        <v>42416.666666666599</v>
      </c>
      <c r="B197" s="3">
        <f ca="1">IFERROR(__xludf.DUMMYFUNCTION("""COMPUTED_VALUE"""),1871.44)</f>
        <v>1871.44</v>
      </c>
      <c r="C197" s="3">
        <f ca="1">IFERROR(__xludf.DUMMYFUNCTION("""COMPUTED_VALUE"""),1895.77)</f>
        <v>1895.77</v>
      </c>
      <c r="D197" s="3">
        <f ca="1">IFERROR(__xludf.DUMMYFUNCTION("""COMPUTED_VALUE"""),1871.44)</f>
        <v>1871.44</v>
      </c>
      <c r="E197" s="3">
        <f ca="1">IFERROR(__xludf.DUMMYFUNCTION("""COMPUTED_VALUE"""),1895.58)</f>
        <v>1895.58</v>
      </c>
      <c r="F197" s="3">
        <f ca="1">IFERROR(__xludf.DUMMYFUNCTION("""COMPUTED_VALUE"""),0)</f>
        <v>0</v>
      </c>
    </row>
    <row r="198" spans="1:6" ht="13" x14ac:dyDescent="0.15">
      <c r="A198" s="4">
        <f ca="1">IFERROR(__xludf.DUMMYFUNCTION("""COMPUTED_VALUE"""),42417.6666666666)</f>
        <v>42417.666666666599</v>
      </c>
      <c r="B198" s="3">
        <f ca="1">IFERROR(__xludf.DUMMYFUNCTION("""COMPUTED_VALUE"""),1898.8)</f>
        <v>1898.8</v>
      </c>
      <c r="C198" s="3">
        <f ca="1">IFERROR(__xludf.DUMMYFUNCTION("""COMPUTED_VALUE"""),1930.68)</f>
        <v>1930.68</v>
      </c>
      <c r="D198" s="3">
        <f ca="1">IFERROR(__xludf.DUMMYFUNCTION("""COMPUTED_VALUE"""),1898.8)</f>
        <v>1898.8</v>
      </c>
      <c r="E198" s="3">
        <f ca="1">IFERROR(__xludf.DUMMYFUNCTION("""COMPUTED_VALUE"""),1926.82)</f>
        <v>1926.82</v>
      </c>
      <c r="F198" s="3">
        <f ca="1">IFERROR(__xludf.DUMMYFUNCTION("""COMPUTED_VALUE"""),0)</f>
        <v>0</v>
      </c>
    </row>
    <row r="199" spans="1:6" ht="13" x14ac:dyDescent="0.15">
      <c r="A199" s="4">
        <f ca="1">IFERROR(__xludf.DUMMYFUNCTION("""COMPUTED_VALUE"""),42418.6666666666)</f>
        <v>42418.666666666599</v>
      </c>
      <c r="B199" s="3">
        <f ca="1">IFERROR(__xludf.DUMMYFUNCTION("""COMPUTED_VALUE"""),1927.57)</f>
        <v>1927.57</v>
      </c>
      <c r="C199" s="3">
        <f ca="1">IFERROR(__xludf.DUMMYFUNCTION("""COMPUTED_VALUE"""),1930)</f>
        <v>1930</v>
      </c>
      <c r="D199" s="3">
        <f ca="1">IFERROR(__xludf.DUMMYFUNCTION("""COMPUTED_VALUE"""),1915.09)</f>
        <v>1915.09</v>
      </c>
      <c r="E199" s="3">
        <f ca="1">IFERROR(__xludf.DUMMYFUNCTION("""COMPUTED_VALUE"""),1917.83)</f>
        <v>1917.83</v>
      </c>
      <c r="F199" s="3">
        <f ca="1">IFERROR(__xludf.DUMMYFUNCTION("""COMPUTED_VALUE"""),0)</f>
        <v>0</v>
      </c>
    </row>
    <row r="200" spans="1:6" ht="13" x14ac:dyDescent="0.15">
      <c r="A200" s="4">
        <f ca="1">IFERROR(__xludf.DUMMYFUNCTION("""COMPUTED_VALUE"""),42419.6666666666)</f>
        <v>42419.666666666599</v>
      </c>
      <c r="B200" s="3">
        <f ca="1">IFERROR(__xludf.DUMMYFUNCTION("""COMPUTED_VALUE"""),1916.74)</f>
        <v>1916.74</v>
      </c>
      <c r="C200" s="3">
        <f ca="1">IFERROR(__xludf.DUMMYFUNCTION("""COMPUTED_VALUE"""),1918.78)</f>
        <v>1918.78</v>
      </c>
      <c r="D200" s="3">
        <f ca="1">IFERROR(__xludf.DUMMYFUNCTION("""COMPUTED_VALUE"""),1902.17)</f>
        <v>1902.17</v>
      </c>
      <c r="E200" s="3">
        <f ca="1">IFERROR(__xludf.DUMMYFUNCTION("""COMPUTED_VALUE"""),1917.78)</f>
        <v>1917.78</v>
      </c>
      <c r="F200" s="3">
        <f ca="1">IFERROR(__xludf.DUMMYFUNCTION("""COMPUTED_VALUE"""),0)</f>
        <v>0</v>
      </c>
    </row>
    <row r="201" spans="1:6" ht="13" x14ac:dyDescent="0.15">
      <c r="A201" s="4">
        <f ca="1">IFERROR(__xludf.DUMMYFUNCTION("""COMPUTED_VALUE"""),42422.6666666666)</f>
        <v>42422.666666666599</v>
      </c>
      <c r="B201" s="3">
        <f ca="1">IFERROR(__xludf.DUMMYFUNCTION("""COMPUTED_VALUE"""),1924.44)</f>
        <v>1924.44</v>
      </c>
      <c r="C201" s="3">
        <f ca="1">IFERROR(__xludf.DUMMYFUNCTION("""COMPUTED_VALUE"""),1946.7)</f>
        <v>1946.7</v>
      </c>
      <c r="D201" s="3">
        <f ca="1">IFERROR(__xludf.DUMMYFUNCTION("""COMPUTED_VALUE"""),1924.44)</f>
        <v>1924.44</v>
      </c>
      <c r="E201" s="3">
        <f ca="1">IFERROR(__xludf.DUMMYFUNCTION("""COMPUTED_VALUE"""),1945.5)</f>
        <v>1945.5</v>
      </c>
      <c r="F201" s="3">
        <f ca="1">IFERROR(__xludf.DUMMYFUNCTION("""COMPUTED_VALUE"""),0)</f>
        <v>0</v>
      </c>
    </row>
    <row r="202" spans="1:6" ht="13" x14ac:dyDescent="0.15">
      <c r="A202" s="4">
        <f ca="1">IFERROR(__xludf.DUMMYFUNCTION("""COMPUTED_VALUE"""),42423.6666666666)</f>
        <v>42423.666666666599</v>
      </c>
      <c r="B202" s="3">
        <f ca="1">IFERROR(__xludf.DUMMYFUNCTION("""COMPUTED_VALUE"""),1942.38)</f>
        <v>1942.38</v>
      </c>
      <c r="C202" s="3">
        <f ca="1">IFERROR(__xludf.DUMMYFUNCTION("""COMPUTED_VALUE"""),1942.38)</f>
        <v>1942.38</v>
      </c>
      <c r="D202" s="3">
        <f ca="1">IFERROR(__xludf.DUMMYFUNCTION("""COMPUTED_VALUE"""),1919.44)</f>
        <v>1919.44</v>
      </c>
      <c r="E202" s="3">
        <f ca="1">IFERROR(__xludf.DUMMYFUNCTION("""COMPUTED_VALUE"""),1921.27)</f>
        <v>1921.27</v>
      </c>
      <c r="F202" s="3">
        <f ca="1">IFERROR(__xludf.DUMMYFUNCTION("""COMPUTED_VALUE"""),0)</f>
        <v>0</v>
      </c>
    </row>
    <row r="203" spans="1:6" ht="13" x14ac:dyDescent="0.15">
      <c r="A203" s="4">
        <f ca="1">IFERROR(__xludf.DUMMYFUNCTION("""COMPUTED_VALUE"""),42424.6666666666)</f>
        <v>42424.666666666599</v>
      </c>
      <c r="B203" s="3">
        <f ca="1">IFERROR(__xludf.DUMMYFUNCTION("""COMPUTED_VALUE"""),1917.56)</f>
        <v>1917.56</v>
      </c>
      <c r="C203" s="3">
        <f ca="1">IFERROR(__xludf.DUMMYFUNCTION("""COMPUTED_VALUE"""),1932.08)</f>
        <v>1932.08</v>
      </c>
      <c r="D203" s="3">
        <f ca="1">IFERROR(__xludf.DUMMYFUNCTION("""COMPUTED_VALUE"""),1891)</f>
        <v>1891</v>
      </c>
      <c r="E203" s="3">
        <f ca="1">IFERROR(__xludf.DUMMYFUNCTION("""COMPUTED_VALUE"""),1929.8)</f>
        <v>1929.8</v>
      </c>
      <c r="F203" s="3">
        <f ca="1">IFERROR(__xludf.DUMMYFUNCTION("""COMPUTED_VALUE"""),0)</f>
        <v>0</v>
      </c>
    </row>
    <row r="204" spans="1:6" ht="13" x14ac:dyDescent="0.15">
      <c r="A204" s="4">
        <f ca="1">IFERROR(__xludf.DUMMYFUNCTION("""COMPUTED_VALUE"""),42425.6666666666)</f>
        <v>42425.666666666599</v>
      </c>
      <c r="B204" s="3">
        <f ca="1">IFERROR(__xludf.DUMMYFUNCTION("""COMPUTED_VALUE"""),1931.87)</f>
        <v>1931.87</v>
      </c>
      <c r="C204" s="3">
        <f ca="1">IFERROR(__xludf.DUMMYFUNCTION("""COMPUTED_VALUE"""),1951.83)</f>
        <v>1951.83</v>
      </c>
      <c r="D204" s="3">
        <f ca="1">IFERROR(__xludf.DUMMYFUNCTION("""COMPUTED_VALUE"""),1925.41)</f>
        <v>1925.41</v>
      </c>
      <c r="E204" s="3">
        <f ca="1">IFERROR(__xludf.DUMMYFUNCTION("""COMPUTED_VALUE"""),1951.7)</f>
        <v>1951.7</v>
      </c>
      <c r="F204" s="3">
        <f ca="1">IFERROR(__xludf.DUMMYFUNCTION("""COMPUTED_VALUE"""),0)</f>
        <v>0</v>
      </c>
    </row>
    <row r="205" spans="1:6" ht="13" x14ac:dyDescent="0.15">
      <c r="A205" s="4">
        <f ca="1">IFERROR(__xludf.DUMMYFUNCTION("""COMPUTED_VALUE"""),42426.6666666666)</f>
        <v>42426.666666666599</v>
      </c>
      <c r="B205" s="3">
        <f ca="1">IFERROR(__xludf.DUMMYFUNCTION("""COMPUTED_VALUE"""),1954.95)</f>
        <v>1954.95</v>
      </c>
      <c r="C205" s="3">
        <f ca="1">IFERROR(__xludf.DUMMYFUNCTION("""COMPUTED_VALUE"""),1962.96)</f>
        <v>1962.96</v>
      </c>
      <c r="D205" s="3">
        <f ca="1">IFERROR(__xludf.DUMMYFUNCTION("""COMPUTED_VALUE"""),1945.78)</f>
        <v>1945.78</v>
      </c>
      <c r="E205" s="3">
        <f ca="1">IFERROR(__xludf.DUMMYFUNCTION("""COMPUTED_VALUE"""),1948.05)</f>
        <v>1948.05</v>
      </c>
      <c r="F205" s="3">
        <f ca="1">IFERROR(__xludf.DUMMYFUNCTION("""COMPUTED_VALUE"""),0)</f>
        <v>0</v>
      </c>
    </row>
    <row r="206" spans="1:6" ht="13" x14ac:dyDescent="0.15">
      <c r="A206" s="4">
        <f ca="1">IFERROR(__xludf.DUMMYFUNCTION("""COMPUTED_VALUE"""),42429.6666666666)</f>
        <v>42429.666666666599</v>
      </c>
      <c r="B206" s="3">
        <f ca="1">IFERROR(__xludf.DUMMYFUNCTION("""COMPUTED_VALUE"""),1947.13)</f>
        <v>1947.13</v>
      </c>
      <c r="C206" s="3">
        <f ca="1">IFERROR(__xludf.DUMMYFUNCTION("""COMPUTED_VALUE"""),1958.27)</f>
        <v>1958.27</v>
      </c>
      <c r="D206" s="3">
        <f ca="1">IFERROR(__xludf.DUMMYFUNCTION("""COMPUTED_VALUE"""),1931.81)</f>
        <v>1931.81</v>
      </c>
      <c r="E206" s="3">
        <f ca="1">IFERROR(__xludf.DUMMYFUNCTION("""COMPUTED_VALUE"""),1932.23)</f>
        <v>1932.23</v>
      </c>
      <c r="F206" s="3">
        <f ca="1">IFERROR(__xludf.DUMMYFUNCTION("""COMPUTED_VALUE"""),0)</f>
        <v>0</v>
      </c>
    </row>
    <row r="207" spans="1:6" ht="13" x14ac:dyDescent="0.15">
      <c r="A207" s="4">
        <f ca="1">IFERROR(__xludf.DUMMYFUNCTION("""COMPUTED_VALUE"""),42430.6666666666)</f>
        <v>42430.666666666599</v>
      </c>
      <c r="B207" s="3">
        <f ca="1">IFERROR(__xludf.DUMMYFUNCTION("""COMPUTED_VALUE"""),1937.09)</f>
        <v>1937.09</v>
      </c>
      <c r="C207" s="3">
        <f ca="1">IFERROR(__xludf.DUMMYFUNCTION("""COMPUTED_VALUE"""),1978.35)</f>
        <v>1978.35</v>
      </c>
      <c r="D207" s="3">
        <f ca="1">IFERROR(__xludf.DUMMYFUNCTION("""COMPUTED_VALUE"""),1937.09)</f>
        <v>1937.09</v>
      </c>
      <c r="E207" s="3">
        <f ca="1">IFERROR(__xludf.DUMMYFUNCTION("""COMPUTED_VALUE"""),1978.35)</f>
        <v>1978.35</v>
      </c>
      <c r="F207" s="3">
        <f ca="1">IFERROR(__xludf.DUMMYFUNCTION("""COMPUTED_VALUE"""),0)</f>
        <v>0</v>
      </c>
    </row>
    <row r="208" spans="1:6" ht="13" x14ac:dyDescent="0.15">
      <c r="A208" s="4">
        <f ca="1">IFERROR(__xludf.DUMMYFUNCTION("""COMPUTED_VALUE"""),42431.6666666666)</f>
        <v>42431.666666666599</v>
      </c>
      <c r="B208" s="3">
        <f ca="1">IFERROR(__xludf.DUMMYFUNCTION("""COMPUTED_VALUE"""),1976.6)</f>
        <v>1976.6</v>
      </c>
      <c r="C208" s="3">
        <f ca="1">IFERROR(__xludf.DUMMYFUNCTION("""COMPUTED_VALUE"""),1986.51)</f>
        <v>1986.51</v>
      </c>
      <c r="D208" s="3">
        <f ca="1">IFERROR(__xludf.DUMMYFUNCTION("""COMPUTED_VALUE"""),1968.8)</f>
        <v>1968.8</v>
      </c>
      <c r="E208" s="3">
        <f ca="1">IFERROR(__xludf.DUMMYFUNCTION("""COMPUTED_VALUE"""),1986.45)</f>
        <v>1986.45</v>
      </c>
      <c r="F208" s="3">
        <f ca="1">IFERROR(__xludf.DUMMYFUNCTION("""COMPUTED_VALUE"""),0)</f>
        <v>0</v>
      </c>
    </row>
    <row r="209" spans="1:6" ht="13" x14ac:dyDescent="0.15">
      <c r="A209" s="4">
        <f ca="1">IFERROR(__xludf.DUMMYFUNCTION("""COMPUTED_VALUE"""),42432.6666666666)</f>
        <v>42432.666666666599</v>
      </c>
      <c r="B209" s="3">
        <f ca="1">IFERROR(__xludf.DUMMYFUNCTION("""COMPUTED_VALUE"""),1985.6)</f>
        <v>1985.6</v>
      </c>
      <c r="C209" s="3">
        <f ca="1">IFERROR(__xludf.DUMMYFUNCTION("""COMPUTED_VALUE"""),1993.69)</f>
        <v>1993.69</v>
      </c>
      <c r="D209" s="3">
        <f ca="1">IFERROR(__xludf.DUMMYFUNCTION("""COMPUTED_VALUE"""),1977.37)</f>
        <v>1977.37</v>
      </c>
      <c r="E209" s="3">
        <f ca="1">IFERROR(__xludf.DUMMYFUNCTION("""COMPUTED_VALUE"""),1993.4)</f>
        <v>1993.4</v>
      </c>
      <c r="F209" s="3">
        <f ca="1">IFERROR(__xludf.DUMMYFUNCTION("""COMPUTED_VALUE"""),0)</f>
        <v>0</v>
      </c>
    </row>
    <row r="210" spans="1:6" ht="13" x14ac:dyDescent="0.15">
      <c r="A210" s="4">
        <f ca="1">IFERROR(__xludf.DUMMYFUNCTION("""COMPUTED_VALUE"""),42433.6666666666)</f>
        <v>42433.666666666599</v>
      </c>
      <c r="B210" s="3">
        <f ca="1">IFERROR(__xludf.DUMMYFUNCTION("""COMPUTED_VALUE"""),1994.01)</f>
        <v>1994.01</v>
      </c>
      <c r="C210" s="3">
        <f ca="1">IFERROR(__xludf.DUMMYFUNCTION("""COMPUTED_VALUE"""),2009.13)</f>
        <v>2009.13</v>
      </c>
      <c r="D210" s="3">
        <f ca="1">IFERROR(__xludf.DUMMYFUNCTION("""COMPUTED_VALUE"""),1986.77)</f>
        <v>1986.77</v>
      </c>
      <c r="E210" s="3">
        <f ca="1">IFERROR(__xludf.DUMMYFUNCTION("""COMPUTED_VALUE"""),1999.99)</f>
        <v>1999.99</v>
      </c>
      <c r="F210" s="3">
        <f ca="1">IFERROR(__xludf.DUMMYFUNCTION("""COMPUTED_VALUE"""),0)</f>
        <v>0</v>
      </c>
    </row>
    <row r="211" spans="1:6" ht="13" x14ac:dyDescent="0.15">
      <c r="A211" s="4">
        <f ca="1">IFERROR(__xludf.DUMMYFUNCTION("""COMPUTED_VALUE"""),42436.6666666666)</f>
        <v>42436.666666666599</v>
      </c>
      <c r="B211" s="3">
        <f ca="1">IFERROR(__xludf.DUMMYFUNCTION("""COMPUTED_VALUE"""),1996.11)</f>
        <v>1996.11</v>
      </c>
      <c r="C211" s="3">
        <f ca="1">IFERROR(__xludf.DUMMYFUNCTION("""COMPUTED_VALUE"""),2006.12)</f>
        <v>2006.12</v>
      </c>
      <c r="D211" s="3">
        <f ca="1">IFERROR(__xludf.DUMMYFUNCTION("""COMPUTED_VALUE"""),1989.38)</f>
        <v>1989.38</v>
      </c>
      <c r="E211" s="3">
        <f ca="1">IFERROR(__xludf.DUMMYFUNCTION("""COMPUTED_VALUE"""),2001.76)</f>
        <v>2001.76</v>
      </c>
      <c r="F211" s="3">
        <f ca="1">IFERROR(__xludf.DUMMYFUNCTION("""COMPUTED_VALUE"""),0)</f>
        <v>0</v>
      </c>
    </row>
    <row r="212" spans="1:6" ht="13" x14ac:dyDescent="0.15">
      <c r="A212" s="4">
        <f ca="1">IFERROR(__xludf.DUMMYFUNCTION("""COMPUTED_VALUE"""),42437.6666666666)</f>
        <v>42437.666666666599</v>
      </c>
      <c r="B212" s="3">
        <f ca="1">IFERROR(__xludf.DUMMYFUNCTION("""COMPUTED_VALUE"""),1996.88)</f>
        <v>1996.88</v>
      </c>
      <c r="C212" s="3">
        <f ca="1">IFERROR(__xludf.DUMMYFUNCTION("""COMPUTED_VALUE"""),1996.88)</f>
        <v>1996.88</v>
      </c>
      <c r="D212" s="3">
        <f ca="1">IFERROR(__xludf.DUMMYFUNCTION("""COMPUTED_VALUE"""),1977.43)</f>
        <v>1977.43</v>
      </c>
      <c r="E212" s="3">
        <f ca="1">IFERROR(__xludf.DUMMYFUNCTION("""COMPUTED_VALUE"""),1979.26)</f>
        <v>1979.26</v>
      </c>
      <c r="F212" s="3">
        <f ca="1">IFERROR(__xludf.DUMMYFUNCTION("""COMPUTED_VALUE"""),0)</f>
        <v>0</v>
      </c>
    </row>
    <row r="213" spans="1:6" ht="13" x14ac:dyDescent="0.15">
      <c r="A213" s="4">
        <f ca="1">IFERROR(__xludf.DUMMYFUNCTION("""COMPUTED_VALUE"""),42438.6666666666)</f>
        <v>42438.666666666599</v>
      </c>
      <c r="B213" s="3">
        <f ca="1">IFERROR(__xludf.DUMMYFUNCTION("""COMPUTED_VALUE"""),1981.44)</f>
        <v>1981.44</v>
      </c>
      <c r="C213" s="3">
        <f ca="1">IFERROR(__xludf.DUMMYFUNCTION("""COMPUTED_VALUE"""),1992.69)</f>
        <v>1992.69</v>
      </c>
      <c r="D213" s="3">
        <f ca="1">IFERROR(__xludf.DUMMYFUNCTION("""COMPUTED_VALUE"""),1979.84)</f>
        <v>1979.84</v>
      </c>
      <c r="E213" s="3">
        <f ca="1">IFERROR(__xludf.DUMMYFUNCTION("""COMPUTED_VALUE"""),1989.26)</f>
        <v>1989.26</v>
      </c>
      <c r="F213" s="3">
        <f ca="1">IFERROR(__xludf.DUMMYFUNCTION("""COMPUTED_VALUE"""),0)</f>
        <v>0</v>
      </c>
    </row>
    <row r="214" spans="1:6" ht="13" x14ac:dyDescent="0.15">
      <c r="A214" s="4">
        <f ca="1">IFERROR(__xludf.DUMMYFUNCTION("""COMPUTED_VALUE"""),42439.6666666666)</f>
        <v>42439.666666666599</v>
      </c>
      <c r="B214" s="3">
        <f ca="1">IFERROR(__xludf.DUMMYFUNCTION("""COMPUTED_VALUE"""),1990.97)</f>
        <v>1990.97</v>
      </c>
      <c r="C214" s="3">
        <f ca="1">IFERROR(__xludf.DUMMYFUNCTION("""COMPUTED_VALUE"""),2005.08)</f>
        <v>2005.08</v>
      </c>
      <c r="D214" s="3">
        <f ca="1">IFERROR(__xludf.DUMMYFUNCTION("""COMPUTED_VALUE"""),1969.25)</f>
        <v>1969.25</v>
      </c>
      <c r="E214" s="3">
        <f ca="1">IFERROR(__xludf.DUMMYFUNCTION("""COMPUTED_VALUE"""),1989.57)</f>
        <v>1989.57</v>
      </c>
      <c r="F214" s="3">
        <f ca="1">IFERROR(__xludf.DUMMYFUNCTION("""COMPUTED_VALUE"""),0)</f>
        <v>0</v>
      </c>
    </row>
    <row r="215" spans="1:6" ht="13" x14ac:dyDescent="0.15">
      <c r="A215" s="4">
        <f ca="1">IFERROR(__xludf.DUMMYFUNCTION("""COMPUTED_VALUE"""),42440.6666666666)</f>
        <v>42440.666666666599</v>
      </c>
      <c r="B215" s="3">
        <f ca="1">IFERROR(__xludf.DUMMYFUNCTION("""COMPUTED_VALUE"""),1994.71)</f>
        <v>1994.71</v>
      </c>
      <c r="C215" s="3">
        <f ca="1">IFERROR(__xludf.DUMMYFUNCTION("""COMPUTED_VALUE"""),2022.37)</f>
        <v>2022.37</v>
      </c>
      <c r="D215" s="3">
        <f ca="1">IFERROR(__xludf.DUMMYFUNCTION("""COMPUTED_VALUE"""),1994.71)</f>
        <v>1994.71</v>
      </c>
      <c r="E215" s="3">
        <f ca="1">IFERROR(__xludf.DUMMYFUNCTION("""COMPUTED_VALUE"""),2022.19)</f>
        <v>2022.19</v>
      </c>
      <c r="F215" s="3">
        <f ca="1">IFERROR(__xludf.DUMMYFUNCTION("""COMPUTED_VALUE"""),0)</f>
        <v>0</v>
      </c>
    </row>
    <row r="216" spans="1:6" ht="13" x14ac:dyDescent="0.15">
      <c r="A216" s="4">
        <f ca="1">IFERROR(__xludf.DUMMYFUNCTION("""COMPUTED_VALUE"""),42443.6666666666)</f>
        <v>42443.666666666599</v>
      </c>
      <c r="B216" s="3">
        <f ca="1">IFERROR(__xludf.DUMMYFUNCTION("""COMPUTED_VALUE"""),2019.27)</f>
        <v>2019.27</v>
      </c>
      <c r="C216" s="3">
        <f ca="1">IFERROR(__xludf.DUMMYFUNCTION("""COMPUTED_VALUE"""),2024.57)</f>
        <v>2024.57</v>
      </c>
      <c r="D216" s="3">
        <f ca="1">IFERROR(__xludf.DUMMYFUNCTION("""COMPUTED_VALUE"""),2012.05)</f>
        <v>2012.05</v>
      </c>
      <c r="E216" s="3">
        <f ca="1">IFERROR(__xludf.DUMMYFUNCTION("""COMPUTED_VALUE"""),2019.64)</f>
        <v>2019.64</v>
      </c>
      <c r="F216" s="3">
        <f ca="1">IFERROR(__xludf.DUMMYFUNCTION("""COMPUTED_VALUE"""),0)</f>
        <v>0</v>
      </c>
    </row>
    <row r="217" spans="1:6" ht="13" x14ac:dyDescent="0.15">
      <c r="A217" s="4">
        <f ca="1">IFERROR(__xludf.DUMMYFUNCTION("""COMPUTED_VALUE"""),42444.6666666666)</f>
        <v>42444.666666666599</v>
      </c>
      <c r="B217" s="3">
        <f ca="1">IFERROR(__xludf.DUMMYFUNCTION("""COMPUTED_VALUE"""),2015.27)</f>
        <v>2015.27</v>
      </c>
      <c r="C217" s="3">
        <f ca="1">IFERROR(__xludf.DUMMYFUNCTION("""COMPUTED_VALUE"""),2015.94)</f>
        <v>2015.94</v>
      </c>
      <c r="D217" s="3">
        <f ca="1">IFERROR(__xludf.DUMMYFUNCTION("""COMPUTED_VALUE"""),2005.23)</f>
        <v>2005.23</v>
      </c>
      <c r="E217" s="3">
        <f ca="1">IFERROR(__xludf.DUMMYFUNCTION("""COMPUTED_VALUE"""),2015.93)</f>
        <v>2015.93</v>
      </c>
      <c r="F217" s="3">
        <f ca="1">IFERROR(__xludf.DUMMYFUNCTION("""COMPUTED_VALUE"""),0)</f>
        <v>0</v>
      </c>
    </row>
    <row r="218" spans="1:6" ht="13" x14ac:dyDescent="0.15">
      <c r="A218" s="4">
        <f ca="1">IFERROR(__xludf.DUMMYFUNCTION("""COMPUTED_VALUE"""),42445.6666666666)</f>
        <v>42445.666666666599</v>
      </c>
      <c r="B218" s="3">
        <f ca="1">IFERROR(__xludf.DUMMYFUNCTION("""COMPUTED_VALUE"""),2014.24)</f>
        <v>2014.24</v>
      </c>
      <c r="C218" s="3">
        <f ca="1">IFERROR(__xludf.DUMMYFUNCTION("""COMPUTED_VALUE"""),2032.02)</f>
        <v>2032.02</v>
      </c>
      <c r="D218" s="3">
        <f ca="1">IFERROR(__xludf.DUMMYFUNCTION("""COMPUTED_VALUE"""),2010.04)</f>
        <v>2010.04</v>
      </c>
      <c r="E218" s="3">
        <f ca="1">IFERROR(__xludf.DUMMYFUNCTION("""COMPUTED_VALUE"""),2027.22)</f>
        <v>2027.22</v>
      </c>
      <c r="F218" s="3">
        <f ca="1">IFERROR(__xludf.DUMMYFUNCTION("""COMPUTED_VALUE"""),0)</f>
        <v>0</v>
      </c>
    </row>
    <row r="219" spans="1:6" ht="13" x14ac:dyDescent="0.15">
      <c r="A219" s="4">
        <f ca="1">IFERROR(__xludf.DUMMYFUNCTION("""COMPUTED_VALUE"""),42446.6666666666)</f>
        <v>42446.666666666599</v>
      </c>
      <c r="B219" s="3">
        <f ca="1">IFERROR(__xludf.DUMMYFUNCTION("""COMPUTED_VALUE"""),2026.9)</f>
        <v>2026.9</v>
      </c>
      <c r="C219" s="3">
        <f ca="1">IFERROR(__xludf.DUMMYFUNCTION("""COMPUTED_VALUE"""),2046.24)</f>
        <v>2046.24</v>
      </c>
      <c r="D219" s="3">
        <f ca="1">IFERROR(__xludf.DUMMYFUNCTION("""COMPUTED_VALUE"""),2022.16)</f>
        <v>2022.16</v>
      </c>
      <c r="E219" s="3">
        <f ca="1">IFERROR(__xludf.DUMMYFUNCTION("""COMPUTED_VALUE"""),2040.59)</f>
        <v>2040.59</v>
      </c>
      <c r="F219" s="3">
        <f ca="1">IFERROR(__xludf.DUMMYFUNCTION("""COMPUTED_VALUE"""),0)</f>
        <v>0</v>
      </c>
    </row>
    <row r="220" spans="1:6" ht="13" x14ac:dyDescent="0.15">
      <c r="A220" s="4">
        <f ca="1">IFERROR(__xludf.DUMMYFUNCTION("""COMPUTED_VALUE"""),42447.6666666666)</f>
        <v>42447.666666666599</v>
      </c>
      <c r="B220" s="3">
        <f ca="1">IFERROR(__xludf.DUMMYFUNCTION("""COMPUTED_VALUE"""),2041.16)</f>
        <v>2041.16</v>
      </c>
      <c r="C220" s="3">
        <f ca="1">IFERROR(__xludf.DUMMYFUNCTION("""COMPUTED_VALUE"""),2052.36)</f>
        <v>2052.36</v>
      </c>
      <c r="D220" s="3">
        <f ca="1">IFERROR(__xludf.DUMMYFUNCTION("""COMPUTED_VALUE"""),2041.16)</f>
        <v>2041.16</v>
      </c>
      <c r="E220" s="3">
        <f ca="1">IFERROR(__xludf.DUMMYFUNCTION("""COMPUTED_VALUE"""),2049.58)</f>
        <v>2049.58</v>
      </c>
      <c r="F220" s="3">
        <f ca="1">IFERROR(__xludf.DUMMYFUNCTION("""COMPUTED_VALUE"""),0)</f>
        <v>0</v>
      </c>
    </row>
    <row r="221" spans="1:6" ht="13" x14ac:dyDescent="0.15">
      <c r="A221" s="4">
        <f ca="1">IFERROR(__xludf.DUMMYFUNCTION("""COMPUTED_VALUE"""),42450.6666666666)</f>
        <v>42450.666666666599</v>
      </c>
      <c r="B221" s="3">
        <f ca="1">IFERROR(__xludf.DUMMYFUNCTION("""COMPUTED_VALUE"""),2047.88)</f>
        <v>2047.88</v>
      </c>
      <c r="C221" s="3">
        <f ca="1">IFERROR(__xludf.DUMMYFUNCTION("""COMPUTED_VALUE"""),2053.91)</f>
        <v>2053.91</v>
      </c>
      <c r="D221" s="3">
        <f ca="1">IFERROR(__xludf.DUMMYFUNCTION("""COMPUTED_VALUE"""),2043.14)</f>
        <v>2043.14</v>
      </c>
      <c r="E221" s="3">
        <f ca="1">IFERROR(__xludf.DUMMYFUNCTION("""COMPUTED_VALUE"""),2051.6)</f>
        <v>2051.6</v>
      </c>
      <c r="F221" s="3">
        <f ca="1">IFERROR(__xludf.DUMMYFUNCTION("""COMPUTED_VALUE"""),0)</f>
        <v>0</v>
      </c>
    </row>
    <row r="222" spans="1:6" ht="13" x14ac:dyDescent="0.15">
      <c r="A222" s="4">
        <f ca="1">IFERROR(__xludf.DUMMYFUNCTION("""COMPUTED_VALUE"""),42451.6666666666)</f>
        <v>42451.666666666599</v>
      </c>
      <c r="B222" s="3">
        <f ca="1">IFERROR(__xludf.DUMMYFUNCTION("""COMPUTED_VALUE"""),2048.64)</f>
        <v>2048.64</v>
      </c>
      <c r="C222" s="3">
        <f ca="1">IFERROR(__xludf.DUMMYFUNCTION("""COMPUTED_VALUE"""),2056.6)</f>
        <v>2056.6</v>
      </c>
      <c r="D222" s="3">
        <f ca="1">IFERROR(__xludf.DUMMYFUNCTION("""COMPUTED_VALUE"""),2040.57)</f>
        <v>2040.57</v>
      </c>
      <c r="E222" s="3">
        <f ca="1">IFERROR(__xludf.DUMMYFUNCTION("""COMPUTED_VALUE"""),2049.8)</f>
        <v>2049.8000000000002</v>
      </c>
      <c r="F222" s="3">
        <f ca="1">IFERROR(__xludf.DUMMYFUNCTION("""COMPUTED_VALUE"""),0)</f>
        <v>0</v>
      </c>
    </row>
    <row r="223" spans="1:6" ht="13" x14ac:dyDescent="0.15">
      <c r="A223" s="4">
        <f ca="1">IFERROR(__xludf.DUMMYFUNCTION("""COMPUTED_VALUE"""),42452.6666666666)</f>
        <v>42452.666666666599</v>
      </c>
      <c r="B223" s="3">
        <f ca="1">IFERROR(__xludf.DUMMYFUNCTION("""COMPUTED_VALUE"""),2048.55)</f>
        <v>2048.5500000000002</v>
      </c>
      <c r="C223" s="3">
        <f ca="1">IFERROR(__xludf.DUMMYFUNCTION("""COMPUTED_VALUE"""),2048.55)</f>
        <v>2048.5500000000002</v>
      </c>
      <c r="D223" s="3">
        <f ca="1">IFERROR(__xludf.DUMMYFUNCTION("""COMPUTED_VALUE"""),2034.86)</f>
        <v>2034.86</v>
      </c>
      <c r="E223" s="3">
        <f ca="1">IFERROR(__xludf.DUMMYFUNCTION("""COMPUTED_VALUE"""),2036.71)</f>
        <v>2036.71</v>
      </c>
      <c r="F223" s="3">
        <f ca="1">IFERROR(__xludf.DUMMYFUNCTION("""COMPUTED_VALUE"""),0)</f>
        <v>0</v>
      </c>
    </row>
    <row r="224" spans="1:6" ht="13" x14ac:dyDescent="0.15">
      <c r="A224" s="4">
        <f ca="1">IFERROR(__xludf.DUMMYFUNCTION("""COMPUTED_VALUE"""),42453.6666666666)</f>
        <v>42453.666666666599</v>
      </c>
      <c r="B224" s="3">
        <f ca="1">IFERROR(__xludf.DUMMYFUNCTION("""COMPUTED_VALUE"""),2032.48)</f>
        <v>2032.48</v>
      </c>
      <c r="C224" s="3">
        <f ca="1">IFERROR(__xludf.DUMMYFUNCTION("""COMPUTED_VALUE"""),2036.04)</f>
        <v>2036.04</v>
      </c>
      <c r="D224" s="3">
        <f ca="1">IFERROR(__xludf.DUMMYFUNCTION("""COMPUTED_VALUE"""),2022.49)</f>
        <v>2022.49</v>
      </c>
      <c r="E224" s="3">
        <f ca="1">IFERROR(__xludf.DUMMYFUNCTION("""COMPUTED_VALUE"""),2035.94)</f>
        <v>2035.94</v>
      </c>
      <c r="F224" s="3">
        <f ca="1">IFERROR(__xludf.DUMMYFUNCTION("""COMPUTED_VALUE"""),0)</f>
        <v>0</v>
      </c>
    </row>
    <row r="225" spans="1:6" ht="13" x14ac:dyDescent="0.15">
      <c r="A225" s="4">
        <f ca="1">IFERROR(__xludf.DUMMYFUNCTION("""COMPUTED_VALUE"""),42457.6666666666)</f>
        <v>42457.666666666599</v>
      </c>
      <c r="B225" s="3">
        <f ca="1">IFERROR(__xludf.DUMMYFUNCTION("""COMPUTED_VALUE"""),2037.89)</f>
        <v>2037.89</v>
      </c>
      <c r="C225" s="3">
        <f ca="1">IFERROR(__xludf.DUMMYFUNCTION("""COMPUTED_VALUE"""),2042.67)</f>
        <v>2042.67</v>
      </c>
      <c r="D225" s="3">
        <f ca="1">IFERROR(__xludf.DUMMYFUNCTION("""COMPUTED_VALUE"""),2031.96)</f>
        <v>2031.96</v>
      </c>
      <c r="E225" s="3">
        <f ca="1">IFERROR(__xludf.DUMMYFUNCTION("""COMPUTED_VALUE"""),2037.05)</f>
        <v>2037.05</v>
      </c>
      <c r="F225" s="3">
        <f ca="1">IFERROR(__xludf.DUMMYFUNCTION("""COMPUTED_VALUE"""),0)</f>
        <v>0</v>
      </c>
    </row>
    <row r="226" spans="1:6" ht="13" x14ac:dyDescent="0.15">
      <c r="A226" s="4">
        <f ca="1">IFERROR(__xludf.DUMMYFUNCTION("""COMPUTED_VALUE"""),42458.6666666666)</f>
        <v>42458.666666666599</v>
      </c>
      <c r="B226" s="3">
        <f ca="1">IFERROR(__xludf.DUMMYFUNCTION("""COMPUTED_VALUE"""),2035.75)</f>
        <v>2035.75</v>
      </c>
      <c r="C226" s="3">
        <f ca="1">IFERROR(__xludf.DUMMYFUNCTION("""COMPUTED_VALUE"""),2055.91)</f>
        <v>2055.91</v>
      </c>
      <c r="D226" s="3">
        <f ca="1">IFERROR(__xludf.DUMMYFUNCTION("""COMPUTED_VALUE"""),2028.31)</f>
        <v>2028.31</v>
      </c>
      <c r="E226" s="3">
        <f ca="1">IFERROR(__xludf.DUMMYFUNCTION("""COMPUTED_VALUE"""),2055.01)</f>
        <v>2055.0100000000002</v>
      </c>
      <c r="F226" s="3">
        <f ca="1">IFERROR(__xludf.DUMMYFUNCTION("""COMPUTED_VALUE"""),0)</f>
        <v>0</v>
      </c>
    </row>
    <row r="227" spans="1:6" ht="13" x14ac:dyDescent="0.15">
      <c r="A227" s="4">
        <f ca="1">IFERROR(__xludf.DUMMYFUNCTION("""COMPUTED_VALUE"""),42459.6666666666)</f>
        <v>42459.666666666599</v>
      </c>
      <c r="B227" s="3">
        <f ca="1">IFERROR(__xludf.DUMMYFUNCTION("""COMPUTED_VALUE"""),2058.27)</f>
        <v>2058.27</v>
      </c>
      <c r="C227" s="3">
        <f ca="1">IFERROR(__xludf.DUMMYFUNCTION("""COMPUTED_VALUE"""),2072.21)</f>
        <v>2072.21</v>
      </c>
      <c r="D227" s="3">
        <f ca="1">IFERROR(__xludf.DUMMYFUNCTION("""COMPUTED_VALUE"""),2058.27)</f>
        <v>2058.27</v>
      </c>
      <c r="E227" s="3">
        <f ca="1">IFERROR(__xludf.DUMMYFUNCTION("""COMPUTED_VALUE"""),2063.95)</f>
        <v>2063.9499999999998</v>
      </c>
      <c r="F227" s="3">
        <f ca="1">IFERROR(__xludf.DUMMYFUNCTION("""COMPUTED_VALUE"""),0)</f>
        <v>0</v>
      </c>
    </row>
    <row r="228" spans="1:6" ht="13" x14ac:dyDescent="0.15">
      <c r="A228" s="4">
        <f ca="1">IFERROR(__xludf.DUMMYFUNCTION("""COMPUTED_VALUE"""),42460.6666666666)</f>
        <v>42460.666666666599</v>
      </c>
      <c r="B228" s="3">
        <f ca="1">IFERROR(__xludf.DUMMYFUNCTION("""COMPUTED_VALUE"""),2063.77)</f>
        <v>2063.77</v>
      </c>
      <c r="C228" s="3">
        <f ca="1">IFERROR(__xludf.DUMMYFUNCTION("""COMPUTED_VALUE"""),2067.92)</f>
        <v>2067.92</v>
      </c>
      <c r="D228" s="3">
        <f ca="1">IFERROR(__xludf.DUMMYFUNCTION("""COMPUTED_VALUE"""),2057.46)</f>
        <v>2057.46</v>
      </c>
      <c r="E228" s="3">
        <f ca="1">IFERROR(__xludf.DUMMYFUNCTION("""COMPUTED_VALUE"""),2059.74)</f>
        <v>2059.7399999999998</v>
      </c>
      <c r="F228" s="3">
        <f ca="1">IFERROR(__xludf.DUMMYFUNCTION("""COMPUTED_VALUE"""),0)</f>
        <v>0</v>
      </c>
    </row>
    <row r="229" spans="1:6" ht="13" x14ac:dyDescent="0.15">
      <c r="A229" s="4">
        <f ca="1">IFERROR(__xludf.DUMMYFUNCTION("""COMPUTED_VALUE"""),42461.6666666666)</f>
        <v>42461.666666666599</v>
      </c>
      <c r="B229" s="3">
        <f ca="1">IFERROR(__xludf.DUMMYFUNCTION("""COMPUTED_VALUE"""),2056.62)</f>
        <v>2056.62</v>
      </c>
      <c r="C229" s="3">
        <f ca="1">IFERROR(__xludf.DUMMYFUNCTION("""COMPUTED_VALUE"""),2075.07)</f>
        <v>2075.0700000000002</v>
      </c>
      <c r="D229" s="3">
        <f ca="1">IFERROR(__xludf.DUMMYFUNCTION("""COMPUTED_VALUE"""),2043.98)</f>
        <v>2043.98</v>
      </c>
      <c r="E229" s="3">
        <f ca="1">IFERROR(__xludf.DUMMYFUNCTION("""COMPUTED_VALUE"""),2072.78)</f>
        <v>2072.7800000000002</v>
      </c>
      <c r="F229" s="3">
        <f ca="1">IFERROR(__xludf.DUMMYFUNCTION("""COMPUTED_VALUE"""),0)</f>
        <v>0</v>
      </c>
    </row>
    <row r="230" spans="1:6" ht="13" x14ac:dyDescent="0.15">
      <c r="A230" s="4">
        <f ca="1">IFERROR(__xludf.DUMMYFUNCTION("""COMPUTED_VALUE"""),42464.6666666666)</f>
        <v>42464.666666666599</v>
      </c>
      <c r="B230" s="3">
        <f ca="1">IFERROR(__xludf.DUMMYFUNCTION("""COMPUTED_VALUE"""),2073.19)</f>
        <v>2073.19</v>
      </c>
      <c r="C230" s="3">
        <f ca="1">IFERROR(__xludf.DUMMYFUNCTION("""COMPUTED_VALUE"""),2074.02)</f>
        <v>2074.02</v>
      </c>
      <c r="D230" s="3">
        <f ca="1">IFERROR(__xludf.DUMMYFUNCTION("""COMPUTED_VALUE"""),2062.57)</f>
        <v>2062.5700000000002</v>
      </c>
      <c r="E230" s="3">
        <f ca="1">IFERROR(__xludf.DUMMYFUNCTION("""COMPUTED_VALUE"""),2066.13)</f>
        <v>2066.13</v>
      </c>
      <c r="F230" s="3">
        <f ca="1">IFERROR(__xludf.DUMMYFUNCTION("""COMPUTED_VALUE"""),0)</f>
        <v>0</v>
      </c>
    </row>
    <row r="231" spans="1:6" ht="13" x14ac:dyDescent="0.15">
      <c r="A231" s="4">
        <f ca="1">IFERROR(__xludf.DUMMYFUNCTION("""COMPUTED_VALUE"""),42465.6666666666)</f>
        <v>42465.666666666599</v>
      </c>
      <c r="B231" s="3">
        <f ca="1">IFERROR(__xludf.DUMMYFUNCTION("""COMPUTED_VALUE"""),2062.5)</f>
        <v>2062.5</v>
      </c>
      <c r="C231" s="3">
        <f ca="1">IFERROR(__xludf.DUMMYFUNCTION("""COMPUTED_VALUE"""),2062.5)</f>
        <v>2062.5</v>
      </c>
      <c r="D231" s="3">
        <f ca="1">IFERROR(__xludf.DUMMYFUNCTION("""COMPUTED_VALUE"""),2042.56)</f>
        <v>2042.56</v>
      </c>
      <c r="E231" s="3">
        <f ca="1">IFERROR(__xludf.DUMMYFUNCTION("""COMPUTED_VALUE"""),2045.17)</f>
        <v>2045.17</v>
      </c>
      <c r="F231" s="3">
        <f ca="1">IFERROR(__xludf.DUMMYFUNCTION("""COMPUTED_VALUE"""),0)</f>
        <v>0</v>
      </c>
    </row>
    <row r="232" spans="1:6" ht="13" x14ac:dyDescent="0.15">
      <c r="A232" s="4">
        <f ca="1">IFERROR(__xludf.DUMMYFUNCTION("""COMPUTED_VALUE"""),42466.6666666666)</f>
        <v>42466.666666666599</v>
      </c>
      <c r="B232" s="3">
        <f ca="1">IFERROR(__xludf.DUMMYFUNCTION("""COMPUTED_VALUE"""),2045.56)</f>
        <v>2045.56</v>
      </c>
      <c r="C232" s="3">
        <f ca="1">IFERROR(__xludf.DUMMYFUNCTION("""COMPUTED_VALUE"""),2067.33)</f>
        <v>2067.33</v>
      </c>
      <c r="D232" s="3">
        <f ca="1">IFERROR(__xludf.DUMMYFUNCTION("""COMPUTED_VALUE"""),2043.09)</f>
        <v>2043.09</v>
      </c>
      <c r="E232" s="3">
        <f ca="1">IFERROR(__xludf.DUMMYFUNCTION("""COMPUTED_VALUE"""),2066.66)</f>
        <v>2066.66</v>
      </c>
      <c r="F232" s="3">
        <f ca="1">IFERROR(__xludf.DUMMYFUNCTION("""COMPUTED_VALUE"""),0)</f>
        <v>0</v>
      </c>
    </row>
    <row r="233" spans="1:6" ht="13" x14ac:dyDescent="0.15">
      <c r="A233" s="4">
        <f ca="1">IFERROR(__xludf.DUMMYFUNCTION("""COMPUTED_VALUE"""),42467.6666666666)</f>
        <v>42467.666666666599</v>
      </c>
      <c r="B233" s="3">
        <f ca="1">IFERROR(__xludf.DUMMYFUNCTION("""COMPUTED_VALUE"""),2063.01)</f>
        <v>2063.0100000000002</v>
      </c>
      <c r="C233" s="3">
        <f ca="1">IFERROR(__xludf.DUMMYFUNCTION("""COMPUTED_VALUE"""),2063.01)</f>
        <v>2063.0100000000002</v>
      </c>
      <c r="D233" s="3">
        <f ca="1">IFERROR(__xludf.DUMMYFUNCTION("""COMPUTED_VALUE"""),2033.8)</f>
        <v>2033.8</v>
      </c>
      <c r="E233" s="3">
        <f ca="1">IFERROR(__xludf.DUMMYFUNCTION("""COMPUTED_VALUE"""),2041.91)</f>
        <v>2041.91</v>
      </c>
      <c r="F233" s="3">
        <f ca="1">IFERROR(__xludf.DUMMYFUNCTION("""COMPUTED_VALUE"""),0)</f>
        <v>0</v>
      </c>
    </row>
    <row r="234" spans="1:6" ht="13" x14ac:dyDescent="0.15">
      <c r="A234" s="4">
        <f ca="1">IFERROR(__xludf.DUMMYFUNCTION("""COMPUTED_VALUE"""),42468.6666666666)</f>
        <v>42468.666666666599</v>
      </c>
      <c r="B234" s="3">
        <f ca="1">IFERROR(__xludf.DUMMYFUNCTION("""COMPUTED_VALUE"""),2045.54)</f>
        <v>2045.54</v>
      </c>
      <c r="C234" s="3">
        <f ca="1">IFERROR(__xludf.DUMMYFUNCTION("""COMPUTED_VALUE"""),2060.63)</f>
        <v>2060.63</v>
      </c>
      <c r="D234" s="3">
        <f ca="1">IFERROR(__xludf.DUMMYFUNCTION("""COMPUTED_VALUE"""),2041.69)</f>
        <v>2041.69</v>
      </c>
      <c r="E234" s="3">
        <f ca="1">IFERROR(__xludf.DUMMYFUNCTION("""COMPUTED_VALUE"""),2047.6)</f>
        <v>2047.6</v>
      </c>
      <c r="F234" s="3">
        <f ca="1">IFERROR(__xludf.DUMMYFUNCTION("""COMPUTED_VALUE"""),0)</f>
        <v>0</v>
      </c>
    </row>
    <row r="235" spans="1:6" ht="13" x14ac:dyDescent="0.15">
      <c r="A235" s="4">
        <f ca="1">IFERROR(__xludf.DUMMYFUNCTION("""COMPUTED_VALUE"""),42471.6666666666)</f>
        <v>42471.666666666599</v>
      </c>
      <c r="B235" s="3">
        <f ca="1">IFERROR(__xludf.DUMMYFUNCTION("""COMPUTED_VALUE"""),2050.23)</f>
        <v>2050.23</v>
      </c>
      <c r="C235" s="3">
        <f ca="1">IFERROR(__xludf.DUMMYFUNCTION("""COMPUTED_VALUE"""),2062.93)</f>
        <v>2062.9299999999998</v>
      </c>
      <c r="D235" s="3">
        <f ca="1">IFERROR(__xludf.DUMMYFUNCTION("""COMPUTED_VALUE"""),2041.88)</f>
        <v>2041.88</v>
      </c>
      <c r="E235" s="3">
        <f ca="1">IFERROR(__xludf.DUMMYFUNCTION("""COMPUTED_VALUE"""),2041.99)</f>
        <v>2041.99</v>
      </c>
      <c r="F235" s="3">
        <f ca="1">IFERROR(__xludf.DUMMYFUNCTION("""COMPUTED_VALUE"""),0)</f>
        <v>0</v>
      </c>
    </row>
    <row r="236" spans="1:6" ht="13" x14ac:dyDescent="0.15">
      <c r="A236" s="4">
        <f ca="1">IFERROR(__xludf.DUMMYFUNCTION("""COMPUTED_VALUE"""),42472.6666666666)</f>
        <v>42472.666666666599</v>
      </c>
      <c r="B236" s="3">
        <f ca="1">IFERROR(__xludf.DUMMYFUNCTION("""COMPUTED_VALUE"""),2043.72)</f>
        <v>2043.72</v>
      </c>
      <c r="C236" s="3">
        <f ca="1">IFERROR(__xludf.DUMMYFUNCTION("""COMPUTED_VALUE"""),2065.05)</f>
        <v>2065.0500000000002</v>
      </c>
      <c r="D236" s="3">
        <f ca="1">IFERROR(__xludf.DUMMYFUNCTION("""COMPUTED_VALUE"""),2039.74)</f>
        <v>2039.74</v>
      </c>
      <c r="E236" s="3">
        <f ca="1">IFERROR(__xludf.DUMMYFUNCTION("""COMPUTED_VALUE"""),2061.72)</f>
        <v>2061.7199999999998</v>
      </c>
      <c r="F236" s="3">
        <f ca="1">IFERROR(__xludf.DUMMYFUNCTION("""COMPUTED_VALUE"""),0)</f>
        <v>0</v>
      </c>
    </row>
    <row r="237" spans="1:6" ht="13" x14ac:dyDescent="0.15">
      <c r="A237" s="4">
        <f ca="1">IFERROR(__xludf.DUMMYFUNCTION("""COMPUTED_VALUE"""),42473.6666666666)</f>
        <v>42473.666666666599</v>
      </c>
      <c r="B237" s="3">
        <f ca="1">IFERROR(__xludf.DUMMYFUNCTION("""COMPUTED_VALUE"""),2065.92)</f>
        <v>2065.92</v>
      </c>
      <c r="C237" s="3">
        <f ca="1">IFERROR(__xludf.DUMMYFUNCTION("""COMPUTED_VALUE"""),2083.18)</f>
        <v>2083.1799999999998</v>
      </c>
      <c r="D237" s="3">
        <f ca="1">IFERROR(__xludf.DUMMYFUNCTION("""COMPUTED_VALUE"""),2065.92)</f>
        <v>2065.92</v>
      </c>
      <c r="E237" s="3">
        <f ca="1">IFERROR(__xludf.DUMMYFUNCTION("""COMPUTED_VALUE"""),2082.42)</f>
        <v>2082.42</v>
      </c>
      <c r="F237" s="3">
        <f ca="1">IFERROR(__xludf.DUMMYFUNCTION("""COMPUTED_VALUE"""),0)</f>
        <v>0</v>
      </c>
    </row>
    <row r="238" spans="1:6" ht="13" x14ac:dyDescent="0.15">
      <c r="A238" s="4">
        <f ca="1">IFERROR(__xludf.DUMMYFUNCTION("""COMPUTED_VALUE"""),42474.6666666666)</f>
        <v>42474.666666666599</v>
      </c>
      <c r="B238" s="3">
        <f ca="1">IFERROR(__xludf.DUMMYFUNCTION("""COMPUTED_VALUE"""),2082.89)</f>
        <v>2082.89</v>
      </c>
      <c r="C238" s="3">
        <f ca="1">IFERROR(__xludf.DUMMYFUNCTION("""COMPUTED_VALUE"""),2087.84)</f>
        <v>2087.84</v>
      </c>
      <c r="D238" s="3">
        <f ca="1">IFERROR(__xludf.DUMMYFUNCTION("""COMPUTED_VALUE"""),2078.13)</f>
        <v>2078.13</v>
      </c>
      <c r="E238" s="3">
        <f ca="1">IFERROR(__xludf.DUMMYFUNCTION("""COMPUTED_VALUE"""),2082.78)</f>
        <v>2082.7800000000002</v>
      </c>
      <c r="F238" s="3">
        <f ca="1">IFERROR(__xludf.DUMMYFUNCTION("""COMPUTED_VALUE"""),0)</f>
        <v>0</v>
      </c>
    </row>
    <row r="239" spans="1:6" ht="13" x14ac:dyDescent="0.15">
      <c r="A239" s="4">
        <f ca="1">IFERROR(__xludf.DUMMYFUNCTION("""COMPUTED_VALUE"""),42475.6666666666)</f>
        <v>42475.666666666599</v>
      </c>
      <c r="B239" s="3">
        <f ca="1">IFERROR(__xludf.DUMMYFUNCTION("""COMPUTED_VALUE"""),2083.1)</f>
        <v>2083.1</v>
      </c>
      <c r="C239" s="3">
        <f ca="1">IFERROR(__xludf.DUMMYFUNCTION("""COMPUTED_VALUE"""),2083.22)</f>
        <v>2083.2199999999998</v>
      </c>
      <c r="D239" s="3">
        <f ca="1">IFERROR(__xludf.DUMMYFUNCTION("""COMPUTED_VALUE"""),2076.31)</f>
        <v>2076.31</v>
      </c>
      <c r="E239" s="3">
        <f ca="1">IFERROR(__xludf.DUMMYFUNCTION("""COMPUTED_VALUE"""),2080.73)</f>
        <v>2080.73</v>
      </c>
      <c r="F239" s="3">
        <f ca="1">IFERROR(__xludf.DUMMYFUNCTION("""COMPUTED_VALUE"""),0)</f>
        <v>0</v>
      </c>
    </row>
    <row r="240" spans="1:6" ht="13" x14ac:dyDescent="0.15">
      <c r="A240" s="4">
        <f ca="1">IFERROR(__xludf.DUMMYFUNCTION("""COMPUTED_VALUE"""),42478.6666666666)</f>
        <v>42478.666666666599</v>
      </c>
      <c r="B240" s="3">
        <f ca="1">IFERROR(__xludf.DUMMYFUNCTION("""COMPUTED_VALUE"""),2078.83)</f>
        <v>2078.83</v>
      </c>
      <c r="C240" s="3">
        <f ca="1">IFERROR(__xludf.DUMMYFUNCTION("""COMPUTED_VALUE"""),2094.66)</f>
        <v>2094.66</v>
      </c>
      <c r="D240" s="3">
        <f ca="1">IFERROR(__xludf.DUMMYFUNCTION("""COMPUTED_VALUE"""),2073.65)</f>
        <v>2073.65</v>
      </c>
      <c r="E240" s="3">
        <f ca="1">IFERROR(__xludf.DUMMYFUNCTION("""COMPUTED_VALUE"""),2094.34)</f>
        <v>2094.34</v>
      </c>
      <c r="F240" s="3">
        <f ca="1">IFERROR(__xludf.DUMMYFUNCTION("""COMPUTED_VALUE"""),0)</f>
        <v>0</v>
      </c>
    </row>
    <row r="241" spans="1:6" ht="13" x14ac:dyDescent="0.15">
      <c r="A241" s="4">
        <f ca="1">IFERROR(__xludf.DUMMYFUNCTION("""COMPUTED_VALUE"""),42479.6666666666)</f>
        <v>42479.666666666599</v>
      </c>
      <c r="B241" s="3">
        <f ca="1">IFERROR(__xludf.DUMMYFUNCTION("""COMPUTED_VALUE"""),2096.05)</f>
        <v>2096.0500000000002</v>
      </c>
      <c r="C241" s="3">
        <f ca="1">IFERROR(__xludf.DUMMYFUNCTION("""COMPUTED_VALUE"""),2104.05)</f>
        <v>2104.0500000000002</v>
      </c>
      <c r="D241" s="3">
        <f ca="1">IFERROR(__xludf.DUMMYFUNCTION("""COMPUTED_VALUE"""),2091.68)</f>
        <v>2091.6799999999998</v>
      </c>
      <c r="E241" s="3">
        <f ca="1">IFERROR(__xludf.DUMMYFUNCTION("""COMPUTED_VALUE"""),2100.8)</f>
        <v>2100.8000000000002</v>
      </c>
      <c r="F241" s="3">
        <f ca="1">IFERROR(__xludf.DUMMYFUNCTION("""COMPUTED_VALUE"""),0)</f>
        <v>0</v>
      </c>
    </row>
    <row r="242" spans="1:6" ht="13" x14ac:dyDescent="0.15">
      <c r="A242" s="4">
        <f ca="1">IFERROR(__xludf.DUMMYFUNCTION("""COMPUTED_VALUE"""),42480.6666666666)</f>
        <v>42480.666666666599</v>
      </c>
      <c r="B242" s="3">
        <f ca="1">IFERROR(__xludf.DUMMYFUNCTION("""COMPUTED_VALUE"""),2101.52)</f>
        <v>2101.52</v>
      </c>
      <c r="C242" s="3">
        <f ca="1">IFERROR(__xludf.DUMMYFUNCTION("""COMPUTED_VALUE"""),2111.05)</f>
        <v>2111.0500000000002</v>
      </c>
      <c r="D242" s="3">
        <f ca="1">IFERROR(__xludf.DUMMYFUNCTION("""COMPUTED_VALUE"""),2096.32)</f>
        <v>2096.3200000000002</v>
      </c>
      <c r="E242" s="3">
        <f ca="1">IFERROR(__xludf.DUMMYFUNCTION("""COMPUTED_VALUE"""),2102.4)</f>
        <v>2102.4</v>
      </c>
      <c r="F242" s="3">
        <f ca="1">IFERROR(__xludf.DUMMYFUNCTION("""COMPUTED_VALUE"""),0)</f>
        <v>0</v>
      </c>
    </row>
    <row r="243" spans="1:6" ht="13" x14ac:dyDescent="0.15">
      <c r="A243" s="4">
        <f ca="1">IFERROR(__xludf.DUMMYFUNCTION("""COMPUTED_VALUE"""),42481.6666666666)</f>
        <v>42481.666666666599</v>
      </c>
      <c r="B243" s="3">
        <f ca="1">IFERROR(__xludf.DUMMYFUNCTION("""COMPUTED_VALUE"""),2102.09)</f>
        <v>2102.09</v>
      </c>
      <c r="C243" s="3">
        <f ca="1">IFERROR(__xludf.DUMMYFUNCTION("""COMPUTED_VALUE"""),2103.78)</f>
        <v>2103.7800000000002</v>
      </c>
      <c r="D243" s="3">
        <f ca="1">IFERROR(__xludf.DUMMYFUNCTION("""COMPUTED_VALUE"""),2088.52)</f>
        <v>2088.52</v>
      </c>
      <c r="E243" s="3">
        <f ca="1">IFERROR(__xludf.DUMMYFUNCTION("""COMPUTED_VALUE"""),2091.48)</f>
        <v>2091.48</v>
      </c>
      <c r="F243" s="3">
        <f ca="1">IFERROR(__xludf.DUMMYFUNCTION("""COMPUTED_VALUE"""),0)</f>
        <v>0</v>
      </c>
    </row>
    <row r="244" spans="1:6" ht="13" x14ac:dyDescent="0.15">
      <c r="A244" s="4">
        <f ca="1">IFERROR(__xludf.DUMMYFUNCTION("""COMPUTED_VALUE"""),42482.6666666666)</f>
        <v>42482.666666666599</v>
      </c>
      <c r="B244" s="3">
        <f ca="1">IFERROR(__xludf.DUMMYFUNCTION("""COMPUTED_VALUE"""),2091.49)</f>
        <v>2091.4899999999998</v>
      </c>
      <c r="C244" s="3">
        <f ca="1">IFERROR(__xludf.DUMMYFUNCTION("""COMPUTED_VALUE"""),2094.32)</f>
        <v>2094.3200000000002</v>
      </c>
      <c r="D244" s="3">
        <f ca="1">IFERROR(__xludf.DUMMYFUNCTION("""COMPUTED_VALUE"""),2081.2)</f>
        <v>2081.1999999999998</v>
      </c>
      <c r="E244" s="3">
        <f ca="1">IFERROR(__xludf.DUMMYFUNCTION("""COMPUTED_VALUE"""),2091.58)</f>
        <v>2091.58</v>
      </c>
      <c r="F244" s="3">
        <f ca="1">IFERROR(__xludf.DUMMYFUNCTION("""COMPUTED_VALUE"""),0)</f>
        <v>0</v>
      </c>
    </row>
    <row r="245" spans="1:6" ht="13" x14ac:dyDescent="0.15">
      <c r="A245" s="4">
        <f ca="1">IFERROR(__xludf.DUMMYFUNCTION("""COMPUTED_VALUE"""),42485.6666666666)</f>
        <v>42485.666666666599</v>
      </c>
      <c r="B245" s="3">
        <f ca="1">IFERROR(__xludf.DUMMYFUNCTION("""COMPUTED_VALUE"""),2089.37)</f>
        <v>2089.37</v>
      </c>
      <c r="C245" s="3">
        <f ca="1">IFERROR(__xludf.DUMMYFUNCTION("""COMPUTED_VALUE"""),2089.37)</f>
        <v>2089.37</v>
      </c>
      <c r="D245" s="3">
        <f ca="1">IFERROR(__xludf.DUMMYFUNCTION("""COMPUTED_VALUE"""),2077.52)</f>
        <v>2077.52</v>
      </c>
      <c r="E245" s="3">
        <f ca="1">IFERROR(__xludf.DUMMYFUNCTION("""COMPUTED_VALUE"""),2087.79)</f>
        <v>2087.79</v>
      </c>
      <c r="F245" s="3">
        <f ca="1">IFERROR(__xludf.DUMMYFUNCTION("""COMPUTED_VALUE"""),0)</f>
        <v>0</v>
      </c>
    </row>
    <row r="246" spans="1:6" ht="13" x14ac:dyDescent="0.15">
      <c r="A246" s="4">
        <f ca="1">IFERROR(__xludf.DUMMYFUNCTION("""COMPUTED_VALUE"""),42486.6666666666)</f>
        <v>42486.666666666599</v>
      </c>
      <c r="B246" s="3">
        <f ca="1">IFERROR(__xludf.DUMMYFUNCTION("""COMPUTED_VALUE"""),2089.84)</f>
        <v>2089.84</v>
      </c>
      <c r="C246" s="3">
        <f ca="1">IFERROR(__xludf.DUMMYFUNCTION("""COMPUTED_VALUE"""),2096.87)</f>
        <v>2096.87</v>
      </c>
      <c r="D246" s="3">
        <f ca="1">IFERROR(__xludf.DUMMYFUNCTION("""COMPUTED_VALUE"""),2085.8)</f>
        <v>2085.8000000000002</v>
      </c>
      <c r="E246" s="3">
        <f ca="1">IFERROR(__xludf.DUMMYFUNCTION("""COMPUTED_VALUE"""),2091.7)</f>
        <v>2091.6999999999998</v>
      </c>
      <c r="F246" s="3">
        <f ca="1">IFERROR(__xludf.DUMMYFUNCTION("""COMPUTED_VALUE"""),0)</f>
        <v>0</v>
      </c>
    </row>
    <row r="247" spans="1:6" ht="13" x14ac:dyDescent="0.15">
      <c r="A247" s="4">
        <f ca="1">IFERROR(__xludf.DUMMYFUNCTION("""COMPUTED_VALUE"""),42487.6666666666)</f>
        <v>42487.666666666599</v>
      </c>
      <c r="B247" s="3">
        <f ca="1">IFERROR(__xludf.DUMMYFUNCTION("""COMPUTED_VALUE"""),2092.33)</f>
        <v>2092.33</v>
      </c>
      <c r="C247" s="3">
        <f ca="1">IFERROR(__xludf.DUMMYFUNCTION("""COMPUTED_VALUE"""),2099.89)</f>
        <v>2099.89</v>
      </c>
      <c r="D247" s="3">
        <f ca="1">IFERROR(__xludf.DUMMYFUNCTION("""COMPUTED_VALUE"""),2082.31)</f>
        <v>2082.31</v>
      </c>
      <c r="E247" s="3">
        <f ca="1">IFERROR(__xludf.DUMMYFUNCTION("""COMPUTED_VALUE"""),2095.15)</f>
        <v>2095.15</v>
      </c>
      <c r="F247" s="3">
        <f ca="1">IFERROR(__xludf.DUMMYFUNCTION("""COMPUTED_VALUE"""),0)</f>
        <v>0</v>
      </c>
    </row>
    <row r="248" spans="1:6" ht="13" x14ac:dyDescent="0.15">
      <c r="A248" s="4">
        <f ca="1">IFERROR(__xludf.DUMMYFUNCTION("""COMPUTED_VALUE"""),42488.6666666666)</f>
        <v>42488.666666666599</v>
      </c>
      <c r="B248" s="3">
        <f ca="1">IFERROR(__xludf.DUMMYFUNCTION("""COMPUTED_VALUE"""),2090.93)</f>
        <v>2090.9299999999998</v>
      </c>
      <c r="C248" s="3">
        <f ca="1">IFERROR(__xludf.DUMMYFUNCTION("""COMPUTED_VALUE"""),2099.3)</f>
        <v>2099.3000000000002</v>
      </c>
      <c r="D248" s="3">
        <f ca="1">IFERROR(__xludf.DUMMYFUNCTION("""COMPUTED_VALUE"""),2071.62)</f>
        <v>2071.62</v>
      </c>
      <c r="E248" s="3">
        <f ca="1">IFERROR(__xludf.DUMMYFUNCTION("""COMPUTED_VALUE"""),2075.81)</f>
        <v>2075.81</v>
      </c>
      <c r="F248" s="3">
        <f ca="1">IFERROR(__xludf.DUMMYFUNCTION("""COMPUTED_VALUE"""),0)</f>
        <v>0</v>
      </c>
    </row>
    <row r="249" spans="1:6" ht="13" x14ac:dyDescent="0.15">
      <c r="A249" s="4">
        <f ca="1">IFERROR(__xludf.DUMMYFUNCTION("""COMPUTED_VALUE"""),42489.6666666666)</f>
        <v>42489.666666666599</v>
      </c>
      <c r="B249" s="3">
        <f ca="1">IFERROR(__xludf.DUMMYFUNCTION("""COMPUTED_VALUE"""),2071.82)</f>
        <v>2071.8200000000002</v>
      </c>
      <c r="C249" s="3">
        <f ca="1">IFERROR(__xludf.DUMMYFUNCTION("""COMPUTED_VALUE"""),2073.85)</f>
        <v>2073.85</v>
      </c>
      <c r="D249" s="3">
        <f ca="1">IFERROR(__xludf.DUMMYFUNCTION("""COMPUTED_VALUE"""),2052.28)</f>
        <v>2052.2800000000002</v>
      </c>
      <c r="E249" s="3">
        <f ca="1">IFERROR(__xludf.DUMMYFUNCTION("""COMPUTED_VALUE"""),2065.3)</f>
        <v>2065.3000000000002</v>
      </c>
      <c r="F249" s="3">
        <f ca="1">IFERROR(__xludf.DUMMYFUNCTION("""COMPUTED_VALUE"""),0)</f>
        <v>0</v>
      </c>
    </row>
    <row r="250" spans="1:6" ht="13" x14ac:dyDescent="0.15">
      <c r="A250" s="4">
        <f ca="1">IFERROR(__xludf.DUMMYFUNCTION("""COMPUTED_VALUE"""),42492.6666666666)</f>
        <v>42492.666666666599</v>
      </c>
      <c r="B250" s="3">
        <f ca="1">IFERROR(__xludf.DUMMYFUNCTION("""COMPUTED_VALUE"""),2067.17)</f>
        <v>2067.17</v>
      </c>
      <c r="C250" s="3">
        <f ca="1">IFERROR(__xludf.DUMMYFUNCTION("""COMPUTED_VALUE"""),2083.42)</f>
        <v>2083.42</v>
      </c>
      <c r="D250" s="3">
        <f ca="1">IFERROR(__xludf.DUMMYFUNCTION("""COMPUTED_VALUE"""),2066.11)</f>
        <v>2066.11</v>
      </c>
      <c r="E250" s="3">
        <f ca="1">IFERROR(__xludf.DUMMYFUNCTION("""COMPUTED_VALUE"""),2081.43)</f>
        <v>2081.4299999999998</v>
      </c>
      <c r="F250" s="3">
        <f ca="1">IFERROR(__xludf.DUMMYFUNCTION("""COMPUTED_VALUE"""),0)</f>
        <v>0</v>
      </c>
    </row>
    <row r="251" spans="1:6" ht="13" x14ac:dyDescent="0.15">
      <c r="A251" s="4">
        <f ca="1">IFERROR(__xludf.DUMMYFUNCTION("""COMPUTED_VALUE"""),42493.6666666666)</f>
        <v>42493.666666666599</v>
      </c>
      <c r="B251" s="3">
        <f ca="1">IFERROR(__xludf.DUMMYFUNCTION("""COMPUTED_VALUE"""),2077.18)</f>
        <v>2077.1799999999998</v>
      </c>
      <c r="C251" s="3">
        <f ca="1">IFERROR(__xludf.DUMMYFUNCTION("""COMPUTED_VALUE"""),2077.18)</f>
        <v>2077.1799999999998</v>
      </c>
      <c r="D251" s="3">
        <f ca="1">IFERROR(__xludf.DUMMYFUNCTION("""COMPUTED_VALUE"""),2054.89)</f>
        <v>2054.89</v>
      </c>
      <c r="E251" s="3">
        <f ca="1">IFERROR(__xludf.DUMMYFUNCTION("""COMPUTED_VALUE"""),2063.37)</f>
        <v>2063.37</v>
      </c>
      <c r="F251" s="3">
        <f ca="1">IFERROR(__xludf.DUMMYFUNCTION("""COMPUTED_VALUE"""),0)</f>
        <v>0</v>
      </c>
    </row>
    <row r="252" spans="1:6" ht="13" x14ac:dyDescent="0.15">
      <c r="A252" s="4">
        <f ca="1">IFERROR(__xludf.DUMMYFUNCTION("""COMPUTED_VALUE"""),42494.6666666666)</f>
        <v>42494.666666666599</v>
      </c>
      <c r="B252" s="3">
        <f ca="1">IFERROR(__xludf.DUMMYFUNCTION("""COMPUTED_VALUE"""),2060.3)</f>
        <v>2060.3000000000002</v>
      </c>
      <c r="C252" s="3">
        <f ca="1">IFERROR(__xludf.DUMMYFUNCTION("""COMPUTED_VALUE"""),2060.3)</f>
        <v>2060.3000000000002</v>
      </c>
      <c r="D252" s="3">
        <f ca="1">IFERROR(__xludf.DUMMYFUNCTION("""COMPUTED_VALUE"""),2045.55)</f>
        <v>2045.55</v>
      </c>
      <c r="E252" s="3">
        <f ca="1">IFERROR(__xludf.DUMMYFUNCTION("""COMPUTED_VALUE"""),2051.12)</f>
        <v>2051.12</v>
      </c>
      <c r="F252" s="3">
        <f ca="1">IFERROR(__xludf.DUMMYFUNCTION("""COMPUTED_VALUE"""),0)</f>
        <v>0</v>
      </c>
    </row>
    <row r="253" spans="1:6" ht="13" x14ac:dyDescent="0.15">
      <c r="A253" s="4">
        <f ca="1">IFERROR(__xludf.DUMMYFUNCTION("""COMPUTED_VALUE"""),42495.6666666666)</f>
        <v>42495.666666666599</v>
      </c>
      <c r="B253" s="3">
        <f ca="1">IFERROR(__xludf.DUMMYFUNCTION("""COMPUTED_VALUE"""),2052.95)</f>
        <v>2052.9499999999998</v>
      </c>
      <c r="C253" s="3">
        <f ca="1">IFERROR(__xludf.DUMMYFUNCTION("""COMPUTED_VALUE"""),2060.23)</f>
        <v>2060.23</v>
      </c>
      <c r="D253" s="3">
        <f ca="1">IFERROR(__xludf.DUMMYFUNCTION("""COMPUTED_VALUE"""),2045.77)</f>
        <v>2045.77</v>
      </c>
      <c r="E253" s="3">
        <f ca="1">IFERROR(__xludf.DUMMYFUNCTION("""COMPUTED_VALUE"""),2050.63)</f>
        <v>2050.63</v>
      </c>
      <c r="F253" s="3">
        <f ca="1">IFERROR(__xludf.DUMMYFUNCTION("""COMPUTED_VALUE"""),0)</f>
        <v>0</v>
      </c>
    </row>
    <row r="254" spans="1:6" ht="13" x14ac:dyDescent="0.15">
      <c r="A254" s="4">
        <f ca="1">IFERROR(__xludf.DUMMYFUNCTION("""COMPUTED_VALUE"""),42496.6666666666)</f>
        <v>42496.666666666599</v>
      </c>
      <c r="B254" s="3">
        <f ca="1">IFERROR(__xludf.DUMMYFUNCTION("""COMPUTED_VALUE"""),2047.77)</f>
        <v>2047.77</v>
      </c>
      <c r="C254" s="3">
        <f ca="1">IFERROR(__xludf.DUMMYFUNCTION("""COMPUTED_VALUE"""),2057.72)</f>
        <v>2057.7199999999998</v>
      </c>
      <c r="D254" s="3">
        <f ca="1">IFERROR(__xludf.DUMMYFUNCTION("""COMPUTED_VALUE"""),2039.45)</f>
        <v>2039.45</v>
      </c>
      <c r="E254" s="3">
        <f ca="1">IFERROR(__xludf.DUMMYFUNCTION("""COMPUTED_VALUE"""),2057.14)</f>
        <v>2057.14</v>
      </c>
      <c r="F254" s="3">
        <f ca="1">IFERROR(__xludf.DUMMYFUNCTION("""COMPUTED_VALUE"""),0)</f>
        <v>0</v>
      </c>
    </row>
    <row r="255" spans="1:6" ht="13" x14ac:dyDescent="0.15">
      <c r="A255" s="4">
        <f ca="1">IFERROR(__xludf.DUMMYFUNCTION("""COMPUTED_VALUE"""),42499.6666666666)</f>
        <v>42499.666666666599</v>
      </c>
      <c r="B255" s="3">
        <f ca="1">IFERROR(__xludf.DUMMYFUNCTION("""COMPUTED_VALUE"""),2057.55)</f>
        <v>2057.5500000000002</v>
      </c>
      <c r="C255" s="3">
        <f ca="1">IFERROR(__xludf.DUMMYFUNCTION("""COMPUTED_VALUE"""),2064.15)</f>
        <v>2064.15</v>
      </c>
      <c r="D255" s="3">
        <f ca="1">IFERROR(__xludf.DUMMYFUNCTION("""COMPUTED_VALUE"""),2054.31)</f>
        <v>2054.31</v>
      </c>
      <c r="E255" s="3">
        <f ca="1">IFERROR(__xludf.DUMMYFUNCTION("""COMPUTED_VALUE"""),2058.69)</f>
        <v>2058.69</v>
      </c>
      <c r="F255" s="3">
        <f ca="1">IFERROR(__xludf.DUMMYFUNCTION("""COMPUTED_VALUE"""),0)</f>
        <v>0</v>
      </c>
    </row>
    <row r="256" spans="1:6" ht="13" x14ac:dyDescent="0.15">
      <c r="A256" s="4">
        <f ca="1">IFERROR(__xludf.DUMMYFUNCTION("""COMPUTED_VALUE"""),42500.6666666666)</f>
        <v>42500.666666666599</v>
      </c>
      <c r="B256" s="3">
        <f ca="1">IFERROR(__xludf.DUMMYFUNCTION("""COMPUTED_VALUE"""),2062.63)</f>
        <v>2062.63</v>
      </c>
      <c r="C256" s="3">
        <f ca="1">IFERROR(__xludf.DUMMYFUNCTION("""COMPUTED_VALUE"""),2084.87)</f>
        <v>2084.87</v>
      </c>
      <c r="D256" s="3">
        <f ca="1">IFERROR(__xludf.DUMMYFUNCTION("""COMPUTED_VALUE"""),2062.63)</f>
        <v>2062.63</v>
      </c>
      <c r="E256" s="3">
        <f ca="1">IFERROR(__xludf.DUMMYFUNCTION("""COMPUTED_VALUE"""),2084.39)</f>
        <v>2084.39</v>
      </c>
      <c r="F256" s="3">
        <f ca="1">IFERROR(__xludf.DUMMYFUNCTION("""COMPUTED_VALUE"""),0)</f>
        <v>0</v>
      </c>
    </row>
    <row r="257" spans="1:6" ht="13" x14ac:dyDescent="0.15">
      <c r="A257" s="4">
        <f ca="1">IFERROR(__xludf.DUMMYFUNCTION("""COMPUTED_VALUE"""),42501.6666666666)</f>
        <v>42501.666666666599</v>
      </c>
      <c r="B257" s="3">
        <f ca="1">IFERROR(__xludf.DUMMYFUNCTION("""COMPUTED_VALUE"""),2083.29)</f>
        <v>2083.29</v>
      </c>
      <c r="C257" s="3">
        <f ca="1">IFERROR(__xludf.DUMMYFUNCTION("""COMPUTED_VALUE"""),2083.29)</f>
        <v>2083.29</v>
      </c>
      <c r="D257" s="3">
        <f ca="1">IFERROR(__xludf.DUMMYFUNCTION("""COMPUTED_VALUE"""),2064.46)</f>
        <v>2064.46</v>
      </c>
      <c r="E257" s="3">
        <f ca="1">IFERROR(__xludf.DUMMYFUNCTION("""COMPUTED_VALUE"""),2064.46)</f>
        <v>2064.46</v>
      </c>
      <c r="F257" s="3">
        <f ca="1">IFERROR(__xludf.DUMMYFUNCTION("""COMPUTED_VALUE"""),0)</f>
        <v>0</v>
      </c>
    </row>
    <row r="258" spans="1:6" ht="13" x14ac:dyDescent="0.15">
      <c r="A258" s="4">
        <f ca="1">IFERROR(__xludf.DUMMYFUNCTION("""COMPUTED_VALUE"""),42502.6666666666)</f>
        <v>42502.666666666599</v>
      </c>
      <c r="B258" s="3">
        <f ca="1">IFERROR(__xludf.DUMMYFUNCTION("""COMPUTED_VALUE"""),2067.17)</f>
        <v>2067.17</v>
      </c>
      <c r="C258" s="3">
        <f ca="1">IFERROR(__xludf.DUMMYFUNCTION("""COMPUTED_VALUE"""),2073.99)</f>
        <v>2073.9899999999998</v>
      </c>
      <c r="D258" s="3">
        <f ca="1">IFERROR(__xludf.DUMMYFUNCTION("""COMPUTED_VALUE"""),2053.13)</f>
        <v>2053.13</v>
      </c>
      <c r="E258" s="3">
        <f ca="1">IFERROR(__xludf.DUMMYFUNCTION("""COMPUTED_VALUE"""),2064.11)</f>
        <v>2064.11</v>
      </c>
      <c r="F258" s="3">
        <f ca="1">IFERROR(__xludf.DUMMYFUNCTION("""COMPUTED_VALUE"""),0)</f>
        <v>0</v>
      </c>
    </row>
    <row r="259" spans="1:6" ht="13" x14ac:dyDescent="0.15">
      <c r="A259" s="4">
        <f ca="1">IFERROR(__xludf.DUMMYFUNCTION("""COMPUTED_VALUE"""),42503.6666666666)</f>
        <v>42503.666666666599</v>
      </c>
      <c r="B259" s="3">
        <f ca="1">IFERROR(__xludf.DUMMYFUNCTION("""COMPUTED_VALUE"""),2062.5)</f>
        <v>2062.5</v>
      </c>
      <c r="C259" s="3">
        <f ca="1">IFERROR(__xludf.DUMMYFUNCTION("""COMPUTED_VALUE"""),2066.79)</f>
        <v>2066.79</v>
      </c>
      <c r="D259" s="3">
        <f ca="1">IFERROR(__xludf.DUMMYFUNCTION("""COMPUTED_VALUE"""),2043.13)</f>
        <v>2043.13</v>
      </c>
      <c r="E259" s="3">
        <f ca="1">IFERROR(__xludf.DUMMYFUNCTION("""COMPUTED_VALUE"""),2046.61)</f>
        <v>2046.61</v>
      </c>
      <c r="F259" s="3">
        <f ca="1">IFERROR(__xludf.DUMMYFUNCTION("""COMPUTED_VALUE"""),0)</f>
        <v>0</v>
      </c>
    </row>
    <row r="260" spans="1:6" ht="13" x14ac:dyDescent="0.15">
      <c r="A260" s="4">
        <f ca="1">IFERROR(__xludf.DUMMYFUNCTION("""COMPUTED_VALUE"""),42506.6666666666)</f>
        <v>42506.666666666599</v>
      </c>
      <c r="B260" s="3">
        <f ca="1">IFERROR(__xludf.DUMMYFUNCTION("""COMPUTED_VALUE"""),2046.53)</f>
        <v>2046.53</v>
      </c>
      <c r="C260" s="3">
        <f ca="1">IFERROR(__xludf.DUMMYFUNCTION("""COMPUTED_VALUE"""),2071.88)</f>
        <v>2071.88</v>
      </c>
      <c r="D260" s="3">
        <f ca="1">IFERROR(__xludf.DUMMYFUNCTION("""COMPUTED_VALUE"""),2046.53)</f>
        <v>2046.53</v>
      </c>
      <c r="E260" s="3">
        <f ca="1">IFERROR(__xludf.DUMMYFUNCTION("""COMPUTED_VALUE"""),2066.66)</f>
        <v>2066.66</v>
      </c>
      <c r="F260" s="3">
        <f ca="1">IFERROR(__xludf.DUMMYFUNCTION("""COMPUTED_VALUE"""),0)</f>
        <v>0</v>
      </c>
    </row>
    <row r="261" spans="1:6" ht="13" x14ac:dyDescent="0.15">
      <c r="A261" s="4">
        <f ca="1">IFERROR(__xludf.DUMMYFUNCTION("""COMPUTED_VALUE"""),42507.6666666666)</f>
        <v>42507.666666666599</v>
      </c>
      <c r="B261" s="3">
        <f ca="1">IFERROR(__xludf.DUMMYFUNCTION("""COMPUTED_VALUE"""),2065.04)</f>
        <v>2065.04</v>
      </c>
      <c r="C261" s="3">
        <f ca="1">IFERROR(__xludf.DUMMYFUNCTION("""COMPUTED_VALUE"""),2065.69)</f>
        <v>2065.69</v>
      </c>
      <c r="D261" s="3">
        <f ca="1">IFERROR(__xludf.DUMMYFUNCTION("""COMPUTED_VALUE"""),2040.82)</f>
        <v>2040.82</v>
      </c>
      <c r="E261" s="3">
        <f ca="1">IFERROR(__xludf.DUMMYFUNCTION("""COMPUTED_VALUE"""),2047.21)</f>
        <v>2047.21</v>
      </c>
      <c r="F261" s="3">
        <f ca="1">IFERROR(__xludf.DUMMYFUNCTION("""COMPUTED_VALUE"""),0)</f>
        <v>0</v>
      </c>
    </row>
    <row r="262" spans="1:6" ht="13" x14ac:dyDescent="0.15">
      <c r="A262" s="4">
        <f ca="1">IFERROR(__xludf.DUMMYFUNCTION("""COMPUTED_VALUE"""),42508.6666666666)</f>
        <v>42508.666666666599</v>
      </c>
      <c r="B262" s="3">
        <f ca="1">IFERROR(__xludf.DUMMYFUNCTION("""COMPUTED_VALUE"""),2044.38)</f>
        <v>2044.38</v>
      </c>
      <c r="C262" s="3">
        <f ca="1">IFERROR(__xludf.DUMMYFUNCTION("""COMPUTED_VALUE"""),2060.61)</f>
        <v>2060.61</v>
      </c>
      <c r="D262" s="3">
        <f ca="1">IFERROR(__xludf.DUMMYFUNCTION("""COMPUTED_VALUE"""),2034.49)</f>
        <v>2034.49</v>
      </c>
      <c r="E262" s="3">
        <f ca="1">IFERROR(__xludf.DUMMYFUNCTION("""COMPUTED_VALUE"""),2047.63)</f>
        <v>2047.63</v>
      </c>
      <c r="F262" s="3">
        <f ca="1">IFERROR(__xludf.DUMMYFUNCTION("""COMPUTED_VALUE"""),0)</f>
        <v>0</v>
      </c>
    </row>
    <row r="263" spans="1:6" ht="13" x14ac:dyDescent="0.15">
      <c r="A263" s="4">
        <f ca="1">IFERROR(__xludf.DUMMYFUNCTION("""COMPUTED_VALUE"""),42509.6666666666)</f>
        <v>42509.666666666599</v>
      </c>
      <c r="B263" s="3">
        <f ca="1">IFERROR(__xludf.DUMMYFUNCTION("""COMPUTED_VALUE"""),2044.21)</f>
        <v>2044.21</v>
      </c>
      <c r="C263" s="3">
        <f ca="1">IFERROR(__xludf.DUMMYFUNCTION("""COMPUTED_VALUE"""),2044.21)</f>
        <v>2044.21</v>
      </c>
      <c r="D263" s="3">
        <f ca="1">IFERROR(__xludf.DUMMYFUNCTION("""COMPUTED_VALUE"""),2025.91)</f>
        <v>2025.91</v>
      </c>
      <c r="E263" s="3">
        <f ca="1">IFERROR(__xludf.DUMMYFUNCTION("""COMPUTED_VALUE"""),2040.04)</f>
        <v>2040.04</v>
      </c>
      <c r="F263" s="3">
        <f ca="1">IFERROR(__xludf.DUMMYFUNCTION("""COMPUTED_VALUE"""),0)</f>
        <v>0</v>
      </c>
    </row>
    <row r="264" spans="1:6" ht="13" x14ac:dyDescent="0.15">
      <c r="A264" s="4">
        <f ca="1">IFERROR(__xludf.DUMMYFUNCTION("""COMPUTED_VALUE"""),42510.6666666666)</f>
        <v>42510.666666666599</v>
      </c>
      <c r="B264" s="3">
        <f ca="1">IFERROR(__xludf.DUMMYFUNCTION("""COMPUTED_VALUE"""),2041.88)</f>
        <v>2041.88</v>
      </c>
      <c r="C264" s="3">
        <f ca="1">IFERROR(__xludf.DUMMYFUNCTION("""COMPUTED_VALUE"""),2058.35)</f>
        <v>2058.35</v>
      </c>
      <c r="D264" s="3">
        <f ca="1">IFERROR(__xludf.DUMMYFUNCTION("""COMPUTED_VALUE"""),2041.88)</f>
        <v>2041.88</v>
      </c>
      <c r="E264" s="3">
        <f ca="1">IFERROR(__xludf.DUMMYFUNCTION("""COMPUTED_VALUE"""),2052.32)</f>
        <v>2052.3200000000002</v>
      </c>
      <c r="F264" s="3">
        <f ca="1">IFERROR(__xludf.DUMMYFUNCTION("""COMPUTED_VALUE"""),0)</f>
        <v>0</v>
      </c>
    </row>
    <row r="265" spans="1:6" ht="13" x14ac:dyDescent="0.15">
      <c r="A265" s="4">
        <f ca="1">IFERROR(__xludf.DUMMYFUNCTION("""COMPUTED_VALUE"""),42513.6666666666)</f>
        <v>42513.666666666599</v>
      </c>
      <c r="B265" s="3">
        <f ca="1">IFERROR(__xludf.DUMMYFUNCTION("""COMPUTED_VALUE"""),2052.23)</f>
        <v>2052.23</v>
      </c>
      <c r="C265" s="3">
        <f ca="1">IFERROR(__xludf.DUMMYFUNCTION("""COMPUTED_VALUE"""),2055.58)</f>
        <v>2055.58</v>
      </c>
      <c r="D265" s="3">
        <f ca="1">IFERROR(__xludf.DUMMYFUNCTION("""COMPUTED_VALUE"""),2047.26)</f>
        <v>2047.26</v>
      </c>
      <c r="E265" s="3">
        <f ca="1">IFERROR(__xludf.DUMMYFUNCTION("""COMPUTED_VALUE"""),2048.04)</f>
        <v>2048.04</v>
      </c>
      <c r="F265" s="3">
        <f ca="1">IFERROR(__xludf.DUMMYFUNCTION("""COMPUTED_VALUE"""),0)</f>
        <v>0</v>
      </c>
    </row>
    <row r="266" spans="1:6" ht="13" x14ac:dyDescent="0.15">
      <c r="A266" s="4">
        <f ca="1">IFERROR(__xludf.DUMMYFUNCTION("""COMPUTED_VALUE"""),42514.6666666666)</f>
        <v>42514.666666666599</v>
      </c>
      <c r="B266" s="3">
        <f ca="1">IFERROR(__xludf.DUMMYFUNCTION("""COMPUTED_VALUE"""),2052.65)</f>
        <v>2052.65</v>
      </c>
      <c r="C266" s="3">
        <f ca="1">IFERROR(__xludf.DUMMYFUNCTION("""COMPUTED_VALUE"""),2079.67)</f>
        <v>2079.67</v>
      </c>
      <c r="D266" s="3">
        <f ca="1">IFERROR(__xludf.DUMMYFUNCTION("""COMPUTED_VALUE"""),2052.65)</f>
        <v>2052.65</v>
      </c>
      <c r="E266" s="3">
        <f ca="1">IFERROR(__xludf.DUMMYFUNCTION("""COMPUTED_VALUE"""),2076.06)</f>
        <v>2076.06</v>
      </c>
      <c r="F266" s="3">
        <f ca="1">IFERROR(__xludf.DUMMYFUNCTION("""COMPUTED_VALUE"""),0)</f>
        <v>0</v>
      </c>
    </row>
    <row r="267" spans="1:6" ht="13" x14ac:dyDescent="0.15">
      <c r="A267" s="4">
        <f ca="1">IFERROR(__xludf.DUMMYFUNCTION("""COMPUTED_VALUE"""),42515.6666666666)</f>
        <v>42515.666666666599</v>
      </c>
      <c r="B267" s="3">
        <f ca="1">IFERROR(__xludf.DUMMYFUNCTION("""COMPUTED_VALUE"""),2078.93)</f>
        <v>2078.9299999999998</v>
      </c>
      <c r="C267" s="3">
        <f ca="1">IFERROR(__xludf.DUMMYFUNCTION("""COMPUTED_VALUE"""),2094.73)</f>
        <v>2094.73</v>
      </c>
      <c r="D267" s="3">
        <f ca="1">IFERROR(__xludf.DUMMYFUNCTION("""COMPUTED_VALUE"""),2078.93)</f>
        <v>2078.9299999999998</v>
      </c>
      <c r="E267" s="3">
        <f ca="1">IFERROR(__xludf.DUMMYFUNCTION("""COMPUTED_VALUE"""),2090.54)</f>
        <v>2090.54</v>
      </c>
      <c r="F267" s="3">
        <f ca="1">IFERROR(__xludf.DUMMYFUNCTION("""COMPUTED_VALUE"""),0)</f>
        <v>0</v>
      </c>
    </row>
    <row r="268" spans="1:6" ht="13" x14ac:dyDescent="0.15">
      <c r="A268" s="4">
        <f ca="1">IFERROR(__xludf.DUMMYFUNCTION("""COMPUTED_VALUE"""),42516.6666666666)</f>
        <v>42516.666666666599</v>
      </c>
      <c r="B268" s="3">
        <f ca="1">IFERROR(__xludf.DUMMYFUNCTION("""COMPUTED_VALUE"""),2091.44)</f>
        <v>2091.44</v>
      </c>
      <c r="C268" s="3">
        <f ca="1">IFERROR(__xludf.DUMMYFUNCTION("""COMPUTED_VALUE"""),2094.3)</f>
        <v>2094.3000000000002</v>
      </c>
      <c r="D268" s="3">
        <f ca="1">IFERROR(__xludf.DUMMYFUNCTION("""COMPUTED_VALUE"""),2087.08)</f>
        <v>2087.08</v>
      </c>
      <c r="E268" s="3">
        <f ca="1">IFERROR(__xludf.DUMMYFUNCTION("""COMPUTED_VALUE"""),2090.1)</f>
        <v>2090.1</v>
      </c>
      <c r="F268" s="3">
        <f ca="1">IFERROR(__xludf.DUMMYFUNCTION("""COMPUTED_VALUE"""),0)</f>
        <v>0</v>
      </c>
    </row>
    <row r="269" spans="1:6" ht="13" x14ac:dyDescent="0.15">
      <c r="A269" s="4">
        <f ca="1">IFERROR(__xludf.DUMMYFUNCTION("""COMPUTED_VALUE"""),42517.6666666666)</f>
        <v>42517.666666666599</v>
      </c>
      <c r="B269" s="3">
        <f ca="1">IFERROR(__xludf.DUMMYFUNCTION("""COMPUTED_VALUE"""),2090.06)</f>
        <v>2090.06</v>
      </c>
      <c r="C269" s="3">
        <f ca="1">IFERROR(__xludf.DUMMYFUNCTION("""COMPUTED_VALUE"""),2099.06)</f>
        <v>2099.06</v>
      </c>
      <c r="D269" s="3">
        <f ca="1">IFERROR(__xludf.DUMMYFUNCTION("""COMPUTED_VALUE"""),2090.06)</f>
        <v>2090.06</v>
      </c>
      <c r="E269" s="3">
        <f ca="1">IFERROR(__xludf.DUMMYFUNCTION("""COMPUTED_VALUE"""),2099.06)</f>
        <v>2099.06</v>
      </c>
      <c r="F269" s="3">
        <f ca="1">IFERROR(__xludf.DUMMYFUNCTION("""COMPUTED_VALUE"""),0)</f>
        <v>0</v>
      </c>
    </row>
    <row r="270" spans="1:6" ht="13" x14ac:dyDescent="0.15">
      <c r="A270" s="4">
        <f ca="1">IFERROR(__xludf.DUMMYFUNCTION("""COMPUTED_VALUE"""),42521.6666666666)</f>
        <v>42521.666666666599</v>
      </c>
      <c r="B270" s="3">
        <f ca="1">IFERROR(__xludf.DUMMYFUNCTION("""COMPUTED_VALUE"""),2100.13)</f>
        <v>2100.13</v>
      </c>
      <c r="C270" s="3">
        <f ca="1">IFERROR(__xludf.DUMMYFUNCTION("""COMPUTED_VALUE"""),2103.48)</f>
        <v>2103.48</v>
      </c>
      <c r="D270" s="3">
        <f ca="1">IFERROR(__xludf.DUMMYFUNCTION("""COMPUTED_VALUE"""),2088.66)</f>
        <v>2088.66</v>
      </c>
      <c r="E270" s="3">
        <f ca="1">IFERROR(__xludf.DUMMYFUNCTION("""COMPUTED_VALUE"""),2096.96)</f>
        <v>2096.96</v>
      </c>
      <c r="F270" s="3">
        <f ca="1">IFERROR(__xludf.DUMMYFUNCTION("""COMPUTED_VALUE"""),0)</f>
        <v>0</v>
      </c>
    </row>
    <row r="271" spans="1:6" ht="13" x14ac:dyDescent="0.15">
      <c r="A271" s="4">
        <f ca="1">IFERROR(__xludf.DUMMYFUNCTION("""COMPUTED_VALUE"""),42522.6666666666)</f>
        <v>42522.666666666599</v>
      </c>
      <c r="B271" s="3">
        <f ca="1">IFERROR(__xludf.DUMMYFUNCTION("""COMPUTED_VALUE"""),2093.94)</f>
        <v>2093.94</v>
      </c>
      <c r="C271" s="3">
        <f ca="1">IFERROR(__xludf.DUMMYFUNCTION("""COMPUTED_VALUE"""),2100.97)</f>
        <v>2100.9699999999998</v>
      </c>
      <c r="D271" s="3">
        <f ca="1">IFERROR(__xludf.DUMMYFUNCTION("""COMPUTED_VALUE"""),2085.1)</f>
        <v>2085.1</v>
      </c>
      <c r="E271" s="3">
        <f ca="1">IFERROR(__xludf.DUMMYFUNCTION("""COMPUTED_VALUE"""),2099.33)</f>
        <v>2099.33</v>
      </c>
      <c r="F271" s="3">
        <f ca="1">IFERROR(__xludf.DUMMYFUNCTION("""COMPUTED_VALUE"""),0)</f>
        <v>0</v>
      </c>
    </row>
    <row r="272" spans="1:6" ht="13" x14ac:dyDescent="0.15">
      <c r="A272" s="4">
        <f ca="1">IFERROR(__xludf.DUMMYFUNCTION("""COMPUTED_VALUE"""),42523.6666666666)</f>
        <v>42523.666666666599</v>
      </c>
      <c r="B272" s="3">
        <f ca="1">IFERROR(__xludf.DUMMYFUNCTION("""COMPUTED_VALUE"""),2097.71)</f>
        <v>2097.71</v>
      </c>
      <c r="C272" s="3">
        <f ca="1">IFERROR(__xludf.DUMMYFUNCTION("""COMPUTED_VALUE"""),2105.26)</f>
        <v>2105.2600000000002</v>
      </c>
      <c r="D272" s="3">
        <f ca="1">IFERROR(__xludf.DUMMYFUNCTION("""COMPUTED_VALUE"""),2088.59)</f>
        <v>2088.59</v>
      </c>
      <c r="E272" s="3">
        <f ca="1">IFERROR(__xludf.DUMMYFUNCTION("""COMPUTED_VALUE"""),2105.26)</f>
        <v>2105.2600000000002</v>
      </c>
      <c r="F272" s="3">
        <f ca="1">IFERROR(__xludf.DUMMYFUNCTION("""COMPUTED_VALUE"""),0)</f>
        <v>0</v>
      </c>
    </row>
    <row r="273" spans="1:6" ht="13" x14ac:dyDescent="0.15">
      <c r="A273" s="4">
        <f ca="1">IFERROR(__xludf.DUMMYFUNCTION("""COMPUTED_VALUE"""),42524.6666666666)</f>
        <v>42524.666666666599</v>
      </c>
      <c r="B273" s="3">
        <f ca="1">IFERROR(__xludf.DUMMYFUNCTION("""COMPUTED_VALUE"""),2104.07)</f>
        <v>2104.0700000000002</v>
      </c>
      <c r="C273" s="3">
        <f ca="1">IFERROR(__xludf.DUMMYFUNCTION("""COMPUTED_VALUE"""),2104.07)</f>
        <v>2104.0700000000002</v>
      </c>
      <c r="D273" s="3">
        <f ca="1">IFERROR(__xludf.DUMMYFUNCTION("""COMPUTED_VALUE"""),2085.36)</f>
        <v>2085.36</v>
      </c>
      <c r="E273" s="3">
        <f ca="1">IFERROR(__xludf.DUMMYFUNCTION("""COMPUTED_VALUE"""),2099.13)</f>
        <v>2099.13</v>
      </c>
      <c r="F273" s="3">
        <f ca="1">IFERROR(__xludf.DUMMYFUNCTION("""COMPUTED_VALUE"""),0)</f>
        <v>0</v>
      </c>
    </row>
    <row r="274" spans="1:6" ht="13" x14ac:dyDescent="0.15">
      <c r="A274" s="4">
        <f ca="1">IFERROR(__xludf.DUMMYFUNCTION("""COMPUTED_VALUE"""),42527.6666666666)</f>
        <v>42527.666666666599</v>
      </c>
      <c r="B274" s="3">
        <f ca="1">IFERROR(__xludf.DUMMYFUNCTION("""COMPUTED_VALUE"""),2100.83)</f>
        <v>2100.83</v>
      </c>
      <c r="C274" s="3">
        <f ca="1">IFERROR(__xludf.DUMMYFUNCTION("""COMPUTED_VALUE"""),2113.36)</f>
        <v>2113.36</v>
      </c>
      <c r="D274" s="3">
        <f ca="1">IFERROR(__xludf.DUMMYFUNCTION("""COMPUTED_VALUE"""),2100.83)</f>
        <v>2100.83</v>
      </c>
      <c r="E274" s="3">
        <f ca="1">IFERROR(__xludf.DUMMYFUNCTION("""COMPUTED_VALUE"""),2109.41)</f>
        <v>2109.41</v>
      </c>
      <c r="F274" s="3">
        <f ca="1">IFERROR(__xludf.DUMMYFUNCTION("""COMPUTED_VALUE"""),0)</f>
        <v>0</v>
      </c>
    </row>
    <row r="275" spans="1:6" ht="13" x14ac:dyDescent="0.15">
      <c r="A275" s="4">
        <f ca="1">IFERROR(__xludf.DUMMYFUNCTION("""COMPUTED_VALUE"""),42528.6666666666)</f>
        <v>42528.666666666599</v>
      </c>
      <c r="B275" s="3">
        <f ca="1">IFERROR(__xludf.DUMMYFUNCTION("""COMPUTED_VALUE"""),2110.18)</f>
        <v>2110.1799999999998</v>
      </c>
      <c r="C275" s="3">
        <f ca="1">IFERROR(__xludf.DUMMYFUNCTION("""COMPUTED_VALUE"""),2119.22)</f>
        <v>2119.2199999999998</v>
      </c>
      <c r="D275" s="3">
        <f ca="1">IFERROR(__xludf.DUMMYFUNCTION("""COMPUTED_VALUE"""),2110.18)</f>
        <v>2110.1799999999998</v>
      </c>
      <c r="E275" s="3">
        <f ca="1">IFERROR(__xludf.DUMMYFUNCTION("""COMPUTED_VALUE"""),2112.13)</f>
        <v>2112.13</v>
      </c>
      <c r="F275" s="3">
        <f ca="1">IFERROR(__xludf.DUMMYFUNCTION("""COMPUTED_VALUE"""),0)</f>
        <v>0</v>
      </c>
    </row>
    <row r="276" spans="1:6" ht="13" x14ac:dyDescent="0.15">
      <c r="A276" s="4">
        <f ca="1">IFERROR(__xludf.DUMMYFUNCTION("""COMPUTED_VALUE"""),42529.6666666666)</f>
        <v>42529.666666666599</v>
      </c>
      <c r="B276" s="3">
        <f ca="1">IFERROR(__xludf.DUMMYFUNCTION("""COMPUTED_VALUE"""),2112.71)</f>
        <v>2112.71</v>
      </c>
      <c r="C276" s="3">
        <f ca="1">IFERROR(__xludf.DUMMYFUNCTION("""COMPUTED_VALUE"""),2120.55)</f>
        <v>2120.5500000000002</v>
      </c>
      <c r="D276" s="3">
        <f ca="1">IFERROR(__xludf.DUMMYFUNCTION("""COMPUTED_VALUE"""),2112.71)</f>
        <v>2112.71</v>
      </c>
      <c r="E276" s="3">
        <f ca="1">IFERROR(__xludf.DUMMYFUNCTION("""COMPUTED_VALUE"""),2119.12)</f>
        <v>2119.12</v>
      </c>
      <c r="F276" s="3">
        <f ca="1">IFERROR(__xludf.DUMMYFUNCTION("""COMPUTED_VALUE"""),0)</f>
        <v>0</v>
      </c>
    </row>
    <row r="277" spans="1:6" ht="13" x14ac:dyDescent="0.15">
      <c r="A277" s="4">
        <f ca="1">IFERROR(__xludf.DUMMYFUNCTION("""COMPUTED_VALUE"""),42530.6666666666)</f>
        <v>42530.666666666599</v>
      </c>
      <c r="B277" s="3">
        <f ca="1">IFERROR(__xludf.DUMMYFUNCTION("""COMPUTED_VALUE"""),2115.65)</f>
        <v>2115.65</v>
      </c>
      <c r="C277" s="3">
        <f ca="1">IFERROR(__xludf.DUMMYFUNCTION("""COMPUTED_VALUE"""),2117.64)</f>
        <v>2117.64</v>
      </c>
      <c r="D277" s="3">
        <f ca="1">IFERROR(__xludf.DUMMYFUNCTION("""COMPUTED_VALUE"""),2107.73)</f>
        <v>2107.73</v>
      </c>
      <c r="E277" s="3">
        <f ca="1">IFERROR(__xludf.DUMMYFUNCTION("""COMPUTED_VALUE"""),2115.48)</f>
        <v>2115.48</v>
      </c>
      <c r="F277" s="3">
        <f ca="1">IFERROR(__xludf.DUMMYFUNCTION("""COMPUTED_VALUE"""),0)</f>
        <v>0</v>
      </c>
    </row>
    <row r="278" spans="1:6" ht="13" x14ac:dyDescent="0.15">
      <c r="A278" s="4">
        <f ca="1">IFERROR(__xludf.DUMMYFUNCTION("""COMPUTED_VALUE"""),42531.6666666666)</f>
        <v>42531.666666666599</v>
      </c>
      <c r="B278" s="3">
        <f ca="1">IFERROR(__xludf.DUMMYFUNCTION("""COMPUTED_VALUE"""),2109.57)</f>
        <v>2109.5700000000002</v>
      </c>
      <c r="C278" s="3">
        <f ca="1">IFERROR(__xludf.DUMMYFUNCTION("""COMPUTED_VALUE"""),2109.57)</f>
        <v>2109.5700000000002</v>
      </c>
      <c r="D278" s="3">
        <f ca="1">IFERROR(__xludf.DUMMYFUNCTION("""COMPUTED_VALUE"""),2089.96)</f>
        <v>2089.96</v>
      </c>
      <c r="E278" s="3">
        <f ca="1">IFERROR(__xludf.DUMMYFUNCTION("""COMPUTED_VALUE"""),2096.07)</f>
        <v>2096.0700000000002</v>
      </c>
      <c r="F278" s="3">
        <f ca="1">IFERROR(__xludf.DUMMYFUNCTION("""COMPUTED_VALUE"""),0)</f>
        <v>0</v>
      </c>
    </row>
    <row r="279" spans="1:6" ht="13" x14ac:dyDescent="0.15">
      <c r="A279" s="4">
        <f ca="1">IFERROR(__xludf.DUMMYFUNCTION("""COMPUTED_VALUE"""),42534.6666666666)</f>
        <v>42534.666666666599</v>
      </c>
      <c r="B279" s="3">
        <f ca="1">IFERROR(__xludf.DUMMYFUNCTION("""COMPUTED_VALUE"""),2091.75)</f>
        <v>2091.75</v>
      </c>
      <c r="C279" s="3">
        <f ca="1">IFERROR(__xludf.DUMMYFUNCTION("""COMPUTED_VALUE"""),2098.12)</f>
        <v>2098.12</v>
      </c>
      <c r="D279" s="3">
        <f ca="1">IFERROR(__xludf.DUMMYFUNCTION("""COMPUTED_VALUE"""),2078.46)</f>
        <v>2078.46</v>
      </c>
      <c r="E279" s="3">
        <f ca="1">IFERROR(__xludf.DUMMYFUNCTION("""COMPUTED_VALUE"""),2079.06)</f>
        <v>2079.06</v>
      </c>
      <c r="F279" s="3">
        <f ca="1">IFERROR(__xludf.DUMMYFUNCTION("""COMPUTED_VALUE"""),0)</f>
        <v>0</v>
      </c>
    </row>
    <row r="280" spans="1:6" ht="13" x14ac:dyDescent="0.15">
      <c r="A280" s="4">
        <f ca="1">IFERROR(__xludf.DUMMYFUNCTION("""COMPUTED_VALUE"""),42535.6666666666)</f>
        <v>42535.666666666599</v>
      </c>
      <c r="B280" s="3">
        <f ca="1">IFERROR(__xludf.DUMMYFUNCTION("""COMPUTED_VALUE"""),2076.65)</f>
        <v>2076.65</v>
      </c>
      <c r="C280" s="3">
        <f ca="1">IFERROR(__xludf.DUMMYFUNCTION("""COMPUTED_VALUE"""),2081.3)</f>
        <v>2081.3000000000002</v>
      </c>
      <c r="D280" s="3">
        <f ca="1">IFERROR(__xludf.DUMMYFUNCTION("""COMPUTED_VALUE"""),2064.1)</f>
        <v>2064.1</v>
      </c>
      <c r="E280" s="3">
        <f ca="1">IFERROR(__xludf.DUMMYFUNCTION("""COMPUTED_VALUE"""),2075.32)</f>
        <v>2075.3200000000002</v>
      </c>
      <c r="F280" s="3">
        <f ca="1">IFERROR(__xludf.DUMMYFUNCTION("""COMPUTED_VALUE"""),0)</f>
        <v>0</v>
      </c>
    </row>
    <row r="281" spans="1:6" ht="13" x14ac:dyDescent="0.15">
      <c r="A281" s="4">
        <f ca="1">IFERROR(__xludf.DUMMYFUNCTION("""COMPUTED_VALUE"""),42536.6666666666)</f>
        <v>42536.666666666599</v>
      </c>
      <c r="B281" s="3">
        <f ca="1">IFERROR(__xludf.DUMMYFUNCTION("""COMPUTED_VALUE"""),2078.62)</f>
        <v>2078.62</v>
      </c>
      <c r="C281" s="3">
        <f ca="1">IFERROR(__xludf.DUMMYFUNCTION("""COMPUTED_VALUE"""),2085.65)</f>
        <v>2085.65</v>
      </c>
      <c r="D281" s="3">
        <f ca="1">IFERROR(__xludf.DUMMYFUNCTION("""COMPUTED_VALUE"""),2069.8)</f>
        <v>2069.8000000000002</v>
      </c>
      <c r="E281" s="3">
        <f ca="1">IFERROR(__xludf.DUMMYFUNCTION("""COMPUTED_VALUE"""),2071.5)</f>
        <v>2071.5</v>
      </c>
      <c r="F281" s="3">
        <f ca="1">IFERROR(__xludf.DUMMYFUNCTION("""COMPUTED_VALUE"""),0)</f>
        <v>0</v>
      </c>
    </row>
    <row r="282" spans="1:6" ht="13" x14ac:dyDescent="0.15">
      <c r="A282" s="4">
        <f ca="1">IFERROR(__xludf.DUMMYFUNCTION("""COMPUTED_VALUE"""),42537.6666666666)</f>
        <v>42537.666666666599</v>
      </c>
      <c r="B282" s="3">
        <f ca="1">IFERROR(__xludf.DUMMYFUNCTION("""COMPUTED_VALUE"""),2066.36)</f>
        <v>2066.36</v>
      </c>
      <c r="C282" s="3">
        <f ca="1">IFERROR(__xludf.DUMMYFUNCTION("""COMPUTED_VALUE"""),2079.62)</f>
        <v>2079.62</v>
      </c>
      <c r="D282" s="3">
        <f ca="1">IFERROR(__xludf.DUMMYFUNCTION("""COMPUTED_VALUE"""),2050.37)</f>
        <v>2050.37</v>
      </c>
      <c r="E282" s="3">
        <f ca="1">IFERROR(__xludf.DUMMYFUNCTION("""COMPUTED_VALUE"""),2077.99)</f>
        <v>2077.9899999999998</v>
      </c>
      <c r="F282" s="3">
        <f ca="1">IFERROR(__xludf.DUMMYFUNCTION("""COMPUTED_VALUE"""),0)</f>
        <v>0</v>
      </c>
    </row>
    <row r="283" spans="1:6" ht="13" x14ac:dyDescent="0.15">
      <c r="A283" s="4">
        <f ca="1">IFERROR(__xludf.DUMMYFUNCTION("""COMPUTED_VALUE"""),42538.6666666666)</f>
        <v>42538.666666666599</v>
      </c>
      <c r="B283" s="3">
        <f ca="1">IFERROR(__xludf.DUMMYFUNCTION("""COMPUTED_VALUE"""),2078.2)</f>
        <v>2078.1999999999998</v>
      </c>
      <c r="C283" s="3">
        <f ca="1">IFERROR(__xludf.DUMMYFUNCTION("""COMPUTED_VALUE"""),2078.2)</f>
        <v>2078.1999999999998</v>
      </c>
      <c r="D283" s="3">
        <f ca="1">IFERROR(__xludf.DUMMYFUNCTION("""COMPUTED_VALUE"""),2062.84)</f>
        <v>2062.84</v>
      </c>
      <c r="E283" s="3">
        <f ca="1">IFERROR(__xludf.DUMMYFUNCTION("""COMPUTED_VALUE"""),2071.22)</f>
        <v>2071.2199999999998</v>
      </c>
      <c r="F283" s="3">
        <f ca="1">IFERROR(__xludf.DUMMYFUNCTION("""COMPUTED_VALUE"""),0)</f>
        <v>0</v>
      </c>
    </row>
    <row r="284" spans="1:6" ht="13" x14ac:dyDescent="0.15">
      <c r="A284" s="4">
        <f ca="1">IFERROR(__xludf.DUMMYFUNCTION("""COMPUTED_VALUE"""),42541.6666666666)</f>
        <v>42541.666666666599</v>
      </c>
      <c r="B284" s="3">
        <f ca="1">IFERROR(__xludf.DUMMYFUNCTION("""COMPUTED_VALUE"""),2075.58)</f>
        <v>2075.58</v>
      </c>
      <c r="C284" s="3">
        <f ca="1">IFERROR(__xludf.DUMMYFUNCTION("""COMPUTED_VALUE"""),2100.66)</f>
        <v>2100.66</v>
      </c>
      <c r="D284" s="3">
        <f ca="1">IFERROR(__xludf.DUMMYFUNCTION("""COMPUTED_VALUE"""),2075.58)</f>
        <v>2075.58</v>
      </c>
      <c r="E284" s="3">
        <f ca="1">IFERROR(__xludf.DUMMYFUNCTION("""COMPUTED_VALUE"""),2083.25)</f>
        <v>2083.25</v>
      </c>
      <c r="F284" s="3">
        <f ca="1">IFERROR(__xludf.DUMMYFUNCTION("""COMPUTED_VALUE"""),0)</f>
        <v>0</v>
      </c>
    </row>
    <row r="285" spans="1:6" ht="13" x14ac:dyDescent="0.15">
      <c r="A285" s="4">
        <f ca="1">IFERROR(__xludf.DUMMYFUNCTION("""COMPUTED_VALUE"""),42542.6666666666)</f>
        <v>42542.666666666599</v>
      </c>
      <c r="B285" s="3">
        <f ca="1">IFERROR(__xludf.DUMMYFUNCTION("""COMPUTED_VALUE"""),2085.19)</f>
        <v>2085.19</v>
      </c>
      <c r="C285" s="3">
        <f ca="1">IFERROR(__xludf.DUMMYFUNCTION("""COMPUTED_VALUE"""),2093.66)</f>
        <v>2093.66</v>
      </c>
      <c r="D285" s="3">
        <f ca="1">IFERROR(__xludf.DUMMYFUNCTION("""COMPUTED_VALUE"""),2083.02)</f>
        <v>2083.02</v>
      </c>
      <c r="E285" s="3">
        <f ca="1">IFERROR(__xludf.DUMMYFUNCTION("""COMPUTED_VALUE"""),2088.9)</f>
        <v>2088.9</v>
      </c>
      <c r="F285" s="3">
        <f ca="1">IFERROR(__xludf.DUMMYFUNCTION("""COMPUTED_VALUE"""),0)</f>
        <v>0</v>
      </c>
    </row>
    <row r="286" spans="1:6" ht="13" x14ac:dyDescent="0.15">
      <c r="A286" s="4">
        <f ca="1">IFERROR(__xludf.DUMMYFUNCTION("""COMPUTED_VALUE"""),42543.6666666666)</f>
        <v>42543.666666666599</v>
      </c>
      <c r="B286" s="3">
        <f ca="1">IFERROR(__xludf.DUMMYFUNCTION("""COMPUTED_VALUE"""),2089.75)</f>
        <v>2089.75</v>
      </c>
      <c r="C286" s="3">
        <f ca="1">IFERROR(__xludf.DUMMYFUNCTION("""COMPUTED_VALUE"""),2099.71)</f>
        <v>2099.71</v>
      </c>
      <c r="D286" s="3">
        <f ca="1">IFERROR(__xludf.DUMMYFUNCTION("""COMPUTED_VALUE"""),2084.36)</f>
        <v>2084.36</v>
      </c>
      <c r="E286" s="3">
        <f ca="1">IFERROR(__xludf.DUMMYFUNCTION("""COMPUTED_VALUE"""),2085.45)</f>
        <v>2085.4499999999998</v>
      </c>
      <c r="F286" s="3">
        <f ca="1">IFERROR(__xludf.DUMMYFUNCTION("""COMPUTED_VALUE"""),0)</f>
        <v>0</v>
      </c>
    </row>
    <row r="287" spans="1:6" ht="13" x14ac:dyDescent="0.15">
      <c r="A287" s="4">
        <f ca="1">IFERROR(__xludf.DUMMYFUNCTION("""COMPUTED_VALUE"""),42544.6666666666)</f>
        <v>42544.666666666599</v>
      </c>
      <c r="B287" s="3">
        <f ca="1">IFERROR(__xludf.DUMMYFUNCTION("""COMPUTED_VALUE"""),2092.8)</f>
        <v>2092.8000000000002</v>
      </c>
      <c r="C287" s="3">
        <f ca="1">IFERROR(__xludf.DUMMYFUNCTION("""COMPUTED_VALUE"""),2113.32)</f>
        <v>2113.3200000000002</v>
      </c>
      <c r="D287" s="3">
        <f ca="1">IFERROR(__xludf.DUMMYFUNCTION("""COMPUTED_VALUE"""),2092.8)</f>
        <v>2092.8000000000002</v>
      </c>
      <c r="E287" s="3">
        <f ca="1">IFERROR(__xludf.DUMMYFUNCTION("""COMPUTED_VALUE"""),2113.32)</f>
        <v>2113.3200000000002</v>
      </c>
      <c r="F287" s="3">
        <f ca="1">IFERROR(__xludf.DUMMYFUNCTION("""COMPUTED_VALUE"""),0)</f>
        <v>0</v>
      </c>
    </row>
    <row r="288" spans="1:6" ht="13" x14ac:dyDescent="0.15">
      <c r="A288" s="4">
        <f ca="1">IFERROR(__xludf.DUMMYFUNCTION("""COMPUTED_VALUE"""),42545.6666666666)</f>
        <v>42545.666666666599</v>
      </c>
      <c r="B288" s="3">
        <f ca="1">IFERROR(__xludf.DUMMYFUNCTION("""COMPUTED_VALUE"""),2103.81)</f>
        <v>2103.81</v>
      </c>
      <c r="C288" s="3">
        <f ca="1">IFERROR(__xludf.DUMMYFUNCTION("""COMPUTED_VALUE"""),2103.81)</f>
        <v>2103.81</v>
      </c>
      <c r="D288" s="3">
        <f ca="1">IFERROR(__xludf.DUMMYFUNCTION("""COMPUTED_VALUE"""),2032.57)</f>
        <v>2032.57</v>
      </c>
      <c r="E288" s="3">
        <f ca="1">IFERROR(__xludf.DUMMYFUNCTION("""COMPUTED_VALUE"""),2037.41)</f>
        <v>2037.41</v>
      </c>
      <c r="F288" s="3">
        <f ca="1">IFERROR(__xludf.DUMMYFUNCTION("""COMPUTED_VALUE"""),0)</f>
        <v>0</v>
      </c>
    </row>
    <row r="289" spans="1:6" ht="13" x14ac:dyDescent="0.15">
      <c r="A289" s="4">
        <f ca="1">IFERROR(__xludf.DUMMYFUNCTION("""COMPUTED_VALUE"""),42548.6666666666)</f>
        <v>42548.666666666599</v>
      </c>
      <c r="B289" s="3">
        <f ca="1">IFERROR(__xludf.DUMMYFUNCTION("""COMPUTED_VALUE"""),2031.45)</f>
        <v>2031.45</v>
      </c>
      <c r="C289" s="3">
        <f ca="1">IFERROR(__xludf.DUMMYFUNCTION("""COMPUTED_VALUE"""),2031.45)</f>
        <v>2031.45</v>
      </c>
      <c r="D289" s="3">
        <f ca="1">IFERROR(__xludf.DUMMYFUNCTION("""COMPUTED_VALUE"""),1991.68)</f>
        <v>1991.68</v>
      </c>
      <c r="E289" s="3">
        <f ca="1">IFERROR(__xludf.DUMMYFUNCTION("""COMPUTED_VALUE"""),2000.54)</f>
        <v>2000.54</v>
      </c>
      <c r="F289" s="3">
        <f ca="1">IFERROR(__xludf.DUMMYFUNCTION("""COMPUTED_VALUE"""),0)</f>
        <v>0</v>
      </c>
    </row>
    <row r="290" spans="1:6" ht="13" x14ac:dyDescent="0.15">
      <c r="A290" s="4">
        <f ca="1">IFERROR(__xludf.DUMMYFUNCTION("""COMPUTED_VALUE"""),42549.6666666666)</f>
        <v>42549.666666666599</v>
      </c>
      <c r="B290" s="3">
        <f ca="1">IFERROR(__xludf.DUMMYFUNCTION("""COMPUTED_VALUE"""),2006.67)</f>
        <v>2006.67</v>
      </c>
      <c r="C290" s="3">
        <f ca="1">IFERROR(__xludf.DUMMYFUNCTION("""COMPUTED_VALUE"""),2036.09)</f>
        <v>2036.09</v>
      </c>
      <c r="D290" s="3">
        <f ca="1">IFERROR(__xludf.DUMMYFUNCTION("""COMPUTED_VALUE"""),2006.67)</f>
        <v>2006.67</v>
      </c>
      <c r="E290" s="3">
        <f ca="1">IFERROR(__xludf.DUMMYFUNCTION("""COMPUTED_VALUE"""),2036.09)</f>
        <v>2036.09</v>
      </c>
      <c r="F290" s="3">
        <f ca="1">IFERROR(__xludf.DUMMYFUNCTION("""COMPUTED_VALUE"""),0)</f>
        <v>0</v>
      </c>
    </row>
    <row r="291" spans="1:6" ht="13" x14ac:dyDescent="0.15">
      <c r="A291" s="4">
        <f ca="1">IFERROR(__xludf.DUMMYFUNCTION("""COMPUTED_VALUE"""),42550.6666666666)</f>
        <v>42550.666666666599</v>
      </c>
      <c r="B291" s="3">
        <f ca="1">IFERROR(__xludf.DUMMYFUNCTION("""COMPUTED_VALUE"""),2042.69)</f>
        <v>2042.69</v>
      </c>
      <c r="C291" s="3">
        <f ca="1">IFERROR(__xludf.DUMMYFUNCTION("""COMPUTED_VALUE"""),2073.13)</f>
        <v>2073.13</v>
      </c>
      <c r="D291" s="3">
        <f ca="1">IFERROR(__xludf.DUMMYFUNCTION("""COMPUTED_VALUE"""),2042.69)</f>
        <v>2042.69</v>
      </c>
      <c r="E291" s="3">
        <f ca="1">IFERROR(__xludf.DUMMYFUNCTION("""COMPUTED_VALUE"""),2070.77)</f>
        <v>2070.77</v>
      </c>
      <c r="F291" s="3">
        <f ca="1">IFERROR(__xludf.DUMMYFUNCTION("""COMPUTED_VALUE"""),0)</f>
        <v>0</v>
      </c>
    </row>
    <row r="292" spans="1:6" ht="13" x14ac:dyDescent="0.15">
      <c r="A292" s="4">
        <f ca="1">IFERROR(__xludf.DUMMYFUNCTION("""COMPUTED_VALUE"""),42551.6666666666)</f>
        <v>42551.666666666599</v>
      </c>
      <c r="B292" s="3">
        <f ca="1">IFERROR(__xludf.DUMMYFUNCTION("""COMPUTED_VALUE"""),2073.17)</f>
        <v>2073.17</v>
      </c>
      <c r="C292" s="3">
        <f ca="1">IFERROR(__xludf.DUMMYFUNCTION("""COMPUTED_VALUE"""),2098.94)</f>
        <v>2098.94</v>
      </c>
      <c r="D292" s="3">
        <f ca="1">IFERROR(__xludf.DUMMYFUNCTION("""COMPUTED_VALUE"""),2070)</f>
        <v>2070</v>
      </c>
      <c r="E292" s="3">
        <f ca="1">IFERROR(__xludf.DUMMYFUNCTION("""COMPUTED_VALUE"""),2098.86)</f>
        <v>2098.86</v>
      </c>
      <c r="F292" s="3">
        <f ca="1">IFERROR(__xludf.DUMMYFUNCTION("""COMPUTED_VALUE"""),0)</f>
        <v>0</v>
      </c>
    </row>
    <row r="293" spans="1:6" ht="13" x14ac:dyDescent="0.15">
      <c r="A293" s="4">
        <f ca="1">IFERROR(__xludf.DUMMYFUNCTION("""COMPUTED_VALUE"""),42552.6666666666)</f>
        <v>42552.666666666599</v>
      </c>
      <c r="B293" s="3">
        <f ca="1">IFERROR(__xludf.DUMMYFUNCTION("""COMPUTED_VALUE"""),2099.34)</f>
        <v>2099.34</v>
      </c>
      <c r="C293" s="3">
        <f ca="1">IFERROR(__xludf.DUMMYFUNCTION("""COMPUTED_VALUE"""),2108.71)</f>
        <v>2108.71</v>
      </c>
      <c r="D293" s="3">
        <f ca="1">IFERROR(__xludf.DUMMYFUNCTION("""COMPUTED_VALUE"""),2097.9)</f>
        <v>2097.9</v>
      </c>
      <c r="E293" s="3">
        <f ca="1">IFERROR(__xludf.DUMMYFUNCTION("""COMPUTED_VALUE"""),2102.95)</f>
        <v>2102.9499999999998</v>
      </c>
      <c r="F293" s="3">
        <f ca="1">IFERROR(__xludf.DUMMYFUNCTION("""COMPUTED_VALUE"""),0)</f>
        <v>0</v>
      </c>
    </row>
    <row r="294" spans="1:6" ht="13" x14ac:dyDescent="0.15">
      <c r="A294" s="4">
        <f ca="1">IFERROR(__xludf.DUMMYFUNCTION("""COMPUTED_VALUE"""),42556.6666666666)</f>
        <v>42556.666666666599</v>
      </c>
      <c r="B294" s="3">
        <f ca="1">IFERROR(__xludf.DUMMYFUNCTION("""COMPUTED_VALUE"""),2095.05)</f>
        <v>2095.0500000000002</v>
      </c>
      <c r="C294" s="3">
        <f ca="1">IFERROR(__xludf.DUMMYFUNCTION("""COMPUTED_VALUE"""),2095.05)</f>
        <v>2095.0500000000002</v>
      </c>
      <c r="D294" s="3">
        <f ca="1">IFERROR(__xludf.DUMMYFUNCTION("""COMPUTED_VALUE"""),2080.86)</f>
        <v>2080.86</v>
      </c>
      <c r="E294" s="3">
        <f ca="1">IFERROR(__xludf.DUMMYFUNCTION("""COMPUTED_VALUE"""),2088.55)</f>
        <v>2088.5500000000002</v>
      </c>
      <c r="F294" s="3">
        <f ca="1">IFERROR(__xludf.DUMMYFUNCTION("""COMPUTED_VALUE"""),0)</f>
        <v>0</v>
      </c>
    </row>
    <row r="295" spans="1:6" ht="13" x14ac:dyDescent="0.15">
      <c r="A295" s="4">
        <f ca="1">IFERROR(__xludf.DUMMYFUNCTION("""COMPUTED_VALUE"""),42557.6666666666)</f>
        <v>42557.666666666599</v>
      </c>
      <c r="B295" s="3">
        <f ca="1">IFERROR(__xludf.DUMMYFUNCTION("""COMPUTED_VALUE"""),2084.43)</f>
        <v>2084.4299999999998</v>
      </c>
      <c r="C295" s="3">
        <f ca="1">IFERROR(__xludf.DUMMYFUNCTION("""COMPUTED_VALUE"""),2100.72)</f>
        <v>2100.7199999999998</v>
      </c>
      <c r="D295" s="3">
        <f ca="1">IFERROR(__xludf.DUMMYFUNCTION("""COMPUTED_VALUE"""),2074.02)</f>
        <v>2074.02</v>
      </c>
      <c r="E295" s="3">
        <f ca="1">IFERROR(__xludf.DUMMYFUNCTION("""COMPUTED_VALUE"""),2099.73)</f>
        <v>2099.73</v>
      </c>
      <c r="F295" s="3">
        <f ca="1">IFERROR(__xludf.DUMMYFUNCTION("""COMPUTED_VALUE"""),0)</f>
        <v>0</v>
      </c>
    </row>
    <row r="296" spans="1:6" ht="13" x14ac:dyDescent="0.15">
      <c r="A296" s="4">
        <f ca="1">IFERROR(__xludf.DUMMYFUNCTION("""COMPUTED_VALUE"""),42558.6666666666)</f>
        <v>42558.666666666599</v>
      </c>
      <c r="B296" s="3">
        <f ca="1">IFERROR(__xludf.DUMMYFUNCTION("""COMPUTED_VALUE"""),2100.42)</f>
        <v>2100.42</v>
      </c>
      <c r="C296" s="3">
        <f ca="1">IFERROR(__xludf.DUMMYFUNCTION("""COMPUTED_VALUE"""),2109.08)</f>
        <v>2109.08</v>
      </c>
      <c r="D296" s="3">
        <f ca="1">IFERROR(__xludf.DUMMYFUNCTION("""COMPUTED_VALUE"""),2089.39)</f>
        <v>2089.39</v>
      </c>
      <c r="E296" s="3">
        <f ca="1">IFERROR(__xludf.DUMMYFUNCTION("""COMPUTED_VALUE"""),2097.9)</f>
        <v>2097.9</v>
      </c>
      <c r="F296" s="3">
        <f ca="1">IFERROR(__xludf.DUMMYFUNCTION("""COMPUTED_VALUE"""),0)</f>
        <v>0</v>
      </c>
    </row>
    <row r="297" spans="1:6" ht="13" x14ac:dyDescent="0.15">
      <c r="A297" s="4">
        <f ca="1">IFERROR(__xludf.DUMMYFUNCTION("""COMPUTED_VALUE"""),42559.6666666666)</f>
        <v>42559.666666666599</v>
      </c>
      <c r="B297" s="3">
        <f ca="1">IFERROR(__xludf.DUMMYFUNCTION("""COMPUTED_VALUE"""),2106.97)</f>
        <v>2106.9699999999998</v>
      </c>
      <c r="C297" s="3">
        <f ca="1">IFERROR(__xludf.DUMMYFUNCTION("""COMPUTED_VALUE"""),2131.71)</f>
        <v>2131.71</v>
      </c>
      <c r="D297" s="3">
        <f ca="1">IFERROR(__xludf.DUMMYFUNCTION("""COMPUTED_VALUE"""),2106.97)</f>
        <v>2106.9699999999998</v>
      </c>
      <c r="E297" s="3">
        <f ca="1">IFERROR(__xludf.DUMMYFUNCTION("""COMPUTED_VALUE"""),2129.9)</f>
        <v>2129.9</v>
      </c>
      <c r="F297" s="3">
        <f ca="1">IFERROR(__xludf.DUMMYFUNCTION("""COMPUTED_VALUE"""),0)</f>
        <v>0</v>
      </c>
    </row>
    <row r="298" spans="1:6" ht="13" x14ac:dyDescent="0.15">
      <c r="A298" s="4">
        <f ca="1">IFERROR(__xludf.DUMMYFUNCTION("""COMPUTED_VALUE"""),42562.6666666666)</f>
        <v>42562.666666666599</v>
      </c>
      <c r="B298" s="3">
        <f ca="1">IFERROR(__xludf.DUMMYFUNCTION("""COMPUTED_VALUE"""),2131.72)</f>
        <v>2131.7199999999998</v>
      </c>
      <c r="C298" s="3">
        <f ca="1">IFERROR(__xludf.DUMMYFUNCTION("""COMPUTED_VALUE"""),2143.16)</f>
        <v>2143.16</v>
      </c>
      <c r="D298" s="3">
        <f ca="1">IFERROR(__xludf.DUMMYFUNCTION("""COMPUTED_VALUE"""),2131.72)</f>
        <v>2131.7199999999998</v>
      </c>
      <c r="E298" s="3">
        <f ca="1">IFERROR(__xludf.DUMMYFUNCTION("""COMPUTED_VALUE"""),2137.16)</f>
        <v>2137.16</v>
      </c>
      <c r="F298" s="3">
        <f ca="1">IFERROR(__xludf.DUMMYFUNCTION("""COMPUTED_VALUE"""),0)</f>
        <v>0</v>
      </c>
    </row>
    <row r="299" spans="1:6" ht="13" x14ac:dyDescent="0.15">
      <c r="A299" s="4">
        <f ca="1">IFERROR(__xludf.DUMMYFUNCTION("""COMPUTED_VALUE"""),42563.6666666666)</f>
        <v>42563.666666666599</v>
      </c>
      <c r="B299" s="3">
        <f ca="1">IFERROR(__xludf.DUMMYFUNCTION("""COMPUTED_VALUE"""),2139.5)</f>
        <v>2139.5</v>
      </c>
      <c r="C299" s="3">
        <f ca="1">IFERROR(__xludf.DUMMYFUNCTION("""COMPUTED_VALUE"""),2155.4)</f>
        <v>2155.4</v>
      </c>
      <c r="D299" s="3">
        <f ca="1">IFERROR(__xludf.DUMMYFUNCTION("""COMPUTED_VALUE"""),2139.5)</f>
        <v>2139.5</v>
      </c>
      <c r="E299" s="3">
        <f ca="1">IFERROR(__xludf.DUMMYFUNCTION("""COMPUTED_VALUE"""),2152.14)</f>
        <v>2152.14</v>
      </c>
      <c r="F299" s="3">
        <f ca="1">IFERROR(__xludf.DUMMYFUNCTION("""COMPUTED_VALUE"""),0)</f>
        <v>0</v>
      </c>
    </row>
    <row r="300" spans="1:6" ht="13" x14ac:dyDescent="0.15">
      <c r="A300" s="4">
        <f ca="1">IFERROR(__xludf.DUMMYFUNCTION("""COMPUTED_VALUE"""),42564.6666666666)</f>
        <v>42564.666666666599</v>
      </c>
      <c r="B300" s="3">
        <f ca="1">IFERROR(__xludf.DUMMYFUNCTION("""COMPUTED_VALUE"""),2153.81)</f>
        <v>2153.81</v>
      </c>
      <c r="C300" s="3">
        <f ca="1">IFERROR(__xludf.DUMMYFUNCTION("""COMPUTED_VALUE"""),2156.45)</f>
        <v>2156.4499999999998</v>
      </c>
      <c r="D300" s="3">
        <f ca="1">IFERROR(__xludf.DUMMYFUNCTION("""COMPUTED_VALUE"""),2146.21)</f>
        <v>2146.21</v>
      </c>
      <c r="E300" s="3">
        <f ca="1">IFERROR(__xludf.DUMMYFUNCTION("""COMPUTED_VALUE"""),2152.43)</f>
        <v>2152.4299999999998</v>
      </c>
      <c r="F300" s="3">
        <f ca="1">IFERROR(__xludf.DUMMYFUNCTION("""COMPUTED_VALUE"""),0)</f>
        <v>0</v>
      </c>
    </row>
    <row r="301" spans="1:6" ht="13" x14ac:dyDescent="0.15">
      <c r="A301" s="4">
        <f ca="1">IFERROR(__xludf.DUMMYFUNCTION("""COMPUTED_VALUE"""),42565.6666666666)</f>
        <v>42565.666666666599</v>
      </c>
      <c r="B301" s="3">
        <f ca="1">IFERROR(__xludf.DUMMYFUNCTION("""COMPUTED_VALUE"""),2157.88)</f>
        <v>2157.88</v>
      </c>
      <c r="C301" s="3">
        <f ca="1">IFERROR(__xludf.DUMMYFUNCTION("""COMPUTED_VALUE"""),2168.99)</f>
        <v>2168.9899999999998</v>
      </c>
      <c r="D301" s="3">
        <f ca="1">IFERROR(__xludf.DUMMYFUNCTION("""COMPUTED_VALUE"""),2157.88)</f>
        <v>2157.88</v>
      </c>
      <c r="E301" s="3">
        <f ca="1">IFERROR(__xludf.DUMMYFUNCTION("""COMPUTED_VALUE"""),2163.75)</f>
        <v>2163.75</v>
      </c>
      <c r="F301" s="3">
        <f ca="1">IFERROR(__xludf.DUMMYFUNCTION("""COMPUTED_VALUE"""),0)</f>
        <v>0</v>
      </c>
    </row>
    <row r="302" spans="1:6" ht="13" x14ac:dyDescent="0.15">
      <c r="A302" s="4">
        <f ca="1">IFERROR(__xludf.DUMMYFUNCTION("""COMPUTED_VALUE"""),42566.6666666666)</f>
        <v>42566.666666666599</v>
      </c>
      <c r="B302" s="3">
        <f ca="1">IFERROR(__xludf.DUMMYFUNCTION("""COMPUTED_VALUE"""),2165.13)</f>
        <v>2165.13</v>
      </c>
      <c r="C302" s="3">
        <f ca="1">IFERROR(__xludf.DUMMYFUNCTION("""COMPUTED_VALUE"""),2169.05)</f>
        <v>2169.0500000000002</v>
      </c>
      <c r="D302" s="3">
        <f ca="1">IFERROR(__xludf.DUMMYFUNCTION("""COMPUTED_VALUE"""),2155.79)</f>
        <v>2155.79</v>
      </c>
      <c r="E302" s="3">
        <f ca="1">IFERROR(__xludf.DUMMYFUNCTION("""COMPUTED_VALUE"""),2161.74)</f>
        <v>2161.7399999999998</v>
      </c>
      <c r="F302" s="3">
        <f ca="1">IFERROR(__xludf.DUMMYFUNCTION("""COMPUTED_VALUE"""),0)</f>
        <v>0</v>
      </c>
    </row>
    <row r="303" spans="1:6" ht="13" x14ac:dyDescent="0.15">
      <c r="A303" s="4">
        <f ca="1">IFERROR(__xludf.DUMMYFUNCTION("""COMPUTED_VALUE"""),42569.6666666666)</f>
        <v>42569.666666666599</v>
      </c>
      <c r="B303" s="3">
        <f ca="1">IFERROR(__xludf.DUMMYFUNCTION("""COMPUTED_VALUE"""),2162.04)</f>
        <v>2162.04</v>
      </c>
      <c r="C303" s="3">
        <f ca="1">IFERROR(__xludf.DUMMYFUNCTION("""COMPUTED_VALUE"""),2168.35)</f>
        <v>2168.35</v>
      </c>
      <c r="D303" s="3">
        <f ca="1">IFERROR(__xludf.DUMMYFUNCTION("""COMPUTED_VALUE"""),2159.63)</f>
        <v>2159.63</v>
      </c>
      <c r="E303" s="3">
        <f ca="1">IFERROR(__xludf.DUMMYFUNCTION("""COMPUTED_VALUE"""),2166.89)</f>
        <v>2166.89</v>
      </c>
      <c r="F303" s="3">
        <f ca="1">IFERROR(__xludf.DUMMYFUNCTION("""COMPUTED_VALUE"""),0)</f>
        <v>0</v>
      </c>
    </row>
    <row r="304" spans="1:6" ht="13" x14ac:dyDescent="0.15">
      <c r="A304" s="4">
        <f ca="1">IFERROR(__xludf.DUMMYFUNCTION("""COMPUTED_VALUE"""),42570.6666666666)</f>
        <v>42570.666666666599</v>
      </c>
      <c r="B304" s="3">
        <f ca="1">IFERROR(__xludf.DUMMYFUNCTION("""COMPUTED_VALUE"""),2163.79)</f>
        <v>2163.79</v>
      </c>
      <c r="C304" s="3">
        <f ca="1">IFERROR(__xludf.DUMMYFUNCTION("""COMPUTED_VALUE"""),2164.63)</f>
        <v>2164.63</v>
      </c>
      <c r="D304" s="3">
        <f ca="1">IFERROR(__xludf.DUMMYFUNCTION("""COMPUTED_VALUE"""),2159.01)</f>
        <v>2159.0100000000002</v>
      </c>
      <c r="E304" s="3">
        <f ca="1">IFERROR(__xludf.DUMMYFUNCTION("""COMPUTED_VALUE"""),2163.78)</f>
        <v>2163.7800000000002</v>
      </c>
      <c r="F304" s="3">
        <f ca="1">IFERROR(__xludf.DUMMYFUNCTION("""COMPUTED_VALUE"""),0)</f>
        <v>0</v>
      </c>
    </row>
    <row r="305" spans="1:6" ht="13" x14ac:dyDescent="0.15">
      <c r="A305" s="4">
        <f ca="1">IFERROR(__xludf.DUMMYFUNCTION("""COMPUTED_VALUE"""),42571.6666666666)</f>
        <v>42571.666666666599</v>
      </c>
      <c r="B305" s="3">
        <f ca="1">IFERROR(__xludf.DUMMYFUNCTION("""COMPUTED_VALUE"""),2166.1)</f>
        <v>2166.1</v>
      </c>
      <c r="C305" s="3">
        <f ca="1">IFERROR(__xludf.DUMMYFUNCTION("""COMPUTED_VALUE"""),2175.63)</f>
        <v>2175.63</v>
      </c>
      <c r="D305" s="3">
        <f ca="1">IFERROR(__xludf.DUMMYFUNCTION("""COMPUTED_VALUE"""),2164.89)</f>
        <v>2164.89</v>
      </c>
      <c r="E305" s="3">
        <f ca="1">IFERROR(__xludf.DUMMYFUNCTION("""COMPUTED_VALUE"""),2173.02)</f>
        <v>2173.02</v>
      </c>
      <c r="F305" s="3">
        <f ca="1">IFERROR(__xludf.DUMMYFUNCTION("""COMPUTED_VALUE"""),0)</f>
        <v>0</v>
      </c>
    </row>
    <row r="306" spans="1:6" ht="13" x14ac:dyDescent="0.15">
      <c r="A306" s="4">
        <f ca="1">IFERROR(__xludf.DUMMYFUNCTION("""COMPUTED_VALUE"""),42572.6666666666)</f>
        <v>42572.666666666599</v>
      </c>
      <c r="B306" s="3">
        <f ca="1">IFERROR(__xludf.DUMMYFUNCTION("""COMPUTED_VALUE"""),2172.91)</f>
        <v>2172.91</v>
      </c>
      <c r="C306" s="3">
        <f ca="1">IFERROR(__xludf.DUMMYFUNCTION("""COMPUTED_VALUE"""),2174.56)</f>
        <v>2174.56</v>
      </c>
      <c r="D306" s="3">
        <f ca="1">IFERROR(__xludf.DUMMYFUNCTION("""COMPUTED_VALUE"""),2159.75)</f>
        <v>2159.75</v>
      </c>
      <c r="E306" s="3">
        <f ca="1">IFERROR(__xludf.DUMMYFUNCTION("""COMPUTED_VALUE"""),2165.17)</f>
        <v>2165.17</v>
      </c>
      <c r="F306" s="3">
        <f ca="1">IFERROR(__xludf.DUMMYFUNCTION("""COMPUTED_VALUE"""),0)</f>
        <v>0</v>
      </c>
    </row>
    <row r="307" spans="1:6" ht="13" x14ac:dyDescent="0.15">
      <c r="A307" s="4">
        <f ca="1">IFERROR(__xludf.DUMMYFUNCTION("""COMPUTED_VALUE"""),42573.6666666666)</f>
        <v>42573.666666666599</v>
      </c>
      <c r="B307" s="3">
        <f ca="1">IFERROR(__xludf.DUMMYFUNCTION("""COMPUTED_VALUE"""),2166.47)</f>
        <v>2166.4699999999998</v>
      </c>
      <c r="C307" s="3">
        <f ca="1">IFERROR(__xludf.DUMMYFUNCTION("""COMPUTED_VALUE"""),2175.11)</f>
        <v>2175.11</v>
      </c>
      <c r="D307" s="3">
        <f ca="1">IFERROR(__xludf.DUMMYFUNCTION("""COMPUTED_VALUE"""),2163.24)</f>
        <v>2163.2399999999998</v>
      </c>
      <c r="E307" s="3">
        <f ca="1">IFERROR(__xludf.DUMMYFUNCTION("""COMPUTED_VALUE"""),2175.03)</f>
        <v>2175.0300000000002</v>
      </c>
      <c r="F307" s="3">
        <f ca="1">IFERROR(__xludf.DUMMYFUNCTION("""COMPUTED_VALUE"""),0)</f>
        <v>0</v>
      </c>
    </row>
    <row r="308" spans="1:6" ht="13" x14ac:dyDescent="0.15">
      <c r="A308" s="4">
        <f ca="1">IFERROR(__xludf.DUMMYFUNCTION("""COMPUTED_VALUE"""),42576.6666666666)</f>
        <v>42576.666666666599</v>
      </c>
      <c r="B308" s="3">
        <f ca="1">IFERROR(__xludf.DUMMYFUNCTION("""COMPUTED_VALUE"""),2173.71)</f>
        <v>2173.71</v>
      </c>
      <c r="C308" s="3">
        <f ca="1">IFERROR(__xludf.DUMMYFUNCTION("""COMPUTED_VALUE"""),2173.71)</f>
        <v>2173.71</v>
      </c>
      <c r="D308" s="3">
        <f ca="1">IFERROR(__xludf.DUMMYFUNCTION("""COMPUTED_VALUE"""),2161.95)</f>
        <v>2161.9499999999998</v>
      </c>
      <c r="E308" s="3">
        <f ca="1">IFERROR(__xludf.DUMMYFUNCTION("""COMPUTED_VALUE"""),2168.48)</f>
        <v>2168.48</v>
      </c>
      <c r="F308" s="3">
        <f ca="1">IFERROR(__xludf.DUMMYFUNCTION("""COMPUTED_VALUE"""),0)</f>
        <v>0</v>
      </c>
    </row>
    <row r="309" spans="1:6" ht="13" x14ac:dyDescent="0.15">
      <c r="A309" s="4">
        <f ca="1">IFERROR(__xludf.DUMMYFUNCTION("""COMPUTED_VALUE"""),42577.6666666666)</f>
        <v>42577.666666666599</v>
      </c>
      <c r="B309" s="3">
        <f ca="1">IFERROR(__xludf.DUMMYFUNCTION("""COMPUTED_VALUE"""),2168.97)</f>
        <v>2168.9699999999998</v>
      </c>
      <c r="C309" s="3">
        <f ca="1">IFERROR(__xludf.DUMMYFUNCTION("""COMPUTED_VALUE"""),2173.54)</f>
        <v>2173.54</v>
      </c>
      <c r="D309" s="3">
        <f ca="1">IFERROR(__xludf.DUMMYFUNCTION("""COMPUTED_VALUE"""),2160.18)</f>
        <v>2160.1799999999998</v>
      </c>
      <c r="E309" s="3">
        <f ca="1">IFERROR(__xludf.DUMMYFUNCTION("""COMPUTED_VALUE"""),2169.18)</f>
        <v>2169.1799999999998</v>
      </c>
      <c r="F309" s="3">
        <f ca="1">IFERROR(__xludf.DUMMYFUNCTION("""COMPUTED_VALUE"""),0)</f>
        <v>0</v>
      </c>
    </row>
    <row r="310" spans="1:6" ht="13" x14ac:dyDescent="0.15">
      <c r="A310" s="4">
        <f ca="1">IFERROR(__xludf.DUMMYFUNCTION("""COMPUTED_VALUE"""),42578.6666666666)</f>
        <v>42578.666666666599</v>
      </c>
      <c r="B310" s="3">
        <f ca="1">IFERROR(__xludf.DUMMYFUNCTION("""COMPUTED_VALUE"""),2169.81)</f>
        <v>2169.81</v>
      </c>
      <c r="C310" s="3">
        <f ca="1">IFERROR(__xludf.DUMMYFUNCTION("""COMPUTED_VALUE"""),2174.98)</f>
        <v>2174.98</v>
      </c>
      <c r="D310" s="3">
        <f ca="1">IFERROR(__xludf.DUMMYFUNCTION("""COMPUTED_VALUE"""),2159.07)</f>
        <v>2159.0700000000002</v>
      </c>
      <c r="E310" s="3">
        <f ca="1">IFERROR(__xludf.DUMMYFUNCTION("""COMPUTED_VALUE"""),2166.58)</f>
        <v>2166.58</v>
      </c>
      <c r="F310" s="3">
        <f ca="1">IFERROR(__xludf.DUMMYFUNCTION("""COMPUTED_VALUE"""),0)</f>
        <v>0</v>
      </c>
    </row>
    <row r="311" spans="1:6" ht="13" x14ac:dyDescent="0.15">
      <c r="A311" s="4">
        <f ca="1">IFERROR(__xludf.DUMMYFUNCTION("""COMPUTED_VALUE"""),42579.6666666666)</f>
        <v>42579.666666666599</v>
      </c>
      <c r="B311" s="3">
        <f ca="1">IFERROR(__xludf.DUMMYFUNCTION("""COMPUTED_VALUE"""),2166.05)</f>
        <v>2166.0500000000002</v>
      </c>
      <c r="C311" s="3">
        <f ca="1">IFERROR(__xludf.DUMMYFUNCTION("""COMPUTED_VALUE"""),2172.85)</f>
        <v>2172.85</v>
      </c>
      <c r="D311" s="3">
        <f ca="1">IFERROR(__xludf.DUMMYFUNCTION("""COMPUTED_VALUE"""),2159.74)</f>
        <v>2159.7399999999998</v>
      </c>
      <c r="E311" s="3">
        <f ca="1">IFERROR(__xludf.DUMMYFUNCTION("""COMPUTED_VALUE"""),2170.06)</f>
        <v>2170.06</v>
      </c>
      <c r="F311" s="3">
        <f ca="1">IFERROR(__xludf.DUMMYFUNCTION("""COMPUTED_VALUE"""),0)</f>
        <v>0</v>
      </c>
    </row>
    <row r="312" spans="1:6" ht="13" x14ac:dyDescent="0.15">
      <c r="A312" s="4">
        <f ca="1">IFERROR(__xludf.DUMMYFUNCTION("""COMPUTED_VALUE"""),42580.6666666666)</f>
        <v>42580.666666666599</v>
      </c>
      <c r="B312" s="3">
        <f ca="1">IFERROR(__xludf.DUMMYFUNCTION("""COMPUTED_VALUE"""),2168.83)</f>
        <v>2168.83</v>
      </c>
      <c r="C312" s="3">
        <f ca="1">IFERROR(__xludf.DUMMYFUNCTION("""COMPUTED_VALUE"""),2177.09)</f>
        <v>2177.09</v>
      </c>
      <c r="D312" s="3">
        <f ca="1">IFERROR(__xludf.DUMMYFUNCTION("""COMPUTED_VALUE"""),2163.49)</f>
        <v>2163.4899999999998</v>
      </c>
      <c r="E312" s="3">
        <f ca="1">IFERROR(__xludf.DUMMYFUNCTION("""COMPUTED_VALUE"""),2173.6)</f>
        <v>2173.6</v>
      </c>
      <c r="F312" s="3">
        <f ca="1">IFERROR(__xludf.DUMMYFUNCTION("""COMPUTED_VALUE"""),0)</f>
        <v>0</v>
      </c>
    </row>
    <row r="313" spans="1:6" ht="13" x14ac:dyDescent="0.15">
      <c r="A313" s="4">
        <f ca="1">IFERROR(__xludf.DUMMYFUNCTION("""COMPUTED_VALUE"""),42583.6666666666)</f>
        <v>42583.666666666599</v>
      </c>
      <c r="B313" s="3">
        <f ca="1">IFERROR(__xludf.DUMMYFUNCTION("""COMPUTED_VALUE"""),2173.15)</f>
        <v>2173.15</v>
      </c>
      <c r="C313" s="3">
        <f ca="1">IFERROR(__xludf.DUMMYFUNCTION("""COMPUTED_VALUE"""),2178.29)</f>
        <v>2178.29</v>
      </c>
      <c r="D313" s="3">
        <f ca="1">IFERROR(__xludf.DUMMYFUNCTION("""COMPUTED_VALUE"""),2166.21)</f>
        <v>2166.21</v>
      </c>
      <c r="E313" s="3">
        <f ca="1">IFERROR(__xludf.DUMMYFUNCTION("""COMPUTED_VALUE"""),2170.84)</f>
        <v>2170.84</v>
      </c>
      <c r="F313" s="3">
        <f ca="1">IFERROR(__xludf.DUMMYFUNCTION("""COMPUTED_VALUE"""),0)</f>
        <v>0</v>
      </c>
    </row>
    <row r="314" spans="1:6" ht="13" x14ac:dyDescent="0.15">
      <c r="A314" s="4">
        <f ca="1">IFERROR(__xludf.DUMMYFUNCTION("""COMPUTED_VALUE"""),42584.6666666666)</f>
        <v>42584.666666666599</v>
      </c>
      <c r="B314" s="3">
        <f ca="1">IFERROR(__xludf.DUMMYFUNCTION("""COMPUTED_VALUE"""),2169.94)</f>
        <v>2169.94</v>
      </c>
      <c r="C314" s="3">
        <f ca="1">IFERROR(__xludf.DUMMYFUNCTION("""COMPUTED_VALUE"""),2170.2)</f>
        <v>2170.1999999999998</v>
      </c>
      <c r="D314" s="3">
        <f ca="1">IFERROR(__xludf.DUMMYFUNCTION("""COMPUTED_VALUE"""),2147.58)</f>
        <v>2147.58</v>
      </c>
      <c r="E314" s="3">
        <f ca="1">IFERROR(__xludf.DUMMYFUNCTION("""COMPUTED_VALUE"""),2157.03)</f>
        <v>2157.0300000000002</v>
      </c>
      <c r="F314" s="3">
        <f ca="1">IFERROR(__xludf.DUMMYFUNCTION("""COMPUTED_VALUE"""),0)</f>
        <v>0</v>
      </c>
    </row>
    <row r="315" spans="1:6" ht="13" x14ac:dyDescent="0.15">
      <c r="A315" s="4">
        <f ca="1">IFERROR(__xludf.DUMMYFUNCTION("""COMPUTED_VALUE"""),42585.6666666666)</f>
        <v>42585.666666666599</v>
      </c>
      <c r="B315" s="3">
        <f ca="1">IFERROR(__xludf.DUMMYFUNCTION("""COMPUTED_VALUE"""),2156.81)</f>
        <v>2156.81</v>
      </c>
      <c r="C315" s="3">
        <f ca="1">IFERROR(__xludf.DUMMYFUNCTION("""COMPUTED_VALUE"""),2163.79)</f>
        <v>2163.79</v>
      </c>
      <c r="D315" s="3">
        <f ca="1">IFERROR(__xludf.DUMMYFUNCTION("""COMPUTED_VALUE"""),2152.56)</f>
        <v>2152.56</v>
      </c>
      <c r="E315" s="3">
        <f ca="1">IFERROR(__xludf.DUMMYFUNCTION("""COMPUTED_VALUE"""),2163.79)</f>
        <v>2163.79</v>
      </c>
      <c r="F315" s="3">
        <f ca="1">IFERROR(__xludf.DUMMYFUNCTION("""COMPUTED_VALUE"""),0)</f>
        <v>0</v>
      </c>
    </row>
    <row r="316" spans="1:6" ht="13" x14ac:dyDescent="0.15">
      <c r="A316" s="4">
        <f ca="1">IFERROR(__xludf.DUMMYFUNCTION("""COMPUTED_VALUE"""),42586.6666666666)</f>
        <v>42586.666666666599</v>
      </c>
      <c r="B316" s="3">
        <f ca="1">IFERROR(__xludf.DUMMYFUNCTION("""COMPUTED_VALUE"""),2163.51)</f>
        <v>2163.5100000000002</v>
      </c>
      <c r="C316" s="3">
        <f ca="1">IFERROR(__xludf.DUMMYFUNCTION("""COMPUTED_VALUE"""),2168.19)</f>
        <v>2168.19</v>
      </c>
      <c r="D316" s="3">
        <f ca="1">IFERROR(__xludf.DUMMYFUNCTION("""COMPUTED_VALUE"""),2159.07)</f>
        <v>2159.0700000000002</v>
      </c>
      <c r="E316" s="3">
        <f ca="1">IFERROR(__xludf.DUMMYFUNCTION("""COMPUTED_VALUE"""),2164.25)</f>
        <v>2164.25</v>
      </c>
      <c r="F316" s="3">
        <f ca="1">IFERROR(__xludf.DUMMYFUNCTION("""COMPUTED_VALUE"""),0)</f>
        <v>0</v>
      </c>
    </row>
    <row r="317" spans="1:6" ht="13" x14ac:dyDescent="0.15">
      <c r="A317" s="4">
        <f ca="1">IFERROR(__xludf.DUMMYFUNCTION("""COMPUTED_VALUE"""),42587.6666666666)</f>
        <v>42587.666666666599</v>
      </c>
      <c r="B317" s="3">
        <f ca="1">IFERROR(__xludf.DUMMYFUNCTION("""COMPUTED_VALUE"""),2168.79)</f>
        <v>2168.79</v>
      </c>
      <c r="C317" s="3">
        <f ca="1">IFERROR(__xludf.DUMMYFUNCTION("""COMPUTED_VALUE"""),2182.87)</f>
        <v>2182.87</v>
      </c>
      <c r="D317" s="3">
        <f ca="1">IFERROR(__xludf.DUMMYFUNCTION("""COMPUTED_VALUE"""),2168.79)</f>
        <v>2168.79</v>
      </c>
      <c r="E317" s="3">
        <f ca="1">IFERROR(__xludf.DUMMYFUNCTION("""COMPUTED_VALUE"""),2182.87)</f>
        <v>2182.87</v>
      </c>
      <c r="F317" s="3">
        <f ca="1">IFERROR(__xludf.DUMMYFUNCTION("""COMPUTED_VALUE"""),0)</f>
        <v>0</v>
      </c>
    </row>
    <row r="318" spans="1:6" ht="13" x14ac:dyDescent="0.15">
      <c r="A318" s="4">
        <f ca="1">IFERROR(__xludf.DUMMYFUNCTION("""COMPUTED_VALUE"""),42590.6666666666)</f>
        <v>42590.666666666599</v>
      </c>
      <c r="B318" s="3">
        <f ca="1">IFERROR(__xludf.DUMMYFUNCTION("""COMPUTED_VALUE"""),2183.76)</f>
        <v>2183.7600000000002</v>
      </c>
      <c r="C318" s="3">
        <f ca="1">IFERROR(__xludf.DUMMYFUNCTION("""COMPUTED_VALUE"""),2185.44)</f>
        <v>2185.44</v>
      </c>
      <c r="D318" s="3">
        <f ca="1">IFERROR(__xludf.DUMMYFUNCTION("""COMPUTED_VALUE"""),2177.85)</f>
        <v>2177.85</v>
      </c>
      <c r="E318" s="3">
        <f ca="1">IFERROR(__xludf.DUMMYFUNCTION("""COMPUTED_VALUE"""),2180.89)</f>
        <v>2180.89</v>
      </c>
      <c r="F318" s="3">
        <f ca="1">IFERROR(__xludf.DUMMYFUNCTION("""COMPUTED_VALUE"""),0)</f>
        <v>0</v>
      </c>
    </row>
    <row r="319" spans="1:6" ht="13" x14ac:dyDescent="0.15">
      <c r="A319" s="4">
        <f ca="1">IFERROR(__xludf.DUMMYFUNCTION("""COMPUTED_VALUE"""),42591.6666666666)</f>
        <v>42591.666666666599</v>
      </c>
      <c r="B319" s="3">
        <f ca="1">IFERROR(__xludf.DUMMYFUNCTION("""COMPUTED_VALUE"""),2182.24)</f>
        <v>2182.2399999999998</v>
      </c>
      <c r="C319" s="3">
        <f ca="1">IFERROR(__xludf.DUMMYFUNCTION("""COMPUTED_VALUE"""),2187.66)</f>
        <v>2187.66</v>
      </c>
      <c r="D319" s="3">
        <f ca="1">IFERROR(__xludf.DUMMYFUNCTION("""COMPUTED_VALUE"""),2178.61)</f>
        <v>2178.61</v>
      </c>
      <c r="E319" s="3">
        <f ca="1">IFERROR(__xludf.DUMMYFUNCTION("""COMPUTED_VALUE"""),2181.74)</f>
        <v>2181.7399999999998</v>
      </c>
      <c r="F319" s="3">
        <f ca="1">IFERROR(__xludf.DUMMYFUNCTION("""COMPUTED_VALUE"""),0)</f>
        <v>0</v>
      </c>
    </row>
    <row r="320" spans="1:6" ht="13" x14ac:dyDescent="0.15">
      <c r="A320" s="4">
        <f ca="1">IFERROR(__xludf.DUMMYFUNCTION("""COMPUTED_VALUE"""),42592.6666666666)</f>
        <v>42592.666666666599</v>
      </c>
      <c r="B320" s="3">
        <f ca="1">IFERROR(__xludf.DUMMYFUNCTION("""COMPUTED_VALUE"""),2182.81)</f>
        <v>2182.81</v>
      </c>
      <c r="C320" s="3">
        <f ca="1">IFERROR(__xludf.DUMMYFUNCTION("""COMPUTED_VALUE"""),2183.41)</f>
        <v>2183.41</v>
      </c>
      <c r="D320" s="3">
        <f ca="1">IFERROR(__xludf.DUMMYFUNCTION("""COMPUTED_VALUE"""),2172)</f>
        <v>2172</v>
      </c>
      <c r="E320" s="3">
        <f ca="1">IFERROR(__xludf.DUMMYFUNCTION("""COMPUTED_VALUE"""),2175.49)</f>
        <v>2175.4899999999998</v>
      </c>
      <c r="F320" s="3">
        <f ca="1">IFERROR(__xludf.DUMMYFUNCTION("""COMPUTED_VALUE"""),0)</f>
        <v>0</v>
      </c>
    </row>
    <row r="321" spans="1:6" ht="13" x14ac:dyDescent="0.15">
      <c r="A321" s="4">
        <f ca="1">IFERROR(__xludf.DUMMYFUNCTION("""COMPUTED_VALUE"""),42593.6666666666)</f>
        <v>42593.666666666599</v>
      </c>
      <c r="B321" s="3">
        <f ca="1">IFERROR(__xludf.DUMMYFUNCTION("""COMPUTED_VALUE"""),2177.97)</f>
        <v>2177.9699999999998</v>
      </c>
      <c r="C321" s="3">
        <f ca="1">IFERROR(__xludf.DUMMYFUNCTION("""COMPUTED_VALUE"""),2188.45)</f>
        <v>2188.4499999999998</v>
      </c>
      <c r="D321" s="3">
        <f ca="1">IFERROR(__xludf.DUMMYFUNCTION("""COMPUTED_VALUE"""),2177.97)</f>
        <v>2177.9699999999998</v>
      </c>
      <c r="E321" s="3">
        <f ca="1">IFERROR(__xludf.DUMMYFUNCTION("""COMPUTED_VALUE"""),2185.79)</f>
        <v>2185.79</v>
      </c>
      <c r="F321" s="3">
        <f ca="1">IFERROR(__xludf.DUMMYFUNCTION("""COMPUTED_VALUE"""),0)</f>
        <v>0</v>
      </c>
    </row>
    <row r="322" spans="1:6" ht="13" x14ac:dyDescent="0.15">
      <c r="A322" s="4">
        <f ca="1">IFERROR(__xludf.DUMMYFUNCTION("""COMPUTED_VALUE"""),42594.6666666666)</f>
        <v>42594.666666666599</v>
      </c>
      <c r="B322" s="3">
        <f ca="1">IFERROR(__xludf.DUMMYFUNCTION("""COMPUTED_VALUE"""),2183.74)</f>
        <v>2183.7399999999998</v>
      </c>
      <c r="C322" s="3">
        <f ca="1">IFERROR(__xludf.DUMMYFUNCTION("""COMPUTED_VALUE"""),2186.28)</f>
        <v>2186.2800000000002</v>
      </c>
      <c r="D322" s="3">
        <f ca="1">IFERROR(__xludf.DUMMYFUNCTION("""COMPUTED_VALUE"""),2179.42)</f>
        <v>2179.42</v>
      </c>
      <c r="E322" s="3">
        <f ca="1">IFERROR(__xludf.DUMMYFUNCTION("""COMPUTED_VALUE"""),2184.05)</f>
        <v>2184.0500000000002</v>
      </c>
      <c r="F322" s="3">
        <f ca="1">IFERROR(__xludf.DUMMYFUNCTION("""COMPUTED_VALUE"""),0)</f>
        <v>0</v>
      </c>
    </row>
    <row r="323" spans="1:6" ht="13" x14ac:dyDescent="0.15">
      <c r="A323" s="4">
        <f ca="1">IFERROR(__xludf.DUMMYFUNCTION("""COMPUTED_VALUE"""),42597.6666666666)</f>
        <v>42597.666666666599</v>
      </c>
      <c r="B323" s="3">
        <f ca="1">IFERROR(__xludf.DUMMYFUNCTION("""COMPUTED_VALUE"""),2186.08)</f>
        <v>2186.08</v>
      </c>
      <c r="C323" s="3">
        <f ca="1">IFERROR(__xludf.DUMMYFUNCTION("""COMPUTED_VALUE"""),2193.81)</f>
        <v>2193.81</v>
      </c>
      <c r="D323" s="3">
        <f ca="1">IFERROR(__xludf.DUMMYFUNCTION("""COMPUTED_VALUE"""),2186.08)</f>
        <v>2186.08</v>
      </c>
      <c r="E323" s="3">
        <f ca="1">IFERROR(__xludf.DUMMYFUNCTION("""COMPUTED_VALUE"""),2190.15)</f>
        <v>2190.15</v>
      </c>
      <c r="F323" s="3">
        <f ca="1">IFERROR(__xludf.DUMMYFUNCTION("""COMPUTED_VALUE"""),0)</f>
        <v>0</v>
      </c>
    </row>
    <row r="324" spans="1:6" ht="13" x14ac:dyDescent="0.15">
      <c r="A324" s="4">
        <f ca="1">IFERROR(__xludf.DUMMYFUNCTION("""COMPUTED_VALUE"""),42598.6666666666)</f>
        <v>42598.666666666599</v>
      </c>
      <c r="B324" s="3">
        <f ca="1">IFERROR(__xludf.DUMMYFUNCTION("""COMPUTED_VALUE"""),2186.24)</f>
        <v>2186.2399999999998</v>
      </c>
      <c r="C324" s="3">
        <f ca="1">IFERROR(__xludf.DUMMYFUNCTION("""COMPUTED_VALUE"""),2186.24)</f>
        <v>2186.2399999999998</v>
      </c>
      <c r="D324" s="3">
        <f ca="1">IFERROR(__xludf.DUMMYFUNCTION("""COMPUTED_VALUE"""),2178.14)</f>
        <v>2178.14</v>
      </c>
      <c r="E324" s="3">
        <f ca="1">IFERROR(__xludf.DUMMYFUNCTION("""COMPUTED_VALUE"""),2178.15)</f>
        <v>2178.15</v>
      </c>
      <c r="F324" s="3">
        <f ca="1">IFERROR(__xludf.DUMMYFUNCTION("""COMPUTED_VALUE"""),0)</f>
        <v>0</v>
      </c>
    </row>
    <row r="325" spans="1:6" ht="13" x14ac:dyDescent="0.15">
      <c r="A325" s="4">
        <f ca="1">IFERROR(__xludf.DUMMYFUNCTION("""COMPUTED_VALUE"""),42599.6666666666)</f>
        <v>42599.666666666599</v>
      </c>
      <c r="B325" s="3">
        <f ca="1">IFERROR(__xludf.DUMMYFUNCTION("""COMPUTED_VALUE"""),2177.84)</f>
        <v>2177.84</v>
      </c>
      <c r="C325" s="3">
        <f ca="1">IFERROR(__xludf.DUMMYFUNCTION("""COMPUTED_VALUE"""),2183.08)</f>
        <v>2183.08</v>
      </c>
      <c r="D325" s="3">
        <f ca="1">IFERROR(__xludf.DUMMYFUNCTION("""COMPUTED_VALUE"""),2168.5)</f>
        <v>2168.5</v>
      </c>
      <c r="E325" s="3">
        <f ca="1">IFERROR(__xludf.DUMMYFUNCTION("""COMPUTED_VALUE"""),2182.22)</f>
        <v>2182.2199999999998</v>
      </c>
      <c r="F325" s="3">
        <f ca="1">IFERROR(__xludf.DUMMYFUNCTION("""COMPUTED_VALUE"""),0)</f>
        <v>0</v>
      </c>
    </row>
    <row r="326" spans="1:6" ht="13" x14ac:dyDescent="0.15">
      <c r="A326" s="4">
        <f ca="1">IFERROR(__xludf.DUMMYFUNCTION("""COMPUTED_VALUE"""),42600.6666666666)</f>
        <v>42600.666666666599</v>
      </c>
      <c r="B326" s="3">
        <f ca="1">IFERROR(__xludf.DUMMYFUNCTION("""COMPUTED_VALUE"""),2181.9)</f>
        <v>2181.9</v>
      </c>
      <c r="C326" s="3">
        <f ca="1">IFERROR(__xludf.DUMMYFUNCTION("""COMPUTED_VALUE"""),2187.03)</f>
        <v>2187.0300000000002</v>
      </c>
      <c r="D326" s="3">
        <f ca="1">IFERROR(__xludf.DUMMYFUNCTION("""COMPUTED_VALUE"""),2180.46)</f>
        <v>2180.46</v>
      </c>
      <c r="E326" s="3">
        <f ca="1">IFERROR(__xludf.DUMMYFUNCTION("""COMPUTED_VALUE"""),2187.02)</f>
        <v>2187.02</v>
      </c>
      <c r="F326" s="3">
        <f ca="1">IFERROR(__xludf.DUMMYFUNCTION("""COMPUTED_VALUE"""),0)</f>
        <v>0</v>
      </c>
    </row>
    <row r="327" spans="1:6" ht="13" x14ac:dyDescent="0.15">
      <c r="A327" s="4">
        <f ca="1">IFERROR(__xludf.DUMMYFUNCTION("""COMPUTED_VALUE"""),42601.6666666666)</f>
        <v>42601.666666666599</v>
      </c>
      <c r="B327" s="3">
        <f ca="1">IFERROR(__xludf.DUMMYFUNCTION("""COMPUTED_VALUE"""),2184.24)</f>
        <v>2184.2399999999998</v>
      </c>
      <c r="C327" s="3">
        <f ca="1">IFERROR(__xludf.DUMMYFUNCTION("""COMPUTED_VALUE"""),2185)</f>
        <v>2185</v>
      </c>
      <c r="D327" s="3">
        <f ca="1">IFERROR(__xludf.DUMMYFUNCTION("""COMPUTED_VALUE"""),2175.13)</f>
        <v>2175.13</v>
      </c>
      <c r="E327" s="3">
        <f ca="1">IFERROR(__xludf.DUMMYFUNCTION("""COMPUTED_VALUE"""),2183.87)</f>
        <v>2183.87</v>
      </c>
      <c r="F327" s="3">
        <f ca="1">IFERROR(__xludf.DUMMYFUNCTION("""COMPUTED_VALUE"""),0)</f>
        <v>0</v>
      </c>
    </row>
    <row r="328" spans="1:6" ht="13" x14ac:dyDescent="0.15">
      <c r="A328" s="4">
        <f ca="1">IFERROR(__xludf.DUMMYFUNCTION("""COMPUTED_VALUE"""),42604.6666666666)</f>
        <v>42604.666666666599</v>
      </c>
      <c r="B328" s="3">
        <f ca="1">IFERROR(__xludf.DUMMYFUNCTION("""COMPUTED_VALUE"""),2181.58)</f>
        <v>2181.58</v>
      </c>
      <c r="C328" s="3">
        <f ca="1">IFERROR(__xludf.DUMMYFUNCTION("""COMPUTED_VALUE"""),2185.15)</f>
        <v>2185.15</v>
      </c>
      <c r="D328" s="3">
        <f ca="1">IFERROR(__xludf.DUMMYFUNCTION("""COMPUTED_VALUE"""),2175.96)</f>
        <v>2175.96</v>
      </c>
      <c r="E328" s="3">
        <f ca="1">IFERROR(__xludf.DUMMYFUNCTION("""COMPUTED_VALUE"""),2182.64)</f>
        <v>2182.64</v>
      </c>
      <c r="F328" s="3">
        <f ca="1">IFERROR(__xludf.DUMMYFUNCTION("""COMPUTED_VALUE"""),0)</f>
        <v>0</v>
      </c>
    </row>
    <row r="329" spans="1:6" ht="13" x14ac:dyDescent="0.15">
      <c r="A329" s="4">
        <f ca="1">IFERROR(__xludf.DUMMYFUNCTION("""COMPUTED_VALUE"""),42605.6666666666)</f>
        <v>42605.666666666599</v>
      </c>
      <c r="B329" s="3">
        <f ca="1">IFERROR(__xludf.DUMMYFUNCTION("""COMPUTED_VALUE"""),2187.81)</f>
        <v>2187.81</v>
      </c>
      <c r="C329" s="3">
        <f ca="1">IFERROR(__xludf.DUMMYFUNCTION("""COMPUTED_VALUE"""),2193.42)</f>
        <v>2193.42</v>
      </c>
      <c r="D329" s="3">
        <f ca="1">IFERROR(__xludf.DUMMYFUNCTION("""COMPUTED_VALUE"""),2186.8)</f>
        <v>2186.8000000000002</v>
      </c>
      <c r="E329" s="3">
        <f ca="1">IFERROR(__xludf.DUMMYFUNCTION("""COMPUTED_VALUE"""),2186.9)</f>
        <v>2186.9</v>
      </c>
      <c r="F329" s="3">
        <f ca="1">IFERROR(__xludf.DUMMYFUNCTION("""COMPUTED_VALUE"""),0)</f>
        <v>0</v>
      </c>
    </row>
    <row r="330" spans="1:6" ht="13" x14ac:dyDescent="0.15">
      <c r="A330" s="4">
        <f ca="1">IFERROR(__xludf.DUMMYFUNCTION("""COMPUTED_VALUE"""),42606.6666666666)</f>
        <v>42606.666666666599</v>
      </c>
      <c r="B330" s="3">
        <f ca="1">IFERROR(__xludf.DUMMYFUNCTION("""COMPUTED_VALUE"""),2185.09)</f>
        <v>2185.09</v>
      </c>
      <c r="C330" s="3">
        <f ca="1">IFERROR(__xludf.DUMMYFUNCTION("""COMPUTED_VALUE"""),2186.66)</f>
        <v>2186.66</v>
      </c>
      <c r="D330" s="3">
        <f ca="1">IFERROR(__xludf.DUMMYFUNCTION("""COMPUTED_VALUE"""),2171.25)</f>
        <v>2171.25</v>
      </c>
      <c r="E330" s="3">
        <f ca="1">IFERROR(__xludf.DUMMYFUNCTION("""COMPUTED_VALUE"""),2175.44)</f>
        <v>2175.44</v>
      </c>
      <c r="F330" s="3">
        <f ca="1">IFERROR(__xludf.DUMMYFUNCTION("""COMPUTED_VALUE"""),0)</f>
        <v>0</v>
      </c>
    </row>
    <row r="331" spans="1:6" ht="13" x14ac:dyDescent="0.15">
      <c r="A331" s="4">
        <f ca="1">IFERROR(__xludf.DUMMYFUNCTION("""COMPUTED_VALUE"""),42607.6666666666)</f>
        <v>42607.666666666599</v>
      </c>
      <c r="B331" s="3">
        <f ca="1">IFERROR(__xludf.DUMMYFUNCTION("""COMPUTED_VALUE"""),2173.29)</f>
        <v>2173.29</v>
      </c>
      <c r="C331" s="3">
        <f ca="1">IFERROR(__xludf.DUMMYFUNCTION("""COMPUTED_VALUE"""),2179)</f>
        <v>2179</v>
      </c>
      <c r="D331" s="3">
        <f ca="1">IFERROR(__xludf.DUMMYFUNCTION("""COMPUTED_VALUE"""),2169.74)</f>
        <v>2169.7399999999998</v>
      </c>
      <c r="E331" s="3">
        <f ca="1">IFERROR(__xludf.DUMMYFUNCTION("""COMPUTED_VALUE"""),2172.47)</f>
        <v>2172.4699999999998</v>
      </c>
      <c r="F331" s="3">
        <f ca="1">IFERROR(__xludf.DUMMYFUNCTION("""COMPUTED_VALUE"""),0)</f>
        <v>0</v>
      </c>
    </row>
    <row r="332" spans="1:6" ht="13" x14ac:dyDescent="0.15">
      <c r="A332" s="4">
        <f ca="1">IFERROR(__xludf.DUMMYFUNCTION("""COMPUTED_VALUE"""),42608.6666666666)</f>
        <v>42608.666666666599</v>
      </c>
      <c r="B332" s="3">
        <f ca="1">IFERROR(__xludf.DUMMYFUNCTION("""COMPUTED_VALUE"""),2175.1)</f>
        <v>2175.1</v>
      </c>
      <c r="C332" s="3">
        <f ca="1">IFERROR(__xludf.DUMMYFUNCTION("""COMPUTED_VALUE"""),2187.85)</f>
        <v>2187.85</v>
      </c>
      <c r="D332" s="3">
        <f ca="1">IFERROR(__xludf.DUMMYFUNCTION("""COMPUTED_VALUE"""),2160.39)</f>
        <v>2160.39</v>
      </c>
      <c r="E332" s="3">
        <f ca="1">IFERROR(__xludf.DUMMYFUNCTION("""COMPUTED_VALUE"""),2169.04)</f>
        <v>2169.04</v>
      </c>
      <c r="F332" s="3">
        <f ca="1">IFERROR(__xludf.DUMMYFUNCTION("""COMPUTED_VALUE"""),0)</f>
        <v>0</v>
      </c>
    </row>
    <row r="333" spans="1:6" ht="13" x14ac:dyDescent="0.15">
      <c r="A333" s="4">
        <f ca="1">IFERROR(__xludf.DUMMYFUNCTION("""COMPUTED_VALUE"""),42611.6666666666)</f>
        <v>42611.666666666599</v>
      </c>
      <c r="B333" s="3">
        <f ca="1">IFERROR(__xludf.DUMMYFUNCTION("""COMPUTED_VALUE"""),2170.19)</f>
        <v>2170.19</v>
      </c>
      <c r="C333" s="3">
        <f ca="1">IFERROR(__xludf.DUMMYFUNCTION("""COMPUTED_VALUE"""),2183.48)</f>
        <v>2183.48</v>
      </c>
      <c r="D333" s="3">
        <f ca="1">IFERROR(__xludf.DUMMYFUNCTION("""COMPUTED_VALUE"""),2170.19)</f>
        <v>2170.19</v>
      </c>
      <c r="E333" s="3">
        <f ca="1">IFERROR(__xludf.DUMMYFUNCTION("""COMPUTED_VALUE"""),2180.38)</f>
        <v>2180.38</v>
      </c>
      <c r="F333" s="3">
        <f ca="1">IFERROR(__xludf.DUMMYFUNCTION("""COMPUTED_VALUE"""),0)</f>
        <v>0</v>
      </c>
    </row>
    <row r="334" spans="1:6" ht="13" x14ac:dyDescent="0.15">
      <c r="A334" s="4">
        <f ca="1">IFERROR(__xludf.DUMMYFUNCTION("""COMPUTED_VALUE"""),42612.6666666666)</f>
        <v>42612.666666666599</v>
      </c>
      <c r="B334" s="3">
        <f ca="1">IFERROR(__xludf.DUMMYFUNCTION("""COMPUTED_VALUE"""),2179.45)</f>
        <v>2179.4499999999998</v>
      </c>
      <c r="C334" s="3">
        <f ca="1">IFERROR(__xludf.DUMMYFUNCTION("""COMPUTED_VALUE"""),2182.27)</f>
        <v>2182.27</v>
      </c>
      <c r="D334" s="3">
        <f ca="1">IFERROR(__xludf.DUMMYFUNCTION("""COMPUTED_VALUE"""),2170.41)</f>
        <v>2170.41</v>
      </c>
      <c r="E334" s="3">
        <f ca="1">IFERROR(__xludf.DUMMYFUNCTION("""COMPUTED_VALUE"""),2176.12)</f>
        <v>2176.12</v>
      </c>
      <c r="F334" s="3">
        <f ca="1">IFERROR(__xludf.DUMMYFUNCTION("""COMPUTED_VALUE"""),0)</f>
        <v>0</v>
      </c>
    </row>
    <row r="335" spans="1:6" ht="13" x14ac:dyDescent="0.15">
      <c r="A335" s="4">
        <f ca="1">IFERROR(__xludf.DUMMYFUNCTION("""COMPUTED_VALUE"""),42613.6666666666)</f>
        <v>42613.666666666599</v>
      </c>
      <c r="B335" s="3">
        <f ca="1">IFERROR(__xludf.DUMMYFUNCTION("""COMPUTED_VALUE"""),2173.56)</f>
        <v>2173.56</v>
      </c>
      <c r="C335" s="3">
        <f ca="1">IFERROR(__xludf.DUMMYFUNCTION("""COMPUTED_VALUE"""),2173.79)</f>
        <v>2173.79</v>
      </c>
      <c r="D335" s="3">
        <f ca="1">IFERROR(__xludf.DUMMYFUNCTION("""COMPUTED_VALUE"""),2161.35)</f>
        <v>2161.35</v>
      </c>
      <c r="E335" s="3">
        <f ca="1">IFERROR(__xludf.DUMMYFUNCTION("""COMPUTED_VALUE"""),2170.95)</f>
        <v>2170.9499999999998</v>
      </c>
      <c r="F335" s="3">
        <f ca="1">IFERROR(__xludf.DUMMYFUNCTION("""COMPUTED_VALUE"""),0)</f>
        <v>0</v>
      </c>
    </row>
    <row r="336" spans="1:6" ht="13" x14ac:dyDescent="0.15">
      <c r="A336" s="4">
        <f ca="1">IFERROR(__xludf.DUMMYFUNCTION("""COMPUTED_VALUE"""),42614.6666666666)</f>
        <v>42614.666666666599</v>
      </c>
      <c r="B336" s="3">
        <f ca="1">IFERROR(__xludf.DUMMYFUNCTION("""COMPUTED_VALUE"""),2171.33)</f>
        <v>2171.33</v>
      </c>
      <c r="C336" s="3">
        <f ca="1">IFERROR(__xludf.DUMMYFUNCTION("""COMPUTED_VALUE"""),2173.56)</f>
        <v>2173.56</v>
      </c>
      <c r="D336" s="3">
        <f ca="1">IFERROR(__xludf.DUMMYFUNCTION("""COMPUTED_VALUE"""),2157.09)</f>
        <v>2157.09</v>
      </c>
      <c r="E336" s="3">
        <f ca="1">IFERROR(__xludf.DUMMYFUNCTION("""COMPUTED_VALUE"""),2170.86)</f>
        <v>2170.86</v>
      </c>
      <c r="F336" s="3">
        <f ca="1">IFERROR(__xludf.DUMMYFUNCTION("""COMPUTED_VALUE"""),0)</f>
        <v>0</v>
      </c>
    </row>
    <row r="337" spans="1:6" ht="13" x14ac:dyDescent="0.15">
      <c r="A337" s="4">
        <f ca="1">IFERROR(__xludf.DUMMYFUNCTION("""COMPUTED_VALUE"""),42615.6666666666)</f>
        <v>42615.666666666599</v>
      </c>
      <c r="B337" s="3">
        <f ca="1">IFERROR(__xludf.DUMMYFUNCTION("""COMPUTED_VALUE"""),2177.49)</f>
        <v>2177.4899999999998</v>
      </c>
      <c r="C337" s="3">
        <f ca="1">IFERROR(__xludf.DUMMYFUNCTION("""COMPUTED_VALUE"""),2184.87)</f>
        <v>2184.87</v>
      </c>
      <c r="D337" s="3">
        <f ca="1">IFERROR(__xludf.DUMMYFUNCTION("""COMPUTED_VALUE"""),2173.59)</f>
        <v>2173.59</v>
      </c>
      <c r="E337" s="3">
        <f ca="1">IFERROR(__xludf.DUMMYFUNCTION("""COMPUTED_VALUE"""),2179.98)</f>
        <v>2179.98</v>
      </c>
      <c r="F337" s="3">
        <f ca="1">IFERROR(__xludf.DUMMYFUNCTION("""COMPUTED_VALUE"""),0)</f>
        <v>0</v>
      </c>
    </row>
    <row r="338" spans="1:6" ht="13" x14ac:dyDescent="0.15">
      <c r="A338" s="4">
        <f ca="1">IFERROR(__xludf.DUMMYFUNCTION("""COMPUTED_VALUE"""),42619.6666666666)</f>
        <v>42619.666666666599</v>
      </c>
      <c r="B338" s="3">
        <f ca="1">IFERROR(__xludf.DUMMYFUNCTION("""COMPUTED_VALUE"""),2181.61)</f>
        <v>2181.61</v>
      </c>
      <c r="C338" s="3">
        <f ca="1">IFERROR(__xludf.DUMMYFUNCTION("""COMPUTED_VALUE"""),2186.57)</f>
        <v>2186.5700000000002</v>
      </c>
      <c r="D338" s="3">
        <f ca="1">IFERROR(__xludf.DUMMYFUNCTION("""COMPUTED_VALUE"""),2175.1)</f>
        <v>2175.1</v>
      </c>
      <c r="E338" s="3">
        <f ca="1">IFERROR(__xludf.DUMMYFUNCTION("""COMPUTED_VALUE"""),2186.48)</f>
        <v>2186.48</v>
      </c>
      <c r="F338" s="3">
        <f ca="1">IFERROR(__xludf.DUMMYFUNCTION("""COMPUTED_VALUE"""),0)</f>
        <v>0</v>
      </c>
    </row>
    <row r="339" spans="1:6" ht="13" x14ac:dyDescent="0.15">
      <c r="A339" s="4">
        <f ca="1">IFERROR(__xludf.DUMMYFUNCTION("""COMPUTED_VALUE"""),42620.6666666666)</f>
        <v>42620.666666666599</v>
      </c>
      <c r="B339" s="3">
        <f ca="1">IFERROR(__xludf.DUMMYFUNCTION("""COMPUTED_VALUE"""),2185.17)</f>
        <v>2185.17</v>
      </c>
      <c r="C339" s="3">
        <f ca="1">IFERROR(__xludf.DUMMYFUNCTION("""COMPUTED_VALUE"""),2187.87)</f>
        <v>2187.87</v>
      </c>
      <c r="D339" s="3">
        <f ca="1">IFERROR(__xludf.DUMMYFUNCTION("""COMPUTED_VALUE"""),2179.07)</f>
        <v>2179.0700000000002</v>
      </c>
      <c r="E339" s="3">
        <f ca="1">IFERROR(__xludf.DUMMYFUNCTION("""COMPUTED_VALUE"""),2186.16)</f>
        <v>2186.16</v>
      </c>
      <c r="F339" s="3">
        <f ca="1">IFERROR(__xludf.DUMMYFUNCTION("""COMPUTED_VALUE"""),0)</f>
        <v>0</v>
      </c>
    </row>
    <row r="340" spans="1:6" ht="13" x14ac:dyDescent="0.15">
      <c r="A340" s="4">
        <f ca="1">IFERROR(__xludf.DUMMYFUNCTION("""COMPUTED_VALUE"""),42621.6666666666)</f>
        <v>42621.666666666599</v>
      </c>
      <c r="B340" s="3">
        <f ca="1">IFERROR(__xludf.DUMMYFUNCTION("""COMPUTED_VALUE"""),2182.76)</f>
        <v>2182.7600000000002</v>
      </c>
      <c r="C340" s="3">
        <f ca="1">IFERROR(__xludf.DUMMYFUNCTION("""COMPUTED_VALUE"""),2184.94)</f>
        <v>2184.94</v>
      </c>
      <c r="D340" s="3">
        <f ca="1">IFERROR(__xludf.DUMMYFUNCTION("""COMPUTED_VALUE"""),2177.49)</f>
        <v>2177.4899999999998</v>
      </c>
      <c r="E340" s="3">
        <f ca="1">IFERROR(__xludf.DUMMYFUNCTION("""COMPUTED_VALUE"""),2181.3)</f>
        <v>2181.3000000000002</v>
      </c>
      <c r="F340" s="3">
        <f ca="1">IFERROR(__xludf.DUMMYFUNCTION("""COMPUTED_VALUE"""),0)</f>
        <v>0</v>
      </c>
    </row>
    <row r="341" spans="1:6" ht="13" x14ac:dyDescent="0.15">
      <c r="A341" s="4">
        <f ca="1">IFERROR(__xludf.DUMMYFUNCTION("""COMPUTED_VALUE"""),42622.6666666666)</f>
        <v>42622.666666666599</v>
      </c>
      <c r="B341" s="3">
        <f ca="1">IFERROR(__xludf.DUMMYFUNCTION("""COMPUTED_VALUE"""),2169.08)</f>
        <v>2169.08</v>
      </c>
      <c r="C341" s="3">
        <f ca="1">IFERROR(__xludf.DUMMYFUNCTION("""COMPUTED_VALUE"""),2169.08)</f>
        <v>2169.08</v>
      </c>
      <c r="D341" s="3">
        <f ca="1">IFERROR(__xludf.DUMMYFUNCTION("""COMPUTED_VALUE"""),2127.81)</f>
        <v>2127.81</v>
      </c>
      <c r="E341" s="3">
        <f ca="1">IFERROR(__xludf.DUMMYFUNCTION("""COMPUTED_VALUE"""),2127.81)</f>
        <v>2127.81</v>
      </c>
      <c r="F341" s="3">
        <f ca="1">IFERROR(__xludf.DUMMYFUNCTION("""COMPUTED_VALUE"""),0)</f>
        <v>0</v>
      </c>
    </row>
    <row r="342" spans="1:6" ht="13" x14ac:dyDescent="0.15">
      <c r="A342" s="4">
        <f ca="1">IFERROR(__xludf.DUMMYFUNCTION("""COMPUTED_VALUE"""),42625.6666666666)</f>
        <v>42625.666666666599</v>
      </c>
      <c r="B342" s="3">
        <f ca="1">IFERROR(__xludf.DUMMYFUNCTION("""COMPUTED_VALUE"""),2120.86)</f>
        <v>2120.86</v>
      </c>
      <c r="C342" s="3">
        <f ca="1">IFERROR(__xludf.DUMMYFUNCTION("""COMPUTED_VALUE"""),2163.3)</f>
        <v>2163.3000000000002</v>
      </c>
      <c r="D342" s="3">
        <f ca="1">IFERROR(__xludf.DUMMYFUNCTION("""COMPUTED_VALUE"""),2119.12)</f>
        <v>2119.12</v>
      </c>
      <c r="E342" s="3">
        <f ca="1">IFERROR(__xludf.DUMMYFUNCTION("""COMPUTED_VALUE"""),2159.04)</f>
        <v>2159.04</v>
      </c>
      <c r="F342" s="3">
        <f ca="1">IFERROR(__xludf.DUMMYFUNCTION("""COMPUTED_VALUE"""),0)</f>
        <v>0</v>
      </c>
    </row>
    <row r="343" spans="1:6" ht="13" x14ac:dyDescent="0.15">
      <c r="A343" s="4">
        <f ca="1">IFERROR(__xludf.DUMMYFUNCTION("""COMPUTED_VALUE"""),42626.6666666666)</f>
        <v>42626.666666666599</v>
      </c>
      <c r="B343" s="3">
        <f ca="1">IFERROR(__xludf.DUMMYFUNCTION("""COMPUTED_VALUE"""),2150.47)</f>
        <v>2150.4699999999998</v>
      </c>
      <c r="C343" s="3">
        <f ca="1">IFERROR(__xludf.DUMMYFUNCTION("""COMPUTED_VALUE"""),2150.47)</f>
        <v>2150.4699999999998</v>
      </c>
      <c r="D343" s="3">
        <f ca="1">IFERROR(__xludf.DUMMYFUNCTION("""COMPUTED_VALUE"""),2120.27)</f>
        <v>2120.27</v>
      </c>
      <c r="E343" s="3">
        <f ca="1">IFERROR(__xludf.DUMMYFUNCTION("""COMPUTED_VALUE"""),2127.02)</f>
        <v>2127.02</v>
      </c>
      <c r="F343" s="3">
        <f ca="1">IFERROR(__xludf.DUMMYFUNCTION("""COMPUTED_VALUE"""),0)</f>
        <v>0</v>
      </c>
    </row>
    <row r="344" spans="1:6" ht="13" x14ac:dyDescent="0.15">
      <c r="A344" s="4">
        <f ca="1">IFERROR(__xludf.DUMMYFUNCTION("""COMPUTED_VALUE"""),42627.6666666666)</f>
        <v>42627.666666666599</v>
      </c>
      <c r="B344" s="3">
        <f ca="1">IFERROR(__xludf.DUMMYFUNCTION("""COMPUTED_VALUE"""),2127.86)</f>
        <v>2127.86</v>
      </c>
      <c r="C344" s="3">
        <f ca="1">IFERROR(__xludf.DUMMYFUNCTION("""COMPUTED_VALUE"""),2141.33)</f>
        <v>2141.33</v>
      </c>
      <c r="D344" s="3">
        <f ca="1">IFERROR(__xludf.DUMMYFUNCTION("""COMPUTED_VALUE"""),2119.9)</f>
        <v>2119.9</v>
      </c>
      <c r="E344" s="3">
        <f ca="1">IFERROR(__xludf.DUMMYFUNCTION("""COMPUTED_VALUE"""),2125.77)</f>
        <v>2125.77</v>
      </c>
      <c r="F344" s="3">
        <f ca="1">IFERROR(__xludf.DUMMYFUNCTION("""COMPUTED_VALUE"""),0)</f>
        <v>0</v>
      </c>
    </row>
    <row r="345" spans="1:6" ht="13" x14ac:dyDescent="0.15">
      <c r="A345" s="4">
        <f ca="1">IFERROR(__xludf.DUMMYFUNCTION("""COMPUTED_VALUE"""),42628.6666666666)</f>
        <v>42628.666666666599</v>
      </c>
      <c r="B345" s="3">
        <f ca="1">IFERROR(__xludf.DUMMYFUNCTION("""COMPUTED_VALUE"""),2125.36)</f>
        <v>2125.36</v>
      </c>
      <c r="C345" s="3">
        <f ca="1">IFERROR(__xludf.DUMMYFUNCTION("""COMPUTED_VALUE"""),2151.31)</f>
        <v>2151.31</v>
      </c>
      <c r="D345" s="3">
        <f ca="1">IFERROR(__xludf.DUMMYFUNCTION("""COMPUTED_VALUE"""),2122.36)</f>
        <v>2122.36</v>
      </c>
      <c r="E345" s="3">
        <f ca="1">IFERROR(__xludf.DUMMYFUNCTION("""COMPUTED_VALUE"""),2147.26)</f>
        <v>2147.2600000000002</v>
      </c>
      <c r="F345" s="3">
        <f ca="1">IFERROR(__xludf.DUMMYFUNCTION("""COMPUTED_VALUE"""),0)</f>
        <v>0</v>
      </c>
    </row>
    <row r="346" spans="1:6" ht="13" x14ac:dyDescent="0.15">
      <c r="A346" s="4">
        <f ca="1">IFERROR(__xludf.DUMMYFUNCTION("""COMPUTED_VALUE"""),42629.6666666666)</f>
        <v>42629.666666666599</v>
      </c>
      <c r="B346" s="3">
        <f ca="1">IFERROR(__xludf.DUMMYFUNCTION("""COMPUTED_VALUE"""),2146.48)</f>
        <v>2146.48</v>
      </c>
      <c r="C346" s="3">
        <f ca="1">IFERROR(__xludf.DUMMYFUNCTION("""COMPUTED_VALUE"""),2146.48)</f>
        <v>2146.48</v>
      </c>
      <c r="D346" s="3">
        <f ca="1">IFERROR(__xludf.DUMMYFUNCTION("""COMPUTED_VALUE"""),2131.2)</f>
        <v>2131.1999999999998</v>
      </c>
      <c r="E346" s="3">
        <f ca="1">IFERROR(__xludf.DUMMYFUNCTION("""COMPUTED_VALUE"""),2139.16)</f>
        <v>2139.16</v>
      </c>
      <c r="F346" s="3">
        <f ca="1">IFERROR(__xludf.DUMMYFUNCTION("""COMPUTED_VALUE"""),0)</f>
        <v>0</v>
      </c>
    </row>
    <row r="347" spans="1:6" ht="13" x14ac:dyDescent="0.15">
      <c r="A347" s="4">
        <f ca="1">IFERROR(__xludf.DUMMYFUNCTION("""COMPUTED_VALUE"""),42632.6666666666)</f>
        <v>42632.666666666599</v>
      </c>
      <c r="B347" s="3">
        <f ca="1">IFERROR(__xludf.DUMMYFUNCTION("""COMPUTED_VALUE"""),2143.99)</f>
        <v>2143.9899999999998</v>
      </c>
      <c r="C347" s="3">
        <f ca="1">IFERROR(__xludf.DUMMYFUNCTION("""COMPUTED_VALUE"""),2153.61)</f>
        <v>2153.61</v>
      </c>
      <c r="D347" s="3">
        <f ca="1">IFERROR(__xludf.DUMMYFUNCTION("""COMPUTED_VALUE"""),2135.91)</f>
        <v>2135.91</v>
      </c>
      <c r="E347" s="3">
        <f ca="1">IFERROR(__xludf.DUMMYFUNCTION("""COMPUTED_VALUE"""),2139.12)</f>
        <v>2139.12</v>
      </c>
      <c r="F347" s="3">
        <f ca="1">IFERROR(__xludf.DUMMYFUNCTION("""COMPUTED_VALUE"""),0)</f>
        <v>0</v>
      </c>
    </row>
    <row r="348" spans="1:6" ht="13" x14ac:dyDescent="0.15">
      <c r="A348" s="4">
        <f ca="1">IFERROR(__xludf.DUMMYFUNCTION("""COMPUTED_VALUE"""),42633.6666666666)</f>
        <v>42633.666666666599</v>
      </c>
      <c r="B348" s="3">
        <f ca="1">IFERROR(__xludf.DUMMYFUNCTION("""COMPUTED_VALUE"""),2145.94)</f>
        <v>2145.94</v>
      </c>
      <c r="C348" s="3">
        <f ca="1">IFERROR(__xludf.DUMMYFUNCTION("""COMPUTED_VALUE"""),2150.8)</f>
        <v>2150.8000000000002</v>
      </c>
      <c r="D348" s="3">
        <f ca="1">IFERROR(__xludf.DUMMYFUNCTION("""COMPUTED_VALUE"""),2139.17)</f>
        <v>2139.17</v>
      </c>
      <c r="E348" s="3">
        <f ca="1">IFERROR(__xludf.DUMMYFUNCTION("""COMPUTED_VALUE"""),2139.76)</f>
        <v>2139.7600000000002</v>
      </c>
      <c r="F348" s="3">
        <f ca="1">IFERROR(__xludf.DUMMYFUNCTION("""COMPUTED_VALUE"""),0)</f>
        <v>0</v>
      </c>
    </row>
    <row r="349" spans="1:6" ht="13" x14ac:dyDescent="0.15">
      <c r="A349" s="4">
        <f ca="1">IFERROR(__xludf.DUMMYFUNCTION("""COMPUTED_VALUE"""),42634.6666666666)</f>
        <v>42634.666666666599</v>
      </c>
      <c r="B349" s="3">
        <f ca="1">IFERROR(__xludf.DUMMYFUNCTION("""COMPUTED_VALUE"""),2144.58)</f>
        <v>2144.58</v>
      </c>
      <c r="C349" s="3">
        <f ca="1">IFERROR(__xludf.DUMMYFUNCTION("""COMPUTED_VALUE"""),2165.11)</f>
        <v>2165.11</v>
      </c>
      <c r="D349" s="3">
        <f ca="1">IFERROR(__xludf.DUMMYFUNCTION("""COMPUTED_VALUE"""),2139.57)</f>
        <v>2139.5700000000002</v>
      </c>
      <c r="E349" s="3">
        <f ca="1">IFERROR(__xludf.DUMMYFUNCTION("""COMPUTED_VALUE"""),2163.12)</f>
        <v>2163.12</v>
      </c>
      <c r="F349" s="3">
        <f ca="1">IFERROR(__xludf.DUMMYFUNCTION("""COMPUTED_VALUE"""),0)</f>
        <v>0</v>
      </c>
    </row>
    <row r="350" spans="1:6" ht="13" x14ac:dyDescent="0.15">
      <c r="A350" s="4">
        <f ca="1">IFERROR(__xludf.DUMMYFUNCTION("""COMPUTED_VALUE"""),42635.6666666666)</f>
        <v>42635.666666666599</v>
      </c>
      <c r="B350" s="3">
        <f ca="1">IFERROR(__xludf.DUMMYFUNCTION("""COMPUTED_VALUE"""),2170.94)</f>
        <v>2170.94</v>
      </c>
      <c r="C350" s="3">
        <f ca="1">IFERROR(__xludf.DUMMYFUNCTION("""COMPUTED_VALUE"""),2179.99)</f>
        <v>2179.9899999999998</v>
      </c>
      <c r="D350" s="3">
        <f ca="1">IFERROR(__xludf.DUMMYFUNCTION("""COMPUTED_VALUE"""),2170.94)</f>
        <v>2170.94</v>
      </c>
      <c r="E350" s="3">
        <f ca="1">IFERROR(__xludf.DUMMYFUNCTION("""COMPUTED_VALUE"""),2177.18)</f>
        <v>2177.1799999999998</v>
      </c>
      <c r="F350" s="3">
        <f ca="1">IFERROR(__xludf.DUMMYFUNCTION("""COMPUTED_VALUE"""),0)</f>
        <v>0</v>
      </c>
    </row>
    <row r="351" spans="1:6" ht="13" x14ac:dyDescent="0.15">
      <c r="A351" s="4">
        <f ca="1">IFERROR(__xludf.DUMMYFUNCTION("""COMPUTED_VALUE"""),42636.6666666666)</f>
        <v>42636.666666666599</v>
      </c>
      <c r="B351" s="3">
        <f ca="1">IFERROR(__xludf.DUMMYFUNCTION("""COMPUTED_VALUE"""),2173.29)</f>
        <v>2173.29</v>
      </c>
      <c r="C351" s="3">
        <f ca="1">IFERROR(__xludf.DUMMYFUNCTION("""COMPUTED_VALUE"""),2173.75)</f>
        <v>2173.75</v>
      </c>
      <c r="D351" s="3">
        <f ca="1">IFERROR(__xludf.DUMMYFUNCTION("""COMPUTED_VALUE"""),2163.97)</f>
        <v>2163.9699999999998</v>
      </c>
      <c r="E351" s="3">
        <f ca="1">IFERROR(__xludf.DUMMYFUNCTION("""COMPUTED_VALUE"""),2164.69)</f>
        <v>2164.69</v>
      </c>
      <c r="F351" s="3">
        <f ca="1">IFERROR(__xludf.DUMMYFUNCTION("""COMPUTED_VALUE"""),0)</f>
        <v>0</v>
      </c>
    </row>
    <row r="352" spans="1:6" ht="13" x14ac:dyDescent="0.15">
      <c r="A352" s="4">
        <f ca="1">IFERROR(__xludf.DUMMYFUNCTION("""COMPUTED_VALUE"""),42639.6666666666)</f>
        <v>42639.666666666599</v>
      </c>
      <c r="B352" s="3">
        <f ca="1">IFERROR(__xludf.DUMMYFUNCTION("""COMPUTED_VALUE"""),2158.54)</f>
        <v>2158.54</v>
      </c>
      <c r="C352" s="3">
        <f ca="1">IFERROR(__xludf.DUMMYFUNCTION("""COMPUTED_VALUE"""),2158.54)</f>
        <v>2158.54</v>
      </c>
      <c r="D352" s="3">
        <f ca="1">IFERROR(__xludf.DUMMYFUNCTION("""COMPUTED_VALUE"""),2145.04)</f>
        <v>2145.04</v>
      </c>
      <c r="E352" s="3">
        <f ca="1">IFERROR(__xludf.DUMMYFUNCTION("""COMPUTED_VALUE"""),2146.1)</f>
        <v>2146.1</v>
      </c>
      <c r="F352" s="3">
        <f ca="1">IFERROR(__xludf.DUMMYFUNCTION("""COMPUTED_VALUE"""),0)</f>
        <v>0</v>
      </c>
    </row>
    <row r="353" spans="1:6" ht="13" x14ac:dyDescent="0.15">
      <c r="A353" s="4">
        <f ca="1">IFERROR(__xludf.DUMMYFUNCTION("""COMPUTED_VALUE"""),42640.6666666666)</f>
        <v>42640.666666666599</v>
      </c>
      <c r="B353" s="3">
        <f ca="1">IFERROR(__xludf.DUMMYFUNCTION("""COMPUTED_VALUE"""),2146.04)</f>
        <v>2146.04</v>
      </c>
      <c r="C353" s="3">
        <f ca="1">IFERROR(__xludf.DUMMYFUNCTION("""COMPUTED_VALUE"""),2161.13)</f>
        <v>2161.13</v>
      </c>
      <c r="D353" s="3">
        <f ca="1">IFERROR(__xludf.DUMMYFUNCTION("""COMPUTED_VALUE"""),2141.55)</f>
        <v>2141.5500000000002</v>
      </c>
      <c r="E353" s="3">
        <f ca="1">IFERROR(__xludf.DUMMYFUNCTION("""COMPUTED_VALUE"""),2159.93)</f>
        <v>2159.9299999999998</v>
      </c>
      <c r="F353" s="3">
        <f ca="1">IFERROR(__xludf.DUMMYFUNCTION("""COMPUTED_VALUE"""),0)</f>
        <v>0</v>
      </c>
    </row>
    <row r="354" spans="1:6" ht="13" x14ac:dyDescent="0.15">
      <c r="A354" s="4">
        <f ca="1">IFERROR(__xludf.DUMMYFUNCTION("""COMPUTED_VALUE"""),42641.6666666666)</f>
        <v>42641.666666666599</v>
      </c>
      <c r="B354" s="3">
        <f ca="1">IFERROR(__xludf.DUMMYFUNCTION("""COMPUTED_VALUE"""),2161.85)</f>
        <v>2161.85</v>
      </c>
      <c r="C354" s="3">
        <f ca="1">IFERROR(__xludf.DUMMYFUNCTION("""COMPUTED_VALUE"""),2172.4)</f>
        <v>2172.4</v>
      </c>
      <c r="D354" s="3">
        <f ca="1">IFERROR(__xludf.DUMMYFUNCTION("""COMPUTED_VALUE"""),2151.79)</f>
        <v>2151.79</v>
      </c>
      <c r="E354" s="3">
        <f ca="1">IFERROR(__xludf.DUMMYFUNCTION("""COMPUTED_VALUE"""),2171.37)</f>
        <v>2171.37</v>
      </c>
      <c r="F354" s="3">
        <f ca="1">IFERROR(__xludf.DUMMYFUNCTION("""COMPUTED_VALUE"""),0)</f>
        <v>0</v>
      </c>
    </row>
    <row r="355" spans="1:6" ht="13" x14ac:dyDescent="0.15">
      <c r="A355" s="4">
        <f ca="1">IFERROR(__xludf.DUMMYFUNCTION("""COMPUTED_VALUE"""),42642.6666666666)</f>
        <v>42642.666666666599</v>
      </c>
      <c r="B355" s="3">
        <f ca="1">IFERROR(__xludf.DUMMYFUNCTION("""COMPUTED_VALUE"""),2168.9)</f>
        <v>2168.9</v>
      </c>
      <c r="C355" s="3">
        <f ca="1">IFERROR(__xludf.DUMMYFUNCTION("""COMPUTED_VALUE"""),2172.67)</f>
        <v>2172.67</v>
      </c>
      <c r="D355" s="3">
        <f ca="1">IFERROR(__xludf.DUMMYFUNCTION("""COMPUTED_VALUE"""),2145.2)</f>
        <v>2145.1999999999998</v>
      </c>
      <c r="E355" s="3">
        <f ca="1">IFERROR(__xludf.DUMMYFUNCTION("""COMPUTED_VALUE"""),2151.13)</f>
        <v>2151.13</v>
      </c>
      <c r="F355" s="3">
        <f ca="1">IFERROR(__xludf.DUMMYFUNCTION("""COMPUTED_VALUE"""),0)</f>
        <v>0</v>
      </c>
    </row>
    <row r="356" spans="1:6" ht="13" x14ac:dyDescent="0.15">
      <c r="A356" s="4">
        <f ca="1">IFERROR(__xludf.DUMMYFUNCTION("""COMPUTED_VALUE"""),42643.6666666666)</f>
        <v>42643.666666666599</v>
      </c>
      <c r="B356" s="3">
        <f ca="1">IFERROR(__xludf.DUMMYFUNCTION("""COMPUTED_VALUE"""),2156.51)</f>
        <v>2156.5100000000002</v>
      </c>
      <c r="C356" s="3">
        <f ca="1">IFERROR(__xludf.DUMMYFUNCTION("""COMPUTED_VALUE"""),2175.3)</f>
        <v>2175.3000000000002</v>
      </c>
      <c r="D356" s="3">
        <f ca="1">IFERROR(__xludf.DUMMYFUNCTION("""COMPUTED_VALUE"""),2156.51)</f>
        <v>2156.5100000000002</v>
      </c>
      <c r="E356" s="3">
        <f ca="1">IFERROR(__xludf.DUMMYFUNCTION("""COMPUTED_VALUE"""),2168.27)</f>
        <v>2168.27</v>
      </c>
      <c r="F356" s="3">
        <f ca="1">IFERROR(__xludf.DUMMYFUNCTION("""COMPUTED_VALUE"""),0)</f>
        <v>0</v>
      </c>
    </row>
    <row r="357" spans="1:6" ht="13" x14ac:dyDescent="0.15">
      <c r="A357" s="4">
        <f ca="1">IFERROR(__xludf.DUMMYFUNCTION("""COMPUTED_VALUE"""),42646.6666666666)</f>
        <v>42646.666666666599</v>
      </c>
      <c r="B357" s="3">
        <f ca="1">IFERROR(__xludf.DUMMYFUNCTION("""COMPUTED_VALUE"""),2164.33)</f>
        <v>2164.33</v>
      </c>
      <c r="C357" s="3">
        <f ca="1">IFERROR(__xludf.DUMMYFUNCTION("""COMPUTED_VALUE"""),2164.41)</f>
        <v>2164.41</v>
      </c>
      <c r="D357" s="3">
        <f ca="1">IFERROR(__xludf.DUMMYFUNCTION("""COMPUTED_VALUE"""),2154.77)</f>
        <v>2154.77</v>
      </c>
      <c r="E357" s="3">
        <f ca="1">IFERROR(__xludf.DUMMYFUNCTION("""COMPUTED_VALUE"""),2161.2)</f>
        <v>2161.1999999999998</v>
      </c>
      <c r="F357" s="3">
        <f ca="1">IFERROR(__xludf.DUMMYFUNCTION("""COMPUTED_VALUE"""),0)</f>
        <v>0</v>
      </c>
    </row>
    <row r="358" spans="1:6" ht="13" x14ac:dyDescent="0.15">
      <c r="A358" s="4">
        <f ca="1">IFERROR(__xludf.DUMMYFUNCTION("""COMPUTED_VALUE"""),42647.6666666666)</f>
        <v>42647.666666666599</v>
      </c>
      <c r="B358" s="3">
        <f ca="1">IFERROR(__xludf.DUMMYFUNCTION("""COMPUTED_VALUE"""),2163.37)</f>
        <v>2163.37</v>
      </c>
      <c r="C358" s="3">
        <f ca="1">IFERROR(__xludf.DUMMYFUNCTION("""COMPUTED_VALUE"""),2165.46)</f>
        <v>2165.46</v>
      </c>
      <c r="D358" s="3">
        <f ca="1">IFERROR(__xludf.DUMMYFUNCTION("""COMPUTED_VALUE"""),2144.01)</f>
        <v>2144.0100000000002</v>
      </c>
      <c r="E358" s="3">
        <f ca="1">IFERROR(__xludf.DUMMYFUNCTION("""COMPUTED_VALUE"""),2150.49)</f>
        <v>2150.4899999999998</v>
      </c>
      <c r="F358" s="3">
        <f ca="1">IFERROR(__xludf.DUMMYFUNCTION("""COMPUTED_VALUE"""),0)</f>
        <v>0</v>
      </c>
    </row>
    <row r="359" spans="1:6" ht="13" x14ac:dyDescent="0.15">
      <c r="A359" s="4">
        <f ca="1">IFERROR(__xludf.DUMMYFUNCTION("""COMPUTED_VALUE"""),42648.6666666666)</f>
        <v>42648.666666666599</v>
      </c>
      <c r="B359" s="3">
        <f ca="1">IFERROR(__xludf.DUMMYFUNCTION("""COMPUTED_VALUE"""),2155.15)</f>
        <v>2155.15</v>
      </c>
      <c r="C359" s="3">
        <f ca="1">IFERROR(__xludf.DUMMYFUNCTION("""COMPUTED_VALUE"""),2163.95)</f>
        <v>2163.9499999999998</v>
      </c>
      <c r="D359" s="3">
        <f ca="1">IFERROR(__xludf.DUMMYFUNCTION("""COMPUTED_VALUE"""),2155.15)</f>
        <v>2155.15</v>
      </c>
      <c r="E359" s="3">
        <f ca="1">IFERROR(__xludf.DUMMYFUNCTION("""COMPUTED_VALUE"""),2159.73)</f>
        <v>2159.73</v>
      </c>
      <c r="F359" s="3">
        <f ca="1">IFERROR(__xludf.DUMMYFUNCTION("""COMPUTED_VALUE"""),0)</f>
        <v>0</v>
      </c>
    </row>
    <row r="360" spans="1:6" ht="13" x14ac:dyDescent="0.15">
      <c r="A360" s="4">
        <f ca="1">IFERROR(__xludf.DUMMYFUNCTION("""COMPUTED_VALUE"""),42649.6666666666)</f>
        <v>42649.666666666599</v>
      </c>
      <c r="B360" s="3">
        <f ca="1">IFERROR(__xludf.DUMMYFUNCTION("""COMPUTED_VALUE"""),2158.22)</f>
        <v>2158.2199999999998</v>
      </c>
      <c r="C360" s="3">
        <f ca="1">IFERROR(__xludf.DUMMYFUNCTION("""COMPUTED_VALUE"""),2162.93)</f>
        <v>2162.9299999999998</v>
      </c>
      <c r="D360" s="3">
        <f ca="1">IFERROR(__xludf.DUMMYFUNCTION("""COMPUTED_VALUE"""),2150.28)</f>
        <v>2150.2800000000002</v>
      </c>
      <c r="E360" s="3">
        <f ca="1">IFERROR(__xludf.DUMMYFUNCTION("""COMPUTED_VALUE"""),2160.77)</f>
        <v>2160.77</v>
      </c>
      <c r="F360" s="3">
        <f ca="1">IFERROR(__xludf.DUMMYFUNCTION("""COMPUTED_VALUE"""),0)</f>
        <v>0</v>
      </c>
    </row>
    <row r="361" spans="1:6" ht="13" x14ac:dyDescent="0.15">
      <c r="A361" s="4">
        <f ca="1">IFERROR(__xludf.DUMMYFUNCTION("""COMPUTED_VALUE"""),42650.6666666666)</f>
        <v>42650.666666666599</v>
      </c>
      <c r="B361" s="3">
        <f ca="1">IFERROR(__xludf.DUMMYFUNCTION("""COMPUTED_VALUE"""),2164.19)</f>
        <v>2164.19</v>
      </c>
      <c r="C361" s="3">
        <f ca="1">IFERROR(__xludf.DUMMYFUNCTION("""COMPUTED_VALUE"""),2165.86)</f>
        <v>2165.86</v>
      </c>
      <c r="D361" s="3">
        <f ca="1">IFERROR(__xludf.DUMMYFUNCTION("""COMPUTED_VALUE"""),2144.85)</f>
        <v>2144.85</v>
      </c>
      <c r="E361" s="3">
        <f ca="1">IFERROR(__xludf.DUMMYFUNCTION("""COMPUTED_VALUE"""),2153.74)</f>
        <v>2153.7399999999998</v>
      </c>
      <c r="F361" s="3">
        <f ca="1">IFERROR(__xludf.DUMMYFUNCTION("""COMPUTED_VALUE"""),0)</f>
        <v>0</v>
      </c>
    </row>
    <row r="362" spans="1:6" ht="13" x14ac:dyDescent="0.15">
      <c r="A362" s="4">
        <f ca="1">IFERROR(__xludf.DUMMYFUNCTION("""COMPUTED_VALUE"""),42653.6666666666)</f>
        <v>42653.666666666599</v>
      </c>
      <c r="B362" s="3">
        <f ca="1">IFERROR(__xludf.DUMMYFUNCTION("""COMPUTED_VALUE"""),2160.39)</f>
        <v>2160.39</v>
      </c>
      <c r="C362" s="3">
        <f ca="1">IFERROR(__xludf.DUMMYFUNCTION("""COMPUTED_VALUE"""),2169.6)</f>
        <v>2169.6</v>
      </c>
      <c r="D362" s="3">
        <f ca="1">IFERROR(__xludf.DUMMYFUNCTION("""COMPUTED_VALUE"""),2160.39)</f>
        <v>2160.39</v>
      </c>
      <c r="E362" s="3">
        <f ca="1">IFERROR(__xludf.DUMMYFUNCTION("""COMPUTED_VALUE"""),2163.66)</f>
        <v>2163.66</v>
      </c>
      <c r="F362" s="3">
        <f ca="1">IFERROR(__xludf.DUMMYFUNCTION("""COMPUTED_VALUE"""),0)</f>
        <v>0</v>
      </c>
    </row>
    <row r="363" spans="1:6" ht="13" x14ac:dyDescent="0.15">
      <c r="A363" s="4">
        <f ca="1">IFERROR(__xludf.DUMMYFUNCTION("""COMPUTED_VALUE"""),42654.6666666666)</f>
        <v>42654.666666666599</v>
      </c>
      <c r="B363" s="3">
        <f ca="1">IFERROR(__xludf.DUMMYFUNCTION("""COMPUTED_VALUE"""),2161.35)</f>
        <v>2161.35</v>
      </c>
      <c r="C363" s="3">
        <f ca="1">IFERROR(__xludf.DUMMYFUNCTION("""COMPUTED_VALUE"""),2161.56)</f>
        <v>2161.56</v>
      </c>
      <c r="D363" s="3">
        <f ca="1">IFERROR(__xludf.DUMMYFUNCTION("""COMPUTED_VALUE"""),2128.84)</f>
        <v>2128.84</v>
      </c>
      <c r="E363" s="3">
        <f ca="1">IFERROR(__xludf.DUMMYFUNCTION("""COMPUTED_VALUE"""),2136.73)</f>
        <v>2136.73</v>
      </c>
      <c r="F363" s="3">
        <f ca="1">IFERROR(__xludf.DUMMYFUNCTION("""COMPUTED_VALUE"""),0)</f>
        <v>0</v>
      </c>
    </row>
    <row r="364" spans="1:6" ht="13" x14ac:dyDescent="0.15">
      <c r="A364" s="4">
        <f ca="1">IFERROR(__xludf.DUMMYFUNCTION("""COMPUTED_VALUE"""),42655.6666666666)</f>
        <v>42655.666666666599</v>
      </c>
      <c r="B364" s="3">
        <f ca="1">IFERROR(__xludf.DUMMYFUNCTION("""COMPUTED_VALUE"""),2137.67)</f>
        <v>2137.67</v>
      </c>
      <c r="C364" s="3">
        <f ca="1">IFERROR(__xludf.DUMMYFUNCTION("""COMPUTED_VALUE"""),2145.36)</f>
        <v>2145.36</v>
      </c>
      <c r="D364" s="3">
        <f ca="1">IFERROR(__xludf.DUMMYFUNCTION("""COMPUTED_VALUE"""),2132.77)</f>
        <v>2132.77</v>
      </c>
      <c r="E364" s="3">
        <f ca="1">IFERROR(__xludf.DUMMYFUNCTION("""COMPUTED_VALUE"""),2139.18)</f>
        <v>2139.1799999999998</v>
      </c>
      <c r="F364" s="3">
        <f ca="1">IFERROR(__xludf.DUMMYFUNCTION("""COMPUTED_VALUE"""),0)</f>
        <v>0</v>
      </c>
    </row>
    <row r="365" spans="1:6" ht="13" x14ac:dyDescent="0.15">
      <c r="A365" s="4">
        <f ca="1">IFERROR(__xludf.DUMMYFUNCTION("""COMPUTED_VALUE"""),42656.6666666666)</f>
        <v>42656.666666666599</v>
      </c>
      <c r="B365" s="3">
        <f ca="1">IFERROR(__xludf.DUMMYFUNCTION("""COMPUTED_VALUE"""),2130.26)</f>
        <v>2130.2600000000002</v>
      </c>
      <c r="C365" s="3">
        <f ca="1">IFERROR(__xludf.DUMMYFUNCTION("""COMPUTED_VALUE"""),2138.19)</f>
        <v>2138.19</v>
      </c>
      <c r="D365" s="3">
        <f ca="1">IFERROR(__xludf.DUMMYFUNCTION("""COMPUTED_VALUE"""),2114.72)</f>
        <v>2114.7199999999998</v>
      </c>
      <c r="E365" s="3">
        <f ca="1">IFERROR(__xludf.DUMMYFUNCTION("""COMPUTED_VALUE"""),2132.55)</f>
        <v>2132.5500000000002</v>
      </c>
      <c r="F365" s="3">
        <f ca="1">IFERROR(__xludf.DUMMYFUNCTION("""COMPUTED_VALUE"""),0)</f>
        <v>0</v>
      </c>
    </row>
    <row r="366" spans="1:6" ht="13" x14ac:dyDescent="0.15">
      <c r="A366" s="4">
        <f ca="1">IFERROR(__xludf.DUMMYFUNCTION("""COMPUTED_VALUE"""),42657.6666666666)</f>
        <v>42657.666666666599</v>
      </c>
      <c r="B366" s="3">
        <f ca="1">IFERROR(__xludf.DUMMYFUNCTION("""COMPUTED_VALUE"""),2139.68)</f>
        <v>2139.6799999999998</v>
      </c>
      <c r="C366" s="3">
        <f ca="1">IFERROR(__xludf.DUMMYFUNCTION("""COMPUTED_VALUE"""),2149.19)</f>
        <v>2149.19</v>
      </c>
      <c r="D366" s="3">
        <f ca="1">IFERROR(__xludf.DUMMYFUNCTION("""COMPUTED_VALUE"""),2132.98)</f>
        <v>2132.98</v>
      </c>
      <c r="E366" s="3">
        <f ca="1">IFERROR(__xludf.DUMMYFUNCTION("""COMPUTED_VALUE"""),2132.98)</f>
        <v>2132.98</v>
      </c>
      <c r="F366" s="3">
        <f ca="1">IFERROR(__xludf.DUMMYFUNCTION("""COMPUTED_VALUE"""),0)</f>
        <v>0</v>
      </c>
    </row>
    <row r="367" spans="1:6" ht="13" x14ac:dyDescent="0.15">
      <c r="A367" s="4">
        <f ca="1">IFERROR(__xludf.DUMMYFUNCTION("""COMPUTED_VALUE"""),42660.6666666666)</f>
        <v>42660.666666666599</v>
      </c>
      <c r="B367" s="3">
        <f ca="1">IFERROR(__xludf.DUMMYFUNCTION("""COMPUTED_VALUE"""),2132.95)</f>
        <v>2132.9499999999998</v>
      </c>
      <c r="C367" s="3">
        <f ca="1">IFERROR(__xludf.DUMMYFUNCTION("""COMPUTED_VALUE"""),2135.61)</f>
        <v>2135.61</v>
      </c>
      <c r="D367" s="3">
        <f ca="1">IFERROR(__xludf.DUMMYFUNCTION("""COMPUTED_VALUE"""),2124.43)</f>
        <v>2124.4299999999998</v>
      </c>
      <c r="E367" s="3">
        <f ca="1">IFERROR(__xludf.DUMMYFUNCTION("""COMPUTED_VALUE"""),2126.5)</f>
        <v>2126.5</v>
      </c>
      <c r="F367" s="3">
        <f ca="1">IFERROR(__xludf.DUMMYFUNCTION("""COMPUTED_VALUE"""),0)</f>
        <v>0</v>
      </c>
    </row>
    <row r="368" spans="1:6" ht="13" x14ac:dyDescent="0.15">
      <c r="A368" s="4">
        <f ca="1">IFERROR(__xludf.DUMMYFUNCTION("""COMPUTED_VALUE"""),42661.6666666666)</f>
        <v>42661.666666666599</v>
      </c>
      <c r="B368" s="3">
        <f ca="1">IFERROR(__xludf.DUMMYFUNCTION("""COMPUTED_VALUE"""),2138.31)</f>
        <v>2138.31</v>
      </c>
      <c r="C368" s="3">
        <f ca="1">IFERROR(__xludf.DUMMYFUNCTION("""COMPUTED_VALUE"""),2144.38)</f>
        <v>2144.38</v>
      </c>
      <c r="D368" s="3">
        <f ca="1">IFERROR(__xludf.DUMMYFUNCTION("""COMPUTED_VALUE"""),2135.49)</f>
        <v>2135.4899999999998</v>
      </c>
      <c r="E368" s="3">
        <f ca="1">IFERROR(__xludf.DUMMYFUNCTION("""COMPUTED_VALUE"""),2139.6)</f>
        <v>2139.6</v>
      </c>
      <c r="F368" s="3">
        <f ca="1">IFERROR(__xludf.DUMMYFUNCTION("""COMPUTED_VALUE"""),0)</f>
        <v>0</v>
      </c>
    </row>
    <row r="369" spans="1:6" ht="13" x14ac:dyDescent="0.15">
      <c r="A369" s="4">
        <f ca="1">IFERROR(__xludf.DUMMYFUNCTION("""COMPUTED_VALUE"""),42662.6666666666)</f>
        <v>42662.666666666599</v>
      </c>
      <c r="B369" s="3">
        <f ca="1">IFERROR(__xludf.DUMMYFUNCTION("""COMPUTED_VALUE"""),2140.81)</f>
        <v>2140.81</v>
      </c>
      <c r="C369" s="3">
        <f ca="1">IFERROR(__xludf.DUMMYFUNCTION("""COMPUTED_VALUE"""),2148.44)</f>
        <v>2148.44</v>
      </c>
      <c r="D369" s="3">
        <f ca="1">IFERROR(__xludf.DUMMYFUNCTION("""COMPUTED_VALUE"""),2138.15)</f>
        <v>2138.15</v>
      </c>
      <c r="E369" s="3">
        <f ca="1">IFERROR(__xludf.DUMMYFUNCTION("""COMPUTED_VALUE"""),2144.29)</f>
        <v>2144.29</v>
      </c>
      <c r="F369" s="3">
        <f ca="1">IFERROR(__xludf.DUMMYFUNCTION("""COMPUTED_VALUE"""),0)</f>
        <v>0</v>
      </c>
    </row>
    <row r="370" spans="1:6" ht="13" x14ac:dyDescent="0.15">
      <c r="A370" s="4">
        <f ca="1">IFERROR(__xludf.DUMMYFUNCTION("""COMPUTED_VALUE"""),42663.6666666666)</f>
        <v>42663.666666666599</v>
      </c>
      <c r="B370" s="3">
        <f ca="1">IFERROR(__xludf.DUMMYFUNCTION("""COMPUTED_VALUE"""),2142.51)</f>
        <v>2142.5100000000002</v>
      </c>
      <c r="C370" s="3">
        <f ca="1">IFERROR(__xludf.DUMMYFUNCTION("""COMPUTED_VALUE"""),2147.18)</f>
        <v>2147.1799999999998</v>
      </c>
      <c r="D370" s="3">
        <f ca="1">IFERROR(__xludf.DUMMYFUNCTION("""COMPUTED_VALUE"""),2133.44)</f>
        <v>2133.44</v>
      </c>
      <c r="E370" s="3">
        <f ca="1">IFERROR(__xludf.DUMMYFUNCTION("""COMPUTED_VALUE"""),2141.34)</f>
        <v>2141.34</v>
      </c>
      <c r="F370" s="3">
        <f ca="1">IFERROR(__xludf.DUMMYFUNCTION("""COMPUTED_VALUE"""),0)</f>
        <v>0</v>
      </c>
    </row>
    <row r="371" spans="1:6" ht="13" x14ac:dyDescent="0.15">
      <c r="A371" s="4">
        <f ca="1">IFERROR(__xludf.DUMMYFUNCTION("""COMPUTED_VALUE"""),42664.6666666666)</f>
        <v>42664.666666666599</v>
      </c>
      <c r="B371" s="3">
        <f ca="1">IFERROR(__xludf.DUMMYFUNCTION("""COMPUTED_VALUE"""),2139.43)</f>
        <v>2139.4299999999998</v>
      </c>
      <c r="C371" s="3">
        <f ca="1">IFERROR(__xludf.DUMMYFUNCTION("""COMPUTED_VALUE"""),2142.63)</f>
        <v>2142.63</v>
      </c>
      <c r="D371" s="3">
        <f ca="1">IFERROR(__xludf.DUMMYFUNCTION("""COMPUTED_VALUE"""),2130.09)</f>
        <v>2130.09</v>
      </c>
      <c r="E371" s="3">
        <f ca="1">IFERROR(__xludf.DUMMYFUNCTION("""COMPUTED_VALUE"""),2141.16)</f>
        <v>2141.16</v>
      </c>
      <c r="F371" s="3">
        <f ca="1">IFERROR(__xludf.DUMMYFUNCTION("""COMPUTED_VALUE"""),0)</f>
        <v>0</v>
      </c>
    </row>
    <row r="372" spans="1:6" ht="13" x14ac:dyDescent="0.15">
      <c r="A372" s="4">
        <f ca="1">IFERROR(__xludf.DUMMYFUNCTION("""COMPUTED_VALUE"""),42667.6666666666)</f>
        <v>42667.666666666599</v>
      </c>
      <c r="B372" s="3">
        <f ca="1">IFERROR(__xludf.DUMMYFUNCTION("""COMPUTED_VALUE"""),2148.5)</f>
        <v>2148.5</v>
      </c>
      <c r="C372" s="3">
        <f ca="1">IFERROR(__xludf.DUMMYFUNCTION("""COMPUTED_VALUE"""),2154.79)</f>
        <v>2154.79</v>
      </c>
      <c r="D372" s="3">
        <f ca="1">IFERROR(__xludf.DUMMYFUNCTION("""COMPUTED_VALUE"""),2146.91)</f>
        <v>2146.91</v>
      </c>
      <c r="E372" s="3">
        <f ca="1">IFERROR(__xludf.DUMMYFUNCTION("""COMPUTED_VALUE"""),2151.33)</f>
        <v>2151.33</v>
      </c>
      <c r="F372" s="3">
        <f ca="1">IFERROR(__xludf.DUMMYFUNCTION("""COMPUTED_VALUE"""),0)</f>
        <v>0</v>
      </c>
    </row>
    <row r="373" spans="1:6" ht="13" x14ac:dyDescent="0.15">
      <c r="A373" s="4">
        <f ca="1">IFERROR(__xludf.DUMMYFUNCTION("""COMPUTED_VALUE"""),42668.6666666666)</f>
        <v>42668.666666666599</v>
      </c>
      <c r="B373" s="3">
        <f ca="1">IFERROR(__xludf.DUMMYFUNCTION("""COMPUTED_VALUE"""),2149.72)</f>
        <v>2149.7199999999998</v>
      </c>
      <c r="C373" s="3">
        <f ca="1">IFERROR(__xludf.DUMMYFUNCTION("""COMPUTED_VALUE"""),2151.44)</f>
        <v>2151.44</v>
      </c>
      <c r="D373" s="3">
        <f ca="1">IFERROR(__xludf.DUMMYFUNCTION("""COMPUTED_VALUE"""),2141.93)</f>
        <v>2141.9299999999998</v>
      </c>
      <c r="E373" s="3">
        <f ca="1">IFERROR(__xludf.DUMMYFUNCTION("""COMPUTED_VALUE"""),2143.16)</f>
        <v>2143.16</v>
      </c>
      <c r="F373" s="3">
        <f ca="1">IFERROR(__xludf.DUMMYFUNCTION("""COMPUTED_VALUE"""),0)</f>
        <v>0</v>
      </c>
    </row>
    <row r="374" spans="1:6" ht="13" x14ac:dyDescent="0.15">
      <c r="A374" s="4">
        <f ca="1">IFERROR(__xludf.DUMMYFUNCTION("""COMPUTED_VALUE"""),42669.6666666666)</f>
        <v>42669.666666666599</v>
      </c>
      <c r="B374" s="3">
        <f ca="1">IFERROR(__xludf.DUMMYFUNCTION("""COMPUTED_VALUE"""),2136.97)</f>
        <v>2136.9699999999998</v>
      </c>
      <c r="C374" s="3">
        <f ca="1">IFERROR(__xludf.DUMMYFUNCTION("""COMPUTED_VALUE"""),2145.73)</f>
        <v>2145.73</v>
      </c>
      <c r="D374" s="3">
        <f ca="1">IFERROR(__xludf.DUMMYFUNCTION("""COMPUTED_VALUE"""),2131.59)</f>
        <v>2131.59</v>
      </c>
      <c r="E374" s="3">
        <f ca="1">IFERROR(__xludf.DUMMYFUNCTION("""COMPUTED_VALUE"""),2139.43)</f>
        <v>2139.4299999999998</v>
      </c>
      <c r="F374" s="3">
        <f ca="1">IFERROR(__xludf.DUMMYFUNCTION("""COMPUTED_VALUE"""),0)</f>
        <v>0</v>
      </c>
    </row>
    <row r="375" spans="1:6" ht="13" x14ac:dyDescent="0.15">
      <c r="A375" s="4">
        <f ca="1">IFERROR(__xludf.DUMMYFUNCTION("""COMPUTED_VALUE"""),42670.6666666666)</f>
        <v>42670.666666666599</v>
      </c>
      <c r="B375" s="3">
        <f ca="1">IFERROR(__xludf.DUMMYFUNCTION("""COMPUTED_VALUE"""),2144.06)</f>
        <v>2144.06</v>
      </c>
      <c r="C375" s="3">
        <f ca="1">IFERROR(__xludf.DUMMYFUNCTION("""COMPUTED_VALUE"""),2147.13)</f>
        <v>2147.13</v>
      </c>
      <c r="D375" s="3">
        <f ca="1">IFERROR(__xludf.DUMMYFUNCTION("""COMPUTED_VALUE"""),2132.52)</f>
        <v>2132.52</v>
      </c>
      <c r="E375" s="3">
        <f ca="1">IFERROR(__xludf.DUMMYFUNCTION("""COMPUTED_VALUE"""),2133.04)</f>
        <v>2133.04</v>
      </c>
      <c r="F375" s="3">
        <f ca="1">IFERROR(__xludf.DUMMYFUNCTION("""COMPUTED_VALUE"""),0)</f>
        <v>0</v>
      </c>
    </row>
    <row r="376" spans="1:6" ht="13" x14ac:dyDescent="0.15">
      <c r="A376" s="4">
        <f ca="1">IFERROR(__xludf.DUMMYFUNCTION("""COMPUTED_VALUE"""),42671.6666666666)</f>
        <v>42671.666666666599</v>
      </c>
      <c r="B376" s="3">
        <f ca="1">IFERROR(__xludf.DUMMYFUNCTION("""COMPUTED_VALUE"""),2132.23)</f>
        <v>2132.23</v>
      </c>
      <c r="C376" s="3">
        <f ca="1">IFERROR(__xludf.DUMMYFUNCTION("""COMPUTED_VALUE"""),2140.72)</f>
        <v>2140.7199999999998</v>
      </c>
      <c r="D376" s="3">
        <f ca="1">IFERROR(__xludf.DUMMYFUNCTION("""COMPUTED_VALUE"""),2119.36)</f>
        <v>2119.36</v>
      </c>
      <c r="E376" s="3">
        <f ca="1">IFERROR(__xludf.DUMMYFUNCTION("""COMPUTED_VALUE"""),2126.41)</f>
        <v>2126.41</v>
      </c>
      <c r="F376" s="3">
        <f ca="1">IFERROR(__xludf.DUMMYFUNCTION("""COMPUTED_VALUE"""),0)</f>
        <v>0</v>
      </c>
    </row>
    <row r="377" spans="1:6" ht="13" x14ac:dyDescent="0.15">
      <c r="A377" s="4">
        <f ca="1">IFERROR(__xludf.DUMMYFUNCTION("""COMPUTED_VALUE"""),42674.6666666666)</f>
        <v>42674.666666666599</v>
      </c>
      <c r="B377" s="3">
        <f ca="1">IFERROR(__xludf.DUMMYFUNCTION("""COMPUTED_VALUE"""),2129.78)</f>
        <v>2129.7800000000002</v>
      </c>
      <c r="C377" s="3">
        <f ca="1">IFERROR(__xludf.DUMMYFUNCTION("""COMPUTED_VALUE"""),2133.25)</f>
        <v>2133.25</v>
      </c>
      <c r="D377" s="3">
        <f ca="1">IFERROR(__xludf.DUMMYFUNCTION("""COMPUTED_VALUE"""),2125.53)</f>
        <v>2125.5300000000002</v>
      </c>
      <c r="E377" s="3">
        <f ca="1">IFERROR(__xludf.DUMMYFUNCTION("""COMPUTED_VALUE"""),2126.15)</f>
        <v>2126.15</v>
      </c>
      <c r="F377" s="3">
        <f ca="1">IFERROR(__xludf.DUMMYFUNCTION("""COMPUTED_VALUE"""),0)</f>
        <v>0</v>
      </c>
    </row>
    <row r="378" spans="1:6" ht="13" x14ac:dyDescent="0.15">
      <c r="A378" s="4">
        <f ca="1">IFERROR(__xludf.DUMMYFUNCTION("""COMPUTED_VALUE"""),42675.6666666666)</f>
        <v>42675.666666666599</v>
      </c>
      <c r="B378" s="3">
        <f ca="1">IFERROR(__xludf.DUMMYFUNCTION("""COMPUTED_VALUE"""),2128.68)</f>
        <v>2128.6799999999998</v>
      </c>
      <c r="C378" s="3">
        <f ca="1">IFERROR(__xludf.DUMMYFUNCTION("""COMPUTED_VALUE"""),2131.45)</f>
        <v>2131.4499999999998</v>
      </c>
      <c r="D378" s="3">
        <f ca="1">IFERROR(__xludf.DUMMYFUNCTION("""COMPUTED_VALUE"""),2097.85)</f>
        <v>2097.85</v>
      </c>
      <c r="E378" s="3">
        <f ca="1">IFERROR(__xludf.DUMMYFUNCTION("""COMPUTED_VALUE"""),2111.72)</f>
        <v>2111.7199999999998</v>
      </c>
      <c r="F378" s="3">
        <f ca="1">IFERROR(__xludf.DUMMYFUNCTION("""COMPUTED_VALUE"""),0)</f>
        <v>0</v>
      </c>
    </row>
    <row r="379" spans="1:6" ht="13" x14ac:dyDescent="0.15">
      <c r="A379" s="4">
        <f ca="1">IFERROR(__xludf.DUMMYFUNCTION("""COMPUTED_VALUE"""),42676.6666666666)</f>
        <v>42676.666666666599</v>
      </c>
      <c r="B379" s="3">
        <f ca="1">IFERROR(__xludf.DUMMYFUNCTION("""COMPUTED_VALUE"""),2109.43)</f>
        <v>2109.4299999999998</v>
      </c>
      <c r="C379" s="3">
        <f ca="1">IFERROR(__xludf.DUMMYFUNCTION("""COMPUTED_VALUE"""),2111.76)</f>
        <v>2111.7600000000002</v>
      </c>
      <c r="D379" s="3">
        <f ca="1">IFERROR(__xludf.DUMMYFUNCTION("""COMPUTED_VALUE"""),2094)</f>
        <v>2094</v>
      </c>
      <c r="E379" s="3">
        <f ca="1">IFERROR(__xludf.DUMMYFUNCTION("""COMPUTED_VALUE"""),2097.94)</f>
        <v>2097.94</v>
      </c>
      <c r="F379" s="3">
        <f ca="1">IFERROR(__xludf.DUMMYFUNCTION("""COMPUTED_VALUE"""),0)</f>
        <v>0</v>
      </c>
    </row>
    <row r="380" spans="1:6" ht="13" x14ac:dyDescent="0.15">
      <c r="A380" s="4">
        <f ca="1">IFERROR(__xludf.DUMMYFUNCTION("""COMPUTED_VALUE"""),42677.6666666666)</f>
        <v>42677.666666666599</v>
      </c>
      <c r="B380" s="3">
        <f ca="1">IFERROR(__xludf.DUMMYFUNCTION("""COMPUTED_VALUE"""),2098.8)</f>
        <v>2098.8000000000002</v>
      </c>
      <c r="C380" s="3">
        <f ca="1">IFERROR(__xludf.DUMMYFUNCTION("""COMPUTED_VALUE"""),2102.56)</f>
        <v>2102.56</v>
      </c>
      <c r="D380" s="3">
        <f ca="1">IFERROR(__xludf.DUMMYFUNCTION("""COMPUTED_VALUE"""),2085.23)</f>
        <v>2085.23</v>
      </c>
      <c r="E380" s="3">
        <f ca="1">IFERROR(__xludf.DUMMYFUNCTION("""COMPUTED_VALUE"""),2088.66)</f>
        <v>2088.66</v>
      </c>
      <c r="F380" s="3">
        <f ca="1">IFERROR(__xludf.DUMMYFUNCTION("""COMPUTED_VALUE"""),0)</f>
        <v>0</v>
      </c>
    </row>
    <row r="381" spans="1:6" ht="13" x14ac:dyDescent="0.15">
      <c r="A381" s="4">
        <f ca="1">IFERROR(__xludf.DUMMYFUNCTION("""COMPUTED_VALUE"""),42678.6666666666)</f>
        <v>42678.666666666599</v>
      </c>
      <c r="B381" s="3">
        <f ca="1">IFERROR(__xludf.DUMMYFUNCTION("""COMPUTED_VALUE"""),2083.79)</f>
        <v>2083.79</v>
      </c>
      <c r="C381" s="3">
        <f ca="1">IFERROR(__xludf.DUMMYFUNCTION("""COMPUTED_VALUE"""),2099.07)</f>
        <v>2099.0700000000002</v>
      </c>
      <c r="D381" s="3">
        <f ca="1">IFERROR(__xludf.DUMMYFUNCTION("""COMPUTED_VALUE"""),2083.79)</f>
        <v>2083.79</v>
      </c>
      <c r="E381" s="3">
        <f ca="1">IFERROR(__xludf.DUMMYFUNCTION("""COMPUTED_VALUE"""),2085.18)</f>
        <v>2085.1799999999998</v>
      </c>
      <c r="F381" s="3">
        <f ca="1">IFERROR(__xludf.DUMMYFUNCTION("""COMPUTED_VALUE"""),0)</f>
        <v>0</v>
      </c>
    </row>
    <row r="382" spans="1:6" ht="13" x14ac:dyDescent="0.15">
      <c r="A382" s="4">
        <f ca="1">IFERROR(__xludf.DUMMYFUNCTION("""COMPUTED_VALUE"""),42681.6666666666)</f>
        <v>42681.666666666599</v>
      </c>
      <c r="B382" s="3">
        <f ca="1">IFERROR(__xludf.DUMMYFUNCTION("""COMPUTED_VALUE"""),2100.59)</f>
        <v>2100.59</v>
      </c>
      <c r="C382" s="3">
        <f ca="1">IFERROR(__xludf.DUMMYFUNCTION("""COMPUTED_VALUE"""),2132)</f>
        <v>2132</v>
      </c>
      <c r="D382" s="3">
        <f ca="1">IFERROR(__xludf.DUMMYFUNCTION("""COMPUTED_VALUE"""),2100.59)</f>
        <v>2100.59</v>
      </c>
      <c r="E382" s="3">
        <f ca="1">IFERROR(__xludf.DUMMYFUNCTION("""COMPUTED_VALUE"""),2131.52)</f>
        <v>2131.52</v>
      </c>
      <c r="F382" s="3">
        <f ca="1">IFERROR(__xludf.DUMMYFUNCTION("""COMPUTED_VALUE"""),0)</f>
        <v>0</v>
      </c>
    </row>
    <row r="383" spans="1:6" ht="13" x14ac:dyDescent="0.15">
      <c r="A383" s="4">
        <f ca="1">IFERROR(__xludf.DUMMYFUNCTION("""COMPUTED_VALUE"""),42682.6666666666)</f>
        <v>42682.666666666599</v>
      </c>
      <c r="B383" s="3">
        <f ca="1">IFERROR(__xludf.DUMMYFUNCTION("""COMPUTED_VALUE"""),2129.92)</f>
        <v>2129.92</v>
      </c>
      <c r="C383" s="3">
        <f ca="1">IFERROR(__xludf.DUMMYFUNCTION("""COMPUTED_VALUE"""),2146.87)</f>
        <v>2146.87</v>
      </c>
      <c r="D383" s="3">
        <f ca="1">IFERROR(__xludf.DUMMYFUNCTION("""COMPUTED_VALUE"""),2123.56)</f>
        <v>2123.56</v>
      </c>
      <c r="E383" s="3">
        <f ca="1">IFERROR(__xludf.DUMMYFUNCTION("""COMPUTED_VALUE"""),2139.56)</f>
        <v>2139.56</v>
      </c>
      <c r="F383" s="3">
        <f ca="1">IFERROR(__xludf.DUMMYFUNCTION("""COMPUTED_VALUE"""),0)</f>
        <v>0</v>
      </c>
    </row>
    <row r="384" spans="1:6" ht="13" x14ac:dyDescent="0.15">
      <c r="A384" s="4">
        <f ca="1">IFERROR(__xludf.DUMMYFUNCTION("""COMPUTED_VALUE"""),42683.6666666666)</f>
        <v>42683.666666666599</v>
      </c>
      <c r="B384" s="3">
        <f ca="1">IFERROR(__xludf.DUMMYFUNCTION("""COMPUTED_VALUE"""),2131.56)</f>
        <v>2131.56</v>
      </c>
      <c r="C384" s="3">
        <f ca="1">IFERROR(__xludf.DUMMYFUNCTION("""COMPUTED_VALUE"""),2170.1)</f>
        <v>2170.1</v>
      </c>
      <c r="D384" s="3">
        <f ca="1">IFERROR(__xludf.DUMMYFUNCTION("""COMPUTED_VALUE"""),2125.35)</f>
        <v>2125.35</v>
      </c>
      <c r="E384" s="3">
        <f ca="1">IFERROR(__xludf.DUMMYFUNCTION("""COMPUTED_VALUE"""),2163.26)</f>
        <v>2163.2600000000002</v>
      </c>
      <c r="F384" s="3">
        <f ca="1">IFERROR(__xludf.DUMMYFUNCTION("""COMPUTED_VALUE"""),0)</f>
        <v>0</v>
      </c>
    </row>
    <row r="385" spans="1:6" ht="13" x14ac:dyDescent="0.15">
      <c r="A385" s="4">
        <f ca="1">IFERROR(__xludf.DUMMYFUNCTION("""COMPUTED_VALUE"""),42684.6666666666)</f>
        <v>42684.666666666599</v>
      </c>
      <c r="B385" s="3">
        <f ca="1">IFERROR(__xludf.DUMMYFUNCTION("""COMPUTED_VALUE"""),2167.49)</f>
        <v>2167.4899999999998</v>
      </c>
      <c r="C385" s="3">
        <f ca="1">IFERROR(__xludf.DUMMYFUNCTION("""COMPUTED_VALUE"""),2182.3)</f>
        <v>2182.3000000000002</v>
      </c>
      <c r="D385" s="3">
        <f ca="1">IFERROR(__xludf.DUMMYFUNCTION("""COMPUTED_VALUE"""),2151.17)</f>
        <v>2151.17</v>
      </c>
      <c r="E385" s="3">
        <f ca="1">IFERROR(__xludf.DUMMYFUNCTION("""COMPUTED_VALUE"""),2167.48)</f>
        <v>2167.48</v>
      </c>
      <c r="F385" s="3">
        <f ca="1">IFERROR(__xludf.DUMMYFUNCTION("""COMPUTED_VALUE"""),0)</f>
        <v>0</v>
      </c>
    </row>
    <row r="386" spans="1:6" ht="13" x14ac:dyDescent="0.15">
      <c r="A386" s="4">
        <f ca="1">IFERROR(__xludf.DUMMYFUNCTION("""COMPUTED_VALUE"""),42685.6666666666)</f>
        <v>42685.666666666599</v>
      </c>
      <c r="B386" s="3">
        <f ca="1">IFERROR(__xludf.DUMMYFUNCTION("""COMPUTED_VALUE"""),2162.71)</f>
        <v>2162.71</v>
      </c>
      <c r="C386" s="3">
        <f ca="1">IFERROR(__xludf.DUMMYFUNCTION("""COMPUTED_VALUE"""),2165.92)</f>
        <v>2165.92</v>
      </c>
      <c r="D386" s="3">
        <f ca="1">IFERROR(__xludf.DUMMYFUNCTION("""COMPUTED_VALUE"""),2152.49)</f>
        <v>2152.4899999999998</v>
      </c>
      <c r="E386" s="3">
        <f ca="1">IFERROR(__xludf.DUMMYFUNCTION("""COMPUTED_VALUE"""),2164.45)</f>
        <v>2164.4499999999998</v>
      </c>
      <c r="F386" s="3">
        <f ca="1">IFERROR(__xludf.DUMMYFUNCTION("""COMPUTED_VALUE"""),0)</f>
        <v>0</v>
      </c>
    </row>
    <row r="387" spans="1:6" ht="13" x14ac:dyDescent="0.15">
      <c r="A387" s="4">
        <f ca="1">IFERROR(__xludf.DUMMYFUNCTION("""COMPUTED_VALUE"""),42688.6666666666)</f>
        <v>42688.666666666599</v>
      </c>
      <c r="B387" s="3">
        <f ca="1">IFERROR(__xludf.DUMMYFUNCTION("""COMPUTED_VALUE"""),2165.64)</f>
        <v>2165.64</v>
      </c>
      <c r="C387" s="3">
        <f ca="1">IFERROR(__xludf.DUMMYFUNCTION("""COMPUTED_VALUE"""),2171.36)</f>
        <v>2171.36</v>
      </c>
      <c r="D387" s="3">
        <f ca="1">IFERROR(__xludf.DUMMYFUNCTION("""COMPUTED_VALUE"""),2156.08)</f>
        <v>2156.08</v>
      </c>
      <c r="E387" s="3">
        <f ca="1">IFERROR(__xludf.DUMMYFUNCTION("""COMPUTED_VALUE"""),2164.2)</f>
        <v>2164.1999999999998</v>
      </c>
      <c r="F387" s="3">
        <f ca="1">IFERROR(__xludf.DUMMYFUNCTION("""COMPUTED_VALUE"""),0)</f>
        <v>0</v>
      </c>
    </row>
    <row r="388" spans="1:6" ht="13" x14ac:dyDescent="0.15">
      <c r="A388" s="4">
        <f ca="1">IFERROR(__xludf.DUMMYFUNCTION("""COMPUTED_VALUE"""),42689.6666666666)</f>
        <v>42689.666666666599</v>
      </c>
      <c r="B388" s="3">
        <f ca="1">IFERROR(__xludf.DUMMYFUNCTION("""COMPUTED_VALUE"""),2168.29)</f>
        <v>2168.29</v>
      </c>
      <c r="C388" s="3">
        <f ca="1">IFERROR(__xludf.DUMMYFUNCTION("""COMPUTED_VALUE"""),2180.84)</f>
        <v>2180.84</v>
      </c>
      <c r="D388" s="3">
        <f ca="1">IFERROR(__xludf.DUMMYFUNCTION("""COMPUTED_VALUE"""),2166.38)</f>
        <v>2166.38</v>
      </c>
      <c r="E388" s="3">
        <f ca="1">IFERROR(__xludf.DUMMYFUNCTION("""COMPUTED_VALUE"""),2180.39)</f>
        <v>2180.39</v>
      </c>
      <c r="F388" s="3">
        <f ca="1">IFERROR(__xludf.DUMMYFUNCTION("""COMPUTED_VALUE"""),0)</f>
        <v>0</v>
      </c>
    </row>
    <row r="389" spans="1:6" ht="13" x14ac:dyDescent="0.15">
      <c r="A389" s="4">
        <f ca="1">IFERROR(__xludf.DUMMYFUNCTION("""COMPUTED_VALUE"""),42690.6666666666)</f>
        <v>42690.666666666599</v>
      </c>
      <c r="B389" s="3">
        <f ca="1">IFERROR(__xludf.DUMMYFUNCTION("""COMPUTED_VALUE"""),2177.53)</f>
        <v>2177.5300000000002</v>
      </c>
      <c r="C389" s="3">
        <f ca="1">IFERROR(__xludf.DUMMYFUNCTION("""COMPUTED_VALUE"""),2179.22)</f>
        <v>2179.2199999999998</v>
      </c>
      <c r="D389" s="3">
        <f ca="1">IFERROR(__xludf.DUMMYFUNCTION("""COMPUTED_VALUE"""),2172.2)</f>
        <v>2172.1999999999998</v>
      </c>
      <c r="E389" s="3">
        <f ca="1">IFERROR(__xludf.DUMMYFUNCTION("""COMPUTED_VALUE"""),2176.94)</f>
        <v>2176.94</v>
      </c>
      <c r="F389" s="3">
        <f ca="1">IFERROR(__xludf.DUMMYFUNCTION("""COMPUTED_VALUE"""),0)</f>
        <v>0</v>
      </c>
    </row>
    <row r="390" spans="1:6" ht="13" x14ac:dyDescent="0.15">
      <c r="A390" s="4">
        <f ca="1">IFERROR(__xludf.DUMMYFUNCTION("""COMPUTED_VALUE"""),42691.6666666666)</f>
        <v>42691.666666666599</v>
      </c>
      <c r="B390" s="3">
        <f ca="1">IFERROR(__xludf.DUMMYFUNCTION("""COMPUTED_VALUE"""),2178.61)</f>
        <v>2178.61</v>
      </c>
      <c r="C390" s="3">
        <f ca="1">IFERROR(__xludf.DUMMYFUNCTION("""COMPUTED_VALUE"""),2188.06)</f>
        <v>2188.06</v>
      </c>
      <c r="D390" s="3">
        <f ca="1">IFERROR(__xludf.DUMMYFUNCTION("""COMPUTED_VALUE"""),2176.65)</f>
        <v>2176.65</v>
      </c>
      <c r="E390" s="3">
        <f ca="1">IFERROR(__xludf.DUMMYFUNCTION("""COMPUTED_VALUE"""),2187.12)</f>
        <v>2187.12</v>
      </c>
      <c r="F390" s="3">
        <f ca="1">IFERROR(__xludf.DUMMYFUNCTION("""COMPUTED_VALUE"""),0)</f>
        <v>0</v>
      </c>
    </row>
    <row r="391" spans="1:6" ht="13" x14ac:dyDescent="0.15">
      <c r="A391" s="4">
        <f ca="1">IFERROR(__xludf.DUMMYFUNCTION("""COMPUTED_VALUE"""),42692.6666666666)</f>
        <v>42692.666666666599</v>
      </c>
      <c r="B391" s="3">
        <f ca="1">IFERROR(__xludf.DUMMYFUNCTION("""COMPUTED_VALUE"""),2186.85)</f>
        <v>2186.85</v>
      </c>
      <c r="C391" s="3">
        <f ca="1">IFERROR(__xludf.DUMMYFUNCTION("""COMPUTED_VALUE"""),2189.89)</f>
        <v>2189.89</v>
      </c>
      <c r="D391" s="3">
        <f ca="1">IFERROR(__xludf.DUMMYFUNCTION("""COMPUTED_VALUE"""),2180.38)</f>
        <v>2180.38</v>
      </c>
      <c r="E391" s="3">
        <f ca="1">IFERROR(__xludf.DUMMYFUNCTION("""COMPUTED_VALUE"""),2181.9)</f>
        <v>2181.9</v>
      </c>
      <c r="F391" s="3">
        <f ca="1">IFERROR(__xludf.DUMMYFUNCTION("""COMPUTED_VALUE"""),0)</f>
        <v>0</v>
      </c>
    </row>
    <row r="392" spans="1:6" ht="13" x14ac:dyDescent="0.15">
      <c r="A392" s="4">
        <f ca="1">IFERROR(__xludf.DUMMYFUNCTION("""COMPUTED_VALUE"""),42695.6666666666)</f>
        <v>42695.666666666599</v>
      </c>
      <c r="B392" s="3">
        <f ca="1">IFERROR(__xludf.DUMMYFUNCTION("""COMPUTED_VALUE"""),2186.43)</f>
        <v>2186.4299999999998</v>
      </c>
      <c r="C392" s="3">
        <f ca="1">IFERROR(__xludf.DUMMYFUNCTION("""COMPUTED_VALUE"""),2198.7)</f>
        <v>2198.6999999999998</v>
      </c>
      <c r="D392" s="3">
        <f ca="1">IFERROR(__xludf.DUMMYFUNCTION("""COMPUTED_VALUE"""),2186.43)</f>
        <v>2186.4299999999998</v>
      </c>
      <c r="E392" s="3">
        <f ca="1">IFERROR(__xludf.DUMMYFUNCTION("""COMPUTED_VALUE"""),2198.18)</f>
        <v>2198.1799999999998</v>
      </c>
      <c r="F392" s="3">
        <f ca="1">IFERROR(__xludf.DUMMYFUNCTION("""COMPUTED_VALUE"""),0)</f>
        <v>0</v>
      </c>
    </row>
    <row r="393" spans="1:6" ht="13" x14ac:dyDescent="0.15">
      <c r="A393" s="4">
        <f ca="1">IFERROR(__xludf.DUMMYFUNCTION("""COMPUTED_VALUE"""),42696.6666666666)</f>
        <v>42696.666666666599</v>
      </c>
      <c r="B393" s="3">
        <f ca="1">IFERROR(__xludf.DUMMYFUNCTION("""COMPUTED_VALUE"""),2201.56)</f>
        <v>2201.56</v>
      </c>
      <c r="C393" s="3">
        <f ca="1">IFERROR(__xludf.DUMMYFUNCTION("""COMPUTED_VALUE"""),2204.8)</f>
        <v>2204.8000000000002</v>
      </c>
      <c r="D393" s="3">
        <f ca="1">IFERROR(__xludf.DUMMYFUNCTION("""COMPUTED_VALUE"""),2194.51)</f>
        <v>2194.5100000000002</v>
      </c>
      <c r="E393" s="3">
        <f ca="1">IFERROR(__xludf.DUMMYFUNCTION("""COMPUTED_VALUE"""),2202.94)</f>
        <v>2202.94</v>
      </c>
      <c r="F393" s="3">
        <f ca="1">IFERROR(__xludf.DUMMYFUNCTION("""COMPUTED_VALUE"""),0)</f>
        <v>0</v>
      </c>
    </row>
    <row r="394" spans="1:6" ht="13" x14ac:dyDescent="0.15">
      <c r="A394" s="4">
        <f ca="1">IFERROR(__xludf.DUMMYFUNCTION("""COMPUTED_VALUE"""),42697.6666666666)</f>
        <v>42697.666666666599</v>
      </c>
      <c r="B394" s="3">
        <f ca="1">IFERROR(__xludf.DUMMYFUNCTION("""COMPUTED_VALUE"""),2198.55)</f>
        <v>2198.5500000000002</v>
      </c>
      <c r="C394" s="3">
        <f ca="1">IFERROR(__xludf.DUMMYFUNCTION("""COMPUTED_VALUE"""),2204.72)</f>
        <v>2204.7199999999998</v>
      </c>
      <c r="D394" s="3">
        <f ca="1">IFERROR(__xludf.DUMMYFUNCTION("""COMPUTED_VALUE"""),2194.51)</f>
        <v>2194.5100000000002</v>
      </c>
      <c r="E394" s="3">
        <f ca="1">IFERROR(__xludf.DUMMYFUNCTION("""COMPUTED_VALUE"""),2204.72)</f>
        <v>2204.7199999999998</v>
      </c>
      <c r="F394" s="3">
        <f ca="1">IFERROR(__xludf.DUMMYFUNCTION("""COMPUTED_VALUE"""),0)</f>
        <v>0</v>
      </c>
    </row>
    <row r="395" spans="1:6" ht="13" x14ac:dyDescent="0.15">
      <c r="A395" s="4">
        <f ca="1">IFERROR(__xludf.DUMMYFUNCTION("""COMPUTED_VALUE"""),42699.6666666666)</f>
        <v>42699.666666666599</v>
      </c>
      <c r="B395" s="3">
        <f ca="1">IFERROR(__xludf.DUMMYFUNCTION("""COMPUTED_VALUE"""),2206.27)</f>
        <v>2206.27</v>
      </c>
      <c r="C395" s="3">
        <f ca="1">IFERROR(__xludf.DUMMYFUNCTION("""COMPUTED_VALUE"""),2213.35)</f>
        <v>2213.35</v>
      </c>
      <c r="D395" s="3">
        <f ca="1">IFERROR(__xludf.DUMMYFUNCTION("""COMPUTED_VALUE"""),2206.27)</f>
        <v>2206.27</v>
      </c>
      <c r="E395" s="3">
        <f ca="1">IFERROR(__xludf.DUMMYFUNCTION("""COMPUTED_VALUE"""),2213.35)</f>
        <v>2213.35</v>
      </c>
      <c r="F395" s="3">
        <f ca="1">IFERROR(__xludf.DUMMYFUNCTION("""COMPUTED_VALUE"""),0)</f>
        <v>0</v>
      </c>
    </row>
    <row r="396" spans="1:6" ht="13" x14ac:dyDescent="0.15">
      <c r="A396" s="4">
        <f ca="1">IFERROR(__xludf.DUMMYFUNCTION("""COMPUTED_VALUE"""),42702.6666666666)</f>
        <v>42702.666666666599</v>
      </c>
      <c r="B396" s="3">
        <f ca="1">IFERROR(__xludf.DUMMYFUNCTION("""COMPUTED_VALUE"""),2210.21)</f>
        <v>2210.21</v>
      </c>
      <c r="C396" s="3">
        <f ca="1">IFERROR(__xludf.DUMMYFUNCTION("""COMPUTED_VALUE"""),2211.14)</f>
        <v>2211.14</v>
      </c>
      <c r="D396" s="3">
        <f ca="1">IFERROR(__xludf.DUMMYFUNCTION("""COMPUTED_VALUE"""),2200.36)</f>
        <v>2200.36</v>
      </c>
      <c r="E396" s="3">
        <f ca="1">IFERROR(__xludf.DUMMYFUNCTION("""COMPUTED_VALUE"""),2201.72)</f>
        <v>2201.7199999999998</v>
      </c>
      <c r="F396" s="3">
        <f ca="1">IFERROR(__xludf.DUMMYFUNCTION("""COMPUTED_VALUE"""),0)</f>
        <v>0</v>
      </c>
    </row>
    <row r="397" spans="1:6" ht="13" x14ac:dyDescent="0.15">
      <c r="A397" s="4">
        <f ca="1">IFERROR(__xludf.DUMMYFUNCTION("""COMPUTED_VALUE"""),42703.6666666666)</f>
        <v>42703.666666666599</v>
      </c>
      <c r="B397" s="3">
        <f ca="1">IFERROR(__xludf.DUMMYFUNCTION("""COMPUTED_VALUE"""),2200.76)</f>
        <v>2200.7600000000002</v>
      </c>
      <c r="C397" s="3">
        <f ca="1">IFERROR(__xludf.DUMMYFUNCTION("""COMPUTED_VALUE"""),2210.46)</f>
        <v>2210.46</v>
      </c>
      <c r="D397" s="3">
        <f ca="1">IFERROR(__xludf.DUMMYFUNCTION("""COMPUTED_VALUE"""),2198.15)</f>
        <v>2198.15</v>
      </c>
      <c r="E397" s="3">
        <f ca="1">IFERROR(__xludf.DUMMYFUNCTION("""COMPUTED_VALUE"""),2204.66)</f>
        <v>2204.66</v>
      </c>
      <c r="F397" s="3">
        <f ca="1">IFERROR(__xludf.DUMMYFUNCTION("""COMPUTED_VALUE"""),0)</f>
        <v>0</v>
      </c>
    </row>
    <row r="398" spans="1:6" ht="13" x14ac:dyDescent="0.15">
      <c r="A398" s="4">
        <f ca="1">IFERROR(__xludf.DUMMYFUNCTION("""COMPUTED_VALUE"""),42704.6666666666)</f>
        <v>42704.666666666599</v>
      </c>
      <c r="B398" s="3">
        <f ca="1">IFERROR(__xludf.DUMMYFUNCTION("""COMPUTED_VALUE"""),2204.97)</f>
        <v>2204.9699999999998</v>
      </c>
      <c r="C398" s="3">
        <f ca="1">IFERROR(__xludf.DUMMYFUNCTION("""COMPUTED_VALUE"""),2214.1)</f>
        <v>2214.1</v>
      </c>
      <c r="D398" s="3">
        <f ca="1">IFERROR(__xludf.DUMMYFUNCTION("""COMPUTED_VALUE"""),2198.81)</f>
        <v>2198.81</v>
      </c>
      <c r="E398" s="3">
        <f ca="1">IFERROR(__xludf.DUMMYFUNCTION("""COMPUTED_VALUE"""),2198.81)</f>
        <v>2198.81</v>
      </c>
      <c r="F398" s="3">
        <f ca="1">IFERROR(__xludf.DUMMYFUNCTION("""COMPUTED_VALUE"""),0)</f>
        <v>0</v>
      </c>
    </row>
    <row r="399" spans="1:6" ht="13" x14ac:dyDescent="0.15">
      <c r="A399" s="4">
        <f ca="1">IFERROR(__xludf.DUMMYFUNCTION("""COMPUTED_VALUE"""),42705.6666666666)</f>
        <v>42705.666666666599</v>
      </c>
      <c r="B399" s="3">
        <f ca="1">IFERROR(__xludf.DUMMYFUNCTION("""COMPUTED_VALUE"""),2200.17)</f>
        <v>2200.17</v>
      </c>
      <c r="C399" s="3">
        <f ca="1">IFERROR(__xludf.DUMMYFUNCTION("""COMPUTED_VALUE"""),2202.6)</f>
        <v>2202.6</v>
      </c>
      <c r="D399" s="3">
        <f ca="1">IFERROR(__xludf.DUMMYFUNCTION("""COMPUTED_VALUE"""),2187.44)</f>
        <v>2187.44</v>
      </c>
      <c r="E399" s="3">
        <f ca="1">IFERROR(__xludf.DUMMYFUNCTION("""COMPUTED_VALUE"""),2191.08)</f>
        <v>2191.08</v>
      </c>
      <c r="F399" s="3">
        <f ca="1">IFERROR(__xludf.DUMMYFUNCTION("""COMPUTED_VALUE"""),0)</f>
        <v>0</v>
      </c>
    </row>
    <row r="400" spans="1:6" ht="13" x14ac:dyDescent="0.15">
      <c r="A400" s="4">
        <f ca="1">IFERROR(__xludf.DUMMYFUNCTION("""COMPUTED_VALUE"""),42706.6666666666)</f>
        <v>42706.666666666599</v>
      </c>
      <c r="B400" s="3">
        <f ca="1">IFERROR(__xludf.DUMMYFUNCTION("""COMPUTED_VALUE"""),2191.12)</f>
        <v>2191.12</v>
      </c>
      <c r="C400" s="3">
        <f ca="1">IFERROR(__xludf.DUMMYFUNCTION("""COMPUTED_VALUE"""),2197.95)</f>
        <v>2197.9499999999998</v>
      </c>
      <c r="D400" s="3">
        <f ca="1">IFERROR(__xludf.DUMMYFUNCTION("""COMPUTED_VALUE"""),2188.37)</f>
        <v>2188.37</v>
      </c>
      <c r="E400" s="3">
        <f ca="1">IFERROR(__xludf.DUMMYFUNCTION("""COMPUTED_VALUE"""),2191.95)</f>
        <v>2191.9499999999998</v>
      </c>
      <c r="F400" s="3">
        <f ca="1">IFERROR(__xludf.DUMMYFUNCTION("""COMPUTED_VALUE"""),0)</f>
        <v>0</v>
      </c>
    </row>
    <row r="401" spans="1:6" ht="13" x14ac:dyDescent="0.15">
      <c r="A401" s="4">
        <f ca="1">IFERROR(__xludf.DUMMYFUNCTION("""COMPUTED_VALUE"""),42709.6666666666)</f>
        <v>42709.666666666599</v>
      </c>
      <c r="B401" s="3">
        <f ca="1">IFERROR(__xludf.DUMMYFUNCTION("""COMPUTED_VALUE"""),2200.65)</f>
        <v>2200.65</v>
      </c>
      <c r="C401" s="3">
        <f ca="1">IFERROR(__xludf.DUMMYFUNCTION("""COMPUTED_VALUE"""),2209.42)</f>
        <v>2209.42</v>
      </c>
      <c r="D401" s="3">
        <f ca="1">IFERROR(__xludf.DUMMYFUNCTION("""COMPUTED_VALUE"""),2199.97)</f>
        <v>2199.9699999999998</v>
      </c>
      <c r="E401" s="3">
        <f ca="1">IFERROR(__xludf.DUMMYFUNCTION("""COMPUTED_VALUE"""),2204.71)</f>
        <v>2204.71</v>
      </c>
      <c r="F401" s="3">
        <f ca="1">IFERROR(__xludf.DUMMYFUNCTION("""COMPUTED_VALUE"""),0)</f>
        <v>0</v>
      </c>
    </row>
    <row r="402" spans="1:6" ht="13" x14ac:dyDescent="0.15">
      <c r="A402" s="4">
        <f ca="1">IFERROR(__xludf.DUMMYFUNCTION("""COMPUTED_VALUE"""),42710.6666666666)</f>
        <v>42710.666666666599</v>
      </c>
      <c r="B402" s="3">
        <f ca="1">IFERROR(__xludf.DUMMYFUNCTION("""COMPUTED_VALUE"""),2207.26)</f>
        <v>2207.2600000000002</v>
      </c>
      <c r="C402" s="3">
        <f ca="1">IFERROR(__xludf.DUMMYFUNCTION("""COMPUTED_VALUE"""),2212.78)</f>
        <v>2212.7800000000002</v>
      </c>
      <c r="D402" s="3">
        <f ca="1">IFERROR(__xludf.DUMMYFUNCTION("""COMPUTED_VALUE"""),2202.21)</f>
        <v>2202.21</v>
      </c>
      <c r="E402" s="3">
        <f ca="1">IFERROR(__xludf.DUMMYFUNCTION("""COMPUTED_VALUE"""),2212.23)</f>
        <v>2212.23</v>
      </c>
      <c r="F402" s="3">
        <f ca="1">IFERROR(__xludf.DUMMYFUNCTION("""COMPUTED_VALUE"""),0)</f>
        <v>0</v>
      </c>
    </row>
    <row r="403" spans="1:6" ht="13" x14ac:dyDescent="0.15">
      <c r="A403" s="4">
        <f ca="1">IFERROR(__xludf.DUMMYFUNCTION("""COMPUTED_VALUE"""),42711.6666666666)</f>
        <v>42711.666666666599</v>
      </c>
      <c r="B403" s="3">
        <f ca="1">IFERROR(__xludf.DUMMYFUNCTION("""COMPUTED_VALUE"""),2210.72)</f>
        <v>2210.7199999999998</v>
      </c>
      <c r="C403" s="3">
        <f ca="1">IFERROR(__xludf.DUMMYFUNCTION("""COMPUTED_VALUE"""),2241.63)</f>
        <v>2241.63</v>
      </c>
      <c r="D403" s="3">
        <f ca="1">IFERROR(__xludf.DUMMYFUNCTION("""COMPUTED_VALUE"""),2208.93)</f>
        <v>2208.9299999999998</v>
      </c>
      <c r="E403" s="3">
        <f ca="1">IFERROR(__xludf.DUMMYFUNCTION("""COMPUTED_VALUE"""),2241.35)</f>
        <v>2241.35</v>
      </c>
      <c r="F403" s="3">
        <f ca="1">IFERROR(__xludf.DUMMYFUNCTION("""COMPUTED_VALUE"""),0)</f>
        <v>0</v>
      </c>
    </row>
    <row r="404" spans="1:6" ht="13" x14ac:dyDescent="0.15">
      <c r="A404" s="4">
        <f ca="1">IFERROR(__xludf.DUMMYFUNCTION("""COMPUTED_VALUE"""),42712.6666666666)</f>
        <v>42712.666666666599</v>
      </c>
      <c r="B404" s="3">
        <f ca="1">IFERROR(__xludf.DUMMYFUNCTION("""COMPUTED_VALUE"""),2241.13)</f>
        <v>2241.13</v>
      </c>
      <c r="C404" s="3">
        <f ca="1">IFERROR(__xludf.DUMMYFUNCTION("""COMPUTED_VALUE"""),2251.69)</f>
        <v>2251.69</v>
      </c>
      <c r="D404" s="3">
        <f ca="1">IFERROR(__xludf.DUMMYFUNCTION("""COMPUTED_VALUE"""),2237.57)</f>
        <v>2237.5700000000002</v>
      </c>
      <c r="E404" s="3">
        <f ca="1">IFERROR(__xludf.DUMMYFUNCTION("""COMPUTED_VALUE"""),2246.19)</f>
        <v>2246.19</v>
      </c>
      <c r="F404" s="3">
        <f ca="1">IFERROR(__xludf.DUMMYFUNCTION("""COMPUTED_VALUE"""),0)</f>
        <v>0</v>
      </c>
    </row>
    <row r="405" spans="1:6" ht="13" x14ac:dyDescent="0.15">
      <c r="A405" s="4">
        <f ca="1">IFERROR(__xludf.DUMMYFUNCTION("""COMPUTED_VALUE"""),42713.6666666666)</f>
        <v>42713.666666666599</v>
      </c>
      <c r="B405" s="3">
        <f ca="1">IFERROR(__xludf.DUMMYFUNCTION("""COMPUTED_VALUE"""),2249.73)</f>
        <v>2249.73</v>
      </c>
      <c r="C405" s="3">
        <f ca="1">IFERROR(__xludf.DUMMYFUNCTION("""COMPUTED_VALUE"""),2259.8)</f>
        <v>2259.8000000000002</v>
      </c>
      <c r="D405" s="3">
        <f ca="1">IFERROR(__xludf.DUMMYFUNCTION("""COMPUTED_VALUE"""),2249.23)</f>
        <v>2249.23</v>
      </c>
      <c r="E405" s="3">
        <f ca="1">IFERROR(__xludf.DUMMYFUNCTION("""COMPUTED_VALUE"""),2259.53)</f>
        <v>2259.5300000000002</v>
      </c>
      <c r="F405" s="3">
        <f ca="1">IFERROR(__xludf.DUMMYFUNCTION("""COMPUTED_VALUE"""),0)</f>
        <v>0</v>
      </c>
    </row>
    <row r="406" spans="1:6" ht="13" x14ac:dyDescent="0.15">
      <c r="A406" s="4">
        <f ca="1">IFERROR(__xludf.DUMMYFUNCTION("""COMPUTED_VALUE"""),42716.6666666666)</f>
        <v>42716.666666666599</v>
      </c>
      <c r="B406" s="3">
        <f ca="1">IFERROR(__xludf.DUMMYFUNCTION("""COMPUTED_VALUE"""),2258.83)</f>
        <v>2258.83</v>
      </c>
      <c r="C406" s="3">
        <f ca="1">IFERROR(__xludf.DUMMYFUNCTION("""COMPUTED_VALUE"""),2264.03)</f>
        <v>2264.0300000000002</v>
      </c>
      <c r="D406" s="3">
        <f ca="1">IFERROR(__xludf.DUMMYFUNCTION("""COMPUTED_VALUE"""),2252.37)</f>
        <v>2252.37</v>
      </c>
      <c r="E406" s="3">
        <f ca="1">IFERROR(__xludf.DUMMYFUNCTION("""COMPUTED_VALUE"""),2256.96)</f>
        <v>2256.96</v>
      </c>
      <c r="F406" s="3">
        <f ca="1">IFERROR(__xludf.DUMMYFUNCTION("""COMPUTED_VALUE"""),0)</f>
        <v>0</v>
      </c>
    </row>
    <row r="407" spans="1:6" ht="13" x14ac:dyDescent="0.15">
      <c r="A407" s="4">
        <f ca="1">IFERROR(__xludf.DUMMYFUNCTION("""COMPUTED_VALUE"""),42717.6666666666)</f>
        <v>42717.666666666599</v>
      </c>
      <c r="B407" s="3">
        <f ca="1">IFERROR(__xludf.DUMMYFUNCTION("""COMPUTED_VALUE"""),2263.32)</f>
        <v>2263.3200000000002</v>
      </c>
      <c r="C407" s="3">
        <f ca="1">IFERROR(__xludf.DUMMYFUNCTION("""COMPUTED_VALUE"""),2277.53)</f>
        <v>2277.5300000000002</v>
      </c>
      <c r="D407" s="3">
        <f ca="1">IFERROR(__xludf.DUMMYFUNCTION("""COMPUTED_VALUE"""),2263.32)</f>
        <v>2263.3200000000002</v>
      </c>
      <c r="E407" s="3">
        <f ca="1">IFERROR(__xludf.DUMMYFUNCTION("""COMPUTED_VALUE"""),2271.72)</f>
        <v>2271.7199999999998</v>
      </c>
      <c r="F407" s="3">
        <f ca="1">IFERROR(__xludf.DUMMYFUNCTION("""COMPUTED_VALUE"""),0)</f>
        <v>0</v>
      </c>
    </row>
    <row r="408" spans="1:6" ht="13" x14ac:dyDescent="0.15">
      <c r="A408" s="4">
        <f ca="1">IFERROR(__xludf.DUMMYFUNCTION("""COMPUTED_VALUE"""),42718.6666666666)</f>
        <v>42718.666666666599</v>
      </c>
      <c r="B408" s="3">
        <f ca="1">IFERROR(__xludf.DUMMYFUNCTION("""COMPUTED_VALUE"""),2268.35)</f>
        <v>2268.35</v>
      </c>
      <c r="C408" s="3">
        <f ca="1">IFERROR(__xludf.DUMMYFUNCTION("""COMPUTED_VALUE"""),2276.2)</f>
        <v>2276.1999999999998</v>
      </c>
      <c r="D408" s="3">
        <f ca="1">IFERROR(__xludf.DUMMYFUNCTION("""COMPUTED_VALUE"""),2248.44)</f>
        <v>2248.44</v>
      </c>
      <c r="E408" s="3">
        <f ca="1">IFERROR(__xludf.DUMMYFUNCTION("""COMPUTED_VALUE"""),2253.28)</f>
        <v>2253.2800000000002</v>
      </c>
      <c r="F408" s="3">
        <f ca="1">IFERROR(__xludf.DUMMYFUNCTION("""COMPUTED_VALUE"""),0)</f>
        <v>0</v>
      </c>
    </row>
    <row r="409" spans="1:6" ht="13" x14ac:dyDescent="0.15">
      <c r="A409" s="4">
        <f ca="1">IFERROR(__xludf.DUMMYFUNCTION("""COMPUTED_VALUE"""),42719.6666666666)</f>
        <v>42719.666666666599</v>
      </c>
      <c r="B409" s="3">
        <f ca="1">IFERROR(__xludf.DUMMYFUNCTION("""COMPUTED_VALUE"""),2253.77)</f>
        <v>2253.77</v>
      </c>
      <c r="C409" s="3">
        <f ca="1">IFERROR(__xludf.DUMMYFUNCTION("""COMPUTED_VALUE"""),2272.12)</f>
        <v>2272.12</v>
      </c>
      <c r="D409" s="3">
        <f ca="1">IFERROR(__xludf.DUMMYFUNCTION("""COMPUTED_VALUE"""),2253.77)</f>
        <v>2253.77</v>
      </c>
      <c r="E409" s="3">
        <f ca="1">IFERROR(__xludf.DUMMYFUNCTION("""COMPUTED_VALUE"""),2262.03)</f>
        <v>2262.0300000000002</v>
      </c>
      <c r="F409" s="3">
        <f ca="1">IFERROR(__xludf.DUMMYFUNCTION("""COMPUTED_VALUE"""),0)</f>
        <v>0</v>
      </c>
    </row>
    <row r="410" spans="1:6" ht="13" x14ac:dyDescent="0.15">
      <c r="A410" s="4">
        <f ca="1">IFERROR(__xludf.DUMMYFUNCTION("""COMPUTED_VALUE"""),42720.6666666666)</f>
        <v>42720.666666666599</v>
      </c>
      <c r="B410" s="3">
        <f ca="1">IFERROR(__xludf.DUMMYFUNCTION("""COMPUTED_VALUE"""),2266.81)</f>
        <v>2266.81</v>
      </c>
      <c r="C410" s="3">
        <f ca="1">IFERROR(__xludf.DUMMYFUNCTION("""COMPUTED_VALUE"""),2268.05)</f>
        <v>2268.0500000000002</v>
      </c>
      <c r="D410" s="3">
        <f ca="1">IFERROR(__xludf.DUMMYFUNCTION("""COMPUTED_VALUE"""),2254.24)</f>
        <v>2254.2399999999998</v>
      </c>
      <c r="E410" s="3">
        <f ca="1">IFERROR(__xludf.DUMMYFUNCTION("""COMPUTED_VALUE"""),2258.07)</f>
        <v>2258.0700000000002</v>
      </c>
      <c r="F410" s="3">
        <f ca="1">IFERROR(__xludf.DUMMYFUNCTION("""COMPUTED_VALUE"""),0)</f>
        <v>0</v>
      </c>
    </row>
    <row r="411" spans="1:6" ht="13" x14ac:dyDescent="0.15">
      <c r="A411" s="4">
        <f ca="1">IFERROR(__xludf.DUMMYFUNCTION("""COMPUTED_VALUE"""),42723.6666666666)</f>
        <v>42723.666666666599</v>
      </c>
      <c r="B411" s="3">
        <f ca="1">IFERROR(__xludf.DUMMYFUNCTION("""COMPUTED_VALUE"""),2259.24)</f>
        <v>2259.2399999999998</v>
      </c>
      <c r="C411" s="3">
        <f ca="1">IFERROR(__xludf.DUMMYFUNCTION("""COMPUTED_VALUE"""),2267.47)</f>
        <v>2267.4699999999998</v>
      </c>
      <c r="D411" s="3">
        <f ca="1">IFERROR(__xludf.DUMMYFUNCTION("""COMPUTED_VALUE"""),2258.21)</f>
        <v>2258.21</v>
      </c>
      <c r="E411" s="3">
        <f ca="1">IFERROR(__xludf.DUMMYFUNCTION("""COMPUTED_VALUE"""),2262.53)</f>
        <v>2262.5300000000002</v>
      </c>
      <c r="F411" s="3">
        <f ca="1">IFERROR(__xludf.DUMMYFUNCTION("""COMPUTED_VALUE"""),0)</f>
        <v>0</v>
      </c>
    </row>
    <row r="412" spans="1:6" ht="13" x14ac:dyDescent="0.15">
      <c r="A412" s="4">
        <f ca="1">IFERROR(__xludf.DUMMYFUNCTION("""COMPUTED_VALUE"""),42724.6666666666)</f>
        <v>42724.666666666599</v>
      </c>
      <c r="B412" s="3">
        <f ca="1">IFERROR(__xludf.DUMMYFUNCTION("""COMPUTED_VALUE"""),2266.5)</f>
        <v>2266.5</v>
      </c>
      <c r="C412" s="3">
        <f ca="1">IFERROR(__xludf.DUMMYFUNCTION("""COMPUTED_VALUE"""),2272.56)</f>
        <v>2272.56</v>
      </c>
      <c r="D412" s="3">
        <f ca="1">IFERROR(__xludf.DUMMYFUNCTION("""COMPUTED_VALUE"""),2266.14)</f>
        <v>2266.14</v>
      </c>
      <c r="E412" s="3">
        <f ca="1">IFERROR(__xludf.DUMMYFUNCTION("""COMPUTED_VALUE"""),2270.76)</f>
        <v>2270.7600000000002</v>
      </c>
      <c r="F412" s="3">
        <f ca="1">IFERROR(__xludf.DUMMYFUNCTION("""COMPUTED_VALUE"""),0)</f>
        <v>0</v>
      </c>
    </row>
    <row r="413" spans="1:6" ht="13" x14ac:dyDescent="0.15">
      <c r="A413" s="4">
        <f ca="1">IFERROR(__xludf.DUMMYFUNCTION("""COMPUTED_VALUE"""),42725.6666666666)</f>
        <v>42725.666666666599</v>
      </c>
      <c r="B413" s="3">
        <f ca="1">IFERROR(__xludf.DUMMYFUNCTION("""COMPUTED_VALUE"""),2270.54)</f>
        <v>2270.54</v>
      </c>
      <c r="C413" s="3">
        <f ca="1">IFERROR(__xludf.DUMMYFUNCTION("""COMPUTED_VALUE"""),2271.23)</f>
        <v>2271.23</v>
      </c>
      <c r="D413" s="3">
        <f ca="1">IFERROR(__xludf.DUMMYFUNCTION("""COMPUTED_VALUE"""),2265.15)</f>
        <v>2265.15</v>
      </c>
      <c r="E413" s="3">
        <f ca="1">IFERROR(__xludf.DUMMYFUNCTION("""COMPUTED_VALUE"""),2265.18)</f>
        <v>2265.1799999999998</v>
      </c>
      <c r="F413" s="3">
        <f ca="1">IFERROR(__xludf.DUMMYFUNCTION("""COMPUTED_VALUE"""),0)</f>
        <v>0</v>
      </c>
    </row>
    <row r="414" spans="1:6" ht="13" x14ac:dyDescent="0.15">
      <c r="A414" s="4">
        <f ca="1">IFERROR(__xludf.DUMMYFUNCTION("""COMPUTED_VALUE"""),42726.6666666666)</f>
        <v>42726.666666666599</v>
      </c>
      <c r="B414" s="3">
        <f ca="1">IFERROR(__xludf.DUMMYFUNCTION("""COMPUTED_VALUE"""),2262.93)</f>
        <v>2262.9299999999998</v>
      </c>
      <c r="C414" s="3">
        <f ca="1">IFERROR(__xludf.DUMMYFUNCTION("""COMPUTED_VALUE"""),2263.18)</f>
        <v>2263.1799999999998</v>
      </c>
      <c r="D414" s="3">
        <f ca="1">IFERROR(__xludf.DUMMYFUNCTION("""COMPUTED_VALUE"""),2256.08)</f>
        <v>2256.08</v>
      </c>
      <c r="E414" s="3">
        <f ca="1">IFERROR(__xludf.DUMMYFUNCTION("""COMPUTED_VALUE"""),2260.96)</f>
        <v>2260.96</v>
      </c>
      <c r="F414" s="3">
        <f ca="1">IFERROR(__xludf.DUMMYFUNCTION("""COMPUTED_VALUE"""),0)</f>
        <v>0</v>
      </c>
    </row>
    <row r="415" spans="1:6" ht="13" x14ac:dyDescent="0.15">
      <c r="A415" s="4">
        <f ca="1">IFERROR(__xludf.DUMMYFUNCTION("""COMPUTED_VALUE"""),42727.6666666666)</f>
        <v>42727.666666666599</v>
      </c>
      <c r="B415" s="3">
        <f ca="1">IFERROR(__xludf.DUMMYFUNCTION("""COMPUTED_VALUE"""),2260.25)</f>
        <v>2260.25</v>
      </c>
      <c r="C415" s="3">
        <f ca="1">IFERROR(__xludf.DUMMYFUNCTION("""COMPUTED_VALUE"""),2263.79)</f>
        <v>2263.79</v>
      </c>
      <c r="D415" s="3">
        <f ca="1">IFERROR(__xludf.DUMMYFUNCTION("""COMPUTED_VALUE"""),2258.84)</f>
        <v>2258.84</v>
      </c>
      <c r="E415" s="3">
        <f ca="1">IFERROR(__xludf.DUMMYFUNCTION("""COMPUTED_VALUE"""),2263.79)</f>
        <v>2263.79</v>
      </c>
      <c r="F415" s="3">
        <f ca="1">IFERROR(__xludf.DUMMYFUNCTION("""COMPUTED_VALUE"""),0)</f>
        <v>0</v>
      </c>
    </row>
    <row r="416" spans="1:6" ht="13" x14ac:dyDescent="0.15">
      <c r="A416" s="4">
        <f ca="1">IFERROR(__xludf.DUMMYFUNCTION("""COMPUTED_VALUE"""),42731.6666666666)</f>
        <v>42731.666666666599</v>
      </c>
      <c r="B416" s="3">
        <f ca="1">IFERROR(__xludf.DUMMYFUNCTION("""COMPUTED_VALUE"""),2266.23)</f>
        <v>2266.23</v>
      </c>
      <c r="C416" s="3">
        <f ca="1">IFERROR(__xludf.DUMMYFUNCTION("""COMPUTED_VALUE"""),2273.82)</f>
        <v>2273.8200000000002</v>
      </c>
      <c r="D416" s="3">
        <f ca="1">IFERROR(__xludf.DUMMYFUNCTION("""COMPUTED_VALUE"""),2266.15)</f>
        <v>2266.15</v>
      </c>
      <c r="E416" s="3">
        <f ca="1">IFERROR(__xludf.DUMMYFUNCTION("""COMPUTED_VALUE"""),2268.88)</f>
        <v>2268.88</v>
      </c>
      <c r="F416" s="3">
        <f ca="1">IFERROR(__xludf.DUMMYFUNCTION("""COMPUTED_VALUE"""),0)</f>
        <v>0</v>
      </c>
    </row>
    <row r="417" spans="1:6" ht="13" x14ac:dyDescent="0.15">
      <c r="A417" s="4">
        <f ca="1">IFERROR(__xludf.DUMMYFUNCTION("""COMPUTED_VALUE"""),42732.6666666666)</f>
        <v>42732.666666666599</v>
      </c>
      <c r="B417" s="3">
        <f ca="1">IFERROR(__xludf.DUMMYFUNCTION("""COMPUTED_VALUE"""),2270.23)</f>
        <v>2270.23</v>
      </c>
      <c r="C417" s="3">
        <f ca="1">IFERROR(__xludf.DUMMYFUNCTION("""COMPUTED_VALUE"""),2271.31)</f>
        <v>2271.31</v>
      </c>
      <c r="D417" s="3">
        <f ca="1">IFERROR(__xludf.DUMMYFUNCTION("""COMPUTED_VALUE"""),2249.11)</f>
        <v>2249.11</v>
      </c>
      <c r="E417" s="3">
        <f ca="1">IFERROR(__xludf.DUMMYFUNCTION("""COMPUTED_VALUE"""),2249.92)</f>
        <v>2249.92</v>
      </c>
      <c r="F417" s="3">
        <f ca="1">IFERROR(__xludf.DUMMYFUNCTION("""COMPUTED_VALUE"""),0)</f>
        <v>0</v>
      </c>
    </row>
    <row r="418" spans="1:6" ht="13" x14ac:dyDescent="0.15">
      <c r="A418" s="4">
        <f ca="1">IFERROR(__xludf.DUMMYFUNCTION("""COMPUTED_VALUE"""),42733.6666666666)</f>
        <v>42733.666666666599</v>
      </c>
      <c r="B418" s="3">
        <f ca="1">IFERROR(__xludf.DUMMYFUNCTION("""COMPUTED_VALUE"""),2249.5)</f>
        <v>2249.5</v>
      </c>
      <c r="C418" s="3">
        <f ca="1">IFERROR(__xludf.DUMMYFUNCTION("""COMPUTED_VALUE"""),2254.51)</f>
        <v>2254.5100000000002</v>
      </c>
      <c r="D418" s="3">
        <f ca="1">IFERROR(__xludf.DUMMYFUNCTION("""COMPUTED_VALUE"""),2244.56)</f>
        <v>2244.56</v>
      </c>
      <c r="E418" s="3">
        <f ca="1">IFERROR(__xludf.DUMMYFUNCTION("""COMPUTED_VALUE"""),2249.26)</f>
        <v>2249.2600000000002</v>
      </c>
      <c r="F418" s="3">
        <f ca="1">IFERROR(__xludf.DUMMYFUNCTION("""COMPUTED_VALUE"""),0)</f>
        <v>0</v>
      </c>
    </row>
    <row r="419" spans="1:6" ht="13" x14ac:dyDescent="0.15">
      <c r="A419" s="4">
        <f ca="1">IFERROR(__xludf.DUMMYFUNCTION("""COMPUTED_VALUE"""),42734.6666666666)</f>
        <v>42734.666666666599</v>
      </c>
      <c r="B419" s="3">
        <f ca="1">IFERROR(__xludf.DUMMYFUNCTION("""COMPUTED_VALUE"""),2251.61)</f>
        <v>2251.61</v>
      </c>
      <c r="C419" s="3">
        <f ca="1">IFERROR(__xludf.DUMMYFUNCTION("""COMPUTED_VALUE"""),2253.58)</f>
        <v>2253.58</v>
      </c>
      <c r="D419" s="3">
        <f ca="1">IFERROR(__xludf.DUMMYFUNCTION("""COMPUTED_VALUE"""),2233.62)</f>
        <v>2233.62</v>
      </c>
      <c r="E419" s="3">
        <f ca="1">IFERROR(__xludf.DUMMYFUNCTION("""COMPUTED_VALUE"""),2238.83)</f>
        <v>2238.83</v>
      </c>
      <c r="F419" s="3">
        <f ca="1">IFERROR(__xludf.DUMMYFUNCTION("""COMPUTED_VALUE"""),0)</f>
        <v>0</v>
      </c>
    </row>
    <row r="420" spans="1:6" ht="13" x14ac:dyDescent="0.15">
      <c r="A420" s="4">
        <f ca="1">IFERROR(__xludf.DUMMYFUNCTION("""COMPUTED_VALUE"""),42738.6666666666)</f>
        <v>42738.666666666599</v>
      </c>
      <c r="B420" s="3">
        <f ca="1">IFERROR(__xludf.DUMMYFUNCTION("""COMPUTED_VALUE"""),2251.57)</f>
        <v>2251.5700000000002</v>
      </c>
      <c r="C420" s="3">
        <f ca="1">IFERROR(__xludf.DUMMYFUNCTION("""COMPUTED_VALUE"""),2263.88)</f>
        <v>2263.88</v>
      </c>
      <c r="D420" s="3">
        <f ca="1">IFERROR(__xludf.DUMMYFUNCTION("""COMPUTED_VALUE"""),2245.13)</f>
        <v>2245.13</v>
      </c>
      <c r="E420" s="3">
        <f ca="1">IFERROR(__xludf.DUMMYFUNCTION("""COMPUTED_VALUE"""),2257.83)</f>
        <v>2257.83</v>
      </c>
      <c r="F420" s="3">
        <f ca="1">IFERROR(__xludf.DUMMYFUNCTION("""COMPUTED_VALUE"""),0)</f>
        <v>0</v>
      </c>
    </row>
    <row r="421" spans="1:6" ht="13" x14ac:dyDescent="0.15">
      <c r="A421" s="4">
        <f ca="1">IFERROR(__xludf.DUMMYFUNCTION("""COMPUTED_VALUE"""),42739.6666666666)</f>
        <v>42739.666666666599</v>
      </c>
      <c r="B421" s="3">
        <f ca="1">IFERROR(__xludf.DUMMYFUNCTION("""COMPUTED_VALUE"""),2261.6)</f>
        <v>2261.6</v>
      </c>
      <c r="C421" s="3">
        <f ca="1">IFERROR(__xludf.DUMMYFUNCTION("""COMPUTED_VALUE"""),2272.82)</f>
        <v>2272.8200000000002</v>
      </c>
      <c r="D421" s="3">
        <f ca="1">IFERROR(__xludf.DUMMYFUNCTION("""COMPUTED_VALUE"""),2261.6)</f>
        <v>2261.6</v>
      </c>
      <c r="E421" s="3">
        <f ca="1">IFERROR(__xludf.DUMMYFUNCTION("""COMPUTED_VALUE"""),2270.75)</f>
        <v>2270.75</v>
      </c>
      <c r="F421" s="3">
        <f ca="1">IFERROR(__xludf.DUMMYFUNCTION("""COMPUTED_VALUE"""),0)</f>
        <v>0</v>
      </c>
    </row>
    <row r="422" spans="1:6" ht="13" x14ac:dyDescent="0.15">
      <c r="A422" s="4">
        <f ca="1">IFERROR(__xludf.DUMMYFUNCTION("""COMPUTED_VALUE"""),42740.6666666666)</f>
        <v>42740.666666666599</v>
      </c>
      <c r="B422" s="3">
        <f ca="1">IFERROR(__xludf.DUMMYFUNCTION("""COMPUTED_VALUE"""),2268.18)</f>
        <v>2268.1799999999998</v>
      </c>
      <c r="C422" s="3">
        <f ca="1">IFERROR(__xludf.DUMMYFUNCTION("""COMPUTED_VALUE"""),2271.5)</f>
        <v>2271.5</v>
      </c>
      <c r="D422" s="3">
        <f ca="1">IFERROR(__xludf.DUMMYFUNCTION("""COMPUTED_VALUE"""),2260.45)</f>
        <v>2260.4499999999998</v>
      </c>
      <c r="E422" s="3">
        <f ca="1">IFERROR(__xludf.DUMMYFUNCTION("""COMPUTED_VALUE"""),2269)</f>
        <v>2269</v>
      </c>
      <c r="F422" s="3">
        <f ca="1">IFERROR(__xludf.DUMMYFUNCTION("""COMPUTED_VALUE"""),0)</f>
        <v>0</v>
      </c>
    </row>
    <row r="423" spans="1:6" ht="13" x14ac:dyDescent="0.15">
      <c r="A423" s="4">
        <f ca="1">IFERROR(__xludf.DUMMYFUNCTION("""COMPUTED_VALUE"""),42741.6666666666)</f>
        <v>42741.666666666599</v>
      </c>
      <c r="B423" s="3">
        <f ca="1">IFERROR(__xludf.DUMMYFUNCTION("""COMPUTED_VALUE"""),2271.14)</f>
        <v>2271.14</v>
      </c>
      <c r="C423" s="3">
        <f ca="1">IFERROR(__xludf.DUMMYFUNCTION("""COMPUTED_VALUE"""),2282.1)</f>
        <v>2282.1</v>
      </c>
      <c r="D423" s="3">
        <f ca="1">IFERROR(__xludf.DUMMYFUNCTION("""COMPUTED_VALUE"""),2264.06)</f>
        <v>2264.06</v>
      </c>
      <c r="E423" s="3">
        <f ca="1">IFERROR(__xludf.DUMMYFUNCTION("""COMPUTED_VALUE"""),2276.98)</f>
        <v>2276.98</v>
      </c>
      <c r="F423" s="3">
        <f ca="1">IFERROR(__xludf.DUMMYFUNCTION("""COMPUTED_VALUE"""),0)</f>
        <v>0</v>
      </c>
    </row>
    <row r="424" spans="1:6" ht="13" x14ac:dyDescent="0.15">
      <c r="A424" s="4">
        <f ca="1">IFERROR(__xludf.DUMMYFUNCTION("""COMPUTED_VALUE"""),42744.6666666666)</f>
        <v>42744.666666666599</v>
      </c>
      <c r="B424" s="3">
        <f ca="1">IFERROR(__xludf.DUMMYFUNCTION("""COMPUTED_VALUE"""),2273.59)</f>
        <v>2273.59</v>
      </c>
      <c r="C424" s="3">
        <f ca="1">IFERROR(__xludf.DUMMYFUNCTION("""COMPUTED_VALUE"""),2275.49)</f>
        <v>2275.4899999999998</v>
      </c>
      <c r="D424" s="3">
        <f ca="1">IFERROR(__xludf.DUMMYFUNCTION("""COMPUTED_VALUE"""),2268.9)</f>
        <v>2268.9</v>
      </c>
      <c r="E424" s="3">
        <f ca="1">IFERROR(__xludf.DUMMYFUNCTION("""COMPUTED_VALUE"""),2268.9)</f>
        <v>2268.9</v>
      </c>
      <c r="F424" s="3">
        <f ca="1">IFERROR(__xludf.DUMMYFUNCTION("""COMPUTED_VALUE"""),0)</f>
        <v>0</v>
      </c>
    </row>
    <row r="425" spans="1:6" ht="13" x14ac:dyDescent="0.15">
      <c r="A425" s="4">
        <f ca="1">IFERROR(__xludf.DUMMYFUNCTION("""COMPUTED_VALUE"""),42745.6666666666)</f>
        <v>42745.666666666599</v>
      </c>
      <c r="B425" s="3">
        <f ca="1">IFERROR(__xludf.DUMMYFUNCTION("""COMPUTED_VALUE"""),2269.72)</f>
        <v>2269.7199999999998</v>
      </c>
      <c r="C425" s="3">
        <f ca="1">IFERROR(__xludf.DUMMYFUNCTION("""COMPUTED_VALUE"""),2279.27)</f>
        <v>2279.27</v>
      </c>
      <c r="D425" s="3">
        <f ca="1">IFERROR(__xludf.DUMMYFUNCTION("""COMPUTED_VALUE"""),2265.27)</f>
        <v>2265.27</v>
      </c>
      <c r="E425" s="3">
        <f ca="1">IFERROR(__xludf.DUMMYFUNCTION("""COMPUTED_VALUE"""),2268.9)</f>
        <v>2268.9</v>
      </c>
      <c r="F425" s="3">
        <f ca="1">IFERROR(__xludf.DUMMYFUNCTION("""COMPUTED_VALUE"""),0)</f>
        <v>0</v>
      </c>
    </row>
    <row r="426" spans="1:6" ht="13" x14ac:dyDescent="0.15">
      <c r="A426" s="4">
        <f ca="1">IFERROR(__xludf.DUMMYFUNCTION("""COMPUTED_VALUE"""),42746.6666666666)</f>
        <v>42746.666666666599</v>
      </c>
      <c r="B426" s="3">
        <f ca="1">IFERROR(__xludf.DUMMYFUNCTION("""COMPUTED_VALUE"""),2268.6)</f>
        <v>2268.6</v>
      </c>
      <c r="C426" s="3">
        <f ca="1">IFERROR(__xludf.DUMMYFUNCTION("""COMPUTED_VALUE"""),2275.32)</f>
        <v>2275.3200000000002</v>
      </c>
      <c r="D426" s="3">
        <f ca="1">IFERROR(__xludf.DUMMYFUNCTION("""COMPUTED_VALUE"""),2260.83)</f>
        <v>2260.83</v>
      </c>
      <c r="E426" s="3">
        <f ca="1">IFERROR(__xludf.DUMMYFUNCTION("""COMPUTED_VALUE"""),2275.32)</f>
        <v>2275.3200000000002</v>
      </c>
      <c r="F426" s="3">
        <f ca="1">IFERROR(__xludf.DUMMYFUNCTION("""COMPUTED_VALUE"""),0)</f>
        <v>0</v>
      </c>
    </row>
    <row r="427" spans="1:6" ht="13" x14ac:dyDescent="0.15">
      <c r="A427" s="4">
        <f ca="1">IFERROR(__xludf.DUMMYFUNCTION("""COMPUTED_VALUE"""),42747.6666666666)</f>
        <v>42747.666666666599</v>
      </c>
      <c r="B427" s="3">
        <f ca="1">IFERROR(__xludf.DUMMYFUNCTION("""COMPUTED_VALUE"""),2271.14)</f>
        <v>2271.14</v>
      </c>
      <c r="C427" s="3">
        <f ca="1">IFERROR(__xludf.DUMMYFUNCTION("""COMPUTED_VALUE"""),2271.78)</f>
        <v>2271.7800000000002</v>
      </c>
      <c r="D427" s="3">
        <f ca="1">IFERROR(__xludf.DUMMYFUNCTION("""COMPUTED_VALUE"""),2254.25)</f>
        <v>2254.25</v>
      </c>
      <c r="E427" s="3">
        <f ca="1">IFERROR(__xludf.DUMMYFUNCTION("""COMPUTED_VALUE"""),2270.44)</f>
        <v>2270.44</v>
      </c>
      <c r="F427" s="3">
        <f ca="1">IFERROR(__xludf.DUMMYFUNCTION("""COMPUTED_VALUE"""),0)</f>
        <v>0</v>
      </c>
    </row>
    <row r="428" spans="1:6" ht="13" x14ac:dyDescent="0.15">
      <c r="A428" s="4">
        <f ca="1">IFERROR(__xludf.DUMMYFUNCTION("""COMPUTED_VALUE"""),42748.6666666666)</f>
        <v>42748.666666666599</v>
      </c>
      <c r="B428" s="3">
        <f ca="1">IFERROR(__xludf.DUMMYFUNCTION("""COMPUTED_VALUE"""),2272.74)</f>
        <v>2272.7399999999998</v>
      </c>
      <c r="C428" s="3">
        <f ca="1">IFERROR(__xludf.DUMMYFUNCTION("""COMPUTED_VALUE"""),2278.68)</f>
        <v>2278.6799999999998</v>
      </c>
      <c r="D428" s="3">
        <f ca="1">IFERROR(__xludf.DUMMYFUNCTION("""COMPUTED_VALUE"""),2271.51)</f>
        <v>2271.5100000000002</v>
      </c>
      <c r="E428" s="3">
        <f ca="1">IFERROR(__xludf.DUMMYFUNCTION("""COMPUTED_VALUE"""),2274.64)</f>
        <v>2274.64</v>
      </c>
      <c r="F428" s="3">
        <f ca="1">IFERROR(__xludf.DUMMYFUNCTION("""COMPUTED_VALUE"""),0)</f>
        <v>0</v>
      </c>
    </row>
    <row r="429" spans="1:6" ht="13" x14ac:dyDescent="0.15">
      <c r="A429" s="4">
        <f ca="1">IFERROR(__xludf.DUMMYFUNCTION("""COMPUTED_VALUE"""),42752.6666666666)</f>
        <v>42752.666666666599</v>
      </c>
      <c r="B429" s="3">
        <f ca="1">IFERROR(__xludf.DUMMYFUNCTION("""COMPUTED_VALUE"""),2269.14)</f>
        <v>2269.14</v>
      </c>
      <c r="C429" s="3">
        <f ca="1">IFERROR(__xludf.DUMMYFUNCTION("""COMPUTED_VALUE"""),2272.08)</f>
        <v>2272.08</v>
      </c>
      <c r="D429" s="3">
        <f ca="1">IFERROR(__xludf.DUMMYFUNCTION("""COMPUTED_VALUE"""),2262.81)</f>
        <v>2262.81</v>
      </c>
      <c r="E429" s="3">
        <f ca="1">IFERROR(__xludf.DUMMYFUNCTION("""COMPUTED_VALUE"""),2267.89)</f>
        <v>2267.89</v>
      </c>
      <c r="F429" s="3">
        <f ca="1">IFERROR(__xludf.DUMMYFUNCTION("""COMPUTED_VALUE"""),0)</f>
        <v>0</v>
      </c>
    </row>
    <row r="430" spans="1:6" ht="13" x14ac:dyDescent="0.15">
      <c r="A430" s="4">
        <f ca="1">IFERROR(__xludf.DUMMYFUNCTION("""COMPUTED_VALUE"""),42753.6666666666)</f>
        <v>42753.666666666599</v>
      </c>
      <c r="B430" s="3">
        <f ca="1">IFERROR(__xludf.DUMMYFUNCTION("""COMPUTED_VALUE"""),2269.14)</f>
        <v>2269.14</v>
      </c>
      <c r="C430" s="3">
        <f ca="1">IFERROR(__xludf.DUMMYFUNCTION("""COMPUTED_VALUE"""),2272.01)</f>
        <v>2272.0100000000002</v>
      </c>
      <c r="D430" s="3">
        <f ca="1">IFERROR(__xludf.DUMMYFUNCTION("""COMPUTED_VALUE"""),2263.35)</f>
        <v>2263.35</v>
      </c>
      <c r="E430" s="3">
        <f ca="1">IFERROR(__xludf.DUMMYFUNCTION("""COMPUTED_VALUE"""),2271.89)</f>
        <v>2271.89</v>
      </c>
      <c r="F430" s="3">
        <f ca="1">IFERROR(__xludf.DUMMYFUNCTION("""COMPUTED_VALUE"""),0)</f>
        <v>0</v>
      </c>
    </row>
    <row r="431" spans="1:6" ht="13" x14ac:dyDescent="0.15">
      <c r="A431" s="4">
        <f ca="1">IFERROR(__xludf.DUMMYFUNCTION("""COMPUTED_VALUE"""),42754.6666666666)</f>
        <v>42754.666666666599</v>
      </c>
      <c r="B431" s="3">
        <f ca="1">IFERROR(__xludf.DUMMYFUNCTION("""COMPUTED_VALUE"""),2271.9)</f>
        <v>2271.9</v>
      </c>
      <c r="C431" s="3">
        <f ca="1">IFERROR(__xludf.DUMMYFUNCTION("""COMPUTED_VALUE"""),2274.33)</f>
        <v>2274.33</v>
      </c>
      <c r="D431" s="3">
        <f ca="1">IFERROR(__xludf.DUMMYFUNCTION("""COMPUTED_VALUE"""),2258.41)</f>
        <v>2258.41</v>
      </c>
      <c r="E431" s="3">
        <f ca="1">IFERROR(__xludf.DUMMYFUNCTION("""COMPUTED_VALUE"""),2263.69)</f>
        <v>2263.69</v>
      </c>
      <c r="F431" s="3">
        <f ca="1">IFERROR(__xludf.DUMMYFUNCTION("""COMPUTED_VALUE"""),0)</f>
        <v>0</v>
      </c>
    </row>
    <row r="432" spans="1:6" ht="13" x14ac:dyDescent="0.15">
      <c r="A432" s="4">
        <f ca="1">IFERROR(__xludf.DUMMYFUNCTION("""COMPUTED_VALUE"""),42755.6666666666)</f>
        <v>42755.666666666599</v>
      </c>
      <c r="B432" s="3">
        <f ca="1">IFERROR(__xludf.DUMMYFUNCTION("""COMPUTED_VALUE"""),2269.96)</f>
        <v>2269.96</v>
      </c>
      <c r="C432" s="3">
        <f ca="1">IFERROR(__xludf.DUMMYFUNCTION("""COMPUTED_VALUE"""),2276.96)</f>
        <v>2276.96</v>
      </c>
      <c r="D432" s="3">
        <f ca="1">IFERROR(__xludf.DUMMYFUNCTION("""COMPUTED_VALUE"""),2265.01)</f>
        <v>2265.0100000000002</v>
      </c>
      <c r="E432" s="3">
        <f ca="1">IFERROR(__xludf.DUMMYFUNCTION("""COMPUTED_VALUE"""),2271.31)</f>
        <v>2271.31</v>
      </c>
      <c r="F432" s="3">
        <f ca="1">IFERROR(__xludf.DUMMYFUNCTION("""COMPUTED_VALUE"""),0)</f>
        <v>0</v>
      </c>
    </row>
    <row r="433" spans="1:6" ht="13" x14ac:dyDescent="0.15">
      <c r="A433" s="4">
        <f ca="1">IFERROR(__xludf.DUMMYFUNCTION("""COMPUTED_VALUE"""),42758.6666666666)</f>
        <v>42758.666666666599</v>
      </c>
      <c r="B433" s="3">
        <f ca="1">IFERROR(__xludf.DUMMYFUNCTION("""COMPUTED_VALUE"""),2267.78)</f>
        <v>2267.7800000000002</v>
      </c>
      <c r="C433" s="3">
        <f ca="1">IFERROR(__xludf.DUMMYFUNCTION("""COMPUTED_VALUE"""),2271.78)</f>
        <v>2271.7800000000002</v>
      </c>
      <c r="D433" s="3">
        <f ca="1">IFERROR(__xludf.DUMMYFUNCTION("""COMPUTED_VALUE"""),2257.02)</f>
        <v>2257.02</v>
      </c>
      <c r="E433" s="3">
        <f ca="1">IFERROR(__xludf.DUMMYFUNCTION("""COMPUTED_VALUE"""),2265.2)</f>
        <v>2265.1999999999998</v>
      </c>
      <c r="F433" s="3">
        <f ca="1">IFERROR(__xludf.DUMMYFUNCTION("""COMPUTED_VALUE"""),0)</f>
        <v>0</v>
      </c>
    </row>
    <row r="434" spans="1:6" ht="13" x14ac:dyDescent="0.15">
      <c r="A434" s="4">
        <f ca="1">IFERROR(__xludf.DUMMYFUNCTION("""COMPUTED_VALUE"""),42759.6666666666)</f>
        <v>42759.666666666599</v>
      </c>
      <c r="B434" s="3">
        <f ca="1">IFERROR(__xludf.DUMMYFUNCTION("""COMPUTED_VALUE"""),2267.88)</f>
        <v>2267.88</v>
      </c>
      <c r="C434" s="3">
        <f ca="1">IFERROR(__xludf.DUMMYFUNCTION("""COMPUTED_VALUE"""),2284.63)</f>
        <v>2284.63</v>
      </c>
      <c r="D434" s="3">
        <f ca="1">IFERROR(__xludf.DUMMYFUNCTION("""COMPUTED_VALUE"""),2266.68)</f>
        <v>2266.6799999999998</v>
      </c>
      <c r="E434" s="3">
        <f ca="1">IFERROR(__xludf.DUMMYFUNCTION("""COMPUTED_VALUE"""),2280.07)</f>
        <v>2280.0700000000002</v>
      </c>
      <c r="F434" s="3">
        <f ca="1">IFERROR(__xludf.DUMMYFUNCTION("""COMPUTED_VALUE"""),0)</f>
        <v>0</v>
      </c>
    </row>
    <row r="435" spans="1:6" ht="13" x14ac:dyDescent="0.15">
      <c r="A435" s="4">
        <f ca="1">IFERROR(__xludf.DUMMYFUNCTION("""COMPUTED_VALUE"""),42760.6666666666)</f>
        <v>42760.666666666599</v>
      </c>
      <c r="B435" s="3">
        <f ca="1">IFERROR(__xludf.DUMMYFUNCTION("""COMPUTED_VALUE"""),2288.88)</f>
        <v>2288.88</v>
      </c>
      <c r="C435" s="3">
        <f ca="1">IFERROR(__xludf.DUMMYFUNCTION("""COMPUTED_VALUE"""),2299.55)</f>
        <v>2299.5500000000002</v>
      </c>
      <c r="D435" s="3">
        <f ca="1">IFERROR(__xludf.DUMMYFUNCTION("""COMPUTED_VALUE"""),2288.88)</f>
        <v>2288.88</v>
      </c>
      <c r="E435" s="3">
        <f ca="1">IFERROR(__xludf.DUMMYFUNCTION("""COMPUTED_VALUE"""),2298.37)</f>
        <v>2298.37</v>
      </c>
      <c r="F435" s="3">
        <f ca="1">IFERROR(__xludf.DUMMYFUNCTION("""COMPUTED_VALUE"""),0)</f>
        <v>0</v>
      </c>
    </row>
    <row r="436" spans="1:6" ht="13" x14ac:dyDescent="0.15">
      <c r="A436" s="4">
        <f ca="1">IFERROR(__xludf.DUMMYFUNCTION("""COMPUTED_VALUE"""),42761.6666666666)</f>
        <v>42761.666666666599</v>
      </c>
      <c r="B436" s="3">
        <f ca="1">IFERROR(__xludf.DUMMYFUNCTION("""COMPUTED_VALUE"""),2298.63)</f>
        <v>2298.63</v>
      </c>
      <c r="C436" s="3">
        <f ca="1">IFERROR(__xludf.DUMMYFUNCTION("""COMPUTED_VALUE"""),2300.99)</f>
        <v>2300.9899999999998</v>
      </c>
      <c r="D436" s="3">
        <f ca="1">IFERROR(__xludf.DUMMYFUNCTION("""COMPUTED_VALUE"""),2294.08)</f>
        <v>2294.08</v>
      </c>
      <c r="E436" s="3">
        <f ca="1">IFERROR(__xludf.DUMMYFUNCTION("""COMPUTED_VALUE"""),2296.68)</f>
        <v>2296.6799999999998</v>
      </c>
      <c r="F436" s="3">
        <f ca="1">IFERROR(__xludf.DUMMYFUNCTION("""COMPUTED_VALUE"""),0)</f>
        <v>0</v>
      </c>
    </row>
    <row r="437" spans="1:6" ht="13" x14ac:dyDescent="0.15">
      <c r="A437" s="4">
        <f ca="1">IFERROR(__xludf.DUMMYFUNCTION("""COMPUTED_VALUE"""),42762.6666666666)</f>
        <v>42762.666666666599</v>
      </c>
      <c r="B437" s="3">
        <f ca="1">IFERROR(__xludf.DUMMYFUNCTION("""COMPUTED_VALUE"""),2299.02)</f>
        <v>2299.02</v>
      </c>
      <c r="C437" s="3">
        <f ca="1">IFERROR(__xludf.DUMMYFUNCTION("""COMPUTED_VALUE"""),2299.02)</f>
        <v>2299.02</v>
      </c>
      <c r="D437" s="3">
        <f ca="1">IFERROR(__xludf.DUMMYFUNCTION("""COMPUTED_VALUE"""),2291.62)</f>
        <v>2291.62</v>
      </c>
      <c r="E437" s="3">
        <f ca="1">IFERROR(__xludf.DUMMYFUNCTION("""COMPUTED_VALUE"""),2294.69)</f>
        <v>2294.69</v>
      </c>
      <c r="F437" s="3">
        <f ca="1">IFERROR(__xludf.DUMMYFUNCTION("""COMPUTED_VALUE"""),0)</f>
        <v>0</v>
      </c>
    </row>
    <row r="438" spans="1:6" ht="13" x14ac:dyDescent="0.15">
      <c r="A438" s="4">
        <f ca="1">IFERROR(__xludf.DUMMYFUNCTION("""COMPUTED_VALUE"""),42765.6666666666)</f>
        <v>42765.666666666599</v>
      </c>
      <c r="B438" s="3">
        <f ca="1">IFERROR(__xludf.DUMMYFUNCTION("""COMPUTED_VALUE"""),2286.01)</f>
        <v>2286.0100000000002</v>
      </c>
      <c r="C438" s="3">
        <f ca="1">IFERROR(__xludf.DUMMYFUNCTION("""COMPUTED_VALUE"""),2286.01)</f>
        <v>2286.0100000000002</v>
      </c>
      <c r="D438" s="3">
        <f ca="1">IFERROR(__xludf.DUMMYFUNCTION("""COMPUTED_VALUE"""),2268.04)</f>
        <v>2268.04</v>
      </c>
      <c r="E438" s="3">
        <f ca="1">IFERROR(__xludf.DUMMYFUNCTION("""COMPUTED_VALUE"""),2280.9)</f>
        <v>2280.9</v>
      </c>
      <c r="F438" s="3">
        <f ca="1">IFERROR(__xludf.DUMMYFUNCTION("""COMPUTED_VALUE"""),0)</f>
        <v>0</v>
      </c>
    </row>
    <row r="439" spans="1:6" ht="13" x14ac:dyDescent="0.15">
      <c r="A439" s="4">
        <f ca="1">IFERROR(__xludf.DUMMYFUNCTION("""COMPUTED_VALUE"""),42766.6666666666)</f>
        <v>42766.666666666599</v>
      </c>
      <c r="B439" s="3">
        <f ca="1">IFERROR(__xludf.DUMMYFUNCTION("""COMPUTED_VALUE"""),2274.02)</f>
        <v>2274.02</v>
      </c>
      <c r="C439" s="3">
        <f ca="1">IFERROR(__xludf.DUMMYFUNCTION("""COMPUTED_VALUE"""),2279.09)</f>
        <v>2279.09</v>
      </c>
      <c r="D439" s="3">
        <f ca="1">IFERROR(__xludf.DUMMYFUNCTION("""COMPUTED_VALUE"""),2267.21)</f>
        <v>2267.21</v>
      </c>
      <c r="E439" s="3">
        <f ca="1">IFERROR(__xludf.DUMMYFUNCTION("""COMPUTED_VALUE"""),2278.87)</f>
        <v>2278.87</v>
      </c>
      <c r="F439" s="3">
        <f ca="1">IFERROR(__xludf.DUMMYFUNCTION("""COMPUTED_VALUE"""),0)</f>
        <v>0</v>
      </c>
    </row>
    <row r="440" spans="1:6" ht="13" x14ac:dyDescent="0.15">
      <c r="A440" s="4">
        <f ca="1">IFERROR(__xludf.DUMMYFUNCTION("""COMPUTED_VALUE"""),42767.6666666666)</f>
        <v>42767.666666666599</v>
      </c>
      <c r="B440" s="3">
        <f ca="1">IFERROR(__xludf.DUMMYFUNCTION("""COMPUTED_VALUE"""),2285.59)</f>
        <v>2285.59</v>
      </c>
      <c r="C440" s="3">
        <f ca="1">IFERROR(__xludf.DUMMYFUNCTION("""COMPUTED_VALUE"""),2289.14)</f>
        <v>2289.14</v>
      </c>
      <c r="D440" s="3">
        <f ca="1">IFERROR(__xludf.DUMMYFUNCTION("""COMPUTED_VALUE"""),2272.44)</f>
        <v>2272.44</v>
      </c>
      <c r="E440" s="3">
        <f ca="1">IFERROR(__xludf.DUMMYFUNCTION("""COMPUTED_VALUE"""),2279.55)</f>
        <v>2279.5500000000002</v>
      </c>
      <c r="F440" s="3">
        <f ca="1">IFERROR(__xludf.DUMMYFUNCTION("""COMPUTED_VALUE"""),0)</f>
        <v>0</v>
      </c>
    </row>
    <row r="441" spans="1:6" ht="13" x14ac:dyDescent="0.15">
      <c r="A441" s="4">
        <f ca="1">IFERROR(__xludf.DUMMYFUNCTION("""COMPUTED_VALUE"""),42768.6666666666)</f>
        <v>42768.666666666599</v>
      </c>
      <c r="B441" s="3">
        <f ca="1">IFERROR(__xludf.DUMMYFUNCTION("""COMPUTED_VALUE"""),2276.69)</f>
        <v>2276.69</v>
      </c>
      <c r="C441" s="3">
        <f ca="1">IFERROR(__xludf.DUMMYFUNCTION("""COMPUTED_VALUE"""),2283.97)</f>
        <v>2283.9699999999998</v>
      </c>
      <c r="D441" s="3">
        <f ca="1">IFERROR(__xludf.DUMMYFUNCTION("""COMPUTED_VALUE"""),2271.65)</f>
        <v>2271.65</v>
      </c>
      <c r="E441" s="3">
        <f ca="1">IFERROR(__xludf.DUMMYFUNCTION("""COMPUTED_VALUE"""),2280.85)</f>
        <v>2280.85</v>
      </c>
      <c r="F441" s="3">
        <f ca="1">IFERROR(__xludf.DUMMYFUNCTION("""COMPUTED_VALUE"""),0)</f>
        <v>0</v>
      </c>
    </row>
    <row r="442" spans="1:6" ht="13" x14ac:dyDescent="0.15">
      <c r="A442" s="4">
        <f ca="1">IFERROR(__xludf.DUMMYFUNCTION("""COMPUTED_VALUE"""),42769.6666666666)</f>
        <v>42769.666666666599</v>
      </c>
      <c r="B442" s="3">
        <f ca="1">IFERROR(__xludf.DUMMYFUNCTION("""COMPUTED_VALUE"""),2288.54)</f>
        <v>2288.54</v>
      </c>
      <c r="C442" s="3">
        <f ca="1">IFERROR(__xludf.DUMMYFUNCTION("""COMPUTED_VALUE"""),2298.31)</f>
        <v>2298.31</v>
      </c>
      <c r="D442" s="3">
        <f ca="1">IFERROR(__xludf.DUMMYFUNCTION("""COMPUTED_VALUE"""),2287.88)</f>
        <v>2287.88</v>
      </c>
      <c r="E442" s="3">
        <f ca="1">IFERROR(__xludf.DUMMYFUNCTION("""COMPUTED_VALUE"""),2297.42)</f>
        <v>2297.42</v>
      </c>
      <c r="F442" s="3">
        <f ca="1">IFERROR(__xludf.DUMMYFUNCTION("""COMPUTED_VALUE"""),0)</f>
        <v>0</v>
      </c>
    </row>
    <row r="443" spans="1:6" ht="13" x14ac:dyDescent="0.15">
      <c r="A443" s="4">
        <f ca="1">IFERROR(__xludf.DUMMYFUNCTION("""COMPUTED_VALUE"""),42772.6666666666)</f>
        <v>42772.666666666599</v>
      </c>
      <c r="B443" s="3">
        <f ca="1">IFERROR(__xludf.DUMMYFUNCTION("""COMPUTED_VALUE"""),2294.28)</f>
        <v>2294.2800000000002</v>
      </c>
      <c r="C443" s="3">
        <f ca="1">IFERROR(__xludf.DUMMYFUNCTION("""COMPUTED_VALUE"""),2296.18)</f>
        <v>2296.1799999999998</v>
      </c>
      <c r="D443" s="3">
        <f ca="1">IFERROR(__xludf.DUMMYFUNCTION("""COMPUTED_VALUE"""),2288.57)</f>
        <v>2288.5700000000002</v>
      </c>
      <c r="E443" s="3">
        <f ca="1">IFERROR(__xludf.DUMMYFUNCTION("""COMPUTED_VALUE"""),2292.56)</f>
        <v>2292.56</v>
      </c>
      <c r="F443" s="3">
        <f ca="1">IFERROR(__xludf.DUMMYFUNCTION("""COMPUTED_VALUE"""),0)</f>
        <v>0</v>
      </c>
    </row>
    <row r="444" spans="1:6" ht="13" x14ac:dyDescent="0.15">
      <c r="A444" s="4">
        <f ca="1">IFERROR(__xludf.DUMMYFUNCTION("""COMPUTED_VALUE"""),42773.6666666666)</f>
        <v>42773.666666666599</v>
      </c>
      <c r="B444" s="3">
        <f ca="1">IFERROR(__xludf.DUMMYFUNCTION("""COMPUTED_VALUE"""),2295.87)</f>
        <v>2295.87</v>
      </c>
      <c r="C444" s="3">
        <f ca="1">IFERROR(__xludf.DUMMYFUNCTION("""COMPUTED_VALUE"""),2299.4)</f>
        <v>2299.4</v>
      </c>
      <c r="D444" s="3">
        <f ca="1">IFERROR(__xludf.DUMMYFUNCTION("""COMPUTED_VALUE"""),2290.16)</f>
        <v>2290.16</v>
      </c>
      <c r="E444" s="3">
        <f ca="1">IFERROR(__xludf.DUMMYFUNCTION("""COMPUTED_VALUE"""),2293.08)</f>
        <v>2293.08</v>
      </c>
      <c r="F444" s="3">
        <f ca="1">IFERROR(__xludf.DUMMYFUNCTION("""COMPUTED_VALUE"""),0)</f>
        <v>0</v>
      </c>
    </row>
    <row r="445" spans="1:6" ht="13" x14ac:dyDescent="0.15">
      <c r="A445" s="4">
        <f ca="1">IFERROR(__xludf.DUMMYFUNCTION("""COMPUTED_VALUE"""),42774.6666666666)</f>
        <v>42774.666666666599</v>
      </c>
      <c r="B445" s="3">
        <f ca="1">IFERROR(__xludf.DUMMYFUNCTION("""COMPUTED_VALUE"""),2289.55)</f>
        <v>2289.5500000000002</v>
      </c>
      <c r="C445" s="3">
        <f ca="1">IFERROR(__xludf.DUMMYFUNCTION("""COMPUTED_VALUE"""),2295.91)</f>
        <v>2295.91</v>
      </c>
      <c r="D445" s="3">
        <f ca="1">IFERROR(__xludf.DUMMYFUNCTION("""COMPUTED_VALUE"""),2285.38)</f>
        <v>2285.38</v>
      </c>
      <c r="E445" s="3">
        <f ca="1">IFERROR(__xludf.DUMMYFUNCTION("""COMPUTED_VALUE"""),2294.67)</f>
        <v>2294.67</v>
      </c>
      <c r="F445" s="3">
        <f ca="1">IFERROR(__xludf.DUMMYFUNCTION("""COMPUTED_VALUE"""),0)</f>
        <v>0</v>
      </c>
    </row>
    <row r="446" spans="1:6" ht="13" x14ac:dyDescent="0.15">
      <c r="A446" s="4">
        <f ca="1">IFERROR(__xludf.DUMMYFUNCTION("""COMPUTED_VALUE"""),42775.6666666666)</f>
        <v>42775.666666666599</v>
      </c>
      <c r="B446" s="3">
        <f ca="1">IFERROR(__xludf.DUMMYFUNCTION("""COMPUTED_VALUE"""),2296.7)</f>
        <v>2296.6999999999998</v>
      </c>
      <c r="C446" s="3">
        <f ca="1">IFERROR(__xludf.DUMMYFUNCTION("""COMPUTED_VALUE"""),2311.08)</f>
        <v>2311.08</v>
      </c>
      <c r="D446" s="3">
        <f ca="1">IFERROR(__xludf.DUMMYFUNCTION("""COMPUTED_VALUE"""),2296.61)</f>
        <v>2296.61</v>
      </c>
      <c r="E446" s="3">
        <f ca="1">IFERROR(__xludf.DUMMYFUNCTION("""COMPUTED_VALUE"""),2307.87)</f>
        <v>2307.87</v>
      </c>
      <c r="F446" s="3">
        <f ca="1">IFERROR(__xludf.DUMMYFUNCTION("""COMPUTED_VALUE"""),0)</f>
        <v>0</v>
      </c>
    </row>
    <row r="447" spans="1:6" ht="13" x14ac:dyDescent="0.15">
      <c r="A447" s="4">
        <f ca="1">IFERROR(__xludf.DUMMYFUNCTION("""COMPUTED_VALUE"""),42776.6666666666)</f>
        <v>42776.666666666599</v>
      </c>
      <c r="B447" s="3">
        <f ca="1">IFERROR(__xludf.DUMMYFUNCTION("""COMPUTED_VALUE"""),2312.27)</f>
        <v>2312.27</v>
      </c>
      <c r="C447" s="3">
        <f ca="1">IFERROR(__xludf.DUMMYFUNCTION("""COMPUTED_VALUE"""),2319.23)</f>
        <v>2319.23</v>
      </c>
      <c r="D447" s="3">
        <f ca="1">IFERROR(__xludf.DUMMYFUNCTION("""COMPUTED_VALUE"""),2311.1)</f>
        <v>2311.1</v>
      </c>
      <c r="E447" s="3">
        <f ca="1">IFERROR(__xludf.DUMMYFUNCTION("""COMPUTED_VALUE"""),2316.1)</f>
        <v>2316.1</v>
      </c>
      <c r="F447" s="3">
        <f ca="1">IFERROR(__xludf.DUMMYFUNCTION("""COMPUTED_VALUE"""),0)</f>
        <v>0</v>
      </c>
    </row>
    <row r="448" spans="1:6" ht="13" x14ac:dyDescent="0.15">
      <c r="A448" s="4">
        <f ca="1">IFERROR(__xludf.DUMMYFUNCTION("""COMPUTED_VALUE"""),42779.6666666666)</f>
        <v>42779.666666666599</v>
      </c>
      <c r="B448" s="3">
        <f ca="1">IFERROR(__xludf.DUMMYFUNCTION("""COMPUTED_VALUE"""),2321.72)</f>
        <v>2321.7199999999998</v>
      </c>
      <c r="C448" s="3">
        <f ca="1">IFERROR(__xludf.DUMMYFUNCTION("""COMPUTED_VALUE"""),2331.58)</f>
        <v>2331.58</v>
      </c>
      <c r="D448" s="3">
        <f ca="1">IFERROR(__xludf.DUMMYFUNCTION("""COMPUTED_VALUE"""),2321.42)</f>
        <v>2321.42</v>
      </c>
      <c r="E448" s="3">
        <f ca="1">IFERROR(__xludf.DUMMYFUNCTION("""COMPUTED_VALUE"""),2328.25)</f>
        <v>2328.25</v>
      </c>
      <c r="F448" s="3">
        <f ca="1">IFERROR(__xludf.DUMMYFUNCTION("""COMPUTED_VALUE"""),0)</f>
        <v>0</v>
      </c>
    </row>
    <row r="449" spans="1:6" ht="13" x14ac:dyDescent="0.15">
      <c r="A449" s="4">
        <f ca="1">IFERROR(__xludf.DUMMYFUNCTION("""COMPUTED_VALUE"""),42780.6666666666)</f>
        <v>42780.666666666599</v>
      </c>
      <c r="B449" s="3">
        <f ca="1">IFERROR(__xludf.DUMMYFUNCTION("""COMPUTED_VALUE"""),2326.12)</f>
        <v>2326.12</v>
      </c>
      <c r="C449" s="3">
        <f ca="1">IFERROR(__xludf.DUMMYFUNCTION("""COMPUTED_VALUE"""),2337.58)</f>
        <v>2337.58</v>
      </c>
      <c r="D449" s="3">
        <f ca="1">IFERROR(__xludf.DUMMYFUNCTION("""COMPUTED_VALUE"""),2322.17)</f>
        <v>2322.17</v>
      </c>
      <c r="E449" s="3">
        <f ca="1">IFERROR(__xludf.DUMMYFUNCTION("""COMPUTED_VALUE"""),2337.58)</f>
        <v>2337.58</v>
      </c>
      <c r="F449" s="3">
        <f ca="1">IFERROR(__xludf.DUMMYFUNCTION("""COMPUTED_VALUE"""),0)</f>
        <v>0</v>
      </c>
    </row>
    <row r="450" spans="1:6" ht="13" x14ac:dyDescent="0.15">
      <c r="A450" s="4">
        <f ca="1">IFERROR(__xludf.DUMMYFUNCTION("""COMPUTED_VALUE"""),42781.6666666666)</f>
        <v>42781.666666666599</v>
      </c>
      <c r="B450" s="3">
        <f ca="1">IFERROR(__xludf.DUMMYFUNCTION("""COMPUTED_VALUE"""),2335.58)</f>
        <v>2335.58</v>
      </c>
      <c r="C450" s="3">
        <f ca="1">IFERROR(__xludf.DUMMYFUNCTION("""COMPUTED_VALUE"""),2351.3)</f>
        <v>2351.3000000000002</v>
      </c>
      <c r="D450" s="3">
        <f ca="1">IFERROR(__xludf.DUMMYFUNCTION("""COMPUTED_VALUE"""),2334.81)</f>
        <v>2334.81</v>
      </c>
      <c r="E450" s="3">
        <f ca="1">IFERROR(__xludf.DUMMYFUNCTION("""COMPUTED_VALUE"""),2349.25)</f>
        <v>2349.25</v>
      </c>
      <c r="F450" s="3">
        <f ca="1">IFERROR(__xludf.DUMMYFUNCTION("""COMPUTED_VALUE"""),0)</f>
        <v>0</v>
      </c>
    </row>
    <row r="451" spans="1:6" ht="13" x14ac:dyDescent="0.15">
      <c r="A451" s="4">
        <f ca="1">IFERROR(__xludf.DUMMYFUNCTION("""COMPUTED_VALUE"""),42782.6666666666)</f>
        <v>42782.666666666599</v>
      </c>
      <c r="B451" s="3">
        <f ca="1">IFERROR(__xludf.DUMMYFUNCTION("""COMPUTED_VALUE"""),2349.64)</f>
        <v>2349.64</v>
      </c>
      <c r="C451" s="3">
        <f ca="1">IFERROR(__xludf.DUMMYFUNCTION("""COMPUTED_VALUE"""),2351.31)</f>
        <v>2351.31</v>
      </c>
      <c r="D451" s="3">
        <f ca="1">IFERROR(__xludf.DUMMYFUNCTION("""COMPUTED_VALUE"""),2338.87)</f>
        <v>2338.87</v>
      </c>
      <c r="E451" s="3">
        <f ca="1">IFERROR(__xludf.DUMMYFUNCTION("""COMPUTED_VALUE"""),2347.22)</f>
        <v>2347.2199999999998</v>
      </c>
      <c r="F451" s="3">
        <f ca="1">IFERROR(__xludf.DUMMYFUNCTION("""COMPUTED_VALUE"""),0)</f>
        <v>0</v>
      </c>
    </row>
    <row r="452" spans="1:6" ht="13" x14ac:dyDescent="0.15">
      <c r="A452" s="4">
        <f ca="1">IFERROR(__xludf.DUMMYFUNCTION("""COMPUTED_VALUE"""),42783.6666666666)</f>
        <v>42783.666666666599</v>
      </c>
      <c r="B452" s="3">
        <f ca="1">IFERROR(__xludf.DUMMYFUNCTION("""COMPUTED_VALUE"""),2343.01)</f>
        <v>2343.0100000000002</v>
      </c>
      <c r="C452" s="3">
        <f ca="1">IFERROR(__xludf.DUMMYFUNCTION("""COMPUTED_VALUE"""),2351.16)</f>
        <v>2351.16</v>
      </c>
      <c r="D452" s="3">
        <f ca="1">IFERROR(__xludf.DUMMYFUNCTION("""COMPUTED_VALUE"""),2339.58)</f>
        <v>2339.58</v>
      </c>
      <c r="E452" s="3">
        <f ca="1">IFERROR(__xludf.DUMMYFUNCTION("""COMPUTED_VALUE"""),2351.16)</f>
        <v>2351.16</v>
      </c>
      <c r="F452" s="3">
        <f ca="1">IFERROR(__xludf.DUMMYFUNCTION("""COMPUTED_VALUE"""),0)</f>
        <v>0</v>
      </c>
    </row>
    <row r="453" spans="1:6" ht="13" x14ac:dyDescent="0.15">
      <c r="A453" s="4">
        <f ca="1">IFERROR(__xludf.DUMMYFUNCTION("""COMPUTED_VALUE"""),42787.6666666666)</f>
        <v>42787.666666666599</v>
      </c>
      <c r="B453" s="3">
        <f ca="1">IFERROR(__xludf.DUMMYFUNCTION("""COMPUTED_VALUE"""),2354.91)</f>
        <v>2354.91</v>
      </c>
      <c r="C453" s="3">
        <f ca="1">IFERROR(__xludf.DUMMYFUNCTION("""COMPUTED_VALUE"""),2366.71)</f>
        <v>2366.71</v>
      </c>
      <c r="D453" s="3">
        <f ca="1">IFERROR(__xludf.DUMMYFUNCTION("""COMPUTED_VALUE"""),2354.91)</f>
        <v>2354.91</v>
      </c>
      <c r="E453" s="3">
        <f ca="1">IFERROR(__xludf.DUMMYFUNCTION("""COMPUTED_VALUE"""),2365.38)</f>
        <v>2365.38</v>
      </c>
      <c r="F453" s="3">
        <f ca="1">IFERROR(__xludf.DUMMYFUNCTION("""COMPUTED_VALUE"""),0)</f>
        <v>0</v>
      </c>
    </row>
    <row r="454" spans="1:6" ht="13" x14ac:dyDescent="0.15">
      <c r="A454" s="4">
        <f ca="1">IFERROR(__xludf.DUMMYFUNCTION("""COMPUTED_VALUE"""),42788.6666666666)</f>
        <v>42788.666666666599</v>
      </c>
      <c r="B454" s="3">
        <f ca="1">IFERROR(__xludf.DUMMYFUNCTION("""COMPUTED_VALUE"""),2361.11)</f>
        <v>2361.11</v>
      </c>
      <c r="C454" s="3">
        <f ca="1">IFERROR(__xludf.DUMMYFUNCTION("""COMPUTED_VALUE"""),2365.13)</f>
        <v>2365.13</v>
      </c>
      <c r="D454" s="3">
        <f ca="1">IFERROR(__xludf.DUMMYFUNCTION("""COMPUTED_VALUE"""),2358.34)</f>
        <v>2358.34</v>
      </c>
      <c r="E454" s="3">
        <f ca="1">IFERROR(__xludf.DUMMYFUNCTION("""COMPUTED_VALUE"""),2362.82)</f>
        <v>2362.8200000000002</v>
      </c>
      <c r="F454" s="3">
        <f ca="1">IFERROR(__xludf.DUMMYFUNCTION("""COMPUTED_VALUE"""),0)</f>
        <v>0</v>
      </c>
    </row>
    <row r="455" spans="1:6" ht="13" x14ac:dyDescent="0.15">
      <c r="A455" s="4">
        <f ca="1">IFERROR(__xludf.DUMMYFUNCTION("""COMPUTED_VALUE"""),42789.6666666666)</f>
        <v>42789.666666666599</v>
      </c>
      <c r="B455" s="3">
        <f ca="1">IFERROR(__xludf.DUMMYFUNCTION("""COMPUTED_VALUE"""),2367.5)</f>
        <v>2367.5</v>
      </c>
      <c r="C455" s="3">
        <f ca="1">IFERROR(__xludf.DUMMYFUNCTION("""COMPUTED_VALUE"""),2368.26)</f>
        <v>2368.2600000000002</v>
      </c>
      <c r="D455" s="3">
        <f ca="1">IFERROR(__xludf.DUMMYFUNCTION("""COMPUTED_VALUE"""),2355.09)</f>
        <v>2355.09</v>
      </c>
      <c r="E455" s="3">
        <f ca="1">IFERROR(__xludf.DUMMYFUNCTION("""COMPUTED_VALUE"""),2363.81)</f>
        <v>2363.81</v>
      </c>
      <c r="F455" s="3">
        <f ca="1">IFERROR(__xludf.DUMMYFUNCTION("""COMPUTED_VALUE"""),0)</f>
        <v>0</v>
      </c>
    </row>
    <row r="456" spans="1:6" ht="13" x14ac:dyDescent="0.15">
      <c r="A456" s="4">
        <f ca="1">IFERROR(__xludf.DUMMYFUNCTION("""COMPUTED_VALUE"""),42790.6666666666)</f>
        <v>42790.666666666599</v>
      </c>
      <c r="B456" s="3">
        <f ca="1">IFERROR(__xludf.DUMMYFUNCTION("""COMPUTED_VALUE"""),2355.73)</f>
        <v>2355.73</v>
      </c>
      <c r="C456" s="3">
        <f ca="1">IFERROR(__xludf.DUMMYFUNCTION("""COMPUTED_VALUE"""),2367.34)</f>
        <v>2367.34</v>
      </c>
      <c r="D456" s="3">
        <f ca="1">IFERROR(__xludf.DUMMYFUNCTION("""COMPUTED_VALUE"""),2352.87)</f>
        <v>2352.87</v>
      </c>
      <c r="E456" s="3">
        <f ca="1">IFERROR(__xludf.DUMMYFUNCTION("""COMPUTED_VALUE"""),2367.34)</f>
        <v>2367.34</v>
      </c>
      <c r="F456" s="3">
        <f ca="1">IFERROR(__xludf.DUMMYFUNCTION("""COMPUTED_VALUE"""),0)</f>
        <v>0</v>
      </c>
    </row>
    <row r="457" spans="1:6" ht="13" x14ac:dyDescent="0.15">
      <c r="A457" s="4">
        <f ca="1">IFERROR(__xludf.DUMMYFUNCTION("""COMPUTED_VALUE"""),42793.6666666666)</f>
        <v>42793.666666666599</v>
      </c>
      <c r="B457" s="3">
        <f ca="1">IFERROR(__xludf.DUMMYFUNCTION("""COMPUTED_VALUE"""),2365.23)</f>
        <v>2365.23</v>
      </c>
      <c r="C457" s="3">
        <f ca="1">IFERROR(__xludf.DUMMYFUNCTION("""COMPUTED_VALUE"""),2371.54)</f>
        <v>2371.54</v>
      </c>
      <c r="D457" s="3">
        <f ca="1">IFERROR(__xludf.DUMMYFUNCTION("""COMPUTED_VALUE"""),2361.87)</f>
        <v>2361.87</v>
      </c>
      <c r="E457" s="3">
        <f ca="1">IFERROR(__xludf.DUMMYFUNCTION("""COMPUTED_VALUE"""),2369.75)</f>
        <v>2369.75</v>
      </c>
      <c r="F457" s="3">
        <f ca="1">IFERROR(__xludf.DUMMYFUNCTION("""COMPUTED_VALUE"""),0)</f>
        <v>0</v>
      </c>
    </row>
    <row r="458" spans="1:6" ht="13" x14ac:dyDescent="0.15">
      <c r="A458" s="4">
        <f ca="1">IFERROR(__xludf.DUMMYFUNCTION("""COMPUTED_VALUE"""),42794.6666666666)</f>
        <v>42794.666666666599</v>
      </c>
      <c r="B458" s="3">
        <f ca="1">IFERROR(__xludf.DUMMYFUNCTION("""COMPUTED_VALUE"""),2366.08)</f>
        <v>2366.08</v>
      </c>
      <c r="C458" s="3">
        <f ca="1">IFERROR(__xludf.DUMMYFUNCTION("""COMPUTED_VALUE"""),2367.79)</f>
        <v>2367.79</v>
      </c>
      <c r="D458" s="3">
        <f ca="1">IFERROR(__xludf.DUMMYFUNCTION("""COMPUTED_VALUE"""),2358.96)</f>
        <v>2358.96</v>
      </c>
      <c r="E458" s="3">
        <f ca="1">IFERROR(__xludf.DUMMYFUNCTION("""COMPUTED_VALUE"""),2363.64)</f>
        <v>2363.64</v>
      </c>
      <c r="F458" s="3">
        <f ca="1">IFERROR(__xludf.DUMMYFUNCTION("""COMPUTED_VALUE"""),0)</f>
        <v>0</v>
      </c>
    </row>
    <row r="459" spans="1:6" ht="13" x14ac:dyDescent="0.15">
      <c r="A459" s="4">
        <f ca="1">IFERROR(__xludf.DUMMYFUNCTION("""COMPUTED_VALUE"""),42795.6666666666)</f>
        <v>42795.666666666599</v>
      </c>
      <c r="B459" s="3">
        <f ca="1">IFERROR(__xludf.DUMMYFUNCTION("""COMPUTED_VALUE"""),2380.13)</f>
        <v>2380.13</v>
      </c>
      <c r="C459" s="3">
        <f ca="1">IFERROR(__xludf.DUMMYFUNCTION("""COMPUTED_VALUE"""),2400.98)</f>
        <v>2400.98</v>
      </c>
      <c r="D459" s="3">
        <f ca="1">IFERROR(__xludf.DUMMYFUNCTION("""COMPUTED_VALUE"""),2380.13)</f>
        <v>2380.13</v>
      </c>
      <c r="E459" s="3">
        <f ca="1">IFERROR(__xludf.DUMMYFUNCTION("""COMPUTED_VALUE"""),2395.96)</f>
        <v>2395.96</v>
      </c>
      <c r="F459" s="3">
        <f ca="1">IFERROR(__xludf.DUMMYFUNCTION("""COMPUTED_VALUE"""),0)</f>
        <v>0</v>
      </c>
    </row>
    <row r="460" spans="1:6" ht="13" x14ac:dyDescent="0.15">
      <c r="A460" s="4">
        <f ca="1">IFERROR(__xludf.DUMMYFUNCTION("""COMPUTED_VALUE"""),42796.6666666666)</f>
        <v>42796.666666666599</v>
      </c>
      <c r="B460" s="3">
        <f ca="1">IFERROR(__xludf.DUMMYFUNCTION("""COMPUTED_VALUE"""),2394.75)</f>
        <v>2394.75</v>
      </c>
      <c r="C460" s="3">
        <f ca="1">IFERROR(__xludf.DUMMYFUNCTION("""COMPUTED_VALUE"""),2394.75)</f>
        <v>2394.75</v>
      </c>
      <c r="D460" s="3">
        <f ca="1">IFERROR(__xludf.DUMMYFUNCTION("""COMPUTED_VALUE"""),2380.17)</f>
        <v>2380.17</v>
      </c>
      <c r="E460" s="3">
        <f ca="1">IFERROR(__xludf.DUMMYFUNCTION("""COMPUTED_VALUE"""),2381.92)</f>
        <v>2381.92</v>
      </c>
      <c r="F460" s="3">
        <f ca="1">IFERROR(__xludf.DUMMYFUNCTION("""COMPUTED_VALUE"""),0)</f>
        <v>0</v>
      </c>
    </row>
    <row r="461" spans="1:6" ht="13" x14ac:dyDescent="0.15">
      <c r="A461" s="4">
        <f ca="1">IFERROR(__xludf.DUMMYFUNCTION("""COMPUTED_VALUE"""),42797.6666666666)</f>
        <v>42797.666666666599</v>
      </c>
      <c r="B461" s="3">
        <f ca="1">IFERROR(__xludf.DUMMYFUNCTION("""COMPUTED_VALUE"""),2380.92)</f>
        <v>2380.92</v>
      </c>
      <c r="C461" s="3">
        <f ca="1">IFERROR(__xludf.DUMMYFUNCTION("""COMPUTED_VALUE"""),2383.89)</f>
        <v>2383.89</v>
      </c>
      <c r="D461" s="3">
        <f ca="1">IFERROR(__xludf.DUMMYFUNCTION("""COMPUTED_VALUE"""),2375.39)</f>
        <v>2375.39</v>
      </c>
      <c r="E461" s="3">
        <f ca="1">IFERROR(__xludf.DUMMYFUNCTION("""COMPUTED_VALUE"""),2383.12)</f>
        <v>2383.12</v>
      </c>
      <c r="F461" s="3">
        <f ca="1">IFERROR(__xludf.DUMMYFUNCTION("""COMPUTED_VALUE"""),0)</f>
        <v>0</v>
      </c>
    </row>
    <row r="462" spans="1:6" ht="13" x14ac:dyDescent="0.15">
      <c r="A462" s="4">
        <f ca="1">IFERROR(__xludf.DUMMYFUNCTION("""COMPUTED_VALUE"""),42800.6666666666)</f>
        <v>42800.666666666599</v>
      </c>
      <c r="B462" s="3">
        <f ca="1">IFERROR(__xludf.DUMMYFUNCTION("""COMPUTED_VALUE"""),2375.23)</f>
        <v>2375.23</v>
      </c>
      <c r="C462" s="3">
        <f ca="1">IFERROR(__xludf.DUMMYFUNCTION("""COMPUTED_VALUE"""),2378.8)</f>
        <v>2378.8000000000002</v>
      </c>
      <c r="D462" s="3">
        <f ca="1">IFERROR(__xludf.DUMMYFUNCTION("""COMPUTED_VALUE"""),2367.98)</f>
        <v>2367.98</v>
      </c>
      <c r="E462" s="3">
        <f ca="1">IFERROR(__xludf.DUMMYFUNCTION("""COMPUTED_VALUE"""),2375.31)</f>
        <v>2375.31</v>
      </c>
      <c r="F462" s="3">
        <f ca="1">IFERROR(__xludf.DUMMYFUNCTION("""COMPUTED_VALUE"""),0)</f>
        <v>0</v>
      </c>
    </row>
    <row r="463" spans="1:6" ht="13" x14ac:dyDescent="0.15">
      <c r="A463" s="4">
        <f ca="1">IFERROR(__xludf.DUMMYFUNCTION("""COMPUTED_VALUE"""),42801.6666666666)</f>
        <v>42801.666666666599</v>
      </c>
      <c r="B463" s="3">
        <f ca="1">IFERROR(__xludf.DUMMYFUNCTION("""COMPUTED_VALUE"""),2370.74)</f>
        <v>2370.7399999999998</v>
      </c>
      <c r="C463" s="3">
        <f ca="1">IFERROR(__xludf.DUMMYFUNCTION("""COMPUTED_VALUE"""),2375.12)</f>
        <v>2375.12</v>
      </c>
      <c r="D463" s="3">
        <f ca="1">IFERROR(__xludf.DUMMYFUNCTION("""COMPUTED_VALUE"""),2365.51)</f>
        <v>2365.5100000000002</v>
      </c>
      <c r="E463" s="3">
        <f ca="1">IFERROR(__xludf.DUMMYFUNCTION("""COMPUTED_VALUE"""),2368.39)</f>
        <v>2368.39</v>
      </c>
      <c r="F463" s="3">
        <f ca="1">IFERROR(__xludf.DUMMYFUNCTION("""COMPUTED_VALUE"""),0)</f>
        <v>0</v>
      </c>
    </row>
    <row r="464" spans="1:6" ht="13" x14ac:dyDescent="0.15">
      <c r="A464" s="4">
        <f ca="1">IFERROR(__xludf.DUMMYFUNCTION("""COMPUTED_VALUE"""),42802.6666666666)</f>
        <v>42802.666666666599</v>
      </c>
      <c r="B464" s="3">
        <f ca="1">IFERROR(__xludf.DUMMYFUNCTION("""COMPUTED_VALUE"""),2369.81)</f>
        <v>2369.81</v>
      </c>
      <c r="C464" s="3">
        <f ca="1">IFERROR(__xludf.DUMMYFUNCTION("""COMPUTED_VALUE"""),2373.09)</f>
        <v>2373.09</v>
      </c>
      <c r="D464" s="3">
        <f ca="1">IFERROR(__xludf.DUMMYFUNCTION("""COMPUTED_VALUE"""),2361.01)</f>
        <v>2361.0100000000002</v>
      </c>
      <c r="E464" s="3">
        <f ca="1">IFERROR(__xludf.DUMMYFUNCTION("""COMPUTED_VALUE"""),2362.98)</f>
        <v>2362.98</v>
      </c>
      <c r="F464" s="3">
        <f ca="1">IFERROR(__xludf.DUMMYFUNCTION("""COMPUTED_VALUE"""),0)</f>
        <v>0</v>
      </c>
    </row>
    <row r="465" spans="1:6" ht="13" x14ac:dyDescent="0.15">
      <c r="A465" s="4">
        <f ca="1">IFERROR(__xludf.DUMMYFUNCTION("""COMPUTED_VALUE"""),42803.6666666666)</f>
        <v>42803.666666666599</v>
      </c>
      <c r="B465" s="3">
        <f ca="1">IFERROR(__xludf.DUMMYFUNCTION("""COMPUTED_VALUE"""),2363.49)</f>
        <v>2363.4899999999998</v>
      </c>
      <c r="C465" s="3">
        <f ca="1">IFERROR(__xludf.DUMMYFUNCTION("""COMPUTED_VALUE"""),2369.08)</f>
        <v>2369.08</v>
      </c>
      <c r="D465" s="3">
        <f ca="1">IFERROR(__xludf.DUMMYFUNCTION("""COMPUTED_VALUE"""),2354.54)</f>
        <v>2354.54</v>
      </c>
      <c r="E465" s="3">
        <f ca="1">IFERROR(__xludf.DUMMYFUNCTION("""COMPUTED_VALUE"""),2364.87)</f>
        <v>2364.87</v>
      </c>
      <c r="F465" s="3">
        <f ca="1">IFERROR(__xludf.DUMMYFUNCTION("""COMPUTED_VALUE"""),0)</f>
        <v>0</v>
      </c>
    </row>
    <row r="466" spans="1:6" ht="13" x14ac:dyDescent="0.15">
      <c r="A466" s="4">
        <f ca="1">IFERROR(__xludf.DUMMYFUNCTION("""COMPUTED_VALUE"""),42804.6666666666)</f>
        <v>42804.666666666599</v>
      </c>
      <c r="B466" s="3">
        <f ca="1">IFERROR(__xludf.DUMMYFUNCTION("""COMPUTED_VALUE"""),2372.52)</f>
        <v>2372.52</v>
      </c>
      <c r="C466" s="3">
        <f ca="1">IFERROR(__xludf.DUMMYFUNCTION("""COMPUTED_VALUE"""),2376.86)</f>
        <v>2376.86</v>
      </c>
      <c r="D466" s="3">
        <f ca="1">IFERROR(__xludf.DUMMYFUNCTION("""COMPUTED_VALUE"""),2363.04)</f>
        <v>2363.04</v>
      </c>
      <c r="E466" s="3">
        <f ca="1">IFERROR(__xludf.DUMMYFUNCTION("""COMPUTED_VALUE"""),2372.6)</f>
        <v>2372.6</v>
      </c>
      <c r="F466" s="3">
        <f ca="1">IFERROR(__xludf.DUMMYFUNCTION("""COMPUTED_VALUE"""),0)</f>
        <v>0</v>
      </c>
    </row>
    <row r="467" spans="1:6" ht="13" x14ac:dyDescent="0.15">
      <c r="A467" s="4">
        <f ca="1">IFERROR(__xludf.DUMMYFUNCTION("""COMPUTED_VALUE"""),42807.6666666666)</f>
        <v>42807.666666666599</v>
      </c>
      <c r="B467" s="3">
        <f ca="1">IFERROR(__xludf.DUMMYFUNCTION("""COMPUTED_VALUE"""),2371.56)</f>
        <v>2371.56</v>
      </c>
      <c r="C467" s="3">
        <f ca="1">IFERROR(__xludf.DUMMYFUNCTION("""COMPUTED_VALUE"""),2374.42)</f>
        <v>2374.42</v>
      </c>
      <c r="D467" s="3">
        <f ca="1">IFERROR(__xludf.DUMMYFUNCTION("""COMPUTED_VALUE"""),2368.52)</f>
        <v>2368.52</v>
      </c>
      <c r="E467" s="3">
        <f ca="1">IFERROR(__xludf.DUMMYFUNCTION("""COMPUTED_VALUE"""),2373.47)</f>
        <v>2373.4699999999998</v>
      </c>
      <c r="F467" s="3">
        <f ca="1">IFERROR(__xludf.DUMMYFUNCTION("""COMPUTED_VALUE"""),0)</f>
        <v>0</v>
      </c>
    </row>
    <row r="468" spans="1:6" ht="13" x14ac:dyDescent="0.15">
      <c r="A468" s="4">
        <f ca="1">IFERROR(__xludf.DUMMYFUNCTION("""COMPUTED_VALUE"""),42808.6666666666)</f>
        <v>42808.666666666599</v>
      </c>
      <c r="B468" s="3">
        <f ca="1">IFERROR(__xludf.DUMMYFUNCTION("""COMPUTED_VALUE"""),2368.55)</f>
        <v>2368.5500000000002</v>
      </c>
      <c r="C468" s="3">
        <f ca="1">IFERROR(__xludf.DUMMYFUNCTION("""COMPUTED_VALUE"""),2368.55)</f>
        <v>2368.5500000000002</v>
      </c>
      <c r="D468" s="3">
        <f ca="1">IFERROR(__xludf.DUMMYFUNCTION("""COMPUTED_VALUE"""),2358.18)</f>
        <v>2358.1799999999998</v>
      </c>
      <c r="E468" s="3">
        <f ca="1">IFERROR(__xludf.DUMMYFUNCTION("""COMPUTED_VALUE"""),2365.45)</f>
        <v>2365.4499999999998</v>
      </c>
      <c r="F468" s="3">
        <f ca="1">IFERROR(__xludf.DUMMYFUNCTION("""COMPUTED_VALUE"""),0)</f>
        <v>0</v>
      </c>
    </row>
    <row r="469" spans="1:6" ht="13" x14ac:dyDescent="0.15">
      <c r="A469" s="4">
        <f ca="1">IFERROR(__xludf.DUMMYFUNCTION("""COMPUTED_VALUE"""),42809.6666666666)</f>
        <v>42809.666666666599</v>
      </c>
      <c r="B469" s="3">
        <f ca="1">IFERROR(__xludf.DUMMYFUNCTION("""COMPUTED_VALUE"""),2370.34)</f>
        <v>2370.34</v>
      </c>
      <c r="C469" s="3">
        <f ca="1">IFERROR(__xludf.DUMMYFUNCTION("""COMPUTED_VALUE"""),2390.01)</f>
        <v>2390.0100000000002</v>
      </c>
      <c r="D469" s="3">
        <f ca="1">IFERROR(__xludf.DUMMYFUNCTION("""COMPUTED_VALUE"""),2368.94)</f>
        <v>2368.94</v>
      </c>
      <c r="E469" s="3">
        <f ca="1">IFERROR(__xludf.DUMMYFUNCTION("""COMPUTED_VALUE"""),2385.26)</f>
        <v>2385.2600000000002</v>
      </c>
      <c r="F469" s="3">
        <f ca="1">IFERROR(__xludf.DUMMYFUNCTION("""COMPUTED_VALUE"""),0)</f>
        <v>0</v>
      </c>
    </row>
    <row r="470" spans="1:6" ht="13" x14ac:dyDescent="0.15">
      <c r="A470" s="4">
        <f ca="1">IFERROR(__xludf.DUMMYFUNCTION("""COMPUTED_VALUE"""),42810.6666666666)</f>
        <v>42810.666666666599</v>
      </c>
      <c r="B470" s="3">
        <f ca="1">IFERROR(__xludf.DUMMYFUNCTION("""COMPUTED_VALUE"""),2387.71)</f>
        <v>2387.71</v>
      </c>
      <c r="C470" s="3">
        <f ca="1">IFERROR(__xludf.DUMMYFUNCTION("""COMPUTED_VALUE"""),2388.1)</f>
        <v>2388.1</v>
      </c>
      <c r="D470" s="3">
        <f ca="1">IFERROR(__xludf.DUMMYFUNCTION("""COMPUTED_VALUE"""),2377.18)</f>
        <v>2377.1799999999998</v>
      </c>
      <c r="E470" s="3">
        <f ca="1">IFERROR(__xludf.DUMMYFUNCTION("""COMPUTED_VALUE"""),2381.38)</f>
        <v>2381.38</v>
      </c>
      <c r="F470" s="3">
        <f ca="1">IFERROR(__xludf.DUMMYFUNCTION("""COMPUTED_VALUE"""),0)</f>
        <v>0</v>
      </c>
    </row>
    <row r="471" spans="1:6" ht="13" x14ac:dyDescent="0.15">
      <c r="A471" s="4">
        <f ca="1">IFERROR(__xludf.DUMMYFUNCTION("""COMPUTED_VALUE"""),42811.6666666666)</f>
        <v>42811.666666666599</v>
      </c>
      <c r="B471" s="3">
        <f ca="1">IFERROR(__xludf.DUMMYFUNCTION("""COMPUTED_VALUE"""),2383.71)</f>
        <v>2383.71</v>
      </c>
      <c r="C471" s="3">
        <f ca="1">IFERROR(__xludf.DUMMYFUNCTION("""COMPUTED_VALUE"""),2385.71)</f>
        <v>2385.71</v>
      </c>
      <c r="D471" s="3">
        <f ca="1">IFERROR(__xludf.DUMMYFUNCTION("""COMPUTED_VALUE"""),2377.64)</f>
        <v>2377.64</v>
      </c>
      <c r="E471" s="3">
        <f ca="1">IFERROR(__xludf.DUMMYFUNCTION("""COMPUTED_VALUE"""),2378.25)</f>
        <v>2378.25</v>
      </c>
      <c r="F471" s="3">
        <f ca="1">IFERROR(__xludf.DUMMYFUNCTION("""COMPUTED_VALUE"""),0)</f>
        <v>0</v>
      </c>
    </row>
    <row r="472" spans="1:6" ht="13" x14ac:dyDescent="0.15">
      <c r="A472" s="4">
        <f ca="1">IFERROR(__xludf.DUMMYFUNCTION("""COMPUTED_VALUE"""),42814.6666666666)</f>
        <v>42814.666666666599</v>
      </c>
      <c r="B472" s="3">
        <f ca="1">IFERROR(__xludf.DUMMYFUNCTION("""COMPUTED_VALUE"""),2378.24)</f>
        <v>2378.2399999999998</v>
      </c>
      <c r="C472" s="3">
        <f ca="1">IFERROR(__xludf.DUMMYFUNCTION("""COMPUTED_VALUE"""),2379.55)</f>
        <v>2379.5500000000002</v>
      </c>
      <c r="D472" s="3">
        <f ca="1">IFERROR(__xludf.DUMMYFUNCTION("""COMPUTED_VALUE"""),2369.66)</f>
        <v>2369.66</v>
      </c>
      <c r="E472" s="3">
        <f ca="1">IFERROR(__xludf.DUMMYFUNCTION("""COMPUTED_VALUE"""),2373.47)</f>
        <v>2373.4699999999998</v>
      </c>
      <c r="F472" s="3">
        <f ca="1">IFERROR(__xludf.DUMMYFUNCTION("""COMPUTED_VALUE"""),0)</f>
        <v>0</v>
      </c>
    </row>
    <row r="473" spans="1:6" ht="13" x14ac:dyDescent="0.15">
      <c r="A473" s="4">
        <f ca="1">IFERROR(__xludf.DUMMYFUNCTION("""COMPUTED_VALUE"""),42815.6666666666)</f>
        <v>42815.666666666599</v>
      </c>
      <c r="B473" s="3">
        <f ca="1">IFERROR(__xludf.DUMMYFUNCTION("""COMPUTED_VALUE"""),2379.32)</f>
        <v>2379.3200000000002</v>
      </c>
      <c r="C473" s="3">
        <f ca="1">IFERROR(__xludf.DUMMYFUNCTION("""COMPUTED_VALUE"""),2381.93)</f>
        <v>2381.9299999999998</v>
      </c>
      <c r="D473" s="3">
        <f ca="1">IFERROR(__xludf.DUMMYFUNCTION("""COMPUTED_VALUE"""),2341.9)</f>
        <v>2341.9</v>
      </c>
      <c r="E473" s="3">
        <f ca="1">IFERROR(__xludf.DUMMYFUNCTION("""COMPUTED_VALUE"""),2344.02)</f>
        <v>2344.02</v>
      </c>
      <c r="F473" s="3">
        <f ca="1">IFERROR(__xludf.DUMMYFUNCTION("""COMPUTED_VALUE"""),0)</f>
        <v>0</v>
      </c>
    </row>
    <row r="474" spans="1:6" ht="13" x14ac:dyDescent="0.15">
      <c r="A474" s="4">
        <f ca="1">IFERROR(__xludf.DUMMYFUNCTION("""COMPUTED_VALUE"""),42816.6666666666)</f>
        <v>42816.666666666599</v>
      </c>
      <c r="B474" s="3">
        <f ca="1">IFERROR(__xludf.DUMMYFUNCTION("""COMPUTED_VALUE"""),2343)</f>
        <v>2343</v>
      </c>
      <c r="C474" s="3">
        <f ca="1">IFERROR(__xludf.DUMMYFUNCTION("""COMPUTED_VALUE"""),2351.81)</f>
        <v>2351.81</v>
      </c>
      <c r="D474" s="3">
        <f ca="1">IFERROR(__xludf.DUMMYFUNCTION("""COMPUTED_VALUE"""),2336.45)</f>
        <v>2336.4499999999998</v>
      </c>
      <c r="E474" s="3">
        <f ca="1">IFERROR(__xludf.DUMMYFUNCTION("""COMPUTED_VALUE"""),2348.45)</f>
        <v>2348.4499999999998</v>
      </c>
      <c r="F474" s="3">
        <f ca="1">IFERROR(__xludf.DUMMYFUNCTION("""COMPUTED_VALUE"""),0)</f>
        <v>0</v>
      </c>
    </row>
    <row r="475" spans="1:6" ht="13" x14ac:dyDescent="0.15">
      <c r="A475" s="4">
        <f ca="1">IFERROR(__xludf.DUMMYFUNCTION("""COMPUTED_VALUE"""),42817.6666666666)</f>
        <v>42817.666666666599</v>
      </c>
      <c r="B475" s="3">
        <f ca="1">IFERROR(__xludf.DUMMYFUNCTION("""COMPUTED_VALUE"""),2345.97)</f>
        <v>2345.9699999999998</v>
      </c>
      <c r="C475" s="3">
        <f ca="1">IFERROR(__xludf.DUMMYFUNCTION("""COMPUTED_VALUE"""),2358.92)</f>
        <v>2358.92</v>
      </c>
      <c r="D475" s="3">
        <f ca="1">IFERROR(__xludf.DUMMYFUNCTION("""COMPUTED_VALUE"""),2342.13)</f>
        <v>2342.13</v>
      </c>
      <c r="E475" s="3">
        <f ca="1">IFERROR(__xludf.DUMMYFUNCTION("""COMPUTED_VALUE"""),2345.96)</f>
        <v>2345.96</v>
      </c>
      <c r="F475" s="3">
        <f ca="1">IFERROR(__xludf.DUMMYFUNCTION("""COMPUTED_VALUE"""),0)</f>
        <v>0</v>
      </c>
    </row>
    <row r="476" spans="1:6" ht="13" x14ac:dyDescent="0.15">
      <c r="A476" s="4">
        <f ca="1">IFERROR(__xludf.DUMMYFUNCTION("""COMPUTED_VALUE"""),42818.6666666666)</f>
        <v>42818.666666666599</v>
      </c>
      <c r="B476" s="3">
        <f ca="1">IFERROR(__xludf.DUMMYFUNCTION("""COMPUTED_VALUE"""),2350.42)</f>
        <v>2350.42</v>
      </c>
      <c r="C476" s="3">
        <f ca="1">IFERROR(__xludf.DUMMYFUNCTION("""COMPUTED_VALUE"""),2356.22)</f>
        <v>2356.2199999999998</v>
      </c>
      <c r="D476" s="3">
        <f ca="1">IFERROR(__xludf.DUMMYFUNCTION("""COMPUTED_VALUE"""),2335.74)</f>
        <v>2335.7399999999998</v>
      </c>
      <c r="E476" s="3">
        <f ca="1">IFERROR(__xludf.DUMMYFUNCTION("""COMPUTED_VALUE"""),2343.98)</f>
        <v>2343.98</v>
      </c>
      <c r="F476" s="3">
        <f ca="1">IFERROR(__xludf.DUMMYFUNCTION("""COMPUTED_VALUE"""),0)</f>
        <v>0</v>
      </c>
    </row>
    <row r="477" spans="1:6" ht="13" x14ac:dyDescent="0.15">
      <c r="A477" s="4">
        <f ca="1">IFERROR(__xludf.DUMMYFUNCTION("""COMPUTED_VALUE"""),42821.6666666666)</f>
        <v>42821.666666666599</v>
      </c>
      <c r="B477" s="3">
        <f ca="1">IFERROR(__xludf.DUMMYFUNCTION("""COMPUTED_VALUE"""),2329.11)</f>
        <v>2329.11</v>
      </c>
      <c r="C477" s="3">
        <f ca="1">IFERROR(__xludf.DUMMYFUNCTION("""COMPUTED_VALUE"""),2344.9)</f>
        <v>2344.9</v>
      </c>
      <c r="D477" s="3">
        <f ca="1">IFERROR(__xludf.DUMMYFUNCTION("""COMPUTED_VALUE"""),2322.25)</f>
        <v>2322.25</v>
      </c>
      <c r="E477" s="3">
        <f ca="1">IFERROR(__xludf.DUMMYFUNCTION("""COMPUTED_VALUE"""),2341.59)</f>
        <v>2341.59</v>
      </c>
      <c r="F477" s="3">
        <f ca="1">IFERROR(__xludf.DUMMYFUNCTION("""COMPUTED_VALUE"""),0)</f>
        <v>0</v>
      </c>
    </row>
    <row r="478" spans="1:6" ht="13" x14ac:dyDescent="0.15">
      <c r="A478" s="4">
        <f ca="1">IFERROR(__xludf.DUMMYFUNCTION("""COMPUTED_VALUE"""),42822.6666666666)</f>
        <v>42822.666666666599</v>
      </c>
      <c r="B478" s="3">
        <f ca="1">IFERROR(__xludf.DUMMYFUNCTION("""COMPUTED_VALUE"""),2339.79)</f>
        <v>2339.79</v>
      </c>
      <c r="C478" s="3">
        <f ca="1">IFERROR(__xludf.DUMMYFUNCTION("""COMPUTED_VALUE"""),2363.78)</f>
        <v>2363.7800000000002</v>
      </c>
      <c r="D478" s="3">
        <f ca="1">IFERROR(__xludf.DUMMYFUNCTION("""COMPUTED_VALUE"""),2337.63)</f>
        <v>2337.63</v>
      </c>
      <c r="E478" s="3">
        <f ca="1">IFERROR(__xludf.DUMMYFUNCTION("""COMPUTED_VALUE"""),2358.57)</f>
        <v>2358.5700000000002</v>
      </c>
      <c r="F478" s="3">
        <f ca="1">IFERROR(__xludf.DUMMYFUNCTION("""COMPUTED_VALUE"""),0)</f>
        <v>0</v>
      </c>
    </row>
    <row r="479" spans="1:6" ht="13" x14ac:dyDescent="0.15">
      <c r="A479" s="4">
        <f ca="1">IFERROR(__xludf.DUMMYFUNCTION("""COMPUTED_VALUE"""),42823.6666666666)</f>
        <v>42823.666666666599</v>
      </c>
      <c r="B479" s="3">
        <f ca="1">IFERROR(__xludf.DUMMYFUNCTION("""COMPUTED_VALUE"""),2356.54)</f>
        <v>2356.54</v>
      </c>
      <c r="C479" s="3">
        <f ca="1">IFERROR(__xludf.DUMMYFUNCTION("""COMPUTED_VALUE"""),2363.36)</f>
        <v>2363.36</v>
      </c>
      <c r="D479" s="3">
        <f ca="1">IFERROR(__xludf.DUMMYFUNCTION("""COMPUTED_VALUE"""),2352.94)</f>
        <v>2352.94</v>
      </c>
      <c r="E479" s="3">
        <f ca="1">IFERROR(__xludf.DUMMYFUNCTION("""COMPUTED_VALUE"""),2361.13)</f>
        <v>2361.13</v>
      </c>
      <c r="F479" s="3">
        <f ca="1">IFERROR(__xludf.DUMMYFUNCTION("""COMPUTED_VALUE"""),0)</f>
        <v>0</v>
      </c>
    </row>
    <row r="480" spans="1:6" ht="13" x14ac:dyDescent="0.15">
      <c r="A480" s="4">
        <f ca="1">IFERROR(__xludf.DUMMYFUNCTION("""COMPUTED_VALUE"""),42824.6666666666)</f>
        <v>42824.666666666599</v>
      </c>
      <c r="B480" s="3">
        <f ca="1">IFERROR(__xludf.DUMMYFUNCTION("""COMPUTED_VALUE"""),2361.31)</f>
        <v>2361.31</v>
      </c>
      <c r="C480" s="3">
        <f ca="1">IFERROR(__xludf.DUMMYFUNCTION("""COMPUTED_VALUE"""),2370.42)</f>
        <v>2370.42</v>
      </c>
      <c r="D480" s="3">
        <f ca="1">IFERROR(__xludf.DUMMYFUNCTION("""COMPUTED_VALUE"""),2358.58)</f>
        <v>2358.58</v>
      </c>
      <c r="E480" s="3">
        <f ca="1">IFERROR(__xludf.DUMMYFUNCTION("""COMPUTED_VALUE"""),2368.06)</f>
        <v>2368.06</v>
      </c>
      <c r="F480" s="3">
        <f ca="1">IFERROR(__xludf.DUMMYFUNCTION("""COMPUTED_VALUE"""),0)</f>
        <v>0</v>
      </c>
    </row>
    <row r="481" spans="1:6" ht="13" x14ac:dyDescent="0.15">
      <c r="A481" s="4">
        <f ca="1">IFERROR(__xludf.DUMMYFUNCTION("""COMPUTED_VALUE"""),42825.6666666666)</f>
        <v>42825.666666666599</v>
      </c>
      <c r="B481" s="3">
        <f ca="1">IFERROR(__xludf.DUMMYFUNCTION("""COMPUTED_VALUE"""),2364.82)</f>
        <v>2364.8200000000002</v>
      </c>
      <c r="C481" s="3">
        <f ca="1">IFERROR(__xludf.DUMMYFUNCTION("""COMPUTED_VALUE"""),2370.35)</f>
        <v>2370.35</v>
      </c>
      <c r="D481" s="3">
        <f ca="1">IFERROR(__xludf.DUMMYFUNCTION("""COMPUTED_VALUE"""),2362.6)</f>
        <v>2362.6</v>
      </c>
      <c r="E481" s="3">
        <f ca="1">IFERROR(__xludf.DUMMYFUNCTION("""COMPUTED_VALUE"""),2362.72)</f>
        <v>2362.7199999999998</v>
      </c>
      <c r="F481" s="3">
        <f ca="1">IFERROR(__xludf.DUMMYFUNCTION("""COMPUTED_VALUE"""),0)</f>
        <v>0</v>
      </c>
    </row>
    <row r="482" spans="1:6" ht="13" x14ac:dyDescent="0.15">
      <c r="A482" s="4">
        <f ca="1">IFERROR(__xludf.DUMMYFUNCTION("""COMPUTED_VALUE"""),42828.6666666666)</f>
        <v>42828.666666666599</v>
      </c>
      <c r="B482" s="3">
        <f ca="1">IFERROR(__xludf.DUMMYFUNCTION("""COMPUTED_VALUE"""),2362.34)</f>
        <v>2362.34</v>
      </c>
      <c r="C482" s="3">
        <f ca="1">IFERROR(__xludf.DUMMYFUNCTION("""COMPUTED_VALUE"""),2365.87)</f>
        <v>2365.87</v>
      </c>
      <c r="D482" s="3">
        <f ca="1">IFERROR(__xludf.DUMMYFUNCTION("""COMPUTED_VALUE"""),2344.73)</f>
        <v>2344.73</v>
      </c>
      <c r="E482" s="3">
        <f ca="1">IFERROR(__xludf.DUMMYFUNCTION("""COMPUTED_VALUE"""),2358.84)</f>
        <v>2358.84</v>
      </c>
      <c r="F482" s="3">
        <f ca="1">IFERROR(__xludf.DUMMYFUNCTION("""COMPUTED_VALUE"""),0)</f>
        <v>0</v>
      </c>
    </row>
    <row r="483" spans="1:6" ht="13" x14ac:dyDescent="0.15">
      <c r="A483" s="4">
        <f ca="1">IFERROR(__xludf.DUMMYFUNCTION("""COMPUTED_VALUE"""),42829.6666666666)</f>
        <v>42829.666666666599</v>
      </c>
      <c r="B483" s="3">
        <f ca="1">IFERROR(__xludf.DUMMYFUNCTION("""COMPUTED_VALUE"""),2354.76)</f>
        <v>2354.7600000000002</v>
      </c>
      <c r="C483" s="3">
        <f ca="1">IFERROR(__xludf.DUMMYFUNCTION("""COMPUTED_VALUE"""),2360.53)</f>
        <v>2360.5300000000002</v>
      </c>
      <c r="D483" s="3">
        <f ca="1">IFERROR(__xludf.DUMMYFUNCTION("""COMPUTED_VALUE"""),2350.72)</f>
        <v>2350.7199999999998</v>
      </c>
      <c r="E483" s="3">
        <f ca="1">IFERROR(__xludf.DUMMYFUNCTION("""COMPUTED_VALUE"""),2360.16)</f>
        <v>2360.16</v>
      </c>
      <c r="F483" s="3">
        <f ca="1">IFERROR(__xludf.DUMMYFUNCTION("""COMPUTED_VALUE"""),0)</f>
        <v>0</v>
      </c>
    </row>
    <row r="484" spans="1:6" ht="13" x14ac:dyDescent="0.15">
      <c r="A484" s="4">
        <f ca="1">IFERROR(__xludf.DUMMYFUNCTION("""COMPUTED_VALUE"""),42830.6666666666)</f>
        <v>42830.666666666599</v>
      </c>
      <c r="B484" s="3">
        <f ca="1">IFERROR(__xludf.DUMMYFUNCTION("""COMPUTED_VALUE"""),2366.59)</f>
        <v>2366.59</v>
      </c>
      <c r="C484" s="3">
        <f ca="1">IFERROR(__xludf.DUMMYFUNCTION("""COMPUTED_VALUE"""),2378.36)</f>
        <v>2378.36</v>
      </c>
      <c r="D484" s="3">
        <f ca="1">IFERROR(__xludf.DUMMYFUNCTION("""COMPUTED_VALUE"""),2350.52)</f>
        <v>2350.52</v>
      </c>
      <c r="E484" s="3">
        <f ca="1">IFERROR(__xludf.DUMMYFUNCTION("""COMPUTED_VALUE"""),2352.95)</f>
        <v>2352.9499999999998</v>
      </c>
      <c r="F484" s="3">
        <f ca="1">IFERROR(__xludf.DUMMYFUNCTION("""COMPUTED_VALUE"""),0)</f>
        <v>0</v>
      </c>
    </row>
    <row r="485" spans="1:6" ht="13" x14ac:dyDescent="0.15">
      <c r="A485" s="4">
        <f ca="1">IFERROR(__xludf.DUMMYFUNCTION("""COMPUTED_VALUE"""),42831.6666666666)</f>
        <v>42831.666666666599</v>
      </c>
      <c r="B485" s="3">
        <f ca="1">IFERROR(__xludf.DUMMYFUNCTION("""COMPUTED_VALUE"""),2353.79)</f>
        <v>2353.79</v>
      </c>
      <c r="C485" s="3">
        <f ca="1">IFERROR(__xludf.DUMMYFUNCTION("""COMPUTED_VALUE"""),2364.16)</f>
        <v>2364.16</v>
      </c>
      <c r="D485" s="3">
        <f ca="1">IFERROR(__xludf.DUMMYFUNCTION("""COMPUTED_VALUE"""),2348.9)</f>
        <v>2348.9</v>
      </c>
      <c r="E485" s="3">
        <f ca="1">IFERROR(__xludf.DUMMYFUNCTION("""COMPUTED_VALUE"""),2357.49)</f>
        <v>2357.4899999999998</v>
      </c>
      <c r="F485" s="3">
        <f ca="1">IFERROR(__xludf.DUMMYFUNCTION("""COMPUTED_VALUE"""),0)</f>
        <v>0</v>
      </c>
    </row>
    <row r="486" spans="1:6" ht="13" x14ac:dyDescent="0.15">
      <c r="A486" s="4">
        <f ca="1">IFERROR(__xludf.DUMMYFUNCTION("""COMPUTED_VALUE"""),42832.6666666666)</f>
        <v>42832.666666666599</v>
      </c>
      <c r="B486" s="3">
        <f ca="1">IFERROR(__xludf.DUMMYFUNCTION("""COMPUTED_VALUE"""),2356.59)</f>
        <v>2356.59</v>
      </c>
      <c r="C486" s="3">
        <f ca="1">IFERROR(__xludf.DUMMYFUNCTION("""COMPUTED_VALUE"""),2363.76)</f>
        <v>2363.7600000000002</v>
      </c>
      <c r="D486" s="3">
        <f ca="1">IFERROR(__xludf.DUMMYFUNCTION("""COMPUTED_VALUE"""),2350.74)</f>
        <v>2350.7399999999998</v>
      </c>
      <c r="E486" s="3">
        <f ca="1">IFERROR(__xludf.DUMMYFUNCTION("""COMPUTED_VALUE"""),2355.54)</f>
        <v>2355.54</v>
      </c>
      <c r="F486" s="3">
        <f ca="1">IFERROR(__xludf.DUMMYFUNCTION("""COMPUTED_VALUE"""),0)</f>
        <v>0</v>
      </c>
    </row>
    <row r="487" spans="1:6" ht="13" x14ac:dyDescent="0.15">
      <c r="A487" s="4">
        <f ca="1">IFERROR(__xludf.DUMMYFUNCTION("""COMPUTED_VALUE"""),42835.6666666666)</f>
        <v>42835.666666666599</v>
      </c>
      <c r="B487" s="3">
        <f ca="1">IFERROR(__xludf.DUMMYFUNCTION("""COMPUTED_VALUE"""),2357.16)</f>
        <v>2357.16</v>
      </c>
      <c r="C487" s="3">
        <f ca="1">IFERROR(__xludf.DUMMYFUNCTION("""COMPUTED_VALUE"""),2366.37)</f>
        <v>2366.37</v>
      </c>
      <c r="D487" s="3">
        <f ca="1">IFERROR(__xludf.DUMMYFUNCTION("""COMPUTED_VALUE"""),2351.5)</f>
        <v>2351.5</v>
      </c>
      <c r="E487" s="3">
        <f ca="1">IFERROR(__xludf.DUMMYFUNCTION("""COMPUTED_VALUE"""),2357.16)</f>
        <v>2357.16</v>
      </c>
      <c r="F487" s="3">
        <f ca="1">IFERROR(__xludf.DUMMYFUNCTION("""COMPUTED_VALUE"""),0)</f>
        <v>0</v>
      </c>
    </row>
    <row r="488" spans="1:6" ht="13" x14ac:dyDescent="0.15">
      <c r="A488" s="4">
        <f ca="1">IFERROR(__xludf.DUMMYFUNCTION("""COMPUTED_VALUE"""),42836.6666666666)</f>
        <v>42836.666666666599</v>
      </c>
      <c r="B488" s="3">
        <f ca="1">IFERROR(__xludf.DUMMYFUNCTION("""COMPUTED_VALUE"""),2353.92)</f>
        <v>2353.92</v>
      </c>
      <c r="C488" s="3">
        <f ca="1">IFERROR(__xludf.DUMMYFUNCTION("""COMPUTED_VALUE"""),2355.22)</f>
        <v>2355.2199999999998</v>
      </c>
      <c r="D488" s="3">
        <f ca="1">IFERROR(__xludf.DUMMYFUNCTION("""COMPUTED_VALUE"""),2337.25)</f>
        <v>2337.25</v>
      </c>
      <c r="E488" s="3">
        <f ca="1">IFERROR(__xludf.DUMMYFUNCTION("""COMPUTED_VALUE"""),2353.78)</f>
        <v>2353.7800000000002</v>
      </c>
      <c r="F488" s="3">
        <f ca="1">IFERROR(__xludf.DUMMYFUNCTION("""COMPUTED_VALUE"""),0)</f>
        <v>0</v>
      </c>
    </row>
    <row r="489" spans="1:6" ht="13" x14ac:dyDescent="0.15">
      <c r="A489" s="4">
        <f ca="1">IFERROR(__xludf.DUMMYFUNCTION("""COMPUTED_VALUE"""),42837.6666666666)</f>
        <v>42837.666666666599</v>
      </c>
      <c r="B489" s="3">
        <f ca="1">IFERROR(__xludf.DUMMYFUNCTION("""COMPUTED_VALUE"""),2352.15)</f>
        <v>2352.15</v>
      </c>
      <c r="C489" s="3">
        <f ca="1">IFERROR(__xludf.DUMMYFUNCTION("""COMPUTED_VALUE"""),2352.72)</f>
        <v>2352.7199999999998</v>
      </c>
      <c r="D489" s="3">
        <f ca="1">IFERROR(__xludf.DUMMYFUNCTION("""COMPUTED_VALUE"""),2341.18)</f>
        <v>2341.1799999999998</v>
      </c>
      <c r="E489" s="3">
        <f ca="1">IFERROR(__xludf.DUMMYFUNCTION("""COMPUTED_VALUE"""),2344.93)</f>
        <v>2344.9299999999998</v>
      </c>
      <c r="F489" s="3">
        <f ca="1">IFERROR(__xludf.DUMMYFUNCTION("""COMPUTED_VALUE"""),0)</f>
        <v>0</v>
      </c>
    </row>
    <row r="490" spans="1:6" ht="13" x14ac:dyDescent="0.15">
      <c r="A490" s="4">
        <f ca="1">IFERROR(__xludf.DUMMYFUNCTION("""COMPUTED_VALUE"""),42838.6666666666)</f>
        <v>42838.666666666599</v>
      </c>
      <c r="B490" s="3">
        <f ca="1">IFERROR(__xludf.DUMMYFUNCTION("""COMPUTED_VALUE"""),2341.98)</f>
        <v>2341.98</v>
      </c>
      <c r="C490" s="3">
        <f ca="1">IFERROR(__xludf.DUMMYFUNCTION("""COMPUTED_VALUE"""),2348.26)</f>
        <v>2348.2600000000002</v>
      </c>
      <c r="D490" s="3">
        <f ca="1">IFERROR(__xludf.DUMMYFUNCTION("""COMPUTED_VALUE"""),2328.95)</f>
        <v>2328.9499999999998</v>
      </c>
      <c r="E490" s="3">
        <f ca="1">IFERROR(__xludf.DUMMYFUNCTION("""COMPUTED_VALUE"""),2328.95)</f>
        <v>2328.9499999999998</v>
      </c>
      <c r="F490" s="3">
        <f ca="1">IFERROR(__xludf.DUMMYFUNCTION("""COMPUTED_VALUE"""),0)</f>
        <v>0</v>
      </c>
    </row>
    <row r="491" spans="1:6" ht="13" x14ac:dyDescent="0.15">
      <c r="A491" s="4">
        <f ca="1">IFERROR(__xludf.DUMMYFUNCTION("""COMPUTED_VALUE"""),42842.6666666666)</f>
        <v>42842.666666666599</v>
      </c>
      <c r="B491" s="3">
        <f ca="1">IFERROR(__xludf.DUMMYFUNCTION("""COMPUTED_VALUE"""),2332.62)</f>
        <v>2332.62</v>
      </c>
      <c r="C491" s="3">
        <f ca="1">IFERROR(__xludf.DUMMYFUNCTION("""COMPUTED_VALUE"""),2349.14)</f>
        <v>2349.14</v>
      </c>
      <c r="D491" s="3">
        <f ca="1">IFERROR(__xludf.DUMMYFUNCTION("""COMPUTED_VALUE"""),2332.51)</f>
        <v>2332.5100000000002</v>
      </c>
      <c r="E491" s="3">
        <f ca="1">IFERROR(__xludf.DUMMYFUNCTION("""COMPUTED_VALUE"""),2349.01)</f>
        <v>2349.0100000000002</v>
      </c>
      <c r="F491" s="3">
        <f ca="1">IFERROR(__xludf.DUMMYFUNCTION("""COMPUTED_VALUE"""),0)</f>
        <v>0</v>
      </c>
    </row>
    <row r="492" spans="1:6" ht="13" x14ac:dyDescent="0.15">
      <c r="A492" s="4">
        <f ca="1">IFERROR(__xludf.DUMMYFUNCTION("""COMPUTED_VALUE"""),42843.6666666666)</f>
        <v>42843.666666666599</v>
      </c>
      <c r="B492" s="3">
        <f ca="1">IFERROR(__xludf.DUMMYFUNCTION("""COMPUTED_VALUE"""),2342.53)</f>
        <v>2342.5300000000002</v>
      </c>
      <c r="C492" s="3">
        <f ca="1">IFERROR(__xludf.DUMMYFUNCTION("""COMPUTED_VALUE"""),2348.35)</f>
        <v>2348.35</v>
      </c>
      <c r="D492" s="3">
        <f ca="1">IFERROR(__xludf.DUMMYFUNCTION("""COMPUTED_VALUE"""),2334.54)</f>
        <v>2334.54</v>
      </c>
      <c r="E492" s="3">
        <f ca="1">IFERROR(__xludf.DUMMYFUNCTION("""COMPUTED_VALUE"""),2342.19)</f>
        <v>2342.19</v>
      </c>
      <c r="F492" s="3">
        <f ca="1">IFERROR(__xludf.DUMMYFUNCTION("""COMPUTED_VALUE"""),0)</f>
        <v>0</v>
      </c>
    </row>
    <row r="493" spans="1:6" ht="13" x14ac:dyDescent="0.15">
      <c r="A493" s="4">
        <f ca="1">IFERROR(__xludf.DUMMYFUNCTION("""COMPUTED_VALUE"""),42844.6666666666)</f>
        <v>42844.666666666599</v>
      </c>
      <c r="B493" s="3">
        <f ca="1">IFERROR(__xludf.DUMMYFUNCTION("""COMPUTED_VALUE"""),2346.79)</f>
        <v>2346.79</v>
      </c>
      <c r="C493" s="3">
        <f ca="1">IFERROR(__xludf.DUMMYFUNCTION("""COMPUTED_VALUE"""),2352.63)</f>
        <v>2352.63</v>
      </c>
      <c r="D493" s="3">
        <f ca="1">IFERROR(__xludf.DUMMYFUNCTION("""COMPUTED_VALUE"""),2335.05)</f>
        <v>2335.0500000000002</v>
      </c>
      <c r="E493" s="3">
        <f ca="1">IFERROR(__xludf.DUMMYFUNCTION("""COMPUTED_VALUE"""),2338.17)</f>
        <v>2338.17</v>
      </c>
      <c r="F493" s="3">
        <f ca="1">IFERROR(__xludf.DUMMYFUNCTION("""COMPUTED_VALUE"""),0)</f>
        <v>0</v>
      </c>
    </row>
    <row r="494" spans="1:6" ht="13" x14ac:dyDescent="0.15">
      <c r="A494" s="4">
        <f ca="1">IFERROR(__xludf.DUMMYFUNCTION("""COMPUTED_VALUE"""),42845.6666666666)</f>
        <v>42845.666666666599</v>
      </c>
      <c r="B494" s="3">
        <f ca="1">IFERROR(__xludf.DUMMYFUNCTION("""COMPUTED_VALUE"""),2342.69)</f>
        <v>2342.69</v>
      </c>
      <c r="C494" s="3">
        <f ca="1">IFERROR(__xludf.DUMMYFUNCTION("""COMPUTED_VALUE"""),2361.37)</f>
        <v>2361.37</v>
      </c>
      <c r="D494" s="3">
        <f ca="1">IFERROR(__xludf.DUMMYFUNCTION("""COMPUTED_VALUE"""),2340.91)</f>
        <v>2340.91</v>
      </c>
      <c r="E494" s="3">
        <f ca="1">IFERROR(__xludf.DUMMYFUNCTION("""COMPUTED_VALUE"""),2355.84)</f>
        <v>2355.84</v>
      </c>
      <c r="F494" s="3">
        <f ca="1">IFERROR(__xludf.DUMMYFUNCTION("""COMPUTED_VALUE"""),0)</f>
        <v>0</v>
      </c>
    </row>
    <row r="495" spans="1:6" ht="13" x14ac:dyDescent="0.15">
      <c r="A495" s="4">
        <f ca="1">IFERROR(__xludf.DUMMYFUNCTION("""COMPUTED_VALUE"""),42846.6666666666)</f>
        <v>42846.666666666599</v>
      </c>
      <c r="B495" s="3">
        <f ca="1">IFERROR(__xludf.DUMMYFUNCTION("""COMPUTED_VALUE"""),2354.74)</f>
        <v>2354.7399999999998</v>
      </c>
      <c r="C495" s="3">
        <f ca="1">IFERROR(__xludf.DUMMYFUNCTION("""COMPUTED_VALUE"""),2356.18)</f>
        <v>2356.1799999999998</v>
      </c>
      <c r="D495" s="3">
        <f ca="1">IFERROR(__xludf.DUMMYFUNCTION("""COMPUTED_VALUE"""),2344.51)</f>
        <v>2344.5100000000002</v>
      </c>
      <c r="E495" s="3">
        <f ca="1">IFERROR(__xludf.DUMMYFUNCTION("""COMPUTED_VALUE"""),2348.69)</f>
        <v>2348.69</v>
      </c>
      <c r="F495" s="3">
        <f ca="1">IFERROR(__xludf.DUMMYFUNCTION("""COMPUTED_VALUE"""),0)</f>
        <v>0</v>
      </c>
    </row>
    <row r="496" spans="1:6" ht="13" x14ac:dyDescent="0.15">
      <c r="A496" s="4">
        <f ca="1">IFERROR(__xludf.DUMMYFUNCTION("""COMPUTED_VALUE"""),42849.6666666666)</f>
        <v>42849.666666666599</v>
      </c>
      <c r="B496" s="3">
        <f ca="1">IFERROR(__xludf.DUMMYFUNCTION("""COMPUTED_VALUE"""),2370.33)</f>
        <v>2370.33</v>
      </c>
      <c r="C496" s="3">
        <f ca="1">IFERROR(__xludf.DUMMYFUNCTION("""COMPUTED_VALUE"""),2376.98)</f>
        <v>2376.98</v>
      </c>
      <c r="D496" s="3">
        <f ca="1">IFERROR(__xludf.DUMMYFUNCTION("""COMPUTED_VALUE"""),2369.19)</f>
        <v>2369.19</v>
      </c>
      <c r="E496" s="3">
        <f ca="1">IFERROR(__xludf.DUMMYFUNCTION("""COMPUTED_VALUE"""),2374.15)</f>
        <v>2374.15</v>
      </c>
      <c r="F496" s="3">
        <f ca="1">IFERROR(__xludf.DUMMYFUNCTION("""COMPUTED_VALUE"""),0)</f>
        <v>0</v>
      </c>
    </row>
    <row r="497" spans="1:6" ht="13" x14ac:dyDescent="0.15">
      <c r="A497" s="4">
        <f ca="1">IFERROR(__xludf.DUMMYFUNCTION("""COMPUTED_VALUE"""),42850.6666666666)</f>
        <v>42850.666666666599</v>
      </c>
      <c r="B497" s="3">
        <f ca="1">IFERROR(__xludf.DUMMYFUNCTION("""COMPUTED_VALUE"""),2381.51)</f>
        <v>2381.5100000000002</v>
      </c>
      <c r="C497" s="3">
        <f ca="1">IFERROR(__xludf.DUMMYFUNCTION("""COMPUTED_VALUE"""),2392.48)</f>
        <v>2392.48</v>
      </c>
      <c r="D497" s="3">
        <f ca="1">IFERROR(__xludf.DUMMYFUNCTION("""COMPUTED_VALUE"""),2381.15)</f>
        <v>2381.15</v>
      </c>
      <c r="E497" s="3">
        <f ca="1">IFERROR(__xludf.DUMMYFUNCTION("""COMPUTED_VALUE"""),2388.61)</f>
        <v>2388.61</v>
      </c>
      <c r="F497" s="3">
        <f ca="1">IFERROR(__xludf.DUMMYFUNCTION("""COMPUTED_VALUE"""),0)</f>
        <v>0</v>
      </c>
    </row>
    <row r="498" spans="1:6" ht="13" x14ac:dyDescent="0.15">
      <c r="A498" s="4">
        <f ca="1">IFERROR(__xludf.DUMMYFUNCTION("""COMPUTED_VALUE"""),42851.6666666666)</f>
        <v>42851.666666666599</v>
      </c>
      <c r="B498" s="3">
        <f ca="1">IFERROR(__xludf.DUMMYFUNCTION("""COMPUTED_VALUE"""),2388.98)</f>
        <v>2388.98</v>
      </c>
      <c r="C498" s="3">
        <f ca="1">IFERROR(__xludf.DUMMYFUNCTION("""COMPUTED_VALUE"""),2398.16)</f>
        <v>2398.16</v>
      </c>
      <c r="D498" s="3">
        <f ca="1">IFERROR(__xludf.DUMMYFUNCTION("""COMPUTED_VALUE"""),2386.76)</f>
        <v>2386.7600000000002</v>
      </c>
      <c r="E498" s="3">
        <f ca="1">IFERROR(__xludf.DUMMYFUNCTION("""COMPUTED_VALUE"""),2387.45)</f>
        <v>2387.4499999999998</v>
      </c>
      <c r="F498" s="3">
        <f ca="1">IFERROR(__xludf.DUMMYFUNCTION("""COMPUTED_VALUE"""),0)</f>
        <v>0</v>
      </c>
    </row>
    <row r="499" spans="1:6" ht="13" x14ac:dyDescent="0.15">
      <c r="A499" s="4">
        <f ca="1">IFERROR(__xludf.DUMMYFUNCTION("""COMPUTED_VALUE"""),42852.6666666666)</f>
        <v>42852.666666666599</v>
      </c>
      <c r="B499" s="3">
        <f ca="1">IFERROR(__xludf.DUMMYFUNCTION("""COMPUTED_VALUE"""),2389.7)</f>
        <v>2389.6999999999998</v>
      </c>
      <c r="C499" s="3">
        <f ca="1">IFERROR(__xludf.DUMMYFUNCTION("""COMPUTED_VALUE"""),2392.1)</f>
        <v>2392.1</v>
      </c>
      <c r="D499" s="3">
        <f ca="1">IFERROR(__xludf.DUMMYFUNCTION("""COMPUTED_VALUE"""),2382.68)</f>
        <v>2382.6799999999998</v>
      </c>
      <c r="E499" s="3">
        <f ca="1">IFERROR(__xludf.DUMMYFUNCTION("""COMPUTED_VALUE"""),2388.77)</f>
        <v>2388.77</v>
      </c>
      <c r="F499" s="3">
        <f ca="1">IFERROR(__xludf.DUMMYFUNCTION("""COMPUTED_VALUE"""),0)</f>
        <v>0</v>
      </c>
    </row>
    <row r="500" spans="1:6" ht="13" x14ac:dyDescent="0.15">
      <c r="A500" s="4">
        <f ca="1">IFERROR(__xludf.DUMMYFUNCTION("""COMPUTED_VALUE"""),42853.6666666666)</f>
        <v>42853.666666666599</v>
      </c>
      <c r="B500" s="3">
        <f ca="1">IFERROR(__xludf.DUMMYFUNCTION("""COMPUTED_VALUE"""),2393.68)</f>
        <v>2393.6799999999998</v>
      </c>
      <c r="C500" s="3">
        <f ca="1">IFERROR(__xludf.DUMMYFUNCTION("""COMPUTED_VALUE"""),2393.68)</f>
        <v>2393.6799999999998</v>
      </c>
      <c r="D500" s="3">
        <f ca="1">IFERROR(__xludf.DUMMYFUNCTION("""COMPUTED_VALUE"""),2382.36)</f>
        <v>2382.36</v>
      </c>
      <c r="E500" s="3">
        <f ca="1">IFERROR(__xludf.DUMMYFUNCTION("""COMPUTED_VALUE"""),2384.2)</f>
        <v>2384.1999999999998</v>
      </c>
      <c r="F500" s="3">
        <f ca="1">IFERROR(__xludf.DUMMYFUNCTION("""COMPUTED_VALUE"""),0)</f>
        <v>0</v>
      </c>
    </row>
    <row r="501" spans="1:6" ht="13" x14ac:dyDescent="0.15">
      <c r="A501" s="4">
        <f ca="1">IFERROR(__xludf.DUMMYFUNCTION("""COMPUTED_VALUE"""),42856.6666666666)</f>
        <v>42856.666666666599</v>
      </c>
      <c r="B501" s="3">
        <f ca="1">IFERROR(__xludf.DUMMYFUNCTION("""COMPUTED_VALUE"""),2388.5)</f>
        <v>2388.5</v>
      </c>
      <c r="C501" s="3">
        <f ca="1">IFERROR(__xludf.DUMMYFUNCTION("""COMPUTED_VALUE"""),2394.49)</f>
        <v>2394.4899999999998</v>
      </c>
      <c r="D501" s="3">
        <f ca="1">IFERROR(__xludf.DUMMYFUNCTION("""COMPUTED_VALUE"""),2384.83)</f>
        <v>2384.83</v>
      </c>
      <c r="E501" s="3">
        <f ca="1">IFERROR(__xludf.DUMMYFUNCTION("""COMPUTED_VALUE"""),2388.33)</f>
        <v>2388.33</v>
      </c>
      <c r="F501" s="3">
        <f ca="1">IFERROR(__xludf.DUMMYFUNCTION("""COMPUTED_VALUE"""),0)</f>
        <v>0</v>
      </c>
    </row>
    <row r="502" spans="1:6" ht="13" x14ac:dyDescent="0.15">
      <c r="A502" s="4">
        <f ca="1">IFERROR(__xludf.DUMMYFUNCTION("""COMPUTED_VALUE"""),42857.6666666666)</f>
        <v>42857.666666666599</v>
      </c>
      <c r="B502" s="3">
        <f ca="1">IFERROR(__xludf.DUMMYFUNCTION("""COMPUTED_VALUE"""),2391.05)</f>
        <v>2391.0500000000002</v>
      </c>
      <c r="C502" s="3">
        <f ca="1">IFERROR(__xludf.DUMMYFUNCTION("""COMPUTED_VALUE"""),2392.93)</f>
        <v>2392.9299999999998</v>
      </c>
      <c r="D502" s="3">
        <f ca="1">IFERROR(__xludf.DUMMYFUNCTION("""COMPUTED_VALUE"""),2385.82)</f>
        <v>2385.8200000000002</v>
      </c>
      <c r="E502" s="3">
        <f ca="1">IFERROR(__xludf.DUMMYFUNCTION("""COMPUTED_VALUE"""),2391.17)</f>
        <v>2391.17</v>
      </c>
      <c r="F502" s="3">
        <f ca="1">IFERROR(__xludf.DUMMYFUNCTION("""COMPUTED_VALUE"""),0)</f>
        <v>0</v>
      </c>
    </row>
    <row r="503" spans="1:6" ht="13" x14ac:dyDescent="0.15">
      <c r="A503" s="4">
        <f ca="1">IFERROR(__xludf.DUMMYFUNCTION("""COMPUTED_VALUE"""),42858.6666666666)</f>
        <v>42858.666666666599</v>
      </c>
      <c r="B503" s="3">
        <f ca="1">IFERROR(__xludf.DUMMYFUNCTION("""COMPUTED_VALUE"""),2386.5)</f>
        <v>2386.5</v>
      </c>
      <c r="C503" s="3">
        <f ca="1">IFERROR(__xludf.DUMMYFUNCTION("""COMPUTED_VALUE"""),2389.82)</f>
        <v>2389.8200000000002</v>
      </c>
      <c r="D503" s="3">
        <f ca="1">IFERROR(__xludf.DUMMYFUNCTION("""COMPUTED_VALUE"""),2379.75)</f>
        <v>2379.75</v>
      </c>
      <c r="E503" s="3">
        <f ca="1">IFERROR(__xludf.DUMMYFUNCTION("""COMPUTED_VALUE"""),2388.13)</f>
        <v>2388.13</v>
      </c>
      <c r="F503" s="3">
        <f ca="1">IFERROR(__xludf.DUMMYFUNCTION("""COMPUTED_VALUE"""),0)</f>
        <v>0</v>
      </c>
    </row>
    <row r="504" spans="1:6" ht="13" x14ac:dyDescent="0.15">
      <c r="A504" s="4">
        <f ca="1">IFERROR(__xludf.DUMMYFUNCTION("""COMPUTED_VALUE"""),42859.6666666666)</f>
        <v>42859.666666666599</v>
      </c>
      <c r="B504" s="3">
        <f ca="1">IFERROR(__xludf.DUMMYFUNCTION("""COMPUTED_VALUE"""),2389.79)</f>
        <v>2389.79</v>
      </c>
      <c r="C504" s="3">
        <f ca="1">IFERROR(__xludf.DUMMYFUNCTION("""COMPUTED_VALUE"""),2391.43)</f>
        <v>2391.4299999999998</v>
      </c>
      <c r="D504" s="3">
        <f ca="1">IFERROR(__xludf.DUMMYFUNCTION("""COMPUTED_VALUE"""),2380.35)</f>
        <v>2380.35</v>
      </c>
      <c r="E504" s="3">
        <f ca="1">IFERROR(__xludf.DUMMYFUNCTION("""COMPUTED_VALUE"""),2389.52)</f>
        <v>2389.52</v>
      </c>
      <c r="F504" s="3">
        <f ca="1">IFERROR(__xludf.DUMMYFUNCTION("""COMPUTED_VALUE"""),0)</f>
        <v>0</v>
      </c>
    </row>
    <row r="505" spans="1:6" ht="13" x14ac:dyDescent="0.15">
      <c r="A505" s="4">
        <f ca="1">IFERROR(__xludf.DUMMYFUNCTION("""COMPUTED_VALUE"""),42860.6666666666)</f>
        <v>42860.666666666599</v>
      </c>
      <c r="B505" s="3">
        <f ca="1">IFERROR(__xludf.DUMMYFUNCTION("""COMPUTED_VALUE"""),2392.37)</f>
        <v>2392.37</v>
      </c>
      <c r="C505" s="3">
        <f ca="1">IFERROR(__xludf.DUMMYFUNCTION("""COMPUTED_VALUE"""),2399.29)</f>
        <v>2399.29</v>
      </c>
      <c r="D505" s="3">
        <f ca="1">IFERROR(__xludf.DUMMYFUNCTION("""COMPUTED_VALUE"""),2389.38)</f>
        <v>2389.38</v>
      </c>
      <c r="E505" s="3">
        <f ca="1">IFERROR(__xludf.DUMMYFUNCTION("""COMPUTED_VALUE"""),2399.29)</f>
        <v>2399.29</v>
      </c>
      <c r="F505" s="3">
        <f ca="1">IFERROR(__xludf.DUMMYFUNCTION("""COMPUTED_VALUE"""),0)</f>
        <v>0</v>
      </c>
    </row>
    <row r="506" spans="1:6" ht="13" x14ac:dyDescent="0.15">
      <c r="A506" s="4">
        <f ca="1">IFERROR(__xludf.DUMMYFUNCTION("""COMPUTED_VALUE"""),42863.6666666666)</f>
        <v>42863.666666666599</v>
      </c>
      <c r="B506" s="3">
        <f ca="1">IFERROR(__xludf.DUMMYFUNCTION("""COMPUTED_VALUE"""),2399.94)</f>
        <v>2399.94</v>
      </c>
      <c r="C506" s="3">
        <f ca="1">IFERROR(__xludf.DUMMYFUNCTION("""COMPUTED_VALUE"""),2401.36)</f>
        <v>2401.36</v>
      </c>
      <c r="D506" s="3">
        <f ca="1">IFERROR(__xludf.DUMMYFUNCTION("""COMPUTED_VALUE"""),2393.92)</f>
        <v>2393.92</v>
      </c>
      <c r="E506" s="3">
        <f ca="1">IFERROR(__xludf.DUMMYFUNCTION("""COMPUTED_VALUE"""),2399.38)</f>
        <v>2399.38</v>
      </c>
      <c r="F506" s="3">
        <f ca="1">IFERROR(__xludf.DUMMYFUNCTION("""COMPUTED_VALUE"""),0)</f>
        <v>0</v>
      </c>
    </row>
    <row r="507" spans="1:6" ht="13" x14ac:dyDescent="0.15">
      <c r="A507" s="4">
        <f ca="1">IFERROR(__xludf.DUMMYFUNCTION("""COMPUTED_VALUE"""),42864.6666666666)</f>
        <v>42864.666666666599</v>
      </c>
      <c r="B507" s="3">
        <f ca="1">IFERROR(__xludf.DUMMYFUNCTION("""COMPUTED_VALUE"""),2401.58)</f>
        <v>2401.58</v>
      </c>
      <c r="C507" s="3">
        <f ca="1">IFERROR(__xludf.DUMMYFUNCTION("""COMPUTED_VALUE"""),2403.87)</f>
        <v>2403.87</v>
      </c>
      <c r="D507" s="3">
        <f ca="1">IFERROR(__xludf.DUMMYFUNCTION("""COMPUTED_VALUE"""),2392.44)</f>
        <v>2392.44</v>
      </c>
      <c r="E507" s="3">
        <f ca="1">IFERROR(__xludf.DUMMYFUNCTION("""COMPUTED_VALUE"""),2396.92)</f>
        <v>2396.92</v>
      </c>
      <c r="F507" s="3">
        <f ca="1">IFERROR(__xludf.DUMMYFUNCTION("""COMPUTED_VALUE"""),0)</f>
        <v>0</v>
      </c>
    </row>
    <row r="508" spans="1:6" ht="13" x14ac:dyDescent="0.15">
      <c r="A508" s="4">
        <f ca="1">IFERROR(__xludf.DUMMYFUNCTION("""COMPUTED_VALUE"""),42865.6666666666)</f>
        <v>42865.666666666599</v>
      </c>
      <c r="B508" s="3">
        <f ca="1">IFERROR(__xludf.DUMMYFUNCTION("""COMPUTED_VALUE"""),2396.79)</f>
        <v>2396.79</v>
      </c>
      <c r="C508" s="3">
        <f ca="1">IFERROR(__xludf.DUMMYFUNCTION("""COMPUTED_VALUE"""),2399.74)</f>
        <v>2399.7399999999998</v>
      </c>
      <c r="D508" s="3">
        <f ca="1">IFERROR(__xludf.DUMMYFUNCTION("""COMPUTED_VALUE"""),2392.79)</f>
        <v>2392.79</v>
      </c>
      <c r="E508" s="3">
        <f ca="1">IFERROR(__xludf.DUMMYFUNCTION("""COMPUTED_VALUE"""),2399.63)</f>
        <v>2399.63</v>
      </c>
      <c r="F508" s="3">
        <f ca="1">IFERROR(__xludf.DUMMYFUNCTION("""COMPUTED_VALUE"""),0)</f>
        <v>0</v>
      </c>
    </row>
    <row r="509" spans="1:6" ht="13" x14ac:dyDescent="0.15">
      <c r="A509" s="4">
        <f ca="1">IFERROR(__xludf.DUMMYFUNCTION("""COMPUTED_VALUE"""),42866.6666666666)</f>
        <v>42866.666666666599</v>
      </c>
      <c r="B509" s="3">
        <f ca="1">IFERROR(__xludf.DUMMYFUNCTION("""COMPUTED_VALUE"""),2394.84)</f>
        <v>2394.84</v>
      </c>
      <c r="C509" s="3">
        <f ca="1">IFERROR(__xludf.DUMMYFUNCTION("""COMPUTED_VALUE"""),2395.72)</f>
        <v>2395.7199999999998</v>
      </c>
      <c r="D509" s="3">
        <f ca="1">IFERROR(__xludf.DUMMYFUNCTION("""COMPUTED_VALUE"""),2381.74)</f>
        <v>2381.7399999999998</v>
      </c>
      <c r="E509" s="3">
        <f ca="1">IFERROR(__xludf.DUMMYFUNCTION("""COMPUTED_VALUE"""),2394.44)</f>
        <v>2394.44</v>
      </c>
      <c r="F509" s="3">
        <f ca="1">IFERROR(__xludf.DUMMYFUNCTION("""COMPUTED_VALUE"""),0)</f>
        <v>0</v>
      </c>
    </row>
    <row r="510" spans="1:6" ht="13" x14ac:dyDescent="0.15">
      <c r="A510" s="4">
        <f ca="1">IFERROR(__xludf.DUMMYFUNCTION("""COMPUTED_VALUE"""),42867.6666666666)</f>
        <v>42867.666666666599</v>
      </c>
      <c r="B510" s="3">
        <f ca="1">IFERROR(__xludf.DUMMYFUNCTION("""COMPUTED_VALUE"""),2392.44)</f>
        <v>2392.44</v>
      </c>
      <c r="C510" s="3">
        <f ca="1">IFERROR(__xludf.DUMMYFUNCTION("""COMPUTED_VALUE"""),2392.44)</f>
        <v>2392.44</v>
      </c>
      <c r="D510" s="3">
        <f ca="1">IFERROR(__xludf.DUMMYFUNCTION("""COMPUTED_VALUE"""),2387.19)</f>
        <v>2387.19</v>
      </c>
      <c r="E510" s="3">
        <f ca="1">IFERROR(__xludf.DUMMYFUNCTION("""COMPUTED_VALUE"""),2390.9)</f>
        <v>2390.9</v>
      </c>
      <c r="F510" s="3">
        <f ca="1">IFERROR(__xludf.DUMMYFUNCTION("""COMPUTED_VALUE"""),0)</f>
        <v>0</v>
      </c>
    </row>
    <row r="511" spans="1:6" ht="13" x14ac:dyDescent="0.15">
      <c r="A511" s="4">
        <f ca="1">IFERROR(__xludf.DUMMYFUNCTION("""COMPUTED_VALUE"""),42870.6666666666)</f>
        <v>42870.666666666599</v>
      </c>
      <c r="B511" s="3">
        <f ca="1">IFERROR(__xludf.DUMMYFUNCTION("""COMPUTED_VALUE"""),2393.98)</f>
        <v>2393.98</v>
      </c>
      <c r="C511" s="3">
        <f ca="1">IFERROR(__xludf.DUMMYFUNCTION("""COMPUTED_VALUE"""),2404.05)</f>
        <v>2404.0500000000002</v>
      </c>
      <c r="D511" s="3">
        <f ca="1">IFERROR(__xludf.DUMMYFUNCTION("""COMPUTED_VALUE"""),2393.94)</f>
        <v>2393.94</v>
      </c>
      <c r="E511" s="3">
        <f ca="1">IFERROR(__xludf.DUMMYFUNCTION("""COMPUTED_VALUE"""),2402.32)</f>
        <v>2402.3200000000002</v>
      </c>
      <c r="F511" s="3">
        <f ca="1">IFERROR(__xludf.DUMMYFUNCTION("""COMPUTED_VALUE"""),0)</f>
        <v>0</v>
      </c>
    </row>
    <row r="512" spans="1:6" ht="13" x14ac:dyDescent="0.15">
      <c r="A512" s="4">
        <f ca="1">IFERROR(__xludf.DUMMYFUNCTION("""COMPUTED_VALUE"""),42871.6666666666)</f>
        <v>42871.666666666599</v>
      </c>
      <c r="B512" s="3">
        <f ca="1">IFERROR(__xludf.DUMMYFUNCTION("""COMPUTED_VALUE"""),2404.55)</f>
        <v>2404.5500000000002</v>
      </c>
      <c r="C512" s="3">
        <f ca="1">IFERROR(__xludf.DUMMYFUNCTION("""COMPUTED_VALUE"""),2405.77)</f>
        <v>2405.77</v>
      </c>
      <c r="D512" s="3">
        <f ca="1">IFERROR(__xludf.DUMMYFUNCTION("""COMPUTED_VALUE"""),2396.05)</f>
        <v>2396.0500000000002</v>
      </c>
      <c r="E512" s="3">
        <f ca="1">IFERROR(__xludf.DUMMYFUNCTION("""COMPUTED_VALUE"""),2400.67)</f>
        <v>2400.67</v>
      </c>
      <c r="F512" s="3">
        <f ca="1">IFERROR(__xludf.DUMMYFUNCTION("""COMPUTED_VALUE"""),0)</f>
        <v>0</v>
      </c>
    </row>
    <row r="513" spans="1:6" ht="13" x14ac:dyDescent="0.15">
      <c r="A513" s="4">
        <f ca="1">IFERROR(__xludf.DUMMYFUNCTION("""COMPUTED_VALUE"""),42872.6666666666)</f>
        <v>42872.666666666599</v>
      </c>
      <c r="B513" s="3">
        <f ca="1">IFERROR(__xludf.DUMMYFUNCTION("""COMPUTED_VALUE"""),2382.95)</f>
        <v>2382.9499999999998</v>
      </c>
      <c r="C513" s="3">
        <f ca="1">IFERROR(__xludf.DUMMYFUNCTION("""COMPUTED_VALUE"""),2384.87)</f>
        <v>2384.87</v>
      </c>
      <c r="D513" s="3">
        <f ca="1">IFERROR(__xludf.DUMMYFUNCTION("""COMPUTED_VALUE"""),2356.21)</f>
        <v>2356.21</v>
      </c>
      <c r="E513" s="3">
        <f ca="1">IFERROR(__xludf.DUMMYFUNCTION("""COMPUTED_VALUE"""),2357.03)</f>
        <v>2357.0300000000002</v>
      </c>
      <c r="F513" s="3">
        <f ca="1">IFERROR(__xludf.DUMMYFUNCTION("""COMPUTED_VALUE"""),0)</f>
        <v>0</v>
      </c>
    </row>
    <row r="514" spans="1:6" ht="13" x14ac:dyDescent="0.15">
      <c r="A514" s="4">
        <f ca="1">IFERROR(__xludf.DUMMYFUNCTION("""COMPUTED_VALUE"""),42873.6666666666)</f>
        <v>42873.666666666599</v>
      </c>
      <c r="B514" s="3">
        <f ca="1">IFERROR(__xludf.DUMMYFUNCTION("""COMPUTED_VALUE"""),2354.69)</f>
        <v>2354.69</v>
      </c>
      <c r="C514" s="3">
        <f ca="1">IFERROR(__xludf.DUMMYFUNCTION("""COMPUTED_VALUE"""),2375.74)</f>
        <v>2375.7399999999998</v>
      </c>
      <c r="D514" s="3">
        <f ca="1">IFERROR(__xludf.DUMMYFUNCTION("""COMPUTED_VALUE"""),2352.72)</f>
        <v>2352.7199999999998</v>
      </c>
      <c r="E514" s="3">
        <f ca="1">IFERROR(__xludf.DUMMYFUNCTION("""COMPUTED_VALUE"""),2365.72)</f>
        <v>2365.7199999999998</v>
      </c>
      <c r="F514" s="3">
        <f ca="1">IFERROR(__xludf.DUMMYFUNCTION("""COMPUTED_VALUE"""),0)</f>
        <v>0</v>
      </c>
    </row>
    <row r="515" spans="1:6" ht="13" x14ac:dyDescent="0.15">
      <c r="A515" s="4">
        <f ca="1">IFERROR(__xludf.DUMMYFUNCTION("""COMPUTED_VALUE"""),42874.6666666666)</f>
        <v>42874.666666666599</v>
      </c>
      <c r="B515" s="3">
        <f ca="1">IFERROR(__xludf.DUMMYFUNCTION("""COMPUTED_VALUE"""),2371.37)</f>
        <v>2371.37</v>
      </c>
      <c r="C515" s="3">
        <f ca="1">IFERROR(__xludf.DUMMYFUNCTION("""COMPUTED_VALUE"""),2389.06)</f>
        <v>2389.06</v>
      </c>
      <c r="D515" s="3">
        <f ca="1">IFERROR(__xludf.DUMMYFUNCTION("""COMPUTED_VALUE"""),2370.43)</f>
        <v>2370.4299999999998</v>
      </c>
      <c r="E515" s="3">
        <f ca="1">IFERROR(__xludf.DUMMYFUNCTION("""COMPUTED_VALUE"""),2381.73)</f>
        <v>2381.73</v>
      </c>
      <c r="F515" s="3">
        <f ca="1">IFERROR(__xludf.DUMMYFUNCTION("""COMPUTED_VALUE"""),0)</f>
        <v>0</v>
      </c>
    </row>
    <row r="516" spans="1:6" ht="13" x14ac:dyDescent="0.15">
      <c r="A516" s="4">
        <f ca="1">IFERROR(__xludf.DUMMYFUNCTION("""COMPUTED_VALUE"""),42877.6666666666)</f>
        <v>42877.666666666599</v>
      </c>
      <c r="B516" s="3">
        <f ca="1">IFERROR(__xludf.DUMMYFUNCTION("""COMPUTED_VALUE"""),2387.21)</f>
        <v>2387.21</v>
      </c>
      <c r="C516" s="3">
        <f ca="1">IFERROR(__xludf.DUMMYFUNCTION("""COMPUTED_VALUE"""),2395.46)</f>
        <v>2395.46</v>
      </c>
      <c r="D516" s="3">
        <f ca="1">IFERROR(__xludf.DUMMYFUNCTION("""COMPUTED_VALUE"""),2386.92)</f>
        <v>2386.92</v>
      </c>
      <c r="E516" s="3">
        <f ca="1">IFERROR(__xludf.DUMMYFUNCTION("""COMPUTED_VALUE"""),2394.02)</f>
        <v>2394.02</v>
      </c>
      <c r="F516" s="3">
        <f ca="1">IFERROR(__xludf.DUMMYFUNCTION("""COMPUTED_VALUE"""),0)</f>
        <v>0</v>
      </c>
    </row>
    <row r="517" spans="1:6" ht="13" x14ac:dyDescent="0.15">
      <c r="A517" s="4">
        <f ca="1">IFERROR(__xludf.DUMMYFUNCTION("""COMPUTED_VALUE"""),42878.6666666666)</f>
        <v>42878.666666666599</v>
      </c>
      <c r="B517" s="3">
        <f ca="1">IFERROR(__xludf.DUMMYFUNCTION("""COMPUTED_VALUE"""),2397.04)</f>
        <v>2397.04</v>
      </c>
      <c r="C517" s="3">
        <f ca="1">IFERROR(__xludf.DUMMYFUNCTION("""COMPUTED_VALUE"""),2400.85)</f>
        <v>2400.85</v>
      </c>
      <c r="D517" s="3">
        <f ca="1">IFERROR(__xludf.DUMMYFUNCTION("""COMPUTED_VALUE"""),2393.88)</f>
        <v>2393.88</v>
      </c>
      <c r="E517" s="3">
        <f ca="1">IFERROR(__xludf.DUMMYFUNCTION("""COMPUTED_VALUE"""),2398.42)</f>
        <v>2398.42</v>
      </c>
      <c r="F517" s="3">
        <f ca="1">IFERROR(__xludf.DUMMYFUNCTION("""COMPUTED_VALUE"""),0)</f>
        <v>0</v>
      </c>
    </row>
    <row r="518" spans="1:6" ht="13" x14ac:dyDescent="0.15">
      <c r="A518" s="4">
        <f ca="1">IFERROR(__xludf.DUMMYFUNCTION("""COMPUTED_VALUE"""),42879.6666666666)</f>
        <v>42879.666666666599</v>
      </c>
      <c r="B518" s="3">
        <f ca="1">IFERROR(__xludf.DUMMYFUNCTION("""COMPUTED_VALUE"""),2401.41)</f>
        <v>2401.41</v>
      </c>
      <c r="C518" s="3">
        <f ca="1">IFERROR(__xludf.DUMMYFUNCTION("""COMPUTED_VALUE"""),2405.58)</f>
        <v>2405.58</v>
      </c>
      <c r="D518" s="3">
        <f ca="1">IFERROR(__xludf.DUMMYFUNCTION("""COMPUTED_VALUE"""),2397.99)</f>
        <v>2397.9899999999998</v>
      </c>
      <c r="E518" s="3">
        <f ca="1">IFERROR(__xludf.DUMMYFUNCTION("""COMPUTED_VALUE"""),2404.39)</f>
        <v>2404.39</v>
      </c>
      <c r="F518" s="3">
        <f ca="1">IFERROR(__xludf.DUMMYFUNCTION("""COMPUTED_VALUE"""),0)</f>
        <v>0</v>
      </c>
    </row>
    <row r="519" spans="1:6" ht="13" x14ac:dyDescent="0.15">
      <c r="A519" s="4">
        <f ca="1">IFERROR(__xludf.DUMMYFUNCTION("""COMPUTED_VALUE"""),42880.6666666666)</f>
        <v>42880.666666666599</v>
      </c>
      <c r="B519" s="3">
        <f ca="1">IFERROR(__xludf.DUMMYFUNCTION("""COMPUTED_VALUE"""),2409.54)</f>
        <v>2409.54</v>
      </c>
      <c r="C519" s="3">
        <f ca="1">IFERROR(__xludf.DUMMYFUNCTION("""COMPUTED_VALUE"""),2418.71)</f>
        <v>2418.71</v>
      </c>
      <c r="D519" s="3">
        <f ca="1">IFERROR(__xludf.DUMMYFUNCTION("""COMPUTED_VALUE"""),2408.01)</f>
        <v>2408.0100000000002</v>
      </c>
      <c r="E519" s="3">
        <f ca="1">IFERROR(__xludf.DUMMYFUNCTION("""COMPUTED_VALUE"""),2415.07)</f>
        <v>2415.0700000000002</v>
      </c>
      <c r="F519" s="3">
        <f ca="1">IFERROR(__xludf.DUMMYFUNCTION("""COMPUTED_VALUE"""),0)</f>
        <v>0</v>
      </c>
    </row>
    <row r="520" spans="1:6" ht="13" x14ac:dyDescent="0.15">
      <c r="A520" s="4">
        <f ca="1">IFERROR(__xludf.DUMMYFUNCTION("""COMPUTED_VALUE"""),42881.6666666666)</f>
        <v>42881.666666666599</v>
      </c>
      <c r="B520" s="3">
        <f ca="1">IFERROR(__xludf.DUMMYFUNCTION("""COMPUTED_VALUE"""),2414.5)</f>
        <v>2414.5</v>
      </c>
      <c r="C520" s="3">
        <f ca="1">IFERROR(__xludf.DUMMYFUNCTION("""COMPUTED_VALUE"""),2416.68)</f>
        <v>2416.6799999999998</v>
      </c>
      <c r="D520" s="3">
        <f ca="1">IFERROR(__xludf.DUMMYFUNCTION("""COMPUTED_VALUE"""),2412.2)</f>
        <v>2412.1999999999998</v>
      </c>
      <c r="E520" s="3">
        <f ca="1">IFERROR(__xludf.DUMMYFUNCTION("""COMPUTED_VALUE"""),2415.82)</f>
        <v>2415.8200000000002</v>
      </c>
      <c r="F520" s="3">
        <f ca="1">IFERROR(__xludf.DUMMYFUNCTION("""COMPUTED_VALUE"""),0)</f>
        <v>0</v>
      </c>
    </row>
    <row r="521" spans="1:6" ht="13" x14ac:dyDescent="0.15">
      <c r="A521" s="4">
        <f ca="1">IFERROR(__xludf.DUMMYFUNCTION("""COMPUTED_VALUE"""),42885.6666666666)</f>
        <v>42885.666666666599</v>
      </c>
      <c r="B521" s="3">
        <f ca="1">IFERROR(__xludf.DUMMYFUNCTION("""COMPUTED_VALUE"""),2411.67)</f>
        <v>2411.67</v>
      </c>
      <c r="C521" s="3">
        <f ca="1">IFERROR(__xludf.DUMMYFUNCTION("""COMPUTED_VALUE"""),2415.26)</f>
        <v>2415.2600000000002</v>
      </c>
      <c r="D521" s="3">
        <f ca="1">IFERROR(__xludf.DUMMYFUNCTION("""COMPUTED_VALUE"""),2409.43)</f>
        <v>2409.4299999999998</v>
      </c>
      <c r="E521" s="3">
        <f ca="1">IFERROR(__xludf.DUMMYFUNCTION("""COMPUTED_VALUE"""),2412.91)</f>
        <v>2412.91</v>
      </c>
      <c r="F521" s="3">
        <f ca="1">IFERROR(__xludf.DUMMYFUNCTION("""COMPUTED_VALUE"""),0)</f>
        <v>0</v>
      </c>
    </row>
    <row r="522" spans="1:6" ht="13" x14ac:dyDescent="0.15">
      <c r="A522" s="4">
        <f ca="1">IFERROR(__xludf.DUMMYFUNCTION("""COMPUTED_VALUE"""),42886.6666666666)</f>
        <v>42886.666666666599</v>
      </c>
      <c r="B522" s="3">
        <f ca="1">IFERROR(__xludf.DUMMYFUNCTION("""COMPUTED_VALUE"""),2415.63)</f>
        <v>2415.63</v>
      </c>
      <c r="C522" s="3">
        <f ca="1">IFERROR(__xludf.DUMMYFUNCTION("""COMPUTED_VALUE"""),2415.99)</f>
        <v>2415.9899999999998</v>
      </c>
      <c r="D522" s="3">
        <f ca="1">IFERROR(__xludf.DUMMYFUNCTION("""COMPUTED_VALUE"""),2403.59)</f>
        <v>2403.59</v>
      </c>
      <c r="E522" s="3">
        <f ca="1">IFERROR(__xludf.DUMMYFUNCTION("""COMPUTED_VALUE"""),2411.8)</f>
        <v>2411.8000000000002</v>
      </c>
      <c r="F522" s="3">
        <f ca="1">IFERROR(__xludf.DUMMYFUNCTION("""COMPUTED_VALUE"""),0)</f>
        <v>0</v>
      </c>
    </row>
    <row r="523" spans="1:6" ht="13" x14ac:dyDescent="0.15">
      <c r="A523" s="4">
        <f ca="1">IFERROR(__xludf.DUMMYFUNCTION("""COMPUTED_VALUE"""),42887.6666666666)</f>
        <v>42887.666666666599</v>
      </c>
      <c r="B523" s="3">
        <f ca="1">IFERROR(__xludf.DUMMYFUNCTION("""COMPUTED_VALUE"""),2415.65)</f>
        <v>2415.65</v>
      </c>
      <c r="C523" s="3">
        <f ca="1">IFERROR(__xludf.DUMMYFUNCTION("""COMPUTED_VALUE"""),2430.06)</f>
        <v>2430.06</v>
      </c>
      <c r="D523" s="3">
        <f ca="1">IFERROR(__xludf.DUMMYFUNCTION("""COMPUTED_VALUE"""),2413.54)</f>
        <v>2413.54</v>
      </c>
      <c r="E523" s="3">
        <f ca="1">IFERROR(__xludf.DUMMYFUNCTION("""COMPUTED_VALUE"""),2430.06)</f>
        <v>2430.06</v>
      </c>
      <c r="F523" s="3">
        <f ca="1">IFERROR(__xludf.DUMMYFUNCTION("""COMPUTED_VALUE"""),0)</f>
        <v>0</v>
      </c>
    </row>
    <row r="524" spans="1:6" ht="13" x14ac:dyDescent="0.15">
      <c r="A524" s="4">
        <f ca="1">IFERROR(__xludf.DUMMYFUNCTION("""COMPUTED_VALUE"""),42888.6666666666)</f>
        <v>42888.666666666599</v>
      </c>
      <c r="B524" s="3">
        <f ca="1">IFERROR(__xludf.DUMMYFUNCTION("""COMPUTED_VALUE"""),2431.28)</f>
        <v>2431.2800000000002</v>
      </c>
      <c r="C524" s="3">
        <f ca="1">IFERROR(__xludf.DUMMYFUNCTION("""COMPUTED_VALUE"""),2440.23)</f>
        <v>2440.23</v>
      </c>
      <c r="D524" s="3">
        <f ca="1">IFERROR(__xludf.DUMMYFUNCTION("""COMPUTED_VALUE"""),2427.71)</f>
        <v>2427.71</v>
      </c>
      <c r="E524" s="3">
        <f ca="1">IFERROR(__xludf.DUMMYFUNCTION("""COMPUTED_VALUE"""),2439.07)</f>
        <v>2439.0700000000002</v>
      </c>
      <c r="F524" s="3">
        <f ca="1">IFERROR(__xludf.DUMMYFUNCTION("""COMPUTED_VALUE"""),0)</f>
        <v>0</v>
      </c>
    </row>
    <row r="525" spans="1:6" ht="13" x14ac:dyDescent="0.15">
      <c r="A525" s="4">
        <f ca="1">IFERROR(__xludf.DUMMYFUNCTION("""COMPUTED_VALUE"""),42891.6666666666)</f>
        <v>42891.666666666599</v>
      </c>
      <c r="B525" s="3">
        <f ca="1">IFERROR(__xludf.DUMMYFUNCTION("""COMPUTED_VALUE"""),2437.83)</f>
        <v>2437.83</v>
      </c>
      <c r="C525" s="3">
        <f ca="1">IFERROR(__xludf.DUMMYFUNCTION("""COMPUTED_VALUE"""),2439.55)</f>
        <v>2439.5500000000002</v>
      </c>
      <c r="D525" s="3">
        <f ca="1">IFERROR(__xludf.DUMMYFUNCTION("""COMPUTED_VALUE"""),2434.32)</f>
        <v>2434.3200000000002</v>
      </c>
      <c r="E525" s="3">
        <f ca="1">IFERROR(__xludf.DUMMYFUNCTION("""COMPUTED_VALUE"""),2436.1)</f>
        <v>2436.1</v>
      </c>
      <c r="F525" s="3">
        <f ca="1">IFERROR(__xludf.DUMMYFUNCTION("""COMPUTED_VALUE"""),0)</f>
        <v>0</v>
      </c>
    </row>
    <row r="526" spans="1:6" ht="13" x14ac:dyDescent="0.15">
      <c r="A526" s="4">
        <f ca="1">IFERROR(__xludf.DUMMYFUNCTION("""COMPUTED_VALUE"""),42892.6666666666)</f>
        <v>42892.666666666599</v>
      </c>
      <c r="B526" s="3">
        <f ca="1">IFERROR(__xludf.DUMMYFUNCTION("""COMPUTED_VALUE"""),2431.92)</f>
        <v>2431.92</v>
      </c>
      <c r="C526" s="3">
        <f ca="1">IFERROR(__xludf.DUMMYFUNCTION("""COMPUTED_VALUE"""),2436.21)</f>
        <v>2436.21</v>
      </c>
      <c r="D526" s="3">
        <f ca="1">IFERROR(__xludf.DUMMYFUNCTION("""COMPUTED_VALUE"""),2428.12)</f>
        <v>2428.12</v>
      </c>
      <c r="E526" s="3">
        <f ca="1">IFERROR(__xludf.DUMMYFUNCTION("""COMPUTED_VALUE"""),2429.33)</f>
        <v>2429.33</v>
      </c>
      <c r="F526" s="3">
        <f ca="1">IFERROR(__xludf.DUMMYFUNCTION("""COMPUTED_VALUE"""),0)</f>
        <v>0</v>
      </c>
    </row>
    <row r="527" spans="1:6" ht="13" x14ac:dyDescent="0.15">
      <c r="A527" s="4">
        <f ca="1">IFERROR(__xludf.DUMMYFUNCTION("""COMPUTED_VALUE"""),42893.6666666666)</f>
        <v>42893.666666666599</v>
      </c>
      <c r="B527" s="3">
        <f ca="1">IFERROR(__xludf.DUMMYFUNCTION("""COMPUTED_VALUE"""),2432.03)</f>
        <v>2432.0300000000002</v>
      </c>
      <c r="C527" s="3">
        <f ca="1">IFERROR(__xludf.DUMMYFUNCTION("""COMPUTED_VALUE"""),2435.28)</f>
        <v>2435.2800000000002</v>
      </c>
      <c r="D527" s="3">
        <f ca="1">IFERROR(__xludf.DUMMYFUNCTION("""COMPUTED_VALUE"""),2424.75)</f>
        <v>2424.75</v>
      </c>
      <c r="E527" s="3">
        <f ca="1">IFERROR(__xludf.DUMMYFUNCTION("""COMPUTED_VALUE"""),2433.14)</f>
        <v>2433.14</v>
      </c>
      <c r="F527" s="3">
        <f ca="1">IFERROR(__xludf.DUMMYFUNCTION("""COMPUTED_VALUE"""),0)</f>
        <v>0</v>
      </c>
    </row>
    <row r="528" spans="1:6" ht="13" x14ac:dyDescent="0.15">
      <c r="A528" s="4">
        <f ca="1">IFERROR(__xludf.DUMMYFUNCTION("""COMPUTED_VALUE"""),42894.6666666666)</f>
        <v>42894.666666666599</v>
      </c>
      <c r="B528" s="3">
        <f ca="1">IFERROR(__xludf.DUMMYFUNCTION("""COMPUTED_VALUE"""),2434.27)</f>
        <v>2434.27</v>
      </c>
      <c r="C528" s="3">
        <f ca="1">IFERROR(__xludf.DUMMYFUNCTION("""COMPUTED_VALUE"""),2439.27)</f>
        <v>2439.27</v>
      </c>
      <c r="D528" s="3">
        <f ca="1">IFERROR(__xludf.DUMMYFUNCTION("""COMPUTED_VALUE"""),2427.94)</f>
        <v>2427.94</v>
      </c>
      <c r="E528" s="3">
        <f ca="1">IFERROR(__xludf.DUMMYFUNCTION("""COMPUTED_VALUE"""),2433.79)</f>
        <v>2433.79</v>
      </c>
      <c r="F528" s="3">
        <f ca="1">IFERROR(__xludf.DUMMYFUNCTION("""COMPUTED_VALUE"""),0)</f>
        <v>0</v>
      </c>
    </row>
    <row r="529" spans="1:6" ht="13" x14ac:dyDescent="0.15">
      <c r="A529" s="4">
        <f ca="1">IFERROR(__xludf.DUMMYFUNCTION("""COMPUTED_VALUE"""),42895.6666666666)</f>
        <v>42895.666666666599</v>
      </c>
      <c r="B529" s="3">
        <f ca="1">IFERROR(__xludf.DUMMYFUNCTION("""COMPUTED_VALUE"""),2436.39)</f>
        <v>2436.39</v>
      </c>
      <c r="C529" s="3">
        <f ca="1">IFERROR(__xludf.DUMMYFUNCTION("""COMPUTED_VALUE"""),2446.2)</f>
        <v>2446.1999999999998</v>
      </c>
      <c r="D529" s="3">
        <f ca="1">IFERROR(__xludf.DUMMYFUNCTION("""COMPUTED_VALUE"""),2415.7)</f>
        <v>2415.6999999999998</v>
      </c>
      <c r="E529" s="3">
        <f ca="1">IFERROR(__xludf.DUMMYFUNCTION("""COMPUTED_VALUE"""),2431.77)</f>
        <v>2431.77</v>
      </c>
      <c r="F529" s="3">
        <f ca="1">IFERROR(__xludf.DUMMYFUNCTION("""COMPUTED_VALUE"""),0)</f>
        <v>0</v>
      </c>
    </row>
    <row r="530" spans="1:6" ht="13" x14ac:dyDescent="0.15">
      <c r="A530" s="4">
        <f ca="1">IFERROR(__xludf.DUMMYFUNCTION("""COMPUTED_VALUE"""),42898.6666666666)</f>
        <v>42898.666666666599</v>
      </c>
      <c r="B530" s="3">
        <f ca="1">IFERROR(__xludf.DUMMYFUNCTION("""COMPUTED_VALUE"""),2425.88)</f>
        <v>2425.88</v>
      </c>
      <c r="C530" s="3">
        <f ca="1">IFERROR(__xludf.DUMMYFUNCTION("""COMPUTED_VALUE"""),2430.38)</f>
        <v>2430.38</v>
      </c>
      <c r="D530" s="3">
        <f ca="1">IFERROR(__xludf.DUMMYFUNCTION("""COMPUTED_VALUE"""),2419.97)</f>
        <v>2419.9699999999998</v>
      </c>
      <c r="E530" s="3">
        <f ca="1">IFERROR(__xludf.DUMMYFUNCTION("""COMPUTED_VALUE"""),2429.39)</f>
        <v>2429.39</v>
      </c>
      <c r="F530" s="3">
        <f ca="1">IFERROR(__xludf.DUMMYFUNCTION("""COMPUTED_VALUE"""),0)</f>
        <v>0</v>
      </c>
    </row>
    <row r="531" spans="1:6" ht="13" x14ac:dyDescent="0.15">
      <c r="A531" s="4">
        <f ca="1">IFERROR(__xludf.DUMMYFUNCTION("""COMPUTED_VALUE"""),42899.6666666666)</f>
        <v>42899.666666666599</v>
      </c>
      <c r="B531" s="3">
        <f ca="1">IFERROR(__xludf.DUMMYFUNCTION("""COMPUTED_VALUE"""),2434.15)</f>
        <v>2434.15</v>
      </c>
      <c r="C531" s="3">
        <f ca="1">IFERROR(__xludf.DUMMYFUNCTION("""COMPUTED_VALUE"""),2441.49)</f>
        <v>2441.4899999999998</v>
      </c>
      <c r="D531" s="3">
        <f ca="1">IFERROR(__xludf.DUMMYFUNCTION("""COMPUTED_VALUE"""),2431.28)</f>
        <v>2431.2800000000002</v>
      </c>
      <c r="E531" s="3">
        <f ca="1">IFERROR(__xludf.DUMMYFUNCTION("""COMPUTED_VALUE"""),2440.35)</f>
        <v>2440.35</v>
      </c>
      <c r="F531" s="3">
        <f ca="1">IFERROR(__xludf.DUMMYFUNCTION("""COMPUTED_VALUE"""),0)</f>
        <v>0</v>
      </c>
    </row>
    <row r="532" spans="1:6" ht="13" x14ac:dyDescent="0.15">
      <c r="A532" s="4">
        <f ca="1">IFERROR(__xludf.DUMMYFUNCTION("""COMPUTED_VALUE"""),42900.6666666666)</f>
        <v>42900.666666666599</v>
      </c>
      <c r="B532" s="3">
        <f ca="1">IFERROR(__xludf.DUMMYFUNCTION("""COMPUTED_VALUE"""),2443.75)</f>
        <v>2443.75</v>
      </c>
      <c r="C532" s="3">
        <f ca="1">IFERROR(__xludf.DUMMYFUNCTION("""COMPUTED_VALUE"""),2443.75)</f>
        <v>2443.75</v>
      </c>
      <c r="D532" s="3">
        <f ca="1">IFERROR(__xludf.DUMMYFUNCTION("""COMPUTED_VALUE"""),2428.34)</f>
        <v>2428.34</v>
      </c>
      <c r="E532" s="3">
        <f ca="1">IFERROR(__xludf.DUMMYFUNCTION("""COMPUTED_VALUE"""),2437.92)</f>
        <v>2437.92</v>
      </c>
      <c r="F532" s="3">
        <f ca="1">IFERROR(__xludf.DUMMYFUNCTION("""COMPUTED_VALUE"""),0)</f>
        <v>0</v>
      </c>
    </row>
    <row r="533" spans="1:6" ht="13" x14ac:dyDescent="0.15">
      <c r="A533" s="4">
        <f ca="1">IFERROR(__xludf.DUMMYFUNCTION("""COMPUTED_VALUE"""),42901.6666666666)</f>
        <v>42901.666666666599</v>
      </c>
      <c r="B533" s="3">
        <f ca="1">IFERROR(__xludf.DUMMYFUNCTION("""COMPUTED_VALUE"""),2424.14)</f>
        <v>2424.14</v>
      </c>
      <c r="C533" s="3">
        <f ca="1">IFERROR(__xludf.DUMMYFUNCTION("""COMPUTED_VALUE"""),2433.95)</f>
        <v>2433.9499999999998</v>
      </c>
      <c r="D533" s="3">
        <f ca="1">IFERROR(__xludf.DUMMYFUNCTION("""COMPUTED_VALUE"""),2418.53)</f>
        <v>2418.5300000000002</v>
      </c>
      <c r="E533" s="3">
        <f ca="1">IFERROR(__xludf.DUMMYFUNCTION("""COMPUTED_VALUE"""),2432.46)</f>
        <v>2432.46</v>
      </c>
      <c r="F533" s="3">
        <f ca="1">IFERROR(__xludf.DUMMYFUNCTION("""COMPUTED_VALUE"""),0)</f>
        <v>0</v>
      </c>
    </row>
    <row r="534" spans="1:6" ht="13" x14ac:dyDescent="0.15">
      <c r="A534" s="4">
        <f ca="1">IFERROR(__xludf.DUMMYFUNCTION("""COMPUTED_VALUE"""),42902.6666666666)</f>
        <v>42902.666666666599</v>
      </c>
      <c r="B534" s="3">
        <f ca="1">IFERROR(__xludf.DUMMYFUNCTION("""COMPUTED_VALUE"""),2431.24)</f>
        <v>2431.2399999999998</v>
      </c>
      <c r="C534" s="3">
        <f ca="1">IFERROR(__xludf.DUMMYFUNCTION("""COMPUTED_VALUE"""),2433.15)</f>
        <v>2433.15</v>
      </c>
      <c r="D534" s="3">
        <f ca="1">IFERROR(__xludf.DUMMYFUNCTION("""COMPUTED_VALUE"""),2422.88)</f>
        <v>2422.88</v>
      </c>
      <c r="E534" s="3">
        <f ca="1">IFERROR(__xludf.DUMMYFUNCTION("""COMPUTED_VALUE"""),2433.15)</f>
        <v>2433.15</v>
      </c>
      <c r="F534" s="3">
        <f ca="1">IFERROR(__xludf.DUMMYFUNCTION("""COMPUTED_VALUE"""),0)</f>
        <v>0</v>
      </c>
    </row>
    <row r="535" spans="1:6" ht="13" x14ac:dyDescent="0.15">
      <c r="A535" s="4">
        <f ca="1">IFERROR(__xludf.DUMMYFUNCTION("""COMPUTED_VALUE"""),42905.6666666666)</f>
        <v>42905.666666666599</v>
      </c>
      <c r="B535" s="3">
        <f ca="1">IFERROR(__xludf.DUMMYFUNCTION("""COMPUTED_VALUE"""),2442.55)</f>
        <v>2442.5500000000002</v>
      </c>
      <c r="C535" s="3">
        <f ca="1">IFERROR(__xludf.DUMMYFUNCTION("""COMPUTED_VALUE"""),2453.82)</f>
        <v>2453.8200000000002</v>
      </c>
      <c r="D535" s="3">
        <f ca="1">IFERROR(__xludf.DUMMYFUNCTION("""COMPUTED_VALUE"""),2441.79)</f>
        <v>2441.79</v>
      </c>
      <c r="E535" s="3">
        <f ca="1">IFERROR(__xludf.DUMMYFUNCTION("""COMPUTED_VALUE"""),2453.46)</f>
        <v>2453.46</v>
      </c>
      <c r="F535" s="3">
        <f ca="1">IFERROR(__xludf.DUMMYFUNCTION("""COMPUTED_VALUE"""),0)</f>
        <v>0</v>
      </c>
    </row>
    <row r="536" spans="1:6" ht="13" x14ac:dyDescent="0.15">
      <c r="A536" s="4">
        <f ca="1">IFERROR(__xludf.DUMMYFUNCTION("""COMPUTED_VALUE"""),42906.6666666666)</f>
        <v>42906.666666666599</v>
      </c>
      <c r="B536" s="3">
        <f ca="1">IFERROR(__xludf.DUMMYFUNCTION("""COMPUTED_VALUE"""),2450.66)</f>
        <v>2450.66</v>
      </c>
      <c r="C536" s="3">
        <f ca="1">IFERROR(__xludf.DUMMYFUNCTION("""COMPUTED_VALUE"""),2450.66)</f>
        <v>2450.66</v>
      </c>
      <c r="D536" s="3">
        <f ca="1">IFERROR(__xludf.DUMMYFUNCTION("""COMPUTED_VALUE"""),2436.6)</f>
        <v>2436.6</v>
      </c>
      <c r="E536" s="3">
        <f ca="1">IFERROR(__xludf.DUMMYFUNCTION("""COMPUTED_VALUE"""),2437.03)</f>
        <v>2437.0300000000002</v>
      </c>
      <c r="F536" s="3">
        <f ca="1">IFERROR(__xludf.DUMMYFUNCTION("""COMPUTED_VALUE"""),0)</f>
        <v>0</v>
      </c>
    </row>
    <row r="537" spans="1:6" ht="13" x14ac:dyDescent="0.15">
      <c r="A537" s="4">
        <f ca="1">IFERROR(__xludf.DUMMYFUNCTION("""COMPUTED_VALUE"""),42907.6666666666)</f>
        <v>42907.666666666599</v>
      </c>
      <c r="B537" s="3">
        <f ca="1">IFERROR(__xludf.DUMMYFUNCTION("""COMPUTED_VALUE"""),2439.31)</f>
        <v>2439.31</v>
      </c>
      <c r="C537" s="3">
        <f ca="1">IFERROR(__xludf.DUMMYFUNCTION("""COMPUTED_VALUE"""),2442.23)</f>
        <v>2442.23</v>
      </c>
      <c r="D537" s="3">
        <f ca="1">IFERROR(__xludf.DUMMYFUNCTION("""COMPUTED_VALUE"""),2430.74)</f>
        <v>2430.7399999999998</v>
      </c>
      <c r="E537" s="3">
        <f ca="1">IFERROR(__xludf.DUMMYFUNCTION("""COMPUTED_VALUE"""),2435.61)</f>
        <v>2435.61</v>
      </c>
      <c r="F537" s="3">
        <f ca="1">IFERROR(__xludf.DUMMYFUNCTION("""COMPUTED_VALUE"""),0)</f>
        <v>0</v>
      </c>
    </row>
    <row r="538" spans="1:6" ht="13" x14ac:dyDescent="0.15">
      <c r="A538" s="4">
        <f ca="1">IFERROR(__xludf.DUMMYFUNCTION("""COMPUTED_VALUE"""),42908.6666666666)</f>
        <v>42908.666666666599</v>
      </c>
      <c r="B538" s="3">
        <f ca="1">IFERROR(__xludf.DUMMYFUNCTION("""COMPUTED_VALUE"""),2437.4)</f>
        <v>2437.4</v>
      </c>
      <c r="C538" s="3">
        <f ca="1">IFERROR(__xludf.DUMMYFUNCTION("""COMPUTED_VALUE"""),2441.62)</f>
        <v>2441.62</v>
      </c>
      <c r="D538" s="3">
        <f ca="1">IFERROR(__xludf.DUMMYFUNCTION("""COMPUTED_VALUE"""),2433.27)</f>
        <v>2433.27</v>
      </c>
      <c r="E538" s="3">
        <f ca="1">IFERROR(__xludf.DUMMYFUNCTION("""COMPUTED_VALUE"""),2434.5)</f>
        <v>2434.5</v>
      </c>
      <c r="F538" s="3">
        <f ca="1">IFERROR(__xludf.DUMMYFUNCTION("""COMPUTED_VALUE"""),0)</f>
        <v>0</v>
      </c>
    </row>
    <row r="539" spans="1:6" ht="13" x14ac:dyDescent="0.15">
      <c r="A539" s="4">
        <f ca="1">IFERROR(__xludf.DUMMYFUNCTION("""COMPUTED_VALUE"""),42909.6666666666)</f>
        <v>42909.666666666599</v>
      </c>
      <c r="B539" s="3">
        <f ca="1">IFERROR(__xludf.DUMMYFUNCTION("""COMPUTED_VALUE"""),2434.65)</f>
        <v>2434.65</v>
      </c>
      <c r="C539" s="3">
        <f ca="1">IFERROR(__xludf.DUMMYFUNCTION("""COMPUTED_VALUE"""),2441.4)</f>
        <v>2441.4</v>
      </c>
      <c r="D539" s="3">
        <f ca="1">IFERROR(__xludf.DUMMYFUNCTION("""COMPUTED_VALUE"""),2431.11)</f>
        <v>2431.11</v>
      </c>
      <c r="E539" s="3">
        <f ca="1">IFERROR(__xludf.DUMMYFUNCTION("""COMPUTED_VALUE"""),2438.3)</f>
        <v>2438.3000000000002</v>
      </c>
      <c r="F539" s="3">
        <f ca="1">IFERROR(__xludf.DUMMYFUNCTION("""COMPUTED_VALUE"""),0)</f>
        <v>0</v>
      </c>
    </row>
    <row r="540" spans="1:6" ht="13" x14ac:dyDescent="0.15">
      <c r="A540" s="4">
        <f ca="1">IFERROR(__xludf.DUMMYFUNCTION("""COMPUTED_VALUE"""),42912.6666666666)</f>
        <v>42912.666666666599</v>
      </c>
      <c r="B540" s="3">
        <f ca="1">IFERROR(__xludf.DUMMYFUNCTION("""COMPUTED_VALUE"""),2443.32)</f>
        <v>2443.3200000000002</v>
      </c>
      <c r="C540" s="3">
        <f ca="1">IFERROR(__xludf.DUMMYFUNCTION("""COMPUTED_VALUE"""),2450.42)</f>
        <v>2450.42</v>
      </c>
      <c r="D540" s="3">
        <f ca="1">IFERROR(__xludf.DUMMYFUNCTION("""COMPUTED_VALUE"""),2437.03)</f>
        <v>2437.0300000000002</v>
      </c>
      <c r="E540" s="3">
        <f ca="1">IFERROR(__xludf.DUMMYFUNCTION("""COMPUTED_VALUE"""),2439.07)</f>
        <v>2439.0700000000002</v>
      </c>
      <c r="F540" s="3">
        <f ca="1">IFERROR(__xludf.DUMMYFUNCTION("""COMPUTED_VALUE"""),0)</f>
        <v>0</v>
      </c>
    </row>
    <row r="541" spans="1:6" ht="13" x14ac:dyDescent="0.15">
      <c r="A541" s="4">
        <f ca="1">IFERROR(__xludf.DUMMYFUNCTION("""COMPUTED_VALUE"""),42913.6666666666)</f>
        <v>42913.666666666599</v>
      </c>
      <c r="B541" s="3">
        <f ca="1">IFERROR(__xludf.DUMMYFUNCTION("""COMPUTED_VALUE"""),2436.34)</f>
        <v>2436.34</v>
      </c>
      <c r="C541" s="3">
        <f ca="1">IFERROR(__xludf.DUMMYFUNCTION("""COMPUTED_VALUE"""),2440.15)</f>
        <v>2440.15</v>
      </c>
      <c r="D541" s="3">
        <f ca="1">IFERROR(__xludf.DUMMYFUNCTION("""COMPUTED_VALUE"""),2419.38)</f>
        <v>2419.38</v>
      </c>
      <c r="E541" s="3">
        <f ca="1">IFERROR(__xludf.DUMMYFUNCTION("""COMPUTED_VALUE"""),2419.38)</f>
        <v>2419.38</v>
      </c>
      <c r="F541" s="3">
        <f ca="1">IFERROR(__xludf.DUMMYFUNCTION("""COMPUTED_VALUE"""),0)</f>
        <v>0</v>
      </c>
    </row>
    <row r="542" spans="1:6" ht="13" x14ac:dyDescent="0.15">
      <c r="A542" s="4">
        <f ca="1">IFERROR(__xludf.DUMMYFUNCTION("""COMPUTED_VALUE"""),42914.6666666666)</f>
        <v>42914.666666666599</v>
      </c>
      <c r="B542" s="3">
        <f ca="1">IFERROR(__xludf.DUMMYFUNCTION("""COMPUTED_VALUE"""),2428.7)</f>
        <v>2428.6999999999998</v>
      </c>
      <c r="C542" s="3">
        <f ca="1">IFERROR(__xludf.DUMMYFUNCTION("""COMPUTED_VALUE"""),2442.97)</f>
        <v>2442.9699999999998</v>
      </c>
      <c r="D542" s="3">
        <f ca="1">IFERROR(__xludf.DUMMYFUNCTION("""COMPUTED_VALUE"""),2428.02)</f>
        <v>2428.02</v>
      </c>
      <c r="E542" s="3">
        <f ca="1">IFERROR(__xludf.DUMMYFUNCTION("""COMPUTED_VALUE"""),2440.69)</f>
        <v>2440.69</v>
      </c>
      <c r="F542" s="3">
        <f ca="1">IFERROR(__xludf.DUMMYFUNCTION("""COMPUTED_VALUE"""),0)</f>
        <v>0</v>
      </c>
    </row>
    <row r="543" spans="1:6" ht="13" x14ac:dyDescent="0.15">
      <c r="A543" s="4">
        <f ca="1">IFERROR(__xludf.DUMMYFUNCTION("""COMPUTED_VALUE"""),42915.6666666666)</f>
        <v>42915.666666666599</v>
      </c>
      <c r="B543" s="3">
        <f ca="1">IFERROR(__xludf.DUMMYFUNCTION("""COMPUTED_VALUE"""),2442.38)</f>
        <v>2442.38</v>
      </c>
      <c r="C543" s="3">
        <f ca="1">IFERROR(__xludf.DUMMYFUNCTION("""COMPUTED_VALUE"""),2442.73)</f>
        <v>2442.73</v>
      </c>
      <c r="D543" s="3">
        <f ca="1">IFERROR(__xludf.DUMMYFUNCTION("""COMPUTED_VALUE"""),2405.7)</f>
        <v>2405.6999999999998</v>
      </c>
      <c r="E543" s="3">
        <f ca="1">IFERROR(__xludf.DUMMYFUNCTION("""COMPUTED_VALUE"""),2419.7)</f>
        <v>2419.6999999999998</v>
      </c>
      <c r="F543" s="3">
        <f ca="1">IFERROR(__xludf.DUMMYFUNCTION("""COMPUTED_VALUE"""),0)</f>
        <v>0</v>
      </c>
    </row>
    <row r="544" spans="1:6" ht="13" x14ac:dyDescent="0.15">
      <c r="A544" s="4">
        <f ca="1">IFERROR(__xludf.DUMMYFUNCTION("""COMPUTED_VALUE"""),42916.6666666666)</f>
        <v>42916.666666666599</v>
      </c>
      <c r="B544" s="3">
        <f ca="1">IFERROR(__xludf.DUMMYFUNCTION("""COMPUTED_VALUE"""),2428.51)</f>
        <v>2428.5100000000002</v>
      </c>
      <c r="C544" s="3">
        <f ca="1">IFERROR(__xludf.DUMMYFUNCTION("""COMPUTED_VALUE"""),2432.71)</f>
        <v>2432.71</v>
      </c>
      <c r="D544" s="3">
        <f ca="1">IFERROR(__xludf.DUMMYFUNCTION("""COMPUTED_VALUE"""),2421.65)</f>
        <v>2421.65</v>
      </c>
      <c r="E544" s="3">
        <f ca="1">IFERROR(__xludf.DUMMYFUNCTION("""COMPUTED_VALUE"""),2423.41)</f>
        <v>2423.41</v>
      </c>
      <c r="F544" s="3">
        <f ca="1">IFERROR(__xludf.DUMMYFUNCTION("""COMPUTED_VALUE"""),0)</f>
        <v>0</v>
      </c>
    </row>
    <row r="545" spans="1:6" ht="13" x14ac:dyDescent="0.15">
      <c r="A545" s="4">
        <f ca="1">IFERROR(__xludf.DUMMYFUNCTION("""COMPUTED_VALUE"""),42919.6666666666)</f>
        <v>42919.666666666599</v>
      </c>
      <c r="B545" s="3">
        <f ca="1">IFERROR(__xludf.DUMMYFUNCTION("""COMPUTED_VALUE"""),2431.39)</f>
        <v>2431.39</v>
      </c>
      <c r="C545" s="3">
        <f ca="1">IFERROR(__xludf.DUMMYFUNCTION("""COMPUTED_VALUE"""),2439.17)</f>
        <v>2439.17</v>
      </c>
      <c r="D545" s="3">
        <f ca="1">IFERROR(__xludf.DUMMYFUNCTION("""COMPUTED_VALUE"""),2428.69)</f>
        <v>2428.69</v>
      </c>
      <c r="E545" s="3">
        <f ca="1">IFERROR(__xludf.DUMMYFUNCTION("""COMPUTED_VALUE"""),2429.01)</f>
        <v>2429.0100000000002</v>
      </c>
      <c r="F545" s="3">
        <f ca="1">IFERROR(__xludf.DUMMYFUNCTION("""COMPUTED_VALUE"""),0)</f>
        <v>0</v>
      </c>
    </row>
    <row r="546" spans="1:6" ht="13" x14ac:dyDescent="0.15">
      <c r="A546" s="4">
        <f ca="1">IFERROR(__xludf.DUMMYFUNCTION("""COMPUTED_VALUE"""),42921.6666666666)</f>
        <v>42921.666666666599</v>
      </c>
      <c r="B546" s="3">
        <f ca="1">IFERROR(__xludf.DUMMYFUNCTION("""COMPUTED_VALUE"""),2430.78)</f>
        <v>2430.7800000000002</v>
      </c>
      <c r="C546" s="3">
        <f ca="1">IFERROR(__xludf.DUMMYFUNCTION("""COMPUTED_VALUE"""),2434.9)</f>
        <v>2434.9</v>
      </c>
      <c r="D546" s="3">
        <f ca="1">IFERROR(__xludf.DUMMYFUNCTION("""COMPUTED_VALUE"""),2422.05)</f>
        <v>2422.0500000000002</v>
      </c>
      <c r="E546" s="3">
        <f ca="1">IFERROR(__xludf.DUMMYFUNCTION("""COMPUTED_VALUE"""),2432.54)</f>
        <v>2432.54</v>
      </c>
      <c r="F546" s="3">
        <f ca="1">IFERROR(__xludf.DUMMYFUNCTION("""COMPUTED_VALUE"""),0)</f>
        <v>0</v>
      </c>
    </row>
    <row r="547" spans="1:6" ht="13" x14ac:dyDescent="0.15">
      <c r="A547" s="4">
        <f ca="1">IFERROR(__xludf.DUMMYFUNCTION("""COMPUTED_VALUE"""),42922.6666666666)</f>
        <v>42922.666666666599</v>
      </c>
      <c r="B547" s="3">
        <f ca="1">IFERROR(__xludf.DUMMYFUNCTION("""COMPUTED_VALUE"""),2423.44)</f>
        <v>2423.44</v>
      </c>
      <c r="C547" s="3">
        <f ca="1">IFERROR(__xludf.DUMMYFUNCTION("""COMPUTED_VALUE"""),2424.28)</f>
        <v>2424.2800000000002</v>
      </c>
      <c r="D547" s="3">
        <f ca="1">IFERROR(__xludf.DUMMYFUNCTION("""COMPUTED_VALUE"""),2407.7)</f>
        <v>2407.6999999999998</v>
      </c>
      <c r="E547" s="3">
        <f ca="1">IFERROR(__xludf.DUMMYFUNCTION("""COMPUTED_VALUE"""),2409.75)</f>
        <v>2409.75</v>
      </c>
      <c r="F547" s="3">
        <f ca="1">IFERROR(__xludf.DUMMYFUNCTION("""COMPUTED_VALUE"""),0)</f>
        <v>0</v>
      </c>
    </row>
    <row r="548" spans="1:6" ht="13" x14ac:dyDescent="0.15">
      <c r="A548" s="4">
        <f ca="1">IFERROR(__xludf.DUMMYFUNCTION("""COMPUTED_VALUE"""),42923.6666666666)</f>
        <v>42923.666666666599</v>
      </c>
      <c r="B548" s="3">
        <f ca="1">IFERROR(__xludf.DUMMYFUNCTION("""COMPUTED_VALUE"""),2413.52)</f>
        <v>2413.52</v>
      </c>
      <c r="C548" s="3">
        <f ca="1">IFERROR(__xludf.DUMMYFUNCTION("""COMPUTED_VALUE"""),2426.92)</f>
        <v>2426.92</v>
      </c>
      <c r="D548" s="3">
        <f ca="1">IFERROR(__xludf.DUMMYFUNCTION("""COMPUTED_VALUE"""),2413.52)</f>
        <v>2413.52</v>
      </c>
      <c r="E548" s="3">
        <f ca="1">IFERROR(__xludf.DUMMYFUNCTION("""COMPUTED_VALUE"""),2425.18)</f>
        <v>2425.1799999999998</v>
      </c>
      <c r="F548" s="3">
        <f ca="1">IFERROR(__xludf.DUMMYFUNCTION("""COMPUTED_VALUE"""),0)</f>
        <v>0</v>
      </c>
    </row>
    <row r="549" spans="1:6" ht="13" x14ac:dyDescent="0.15">
      <c r="A549" s="4">
        <f ca="1">IFERROR(__xludf.DUMMYFUNCTION("""COMPUTED_VALUE"""),42926.6666666666)</f>
        <v>42926.666666666599</v>
      </c>
      <c r="B549" s="3">
        <f ca="1">IFERROR(__xludf.DUMMYFUNCTION("""COMPUTED_VALUE"""),2424.51)</f>
        <v>2424.5100000000002</v>
      </c>
      <c r="C549" s="3">
        <f ca="1">IFERROR(__xludf.DUMMYFUNCTION("""COMPUTED_VALUE"""),2432)</f>
        <v>2432</v>
      </c>
      <c r="D549" s="3">
        <f ca="1">IFERROR(__xludf.DUMMYFUNCTION("""COMPUTED_VALUE"""),2422.27)</f>
        <v>2422.27</v>
      </c>
      <c r="E549" s="3">
        <f ca="1">IFERROR(__xludf.DUMMYFUNCTION("""COMPUTED_VALUE"""),2427.43)</f>
        <v>2427.4299999999998</v>
      </c>
      <c r="F549" s="3">
        <f ca="1">IFERROR(__xludf.DUMMYFUNCTION("""COMPUTED_VALUE"""),0)</f>
        <v>0</v>
      </c>
    </row>
    <row r="550" spans="1:6" ht="13" x14ac:dyDescent="0.15">
      <c r="A550" s="4">
        <f ca="1">IFERROR(__xludf.DUMMYFUNCTION("""COMPUTED_VALUE"""),42927.6666666666)</f>
        <v>42927.666666666599</v>
      </c>
      <c r="B550" s="3">
        <f ca="1">IFERROR(__xludf.DUMMYFUNCTION("""COMPUTED_VALUE"""),2427.35)</f>
        <v>2427.35</v>
      </c>
      <c r="C550" s="3">
        <f ca="1">IFERROR(__xludf.DUMMYFUNCTION("""COMPUTED_VALUE"""),2429.3)</f>
        <v>2429.3000000000002</v>
      </c>
      <c r="D550" s="3">
        <f ca="1">IFERROR(__xludf.DUMMYFUNCTION("""COMPUTED_VALUE"""),2412.79)</f>
        <v>2412.79</v>
      </c>
      <c r="E550" s="3">
        <f ca="1">IFERROR(__xludf.DUMMYFUNCTION("""COMPUTED_VALUE"""),2425.53)</f>
        <v>2425.5300000000002</v>
      </c>
      <c r="F550" s="3">
        <f ca="1">IFERROR(__xludf.DUMMYFUNCTION("""COMPUTED_VALUE"""),0)</f>
        <v>0</v>
      </c>
    </row>
    <row r="551" spans="1:6" ht="13" x14ac:dyDescent="0.15">
      <c r="A551" s="4">
        <f ca="1">IFERROR(__xludf.DUMMYFUNCTION("""COMPUTED_VALUE"""),42928.6666666666)</f>
        <v>42928.666666666599</v>
      </c>
      <c r="B551" s="3">
        <f ca="1">IFERROR(__xludf.DUMMYFUNCTION("""COMPUTED_VALUE"""),2435.75)</f>
        <v>2435.75</v>
      </c>
      <c r="C551" s="3">
        <f ca="1">IFERROR(__xludf.DUMMYFUNCTION("""COMPUTED_VALUE"""),2445.76)</f>
        <v>2445.7600000000002</v>
      </c>
      <c r="D551" s="3">
        <f ca="1">IFERROR(__xludf.DUMMYFUNCTION("""COMPUTED_VALUE"""),2435.75)</f>
        <v>2435.75</v>
      </c>
      <c r="E551" s="3">
        <f ca="1">IFERROR(__xludf.DUMMYFUNCTION("""COMPUTED_VALUE"""),2443.25)</f>
        <v>2443.25</v>
      </c>
      <c r="F551" s="3">
        <f ca="1">IFERROR(__xludf.DUMMYFUNCTION("""COMPUTED_VALUE"""),0)</f>
        <v>0</v>
      </c>
    </row>
    <row r="552" spans="1:6" ht="13" x14ac:dyDescent="0.15">
      <c r="A552" s="4">
        <f ca="1">IFERROR(__xludf.DUMMYFUNCTION("""COMPUTED_VALUE"""),42929.6666666666)</f>
        <v>42929.666666666599</v>
      </c>
      <c r="B552" s="3">
        <f ca="1">IFERROR(__xludf.DUMMYFUNCTION("""COMPUTED_VALUE"""),2444.99)</f>
        <v>2444.9899999999998</v>
      </c>
      <c r="C552" s="3">
        <f ca="1">IFERROR(__xludf.DUMMYFUNCTION("""COMPUTED_VALUE"""),2449.32)</f>
        <v>2449.3200000000002</v>
      </c>
      <c r="D552" s="3">
        <f ca="1">IFERROR(__xludf.DUMMYFUNCTION("""COMPUTED_VALUE"""),2441.69)</f>
        <v>2441.69</v>
      </c>
      <c r="E552" s="3">
        <f ca="1">IFERROR(__xludf.DUMMYFUNCTION("""COMPUTED_VALUE"""),2447.83)</f>
        <v>2447.83</v>
      </c>
      <c r="F552" s="3">
        <f ca="1">IFERROR(__xludf.DUMMYFUNCTION("""COMPUTED_VALUE"""),0)</f>
        <v>0</v>
      </c>
    </row>
    <row r="553" spans="1:6" ht="13" x14ac:dyDescent="0.15">
      <c r="A553" s="4">
        <f ca="1">IFERROR(__xludf.DUMMYFUNCTION("""COMPUTED_VALUE"""),42930.6666666666)</f>
        <v>42930.666666666599</v>
      </c>
      <c r="B553" s="3">
        <f ca="1">IFERROR(__xludf.DUMMYFUNCTION("""COMPUTED_VALUE"""),2449.16)</f>
        <v>2449.16</v>
      </c>
      <c r="C553" s="3">
        <f ca="1">IFERROR(__xludf.DUMMYFUNCTION("""COMPUTED_VALUE"""),2463.54)</f>
        <v>2463.54</v>
      </c>
      <c r="D553" s="3">
        <f ca="1">IFERROR(__xludf.DUMMYFUNCTION("""COMPUTED_VALUE"""),2446.69)</f>
        <v>2446.69</v>
      </c>
      <c r="E553" s="3">
        <f ca="1">IFERROR(__xludf.DUMMYFUNCTION("""COMPUTED_VALUE"""),2459.27)</f>
        <v>2459.27</v>
      </c>
      <c r="F553" s="3">
        <f ca="1">IFERROR(__xludf.DUMMYFUNCTION("""COMPUTED_VALUE"""),0)</f>
        <v>0</v>
      </c>
    </row>
    <row r="554" spans="1:6" ht="13" x14ac:dyDescent="0.15">
      <c r="A554" s="4">
        <f ca="1">IFERROR(__xludf.DUMMYFUNCTION("""COMPUTED_VALUE"""),42933.6666666666)</f>
        <v>42933.666666666599</v>
      </c>
      <c r="B554" s="3">
        <f ca="1">IFERROR(__xludf.DUMMYFUNCTION("""COMPUTED_VALUE"""),2459.5)</f>
        <v>2459.5</v>
      </c>
      <c r="C554" s="3">
        <f ca="1">IFERROR(__xludf.DUMMYFUNCTION("""COMPUTED_VALUE"""),2462.82)</f>
        <v>2462.8200000000002</v>
      </c>
      <c r="D554" s="3">
        <f ca="1">IFERROR(__xludf.DUMMYFUNCTION("""COMPUTED_VALUE"""),2457.16)</f>
        <v>2457.16</v>
      </c>
      <c r="E554" s="3">
        <f ca="1">IFERROR(__xludf.DUMMYFUNCTION("""COMPUTED_VALUE"""),2459.14)</f>
        <v>2459.14</v>
      </c>
      <c r="F554" s="3">
        <f ca="1">IFERROR(__xludf.DUMMYFUNCTION("""COMPUTED_VALUE"""),0)</f>
        <v>0</v>
      </c>
    </row>
    <row r="555" spans="1:6" ht="13" x14ac:dyDescent="0.15">
      <c r="A555" s="4">
        <f ca="1">IFERROR(__xludf.DUMMYFUNCTION("""COMPUTED_VALUE"""),42934.6666666666)</f>
        <v>42934.666666666599</v>
      </c>
      <c r="B555" s="3">
        <f ca="1">IFERROR(__xludf.DUMMYFUNCTION("""COMPUTED_VALUE"""),2455.88)</f>
        <v>2455.88</v>
      </c>
      <c r="C555" s="3">
        <f ca="1">IFERROR(__xludf.DUMMYFUNCTION("""COMPUTED_VALUE"""),2460.92)</f>
        <v>2460.92</v>
      </c>
      <c r="D555" s="3">
        <f ca="1">IFERROR(__xludf.DUMMYFUNCTION("""COMPUTED_VALUE"""),2450.34)</f>
        <v>2450.34</v>
      </c>
      <c r="E555" s="3">
        <f ca="1">IFERROR(__xludf.DUMMYFUNCTION("""COMPUTED_VALUE"""),2460.61)</f>
        <v>2460.61</v>
      </c>
      <c r="F555" s="3">
        <f ca="1">IFERROR(__xludf.DUMMYFUNCTION("""COMPUTED_VALUE"""),0)</f>
        <v>0</v>
      </c>
    </row>
    <row r="556" spans="1:6" ht="13" x14ac:dyDescent="0.15">
      <c r="A556" s="4">
        <f ca="1">IFERROR(__xludf.DUMMYFUNCTION("""COMPUTED_VALUE"""),42935.6666666666)</f>
        <v>42935.666666666599</v>
      </c>
      <c r="B556" s="3">
        <f ca="1">IFERROR(__xludf.DUMMYFUNCTION("""COMPUTED_VALUE"""),2463.85)</f>
        <v>2463.85</v>
      </c>
      <c r="C556" s="3">
        <f ca="1">IFERROR(__xludf.DUMMYFUNCTION("""COMPUTED_VALUE"""),2473.83)</f>
        <v>2473.83</v>
      </c>
      <c r="D556" s="3">
        <f ca="1">IFERROR(__xludf.DUMMYFUNCTION("""COMPUTED_VALUE"""),2463.85)</f>
        <v>2463.85</v>
      </c>
      <c r="E556" s="3">
        <f ca="1">IFERROR(__xludf.DUMMYFUNCTION("""COMPUTED_VALUE"""),2473.83)</f>
        <v>2473.83</v>
      </c>
      <c r="F556" s="3">
        <f ca="1">IFERROR(__xludf.DUMMYFUNCTION("""COMPUTED_VALUE"""),0)</f>
        <v>0</v>
      </c>
    </row>
    <row r="557" spans="1:6" ht="13" x14ac:dyDescent="0.15">
      <c r="A557" s="4">
        <f ca="1">IFERROR(__xludf.DUMMYFUNCTION("""COMPUTED_VALUE"""),42936.6666666666)</f>
        <v>42936.666666666599</v>
      </c>
      <c r="B557" s="3">
        <f ca="1">IFERROR(__xludf.DUMMYFUNCTION("""COMPUTED_VALUE"""),2475.56)</f>
        <v>2475.56</v>
      </c>
      <c r="C557" s="3">
        <f ca="1">IFERROR(__xludf.DUMMYFUNCTION("""COMPUTED_VALUE"""),2477.62)</f>
        <v>2477.62</v>
      </c>
      <c r="D557" s="3">
        <f ca="1">IFERROR(__xludf.DUMMYFUNCTION("""COMPUTED_VALUE"""),2468.43)</f>
        <v>2468.4299999999998</v>
      </c>
      <c r="E557" s="3">
        <f ca="1">IFERROR(__xludf.DUMMYFUNCTION("""COMPUTED_VALUE"""),2473.45)</f>
        <v>2473.4499999999998</v>
      </c>
      <c r="F557" s="3">
        <f ca="1">IFERROR(__xludf.DUMMYFUNCTION("""COMPUTED_VALUE"""),0)</f>
        <v>0</v>
      </c>
    </row>
    <row r="558" spans="1:6" ht="13" x14ac:dyDescent="0.15">
      <c r="A558" s="4">
        <f ca="1">IFERROR(__xludf.DUMMYFUNCTION("""COMPUTED_VALUE"""),42937.6666666666)</f>
        <v>42937.666666666599</v>
      </c>
      <c r="B558" s="3">
        <f ca="1">IFERROR(__xludf.DUMMYFUNCTION("""COMPUTED_VALUE"""),2467.4)</f>
        <v>2467.4</v>
      </c>
      <c r="C558" s="3">
        <f ca="1">IFERROR(__xludf.DUMMYFUNCTION("""COMPUTED_VALUE"""),2472.54)</f>
        <v>2472.54</v>
      </c>
      <c r="D558" s="3">
        <f ca="1">IFERROR(__xludf.DUMMYFUNCTION("""COMPUTED_VALUE"""),2465.06)</f>
        <v>2465.06</v>
      </c>
      <c r="E558" s="3">
        <f ca="1">IFERROR(__xludf.DUMMYFUNCTION("""COMPUTED_VALUE"""),2472.54)</f>
        <v>2472.54</v>
      </c>
      <c r="F558" s="3">
        <f ca="1">IFERROR(__xludf.DUMMYFUNCTION("""COMPUTED_VALUE"""),0)</f>
        <v>0</v>
      </c>
    </row>
    <row r="559" spans="1:6" ht="13" x14ac:dyDescent="0.15">
      <c r="A559" s="4">
        <f ca="1">IFERROR(__xludf.DUMMYFUNCTION("""COMPUTED_VALUE"""),42940.6666666666)</f>
        <v>42940.666666666599</v>
      </c>
      <c r="B559" s="3">
        <f ca="1">IFERROR(__xludf.DUMMYFUNCTION("""COMPUTED_VALUE"""),2472.04)</f>
        <v>2472.04</v>
      </c>
      <c r="C559" s="3">
        <f ca="1">IFERROR(__xludf.DUMMYFUNCTION("""COMPUTED_VALUE"""),2473.1)</f>
        <v>2473.1</v>
      </c>
      <c r="D559" s="3">
        <f ca="1">IFERROR(__xludf.DUMMYFUNCTION("""COMPUTED_VALUE"""),2466.32)</f>
        <v>2466.3200000000002</v>
      </c>
      <c r="E559" s="3">
        <f ca="1">IFERROR(__xludf.DUMMYFUNCTION("""COMPUTED_VALUE"""),2469.91)</f>
        <v>2469.91</v>
      </c>
      <c r="F559" s="3">
        <f ca="1">IFERROR(__xludf.DUMMYFUNCTION("""COMPUTED_VALUE"""),0)</f>
        <v>0</v>
      </c>
    </row>
    <row r="560" spans="1:6" ht="13" x14ac:dyDescent="0.15">
      <c r="A560" s="4">
        <f ca="1">IFERROR(__xludf.DUMMYFUNCTION("""COMPUTED_VALUE"""),42941.6666666666)</f>
        <v>42941.666666666599</v>
      </c>
      <c r="B560" s="3">
        <f ca="1">IFERROR(__xludf.DUMMYFUNCTION("""COMPUTED_VALUE"""),2477.88)</f>
        <v>2477.88</v>
      </c>
      <c r="C560" s="3">
        <f ca="1">IFERROR(__xludf.DUMMYFUNCTION("""COMPUTED_VALUE"""),2481.24)</f>
        <v>2481.2399999999998</v>
      </c>
      <c r="D560" s="3">
        <f ca="1">IFERROR(__xludf.DUMMYFUNCTION("""COMPUTED_VALUE"""),2474.91)</f>
        <v>2474.91</v>
      </c>
      <c r="E560" s="3">
        <f ca="1">IFERROR(__xludf.DUMMYFUNCTION("""COMPUTED_VALUE"""),2477.13)</f>
        <v>2477.13</v>
      </c>
      <c r="F560" s="3">
        <f ca="1">IFERROR(__xludf.DUMMYFUNCTION("""COMPUTED_VALUE"""),0)</f>
        <v>0</v>
      </c>
    </row>
    <row r="561" spans="1:6" ht="13" x14ac:dyDescent="0.15">
      <c r="A561" s="4">
        <f ca="1">IFERROR(__xludf.DUMMYFUNCTION("""COMPUTED_VALUE"""),42942.6666666666)</f>
        <v>42942.666666666599</v>
      </c>
      <c r="B561" s="3">
        <f ca="1">IFERROR(__xludf.DUMMYFUNCTION("""COMPUTED_VALUE"""),2479.97)</f>
        <v>2479.9699999999998</v>
      </c>
      <c r="C561" s="3">
        <f ca="1">IFERROR(__xludf.DUMMYFUNCTION("""COMPUTED_VALUE"""),2481.69)</f>
        <v>2481.69</v>
      </c>
      <c r="D561" s="3">
        <f ca="1">IFERROR(__xludf.DUMMYFUNCTION("""COMPUTED_VALUE"""),2474.94)</f>
        <v>2474.94</v>
      </c>
      <c r="E561" s="3">
        <f ca="1">IFERROR(__xludf.DUMMYFUNCTION("""COMPUTED_VALUE"""),2477.83)</f>
        <v>2477.83</v>
      </c>
      <c r="F561" s="3">
        <f ca="1">IFERROR(__xludf.DUMMYFUNCTION("""COMPUTED_VALUE"""),0)</f>
        <v>0</v>
      </c>
    </row>
    <row r="562" spans="1:6" ht="13" x14ac:dyDescent="0.15">
      <c r="A562" s="4">
        <f ca="1">IFERROR(__xludf.DUMMYFUNCTION("""COMPUTED_VALUE"""),42943.6666666666)</f>
        <v>42943.666666666599</v>
      </c>
      <c r="B562" s="3">
        <f ca="1">IFERROR(__xludf.DUMMYFUNCTION("""COMPUTED_VALUE"""),2482.76)</f>
        <v>2482.7600000000002</v>
      </c>
      <c r="C562" s="3">
        <f ca="1">IFERROR(__xludf.DUMMYFUNCTION("""COMPUTED_VALUE"""),2484.04)</f>
        <v>2484.04</v>
      </c>
      <c r="D562" s="3">
        <f ca="1">IFERROR(__xludf.DUMMYFUNCTION("""COMPUTED_VALUE"""),2459.93)</f>
        <v>2459.9299999999998</v>
      </c>
      <c r="E562" s="3">
        <f ca="1">IFERROR(__xludf.DUMMYFUNCTION("""COMPUTED_VALUE"""),2475.42)</f>
        <v>2475.42</v>
      </c>
      <c r="F562" s="3">
        <f ca="1">IFERROR(__xludf.DUMMYFUNCTION("""COMPUTED_VALUE"""),0)</f>
        <v>0</v>
      </c>
    </row>
    <row r="563" spans="1:6" ht="13" x14ac:dyDescent="0.15">
      <c r="A563" s="4">
        <f ca="1">IFERROR(__xludf.DUMMYFUNCTION("""COMPUTED_VALUE"""),42944.6666666666)</f>
        <v>42944.666666666599</v>
      </c>
      <c r="B563" s="3">
        <f ca="1">IFERROR(__xludf.DUMMYFUNCTION("""COMPUTED_VALUE"""),2469.12)</f>
        <v>2469.12</v>
      </c>
      <c r="C563" s="3">
        <f ca="1">IFERROR(__xludf.DUMMYFUNCTION("""COMPUTED_VALUE"""),2473.53)</f>
        <v>2473.5300000000002</v>
      </c>
      <c r="D563" s="3">
        <f ca="1">IFERROR(__xludf.DUMMYFUNCTION("""COMPUTED_VALUE"""),2464.66)</f>
        <v>2464.66</v>
      </c>
      <c r="E563" s="3">
        <f ca="1">IFERROR(__xludf.DUMMYFUNCTION("""COMPUTED_VALUE"""),2472.1)</f>
        <v>2472.1</v>
      </c>
      <c r="F563" s="3">
        <f ca="1">IFERROR(__xludf.DUMMYFUNCTION("""COMPUTED_VALUE"""),0)</f>
        <v>0</v>
      </c>
    </row>
    <row r="564" spans="1:6" ht="13" x14ac:dyDescent="0.15">
      <c r="A564" s="4">
        <f ca="1">IFERROR(__xludf.DUMMYFUNCTION("""COMPUTED_VALUE"""),42947.6666666666)</f>
        <v>42947.666666666599</v>
      </c>
      <c r="B564" s="3">
        <f ca="1">IFERROR(__xludf.DUMMYFUNCTION("""COMPUTED_VALUE"""),2475.94)</f>
        <v>2475.94</v>
      </c>
      <c r="C564" s="3">
        <f ca="1">IFERROR(__xludf.DUMMYFUNCTION("""COMPUTED_VALUE"""),2477.96)</f>
        <v>2477.96</v>
      </c>
      <c r="D564" s="3">
        <f ca="1">IFERROR(__xludf.DUMMYFUNCTION("""COMPUTED_VALUE"""),2468.53)</f>
        <v>2468.5300000000002</v>
      </c>
      <c r="E564" s="3">
        <f ca="1">IFERROR(__xludf.DUMMYFUNCTION("""COMPUTED_VALUE"""),2470.3)</f>
        <v>2470.3000000000002</v>
      </c>
      <c r="F564" s="3">
        <f ca="1">IFERROR(__xludf.DUMMYFUNCTION("""COMPUTED_VALUE"""),0)</f>
        <v>0</v>
      </c>
    </row>
    <row r="565" spans="1:6" ht="13" x14ac:dyDescent="0.15">
      <c r="A565" s="4">
        <f ca="1">IFERROR(__xludf.DUMMYFUNCTION("""COMPUTED_VALUE"""),42948.6666666666)</f>
        <v>42948.666666666599</v>
      </c>
      <c r="B565" s="3">
        <f ca="1">IFERROR(__xludf.DUMMYFUNCTION("""COMPUTED_VALUE"""),2477.1)</f>
        <v>2477.1</v>
      </c>
      <c r="C565" s="3">
        <f ca="1">IFERROR(__xludf.DUMMYFUNCTION("""COMPUTED_VALUE"""),2478.51)</f>
        <v>2478.5100000000002</v>
      </c>
      <c r="D565" s="3">
        <f ca="1">IFERROR(__xludf.DUMMYFUNCTION("""COMPUTED_VALUE"""),2471.14)</f>
        <v>2471.14</v>
      </c>
      <c r="E565" s="3">
        <f ca="1">IFERROR(__xludf.DUMMYFUNCTION("""COMPUTED_VALUE"""),2476.35)</f>
        <v>2476.35</v>
      </c>
      <c r="F565" s="3">
        <f ca="1">IFERROR(__xludf.DUMMYFUNCTION("""COMPUTED_VALUE"""),0)</f>
        <v>0</v>
      </c>
    </row>
    <row r="566" spans="1:6" ht="13" x14ac:dyDescent="0.15">
      <c r="A566" s="4">
        <f ca="1">IFERROR(__xludf.DUMMYFUNCTION("""COMPUTED_VALUE"""),42949.6666666666)</f>
        <v>42949.666666666599</v>
      </c>
      <c r="B566" s="3">
        <f ca="1">IFERROR(__xludf.DUMMYFUNCTION("""COMPUTED_VALUE"""),2480.38)</f>
        <v>2480.38</v>
      </c>
      <c r="C566" s="3">
        <f ca="1">IFERROR(__xludf.DUMMYFUNCTION("""COMPUTED_VALUE"""),2480.38)</f>
        <v>2480.38</v>
      </c>
      <c r="D566" s="3">
        <f ca="1">IFERROR(__xludf.DUMMYFUNCTION("""COMPUTED_VALUE"""),2466.48)</f>
        <v>2466.48</v>
      </c>
      <c r="E566" s="3">
        <f ca="1">IFERROR(__xludf.DUMMYFUNCTION("""COMPUTED_VALUE"""),2477.57)</f>
        <v>2477.5700000000002</v>
      </c>
      <c r="F566" s="3">
        <f ca="1">IFERROR(__xludf.DUMMYFUNCTION("""COMPUTED_VALUE"""),0)</f>
        <v>0</v>
      </c>
    </row>
    <row r="567" spans="1:6" ht="13" x14ac:dyDescent="0.15">
      <c r="A567" s="4">
        <f ca="1">IFERROR(__xludf.DUMMYFUNCTION("""COMPUTED_VALUE"""),42950.6666666666)</f>
        <v>42950.666666666599</v>
      </c>
      <c r="B567" s="3">
        <f ca="1">IFERROR(__xludf.DUMMYFUNCTION("""COMPUTED_VALUE"""),2476.03)</f>
        <v>2476.0300000000002</v>
      </c>
      <c r="C567" s="3">
        <f ca="1">IFERROR(__xludf.DUMMYFUNCTION("""COMPUTED_VALUE"""),2476.03)</f>
        <v>2476.0300000000002</v>
      </c>
      <c r="D567" s="3">
        <f ca="1">IFERROR(__xludf.DUMMYFUNCTION("""COMPUTED_VALUE"""),2468.85)</f>
        <v>2468.85</v>
      </c>
      <c r="E567" s="3">
        <f ca="1">IFERROR(__xludf.DUMMYFUNCTION("""COMPUTED_VALUE"""),2472.16)</f>
        <v>2472.16</v>
      </c>
      <c r="F567" s="3">
        <f ca="1">IFERROR(__xludf.DUMMYFUNCTION("""COMPUTED_VALUE"""),0)</f>
        <v>0</v>
      </c>
    </row>
    <row r="568" spans="1:6" ht="13" x14ac:dyDescent="0.15">
      <c r="A568" s="4">
        <f ca="1">IFERROR(__xludf.DUMMYFUNCTION("""COMPUTED_VALUE"""),42951.6666666666)</f>
        <v>42951.666666666599</v>
      </c>
      <c r="B568" s="3">
        <f ca="1">IFERROR(__xludf.DUMMYFUNCTION("""COMPUTED_VALUE"""),2476.88)</f>
        <v>2476.88</v>
      </c>
      <c r="C568" s="3">
        <f ca="1">IFERROR(__xludf.DUMMYFUNCTION("""COMPUTED_VALUE"""),2480)</f>
        <v>2480</v>
      </c>
      <c r="D568" s="3">
        <f ca="1">IFERROR(__xludf.DUMMYFUNCTION("""COMPUTED_VALUE"""),2472.08)</f>
        <v>2472.08</v>
      </c>
      <c r="E568" s="3">
        <f ca="1">IFERROR(__xludf.DUMMYFUNCTION("""COMPUTED_VALUE"""),2476.83)</f>
        <v>2476.83</v>
      </c>
      <c r="F568" s="3">
        <f ca="1">IFERROR(__xludf.DUMMYFUNCTION("""COMPUTED_VALUE"""),0)</f>
        <v>0</v>
      </c>
    </row>
    <row r="569" spans="1:6" ht="13" x14ac:dyDescent="0.15">
      <c r="A569" s="4">
        <f ca="1">IFERROR(__xludf.DUMMYFUNCTION("""COMPUTED_VALUE"""),42954.6666666666)</f>
        <v>42954.666666666599</v>
      </c>
      <c r="B569" s="3">
        <f ca="1">IFERROR(__xludf.DUMMYFUNCTION("""COMPUTED_VALUE"""),2477.14)</f>
        <v>2477.14</v>
      </c>
      <c r="C569" s="3">
        <f ca="1">IFERROR(__xludf.DUMMYFUNCTION("""COMPUTED_VALUE"""),2480.95)</f>
        <v>2480.9499999999998</v>
      </c>
      <c r="D569" s="3">
        <f ca="1">IFERROR(__xludf.DUMMYFUNCTION("""COMPUTED_VALUE"""),2475.88)</f>
        <v>2475.88</v>
      </c>
      <c r="E569" s="3">
        <f ca="1">IFERROR(__xludf.DUMMYFUNCTION("""COMPUTED_VALUE"""),2480.91)</f>
        <v>2480.91</v>
      </c>
      <c r="F569" s="3">
        <f ca="1">IFERROR(__xludf.DUMMYFUNCTION("""COMPUTED_VALUE"""),0)</f>
        <v>0</v>
      </c>
    </row>
    <row r="570" spans="1:6" ht="13" x14ac:dyDescent="0.15">
      <c r="A570" s="4">
        <f ca="1">IFERROR(__xludf.DUMMYFUNCTION("""COMPUTED_VALUE"""),42955.6666666666)</f>
        <v>42955.666666666599</v>
      </c>
      <c r="B570" s="3">
        <f ca="1">IFERROR(__xludf.DUMMYFUNCTION("""COMPUTED_VALUE"""),2478.35)</f>
        <v>2478.35</v>
      </c>
      <c r="C570" s="3">
        <f ca="1">IFERROR(__xludf.DUMMYFUNCTION("""COMPUTED_VALUE"""),2490.87)</f>
        <v>2490.87</v>
      </c>
      <c r="D570" s="3">
        <f ca="1">IFERROR(__xludf.DUMMYFUNCTION("""COMPUTED_VALUE"""),2470.32)</f>
        <v>2470.3200000000002</v>
      </c>
      <c r="E570" s="3">
        <f ca="1">IFERROR(__xludf.DUMMYFUNCTION("""COMPUTED_VALUE"""),2474.92)</f>
        <v>2474.92</v>
      </c>
      <c r="F570" s="3">
        <f ca="1">IFERROR(__xludf.DUMMYFUNCTION("""COMPUTED_VALUE"""),0)</f>
        <v>0</v>
      </c>
    </row>
    <row r="571" spans="1:6" ht="13" x14ac:dyDescent="0.15">
      <c r="A571" s="4">
        <f ca="1">IFERROR(__xludf.DUMMYFUNCTION("""COMPUTED_VALUE"""),42956.6666666666)</f>
        <v>42956.666666666599</v>
      </c>
      <c r="B571" s="3">
        <f ca="1">IFERROR(__xludf.DUMMYFUNCTION("""COMPUTED_VALUE"""),2465.35)</f>
        <v>2465.35</v>
      </c>
      <c r="C571" s="3">
        <f ca="1">IFERROR(__xludf.DUMMYFUNCTION("""COMPUTED_VALUE"""),2474.41)</f>
        <v>2474.41</v>
      </c>
      <c r="D571" s="3">
        <f ca="1">IFERROR(__xludf.DUMMYFUNCTION("""COMPUTED_VALUE"""),2462.08)</f>
        <v>2462.08</v>
      </c>
      <c r="E571" s="3">
        <f ca="1">IFERROR(__xludf.DUMMYFUNCTION("""COMPUTED_VALUE"""),2474.02)</f>
        <v>2474.02</v>
      </c>
      <c r="F571" s="3">
        <f ca="1">IFERROR(__xludf.DUMMYFUNCTION("""COMPUTED_VALUE"""),0)</f>
        <v>0</v>
      </c>
    </row>
    <row r="572" spans="1:6" ht="13" x14ac:dyDescent="0.15">
      <c r="A572" s="4">
        <f ca="1">IFERROR(__xludf.DUMMYFUNCTION("""COMPUTED_VALUE"""),42957.6666666666)</f>
        <v>42957.666666666599</v>
      </c>
      <c r="B572" s="3">
        <f ca="1">IFERROR(__xludf.DUMMYFUNCTION("""COMPUTED_VALUE"""),2465.38)</f>
        <v>2465.38</v>
      </c>
      <c r="C572" s="3">
        <f ca="1">IFERROR(__xludf.DUMMYFUNCTION("""COMPUTED_VALUE"""),2465.38)</f>
        <v>2465.38</v>
      </c>
      <c r="D572" s="3">
        <f ca="1">IFERROR(__xludf.DUMMYFUNCTION("""COMPUTED_VALUE"""),2437.75)</f>
        <v>2437.75</v>
      </c>
      <c r="E572" s="3">
        <f ca="1">IFERROR(__xludf.DUMMYFUNCTION("""COMPUTED_VALUE"""),2438.21)</f>
        <v>2438.21</v>
      </c>
      <c r="F572" s="3">
        <f ca="1">IFERROR(__xludf.DUMMYFUNCTION("""COMPUTED_VALUE"""),0)</f>
        <v>0</v>
      </c>
    </row>
    <row r="573" spans="1:6" ht="13" x14ac:dyDescent="0.15">
      <c r="A573" s="4">
        <f ca="1">IFERROR(__xludf.DUMMYFUNCTION("""COMPUTED_VALUE"""),42958.6666666666)</f>
        <v>42958.666666666599</v>
      </c>
      <c r="B573" s="3">
        <f ca="1">IFERROR(__xludf.DUMMYFUNCTION("""COMPUTED_VALUE"""),2441.04)</f>
        <v>2441.04</v>
      </c>
      <c r="C573" s="3">
        <f ca="1">IFERROR(__xludf.DUMMYFUNCTION("""COMPUTED_VALUE"""),2448.09)</f>
        <v>2448.09</v>
      </c>
      <c r="D573" s="3">
        <f ca="1">IFERROR(__xludf.DUMMYFUNCTION("""COMPUTED_VALUE"""),2437.85)</f>
        <v>2437.85</v>
      </c>
      <c r="E573" s="3">
        <f ca="1">IFERROR(__xludf.DUMMYFUNCTION("""COMPUTED_VALUE"""),2441.32)</f>
        <v>2441.3200000000002</v>
      </c>
      <c r="F573" s="3">
        <f ca="1">IFERROR(__xludf.DUMMYFUNCTION("""COMPUTED_VALUE"""),0)</f>
        <v>0</v>
      </c>
    </row>
    <row r="574" spans="1:6" ht="13" x14ac:dyDescent="0.15">
      <c r="A574" s="4">
        <f ca="1">IFERROR(__xludf.DUMMYFUNCTION("""COMPUTED_VALUE"""),42961.6666666666)</f>
        <v>42961.666666666599</v>
      </c>
      <c r="B574" s="3">
        <f ca="1">IFERROR(__xludf.DUMMYFUNCTION("""COMPUTED_VALUE"""),2454.96)</f>
        <v>2454.96</v>
      </c>
      <c r="C574" s="3">
        <f ca="1">IFERROR(__xludf.DUMMYFUNCTION("""COMPUTED_VALUE"""),2468.22)</f>
        <v>2468.2199999999998</v>
      </c>
      <c r="D574" s="3">
        <f ca="1">IFERROR(__xludf.DUMMYFUNCTION("""COMPUTED_VALUE"""),2454.96)</f>
        <v>2454.96</v>
      </c>
      <c r="E574" s="3">
        <f ca="1">IFERROR(__xludf.DUMMYFUNCTION("""COMPUTED_VALUE"""),2465.84)</f>
        <v>2465.84</v>
      </c>
      <c r="F574" s="3">
        <f ca="1">IFERROR(__xludf.DUMMYFUNCTION("""COMPUTED_VALUE"""),0)</f>
        <v>0</v>
      </c>
    </row>
    <row r="575" spans="1:6" ht="13" x14ac:dyDescent="0.15">
      <c r="A575" s="4">
        <f ca="1">IFERROR(__xludf.DUMMYFUNCTION("""COMPUTED_VALUE"""),42962.6666666666)</f>
        <v>42962.666666666599</v>
      </c>
      <c r="B575" s="3">
        <f ca="1">IFERROR(__xludf.DUMMYFUNCTION("""COMPUTED_VALUE"""),2468.66)</f>
        <v>2468.66</v>
      </c>
      <c r="C575" s="3">
        <f ca="1">IFERROR(__xludf.DUMMYFUNCTION("""COMPUTED_VALUE"""),2468.9)</f>
        <v>2468.9</v>
      </c>
      <c r="D575" s="3">
        <f ca="1">IFERROR(__xludf.DUMMYFUNCTION("""COMPUTED_VALUE"""),2461.61)</f>
        <v>2461.61</v>
      </c>
      <c r="E575" s="3">
        <f ca="1">IFERROR(__xludf.DUMMYFUNCTION("""COMPUTED_VALUE"""),2464.61)</f>
        <v>2464.61</v>
      </c>
      <c r="F575" s="3">
        <f ca="1">IFERROR(__xludf.DUMMYFUNCTION("""COMPUTED_VALUE"""),0)</f>
        <v>0</v>
      </c>
    </row>
    <row r="576" spans="1:6" ht="13" x14ac:dyDescent="0.15">
      <c r="A576" s="4">
        <f ca="1">IFERROR(__xludf.DUMMYFUNCTION("""COMPUTED_VALUE"""),42963.6666666666)</f>
        <v>42963.666666666599</v>
      </c>
      <c r="B576" s="3">
        <f ca="1">IFERROR(__xludf.DUMMYFUNCTION("""COMPUTED_VALUE"""),2468.63)</f>
        <v>2468.63</v>
      </c>
      <c r="C576" s="3">
        <f ca="1">IFERROR(__xludf.DUMMYFUNCTION("""COMPUTED_VALUE"""),2474.93)</f>
        <v>2474.9299999999998</v>
      </c>
      <c r="D576" s="3">
        <f ca="1">IFERROR(__xludf.DUMMYFUNCTION("""COMPUTED_VALUE"""),2463.86)</f>
        <v>2463.86</v>
      </c>
      <c r="E576" s="3">
        <f ca="1">IFERROR(__xludf.DUMMYFUNCTION("""COMPUTED_VALUE"""),2468.11)</f>
        <v>2468.11</v>
      </c>
      <c r="F576" s="3">
        <f ca="1">IFERROR(__xludf.DUMMYFUNCTION("""COMPUTED_VALUE"""),0)</f>
        <v>0</v>
      </c>
    </row>
    <row r="577" spans="1:6" ht="13" x14ac:dyDescent="0.15">
      <c r="A577" s="4">
        <f ca="1">IFERROR(__xludf.DUMMYFUNCTION("""COMPUTED_VALUE"""),42964.6666666666)</f>
        <v>42964.666666666599</v>
      </c>
      <c r="B577" s="3">
        <f ca="1">IFERROR(__xludf.DUMMYFUNCTION("""COMPUTED_VALUE"""),2462.95)</f>
        <v>2462.9499999999998</v>
      </c>
      <c r="C577" s="3">
        <f ca="1">IFERROR(__xludf.DUMMYFUNCTION("""COMPUTED_VALUE"""),2465.02)</f>
        <v>2465.02</v>
      </c>
      <c r="D577" s="3">
        <f ca="1">IFERROR(__xludf.DUMMYFUNCTION("""COMPUTED_VALUE"""),2430.01)</f>
        <v>2430.0100000000002</v>
      </c>
      <c r="E577" s="3">
        <f ca="1">IFERROR(__xludf.DUMMYFUNCTION("""COMPUTED_VALUE"""),2430.01)</f>
        <v>2430.0100000000002</v>
      </c>
      <c r="F577" s="3">
        <f ca="1">IFERROR(__xludf.DUMMYFUNCTION("""COMPUTED_VALUE"""),0)</f>
        <v>0</v>
      </c>
    </row>
    <row r="578" spans="1:6" ht="13" x14ac:dyDescent="0.15">
      <c r="A578" s="4">
        <f ca="1">IFERROR(__xludf.DUMMYFUNCTION("""COMPUTED_VALUE"""),42965.6666666666)</f>
        <v>42965.666666666599</v>
      </c>
      <c r="B578" s="3">
        <f ca="1">IFERROR(__xludf.DUMMYFUNCTION("""COMPUTED_VALUE"""),2427.64)</f>
        <v>2427.64</v>
      </c>
      <c r="C578" s="3">
        <f ca="1">IFERROR(__xludf.DUMMYFUNCTION("""COMPUTED_VALUE"""),2440.27)</f>
        <v>2440.27</v>
      </c>
      <c r="D578" s="3">
        <f ca="1">IFERROR(__xludf.DUMMYFUNCTION("""COMPUTED_VALUE"""),2420.69)</f>
        <v>2420.69</v>
      </c>
      <c r="E578" s="3">
        <f ca="1">IFERROR(__xludf.DUMMYFUNCTION("""COMPUTED_VALUE"""),2425.55)</f>
        <v>2425.5500000000002</v>
      </c>
      <c r="F578" s="3">
        <f ca="1">IFERROR(__xludf.DUMMYFUNCTION("""COMPUTED_VALUE"""),0)</f>
        <v>0</v>
      </c>
    </row>
    <row r="579" spans="1:6" ht="13" x14ac:dyDescent="0.15">
      <c r="A579" s="4">
        <f ca="1">IFERROR(__xludf.DUMMYFUNCTION("""COMPUTED_VALUE"""),42968.6666666666)</f>
        <v>42968.666666666599</v>
      </c>
      <c r="B579" s="3">
        <f ca="1">IFERROR(__xludf.DUMMYFUNCTION("""COMPUTED_VALUE"""),2425.5)</f>
        <v>2425.5</v>
      </c>
      <c r="C579" s="3">
        <f ca="1">IFERROR(__xludf.DUMMYFUNCTION("""COMPUTED_VALUE"""),2430.58)</f>
        <v>2430.58</v>
      </c>
      <c r="D579" s="3">
        <f ca="1">IFERROR(__xludf.DUMMYFUNCTION("""COMPUTED_VALUE"""),2417.35)</f>
        <v>2417.35</v>
      </c>
      <c r="E579" s="3">
        <f ca="1">IFERROR(__xludf.DUMMYFUNCTION("""COMPUTED_VALUE"""),2428.37)</f>
        <v>2428.37</v>
      </c>
      <c r="F579" s="3">
        <f ca="1">IFERROR(__xludf.DUMMYFUNCTION("""COMPUTED_VALUE"""),0)</f>
        <v>0</v>
      </c>
    </row>
    <row r="580" spans="1:6" ht="13" x14ac:dyDescent="0.15">
      <c r="A580" s="4">
        <f ca="1">IFERROR(__xludf.DUMMYFUNCTION("""COMPUTED_VALUE"""),42969.6666666666)</f>
        <v>42969.666666666599</v>
      </c>
      <c r="B580" s="3">
        <f ca="1">IFERROR(__xludf.DUMMYFUNCTION("""COMPUTED_VALUE"""),2433.75)</f>
        <v>2433.75</v>
      </c>
      <c r="C580" s="3">
        <f ca="1">IFERROR(__xludf.DUMMYFUNCTION("""COMPUTED_VALUE"""),2454.77)</f>
        <v>2454.77</v>
      </c>
      <c r="D580" s="3">
        <f ca="1">IFERROR(__xludf.DUMMYFUNCTION("""COMPUTED_VALUE"""),2433.67)</f>
        <v>2433.67</v>
      </c>
      <c r="E580" s="3">
        <f ca="1">IFERROR(__xludf.DUMMYFUNCTION("""COMPUTED_VALUE"""),2452.51)</f>
        <v>2452.5100000000002</v>
      </c>
      <c r="F580" s="3">
        <f ca="1">IFERROR(__xludf.DUMMYFUNCTION("""COMPUTED_VALUE"""),0)</f>
        <v>0</v>
      </c>
    </row>
    <row r="581" spans="1:6" ht="13" x14ac:dyDescent="0.15">
      <c r="A581" s="4">
        <f ca="1">IFERROR(__xludf.DUMMYFUNCTION("""COMPUTED_VALUE"""),42970.6666666666)</f>
        <v>42970.666666666599</v>
      </c>
      <c r="B581" s="3">
        <f ca="1">IFERROR(__xludf.DUMMYFUNCTION("""COMPUTED_VALUE"""),2444.88)</f>
        <v>2444.88</v>
      </c>
      <c r="C581" s="3">
        <f ca="1">IFERROR(__xludf.DUMMYFUNCTION("""COMPUTED_VALUE"""),2448.91)</f>
        <v>2448.91</v>
      </c>
      <c r="D581" s="3">
        <f ca="1">IFERROR(__xludf.DUMMYFUNCTION("""COMPUTED_VALUE"""),2441.42)</f>
        <v>2441.42</v>
      </c>
      <c r="E581" s="3">
        <f ca="1">IFERROR(__xludf.DUMMYFUNCTION("""COMPUTED_VALUE"""),2444.04)</f>
        <v>2444.04</v>
      </c>
      <c r="F581" s="3">
        <f ca="1">IFERROR(__xludf.DUMMYFUNCTION("""COMPUTED_VALUE"""),0)</f>
        <v>0</v>
      </c>
    </row>
    <row r="582" spans="1:6" ht="13" x14ac:dyDescent="0.15">
      <c r="A582" s="4">
        <f ca="1">IFERROR(__xludf.DUMMYFUNCTION("""COMPUTED_VALUE"""),42971.6666666666)</f>
        <v>42971.666666666599</v>
      </c>
      <c r="B582" s="3">
        <f ca="1">IFERROR(__xludf.DUMMYFUNCTION("""COMPUTED_VALUE"""),2447.91)</f>
        <v>2447.91</v>
      </c>
      <c r="C582" s="3">
        <f ca="1">IFERROR(__xludf.DUMMYFUNCTION("""COMPUTED_VALUE"""),2450.39)</f>
        <v>2450.39</v>
      </c>
      <c r="D582" s="3">
        <f ca="1">IFERROR(__xludf.DUMMYFUNCTION("""COMPUTED_VALUE"""),2436.31)</f>
        <v>2436.31</v>
      </c>
      <c r="E582" s="3">
        <f ca="1">IFERROR(__xludf.DUMMYFUNCTION("""COMPUTED_VALUE"""),2438.97)</f>
        <v>2438.9699999999998</v>
      </c>
      <c r="F582" s="3">
        <f ca="1">IFERROR(__xludf.DUMMYFUNCTION("""COMPUTED_VALUE"""),0)</f>
        <v>0</v>
      </c>
    </row>
    <row r="583" spans="1:6" ht="13" x14ac:dyDescent="0.15">
      <c r="A583" s="4">
        <f ca="1">IFERROR(__xludf.DUMMYFUNCTION("""COMPUTED_VALUE"""),42972.6666666666)</f>
        <v>42972.666666666599</v>
      </c>
      <c r="B583" s="3">
        <f ca="1">IFERROR(__xludf.DUMMYFUNCTION("""COMPUTED_VALUE"""),2444.72)</f>
        <v>2444.7199999999998</v>
      </c>
      <c r="C583" s="3">
        <f ca="1">IFERROR(__xludf.DUMMYFUNCTION("""COMPUTED_VALUE"""),2453.96)</f>
        <v>2453.96</v>
      </c>
      <c r="D583" s="3">
        <f ca="1">IFERROR(__xludf.DUMMYFUNCTION("""COMPUTED_VALUE"""),2442.22)</f>
        <v>2442.2199999999998</v>
      </c>
      <c r="E583" s="3">
        <f ca="1">IFERROR(__xludf.DUMMYFUNCTION("""COMPUTED_VALUE"""),2443.05)</f>
        <v>2443.0500000000002</v>
      </c>
      <c r="F583" s="3">
        <f ca="1">IFERROR(__xludf.DUMMYFUNCTION("""COMPUTED_VALUE"""),0)</f>
        <v>0</v>
      </c>
    </row>
    <row r="584" spans="1:6" ht="13" x14ac:dyDescent="0.15">
      <c r="A584" s="4">
        <f ca="1">IFERROR(__xludf.DUMMYFUNCTION("""COMPUTED_VALUE"""),42975.6666666666)</f>
        <v>42975.666666666599</v>
      </c>
      <c r="B584" s="3">
        <f ca="1">IFERROR(__xludf.DUMMYFUNCTION("""COMPUTED_VALUE"""),2447.35)</f>
        <v>2447.35</v>
      </c>
      <c r="C584" s="3">
        <f ca="1">IFERROR(__xludf.DUMMYFUNCTION("""COMPUTED_VALUE"""),2449.12)</f>
        <v>2449.12</v>
      </c>
      <c r="D584" s="3">
        <f ca="1">IFERROR(__xludf.DUMMYFUNCTION("""COMPUTED_VALUE"""),2439.03)</f>
        <v>2439.0300000000002</v>
      </c>
      <c r="E584" s="3">
        <f ca="1">IFERROR(__xludf.DUMMYFUNCTION("""COMPUTED_VALUE"""),2444.24)</f>
        <v>2444.2399999999998</v>
      </c>
      <c r="F584" s="3">
        <f ca="1">IFERROR(__xludf.DUMMYFUNCTION("""COMPUTED_VALUE"""),0)</f>
        <v>0</v>
      </c>
    </row>
    <row r="585" spans="1:6" ht="13" x14ac:dyDescent="0.15">
      <c r="A585" s="4">
        <f ca="1">IFERROR(__xludf.DUMMYFUNCTION("""COMPUTED_VALUE"""),42976.6666666666)</f>
        <v>42976.666666666599</v>
      </c>
      <c r="B585" s="3">
        <f ca="1">IFERROR(__xludf.DUMMYFUNCTION("""COMPUTED_VALUE"""),2431.94)</f>
        <v>2431.94</v>
      </c>
      <c r="C585" s="3">
        <f ca="1">IFERROR(__xludf.DUMMYFUNCTION("""COMPUTED_VALUE"""),2449.19)</f>
        <v>2449.19</v>
      </c>
      <c r="D585" s="3">
        <f ca="1">IFERROR(__xludf.DUMMYFUNCTION("""COMPUTED_VALUE"""),2428.2)</f>
        <v>2428.1999999999998</v>
      </c>
      <c r="E585" s="3">
        <f ca="1">IFERROR(__xludf.DUMMYFUNCTION("""COMPUTED_VALUE"""),2446.3)</f>
        <v>2446.3000000000002</v>
      </c>
      <c r="F585" s="3">
        <f ca="1">IFERROR(__xludf.DUMMYFUNCTION("""COMPUTED_VALUE"""),0)</f>
        <v>0</v>
      </c>
    </row>
    <row r="586" spans="1:6" ht="13" x14ac:dyDescent="0.15">
      <c r="A586" s="4">
        <f ca="1">IFERROR(__xludf.DUMMYFUNCTION("""COMPUTED_VALUE"""),42977.6666666666)</f>
        <v>42977.666666666599</v>
      </c>
      <c r="B586" s="3">
        <f ca="1">IFERROR(__xludf.DUMMYFUNCTION("""COMPUTED_VALUE"""),2446.06)</f>
        <v>2446.06</v>
      </c>
      <c r="C586" s="3">
        <f ca="1">IFERROR(__xludf.DUMMYFUNCTION("""COMPUTED_VALUE"""),2460.31)</f>
        <v>2460.31</v>
      </c>
      <c r="D586" s="3">
        <f ca="1">IFERROR(__xludf.DUMMYFUNCTION("""COMPUTED_VALUE"""),2443.77)</f>
        <v>2443.77</v>
      </c>
      <c r="E586" s="3">
        <f ca="1">IFERROR(__xludf.DUMMYFUNCTION("""COMPUTED_VALUE"""),2457.59)</f>
        <v>2457.59</v>
      </c>
      <c r="F586" s="3">
        <f ca="1">IFERROR(__xludf.DUMMYFUNCTION("""COMPUTED_VALUE"""),0)</f>
        <v>0</v>
      </c>
    </row>
    <row r="587" spans="1:6" ht="13" x14ac:dyDescent="0.15">
      <c r="A587" s="4">
        <f ca="1">IFERROR(__xludf.DUMMYFUNCTION("""COMPUTED_VALUE"""),42978.6666666666)</f>
        <v>42978.666666666599</v>
      </c>
      <c r="B587" s="3">
        <f ca="1">IFERROR(__xludf.DUMMYFUNCTION("""COMPUTED_VALUE"""),2462.65)</f>
        <v>2462.65</v>
      </c>
      <c r="C587" s="3">
        <f ca="1">IFERROR(__xludf.DUMMYFUNCTION("""COMPUTED_VALUE"""),2475.01)</f>
        <v>2475.0100000000002</v>
      </c>
      <c r="D587" s="3">
        <f ca="1">IFERROR(__xludf.DUMMYFUNCTION("""COMPUTED_VALUE"""),2462.65)</f>
        <v>2462.65</v>
      </c>
      <c r="E587" s="3">
        <f ca="1">IFERROR(__xludf.DUMMYFUNCTION("""COMPUTED_VALUE"""),2471.65)</f>
        <v>2471.65</v>
      </c>
      <c r="F587" s="3">
        <f ca="1">IFERROR(__xludf.DUMMYFUNCTION("""COMPUTED_VALUE"""),0)</f>
        <v>0</v>
      </c>
    </row>
    <row r="588" spans="1:6" ht="13" x14ac:dyDescent="0.15">
      <c r="A588" s="4">
        <f ca="1">IFERROR(__xludf.DUMMYFUNCTION("""COMPUTED_VALUE"""),42979.6666666666)</f>
        <v>42979.666666666599</v>
      </c>
      <c r="B588" s="3">
        <f ca="1">IFERROR(__xludf.DUMMYFUNCTION("""COMPUTED_VALUE"""),2474.42)</f>
        <v>2474.42</v>
      </c>
      <c r="C588" s="3">
        <f ca="1">IFERROR(__xludf.DUMMYFUNCTION("""COMPUTED_VALUE"""),2480.38)</f>
        <v>2480.38</v>
      </c>
      <c r="D588" s="3">
        <f ca="1">IFERROR(__xludf.DUMMYFUNCTION("""COMPUTED_VALUE"""),2473.85)</f>
        <v>2473.85</v>
      </c>
      <c r="E588" s="3">
        <f ca="1">IFERROR(__xludf.DUMMYFUNCTION("""COMPUTED_VALUE"""),2476.55)</f>
        <v>2476.5500000000002</v>
      </c>
      <c r="F588" s="3">
        <f ca="1">IFERROR(__xludf.DUMMYFUNCTION("""COMPUTED_VALUE"""),0)</f>
        <v>0</v>
      </c>
    </row>
    <row r="589" spans="1:6" ht="13" x14ac:dyDescent="0.15">
      <c r="A589" s="4">
        <f ca="1">IFERROR(__xludf.DUMMYFUNCTION("""COMPUTED_VALUE"""),42983.6666666666)</f>
        <v>42983.666666666599</v>
      </c>
      <c r="B589" s="3">
        <f ca="1">IFERROR(__xludf.DUMMYFUNCTION("""COMPUTED_VALUE"""),2470.35)</f>
        <v>2470.35</v>
      </c>
      <c r="C589" s="3">
        <f ca="1">IFERROR(__xludf.DUMMYFUNCTION("""COMPUTED_VALUE"""),2471.97)</f>
        <v>2471.9699999999998</v>
      </c>
      <c r="D589" s="3">
        <f ca="1">IFERROR(__xludf.DUMMYFUNCTION("""COMPUTED_VALUE"""),2446.55)</f>
        <v>2446.5500000000002</v>
      </c>
      <c r="E589" s="3">
        <f ca="1">IFERROR(__xludf.DUMMYFUNCTION("""COMPUTED_VALUE"""),2457.85)</f>
        <v>2457.85</v>
      </c>
      <c r="F589" s="3">
        <f ca="1">IFERROR(__xludf.DUMMYFUNCTION("""COMPUTED_VALUE"""),0)</f>
        <v>0</v>
      </c>
    </row>
    <row r="590" spans="1:6" ht="13" x14ac:dyDescent="0.15">
      <c r="A590" s="4">
        <f ca="1">IFERROR(__xludf.DUMMYFUNCTION("""COMPUTED_VALUE"""),42984.6666666666)</f>
        <v>42984.666666666599</v>
      </c>
      <c r="B590" s="3">
        <f ca="1">IFERROR(__xludf.DUMMYFUNCTION("""COMPUTED_VALUE"""),2463.83)</f>
        <v>2463.83</v>
      </c>
      <c r="C590" s="3">
        <f ca="1">IFERROR(__xludf.DUMMYFUNCTION("""COMPUTED_VALUE"""),2469.64)</f>
        <v>2469.64</v>
      </c>
      <c r="D590" s="3">
        <f ca="1">IFERROR(__xludf.DUMMYFUNCTION("""COMPUTED_VALUE"""),2459.2)</f>
        <v>2459.1999999999998</v>
      </c>
      <c r="E590" s="3">
        <f ca="1">IFERROR(__xludf.DUMMYFUNCTION("""COMPUTED_VALUE"""),2465.54)</f>
        <v>2465.54</v>
      </c>
      <c r="F590" s="3">
        <f ca="1">IFERROR(__xludf.DUMMYFUNCTION("""COMPUTED_VALUE"""),0)</f>
        <v>0</v>
      </c>
    </row>
    <row r="591" spans="1:6" ht="13" x14ac:dyDescent="0.15">
      <c r="A591" s="4">
        <f ca="1">IFERROR(__xludf.DUMMYFUNCTION("""COMPUTED_VALUE"""),42985.6666666666)</f>
        <v>42985.666666666599</v>
      </c>
      <c r="B591" s="3">
        <f ca="1">IFERROR(__xludf.DUMMYFUNCTION("""COMPUTED_VALUE"""),2468.06)</f>
        <v>2468.06</v>
      </c>
      <c r="C591" s="3">
        <f ca="1">IFERROR(__xludf.DUMMYFUNCTION("""COMPUTED_VALUE"""),2468.62)</f>
        <v>2468.62</v>
      </c>
      <c r="D591" s="3">
        <f ca="1">IFERROR(__xludf.DUMMYFUNCTION("""COMPUTED_VALUE"""),2460.29)</f>
        <v>2460.29</v>
      </c>
      <c r="E591" s="3">
        <f ca="1">IFERROR(__xludf.DUMMYFUNCTION("""COMPUTED_VALUE"""),2465.1)</f>
        <v>2465.1</v>
      </c>
      <c r="F591" s="3">
        <f ca="1">IFERROR(__xludf.DUMMYFUNCTION("""COMPUTED_VALUE"""),0)</f>
        <v>0</v>
      </c>
    </row>
    <row r="592" spans="1:6" ht="13" x14ac:dyDescent="0.15">
      <c r="A592" s="4">
        <f ca="1">IFERROR(__xludf.DUMMYFUNCTION("""COMPUTED_VALUE"""),42986.6666666666)</f>
        <v>42986.666666666599</v>
      </c>
      <c r="B592" s="3">
        <f ca="1">IFERROR(__xludf.DUMMYFUNCTION("""COMPUTED_VALUE"""),2462.25)</f>
        <v>2462.25</v>
      </c>
      <c r="C592" s="3">
        <f ca="1">IFERROR(__xludf.DUMMYFUNCTION("""COMPUTED_VALUE"""),2467.11)</f>
        <v>2467.11</v>
      </c>
      <c r="D592" s="3">
        <f ca="1">IFERROR(__xludf.DUMMYFUNCTION("""COMPUTED_VALUE"""),2459.4)</f>
        <v>2459.4</v>
      </c>
      <c r="E592" s="3">
        <f ca="1">IFERROR(__xludf.DUMMYFUNCTION("""COMPUTED_VALUE"""),2461.43)</f>
        <v>2461.4299999999998</v>
      </c>
      <c r="F592" s="3">
        <f ca="1">IFERROR(__xludf.DUMMYFUNCTION("""COMPUTED_VALUE"""),0)</f>
        <v>0</v>
      </c>
    </row>
    <row r="593" spans="1:6" ht="13" x14ac:dyDescent="0.15">
      <c r="A593" s="4">
        <f ca="1">IFERROR(__xludf.DUMMYFUNCTION("""COMPUTED_VALUE"""),42989.6666666666)</f>
        <v>42989.666666666599</v>
      </c>
      <c r="B593" s="3">
        <f ca="1">IFERROR(__xludf.DUMMYFUNCTION("""COMPUTED_VALUE"""),2474.52)</f>
        <v>2474.52</v>
      </c>
      <c r="C593" s="3">
        <f ca="1">IFERROR(__xludf.DUMMYFUNCTION("""COMPUTED_VALUE"""),2488.95)</f>
        <v>2488.9499999999998</v>
      </c>
      <c r="D593" s="3">
        <f ca="1">IFERROR(__xludf.DUMMYFUNCTION("""COMPUTED_VALUE"""),2474.52)</f>
        <v>2474.52</v>
      </c>
      <c r="E593" s="3">
        <f ca="1">IFERROR(__xludf.DUMMYFUNCTION("""COMPUTED_VALUE"""),2488.11)</f>
        <v>2488.11</v>
      </c>
      <c r="F593" s="3">
        <f ca="1">IFERROR(__xludf.DUMMYFUNCTION("""COMPUTED_VALUE"""),0)</f>
        <v>0</v>
      </c>
    </row>
    <row r="594" spans="1:6" ht="13" x14ac:dyDescent="0.15">
      <c r="A594" s="4">
        <f ca="1">IFERROR(__xludf.DUMMYFUNCTION("""COMPUTED_VALUE"""),42990.6666666666)</f>
        <v>42990.666666666599</v>
      </c>
      <c r="B594" s="3">
        <f ca="1">IFERROR(__xludf.DUMMYFUNCTION("""COMPUTED_VALUE"""),2491.94)</f>
        <v>2491.94</v>
      </c>
      <c r="C594" s="3">
        <f ca="1">IFERROR(__xludf.DUMMYFUNCTION("""COMPUTED_VALUE"""),2496.77)</f>
        <v>2496.77</v>
      </c>
      <c r="D594" s="3">
        <f ca="1">IFERROR(__xludf.DUMMYFUNCTION("""COMPUTED_VALUE"""),2490.37)</f>
        <v>2490.37</v>
      </c>
      <c r="E594" s="3">
        <f ca="1">IFERROR(__xludf.DUMMYFUNCTION("""COMPUTED_VALUE"""),2496.48)</f>
        <v>2496.48</v>
      </c>
      <c r="F594" s="3">
        <f ca="1">IFERROR(__xludf.DUMMYFUNCTION("""COMPUTED_VALUE"""),0)</f>
        <v>0</v>
      </c>
    </row>
    <row r="595" spans="1:6" ht="13" x14ac:dyDescent="0.15">
      <c r="A595" s="4">
        <f ca="1">IFERROR(__xludf.DUMMYFUNCTION("""COMPUTED_VALUE"""),42991.6666666666)</f>
        <v>42991.666666666599</v>
      </c>
      <c r="B595" s="3">
        <f ca="1">IFERROR(__xludf.DUMMYFUNCTION("""COMPUTED_VALUE"""),2493.89)</f>
        <v>2493.89</v>
      </c>
      <c r="C595" s="3">
        <f ca="1">IFERROR(__xludf.DUMMYFUNCTION("""COMPUTED_VALUE"""),2498.37)</f>
        <v>2498.37</v>
      </c>
      <c r="D595" s="3">
        <f ca="1">IFERROR(__xludf.DUMMYFUNCTION("""COMPUTED_VALUE"""),2492.14)</f>
        <v>2492.14</v>
      </c>
      <c r="E595" s="3">
        <f ca="1">IFERROR(__xludf.DUMMYFUNCTION("""COMPUTED_VALUE"""),2498.37)</f>
        <v>2498.37</v>
      </c>
      <c r="F595" s="3">
        <f ca="1">IFERROR(__xludf.DUMMYFUNCTION("""COMPUTED_VALUE"""),0)</f>
        <v>0</v>
      </c>
    </row>
    <row r="596" spans="1:6" ht="13" x14ac:dyDescent="0.15">
      <c r="A596" s="4">
        <f ca="1">IFERROR(__xludf.DUMMYFUNCTION("""COMPUTED_VALUE"""),42992.6666666666)</f>
        <v>42992.666666666599</v>
      </c>
      <c r="B596" s="3">
        <f ca="1">IFERROR(__xludf.DUMMYFUNCTION("""COMPUTED_VALUE"""),2494.56)</f>
        <v>2494.56</v>
      </c>
      <c r="C596" s="3">
        <f ca="1">IFERROR(__xludf.DUMMYFUNCTION("""COMPUTED_VALUE"""),2498.43)</f>
        <v>2498.4299999999998</v>
      </c>
      <c r="D596" s="3">
        <f ca="1">IFERROR(__xludf.DUMMYFUNCTION("""COMPUTED_VALUE"""),2491.35)</f>
        <v>2491.35</v>
      </c>
      <c r="E596" s="3">
        <f ca="1">IFERROR(__xludf.DUMMYFUNCTION("""COMPUTED_VALUE"""),2495.62)</f>
        <v>2495.62</v>
      </c>
      <c r="F596" s="3">
        <f ca="1">IFERROR(__xludf.DUMMYFUNCTION("""COMPUTED_VALUE"""),0)</f>
        <v>0</v>
      </c>
    </row>
    <row r="597" spans="1:6" ht="13" x14ac:dyDescent="0.15">
      <c r="A597" s="4">
        <f ca="1">IFERROR(__xludf.DUMMYFUNCTION("""COMPUTED_VALUE"""),42993.6666666666)</f>
        <v>42993.666666666599</v>
      </c>
      <c r="B597" s="3">
        <f ca="1">IFERROR(__xludf.DUMMYFUNCTION("""COMPUTED_VALUE"""),2495.67)</f>
        <v>2495.67</v>
      </c>
      <c r="C597" s="3">
        <f ca="1">IFERROR(__xludf.DUMMYFUNCTION("""COMPUTED_VALUE"""),2500.23)</f>
        <v>2500.23</v>
      </c>
      <c r="D597" s="3">
        <f ca="1">IFERROR(__xludf.DUMMYFUNCTION("""COMPUTED_VALUE"""),2493.16)</f>
        <v>2493.16</v>
      </c>
      <c r="E597" s="3">
        <f ca="1">IFERROR(__xludf.DUMMYFUNCTION("""COMPUTED_VALUE"""),2500.23)</f>
        <v>2500.23</v>
      </c>
      <c r="F597" s="3">
        <f ca="1">IFERROR(__xludf.DUMMYFUNCTION("""COMPUTED_VALUE"""),0)</f>
        <v>0</v>
      </c>
    </row>
    <row r="598" spans="1:6" ht="13" x14ac:dyDescent="0.15">
      <c r="A598" s="4">
        <f ca="1">IFERROR(__xludf.DUMMYFUNCTION("""COMPUTED_VALUE"""),42996.6666666666)</f>
        <v>42996.666666666599</v>
      </c>
      <c r="B598" s="3">
        <f ca="1">IFERROR(__xludf.DUMMYFUNCTION("""COMPUTED_VALUE"""),2502.51)</f>
        <v>2502.5100000000002</v>
      </c>
      <c r="C598" s="3">
        <f ca="1">IFERROR(__xludf.DUMMYFUNCTION("""COMPUTED_VALUE"""),2508.32)</f>
        <v>2508.3200000000002</v>
      </c>
      <c r="D598" s="3">
        <f ca="1">IFERROR(__xludf.DUMMYFUNCTION("""COMPUTED_VALUE"""),2499.92)</f>
        <v>2499.92</v>
      </c>
      <c r="E598" s="3">
        <f ca="1">IFERROR(__xludf.DUMMYFUNCTION("""COMPUTED_VALUE"""),2503.87)</f>
        <v>2503.87</v>
      </c>
      <c r="F598" s="3">
        <f ca="1">IFERROR(__xludf.DUMMYFUNCTION("""COMPUTED_VALUE"""),0)</f>
        <v>0</v>
      </c>
    </row>
    <row r="599" spans="1:6" ht="13" x14ac:dyDescent="0.15">
      <c r="A599" s="4">
        <f ca="1">IFERROR(__xludf.DUMMYFUNCTION("""COMPUTED_VALUE"""),42997.6666666666)</f>
        <v>42997.666666666599</v>
      </c>
      <c r="B599" s="3">
        <f ca="1">IFERROR(__xludf.DUMMYFUNCTION("""COMPUTED_VALUE"""),2506.29)</f>
        <v>2506.29</v>
      </c>
      <c r="C599" s="3">
        <f ca="1">IFERROR(__xludf.DUMMYFUNCTION("""COMPUTED_VALUE"""),2507.84)</f>
        <v>2507.84</v>
      </c>
      <c r="D599" s="3">
        <f ca="1">IFERROR(__xludf.DUMMYFUNCTION("""COMPUTED_VALUE"""),2503.19)</f>
        <v>2503.19</v>
      </c>
      <c r="E599" s="3">
        <f ca="1">IFERROR(__xludf.DUMMYFUNCTION("""COMPUTED_VALUE"""),2506.65)</f>
        <v>2506.65</v>
      </c>
      <c r="F599" s="3">
        <f ca="1">IFERROR(__xludf.DUMMYFUNCTION("""COMPUTED_VALUE"""),0)</f>
        <v>0</v>
      </c>
    </row>
    <row r="600" spans="1:6" ht="13" x14ac:dyDescent="0.15">
      <c r="A600" s="4">
        <f ca="1">IFERROR(__xludf.DUMMYFUNCTION("""COMPUTED_VALUE"""),42998.6666666666)</f>
        <v>42998.666666666599</v>
      </c>
      <c r="B600" s="3">
        <f ca="1">IFERROR(__xludf.DUMMYFUNCTION("""COMPUTED_VALUE"""),2506.84)</f>
        <v>2506.84</v>
      </c>
      <c r="C600" s="3">
        <f ca="1">IFERROR(__xludf.DUMMYFUNCTION("""COMPUTED_VALUE"""),2508.85)</f>
        <v>2508.85</v>
      </c>
      <c r="D600" s="3">
        <f ca="1">IFERROR(__xludf.DUMMYFUNCTION("""COMPUTED_VALUE"""),2496.67)</f>
        <v>2496.67</v>
      </c>
      <c r="E600" s="3">
        <f ca="1">IFERROR(__xludf.DUMMYFUNCTION("""COMPUTED_VALUE"""),2508.24)</f>
        <v>2508.2399999999998</v>
      </c>
      <c r="F600" s="3">
        <f ca="1">IFERROR(__xludf.DUMMYFUNCTION("""COMPUTED_VALUE"""),0)</f>
        <v>0</v>
      </c>
    </row>
    <row r="601" spans="1:6" ht="13" x14ac:dyDescent="0.15">
      <c r="A601" s="4">
        <f ca="1">IFERROR(__xludf.DUMMYFUNCTION("""COMPUTED_VALUE"""),42999.6666666666)</f>
        <v>42999.666666666599</v>
      </c>
      <c r="B601" s="3">
        <f ca="1">IFERROR(__xludf.DUMMYFUNCTION("""COMPUTED_VALUE"""),2507.16)</f>
        <v>2507.16</v>
      </c>
      <c r="C601" s="3">
        <f ca="1">IFERROR(__xludf.DUMMYFUNCTION("""COMPUTED_VALUE"""),2507.16)</f>
        <v>2507.16</v>
      </c>
      <c r="D601" s="3">
        <f ca="1">IFERROR(__xludf.DUMMYFUNCTION("""COMPUTED_VALUE"""),2499)</f>
        <v>2499</v>
      </c>
      <c r="E601" s="3">
        <f ca="1">IFERROR(__xludf.DUMMYFUNCTION("""COMPUTED_VALUE"""),2500.6)</f>
        <v>2500.6</v>
      </c>
      <c r="F601" s="3">
        <f ca="1">IFERROR(__xludf.DUMMYFUNCTION("""COMPUTED_VALUE"""),0)</f>
        <v>0</v>
      </c>
    </row>
    <row r="602" spans="1:6" ht="13" x14ac:dyDescent="0.15">
      <c r="A602" s="4">
        <f ca="1">IFERROR(__xludf.DUMMYFUNCTION("""COMPUTED_VALUE"""),43000.6666666666)</f>
        <v>43000.666666666599</v>
      </c>
      <c r="B602" s="3">
        <f ca="1">IFERROR(__xludf.DUMMYFUNCTION("""COMPUTED_VALUE"""),2497.26)</f>
        <v>2497.2600000000002</v>
      </c>
      <c r="C602" s="3">
        <f ca="1">IFERROR(__xludf.DUMMYFUNCTION("""COMPUTED_VALUE"""),2503.47)</f>
        <v>2503.4699999999998</v>
      </c>
      <c r="D602" s="3">
        <f ca="1">IFERROR(__xludf.DUMMYFUNCTION("""COMPUTED_VALUE"""),2496.54)</f>
        <v>2496.54</v>
      </c>
      <c r="E602" s="3">
        <f ca="1">IFERROR(__xludf.DUMMYFUNCTION("""COMPUTED_VALUE"""),2502.22)</f>
        <v>2502.2199999999998</v>
      </c>
      <c r="F602" s="3">
        <f ca="1">IFERROR(__xludf.DUMMYFUNCTION("""COMPUTED_VALUE"""),0)</f>
        <v>0</v>
      </c>
    </row>
    <row r="603" spans="1:6" ht="13" x14ac:dyDescent="0.15">
      <c r="A603" s="4">
        <f ca="1">IFERROR(__xludf.DUMMYFUNCTION("""COMPUTED_VALUE"""),43003.6666666666)</f>
        <v>43003.666666666599</v>
      </c>
      <c r="B603" s="3">
        <f ca="1">IFERROR(__xludf.DUMMYFUNCTION("""COMPUTED_VALUE"""),2499.39)</f>
        <v>2499.39</v>
      </c>
      <c r="C603" s="3">
        <f ca="1">IFERROR(__xludf.DUMMYFUNCTION("""COMPUTED_VALUE"""),2502.54)</f>
        <v>2502.54</v>
      </c>
      <c r="D603" s="3">
        <f ca="1">IFERROR(__xludf.DUMMYFUNCTION("""COMPUTED_VALUE"""),2488.03)</f>
        <v>2488.0300000000002</v>
      </c>
      <c r="E603" s="3">
        <f ca="1">IFERROR(__xludf.DUMMYFUNCTION("""COMPUTED_VALUE"""),2496.66)</f>
        <v>2496.66</v>
      </c>
      <c r="F603" s="3">
        <f ca="1">IFERROR(__xludf.DUMMYFUNCTION("""COMPUTED_VALUE"""),0)</f>
        <v>0</v>
      </c>
    </row>
    <row r="604" spans="1:6" ht="13" x14ac:dyDescent="0.15">
      <c r="A604" s="4">
        <f ca="1">IFERROR(__xludf.DUMMYFUNCTION("""COMPUTED_VALUE"""),43004.6666666666)</f>
        <v>43004.666666666599</v>
      </c>
      <c r="B604" s="3">
        <f ca="1">IFERROR(__xludf.DUMMYFUNCTION("""COMPUTED_VALUE"""),2501.04)</f>
        <v>2501.04</v>
      </c>
      <c r="C604" s="3">
        <f ca="1">IFERROR(__xludf.DUMMYFUNCTION("""COMPUTED_VALUE"""),2503.51)</f>
        <v>2503.5100000000002</v>
      </c>
      <c r="D604" s="3">
        <f ca="1">IFERROR(__xludf.DUMMYFUNCTION("""COMPUTED_VALUE"""),2495.12)</f>
        <v>2495.12</v>
      </c>
      <c r="E604" s="3">
        <f ca="1">IFERROR(__xludf.DUMMYFUNCTION("""COMPUTED_VALUE"""),2496.84)</f>
        <v>2496.84</v>
      </c>
      <c r="F604" s="3">
        <f ca="1">IFERROR(__xludf.DUMMYFUNCTION("""COMPUTED_VALUE"""),0)</f>
        <v>0</v>
      </c>
    </row>
    <row r="605" spans="1:6" ht="13" x14ac:dyDescent="0.15">
      <c r="A605" s="4">
        <f ca="1">IFERROR(__xludf.DUMMYFUNCTION("""COMPUTED_VALUE"""),43005.6666666666)</f>
        <v>43005.666666666599</v>
      </c>
      <c r="B605" s="3">
        <f ca="1">IFERROR(__xludf.DUMMYFUNCTION("""COMPUTED_VALUE"""),2503.3)</f>
        <v>2503.3000000000002</v>
      </c>
      <c r="C605" s="3">
        <f ca="1">IFERROR(__xludf.DUMMYFUNCTION("""COMPUTED_VALUE"""),2511.75)</f>
        <v>2511.75</v>
      </c>
      <c r="D605" s="3">
        <f ca="1">IFERROR(__xludf.DUMMYFUNCTION("""COMPUTED_VALUE"""),2495.91)</f>
        <v>2495.91</v>
      </c>
      <c r="E605" s="3">
        <f ca="1">IFERROR(__xludf.DUMMYFUNCTION("""COMPUTED_VALUE"""),2507.04)</f>
        <v>2507.04</v>
      </c>
      <c r="F605" s="3">
        <f ca="1">IFERROR(__xludf.DUMMYFUNCTION("""COMPUTED_VALUE"""),0)</f>
        <v>0</v>
      </c>
    </row>
    <row r="606" spans="1:6" ht="13" x14ac:dyDescent="0.15">
      <c r="A606" s="4">
        <f ca="1">IFERROR(__xludf.DUMMYFUNCTION("""COMPUTED_VALUE"""),43006.6666666666)</f>
        <v>43006.666666666599</v>
      </c>
      <c r="B606" s="3">
        <f ca="1">IFERROR(__xludf.DUMMYFUNCTION("""COMPUTED_VALUE"""),2503.41)</f>
        <v>2503.41</v>
      </c>
      <c r="C606" s="3">
        <f ca="1">IFERROR(__xludf.DUMMYFUNCTION("""COMPUTED_VALUE"""),2510.81)</f>
        <v>2510.81</v>
      </c>
      <c r="D606" s="3">
        <f ca="1">IFERROR(__xludf.DUMMYFUNCTION("""COMPUTED_VALUE"""),2502.93)</f>
        <v>2502.9299999999998</v>
      </c>
      <c r="E606" s="3">
        <f ca="1">IFERROR(__xludf.DUMMYFUNCTION("""COMPUTED_VALUE"""),2510.06)</f>
        <v>2510.06</v>
      </c>
      <c r="F606" s="3">
        <f ca="1">IFERROR(__xludf.DUMMYFUNCTION("""COMPUTED_VALUE"""),0)</f>
        <v>0</v>
      </c>
    </row>
    <row r="607" spans="1:6" ht="13" x14ac:dyDescent="0.15">
      <c r="A607" s="4">
        <f ca="1">IFERROR(__xludf.DUMMYFUNCTION("""COMPUTED_VALUE"""),43007.6666666666)</f>
        <v>43007.666666666599</v>
      </c>
      <c r="B607" s="3">
        <f ca="1">IFERROR(__xludf.DUMMYFUNCTION("""COMPUTED_VALUE"""),2509.96)</f>
        <v>2509.96</v>
      </c>
      <c r="C607" s="3">
        <f ca="1">IFERROR(__xludf.DUMMYFUNCTION("""COMPUTED_VALUE"""),2519.44)</f>
        <v>2519.44</v>
      </c>
      <c r="D607" s="3">
        <f ca="1">IFERROR(__xludf.DUMMYFUNCTION("""COMPUTED_VALUE"""),2509.11)</f>
        <v>2509.11</v>
      </c>
      <c r="E607" s="3">
        <f ca="1">IFERROR(__xludf.DUMMYFUNCTION("""COMPUTED_VALUE"""),2519.36)</f>
        <v>2519.36</v>
      </c>
      <c r="F607" s="3">
        <f ca="1">IFERROR(__xludf.DUMMYFUNCTION("""COMPUTED_VALUE"""),0)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N610"/>
  <sheetViews>
    <sheetView workbookViewId="0"/>
  </sheetViews>
  <sheetFormatPr baseColWidth="10" defaultColWidth="14.5" defaultRowHeight="15.75" customHeight="1" x14ac:dyDescent="0.15"/>
  <cols>
    <col min="1" max="1" width="18.1640625" customWidth="1"/>
    <col min="2" max="2" width="10.33203125" customWidth="1"/>
    <col min="3" max="5" width="7.83203125" customWidth="1"/>
    <col min="6" max="6" width="11.5" customWidth="1"/>
    <col min="8" max="8" width="10" customWidth="1"/>
    <col min="9" max="9" width="10.33203125" customWidth="1"/>
  </cols>
  <sheetData>
    <row r="1" spans="1:66" ht="15.75" customHeight="1" x14ac:dyDescent="0.15">
      <c r="A1" s="1" t="s">
        <v>0</v>
      </c>
      <c r="B1" s="2">
        <v>42131</v>
      </c>
      <c r="H1" s="1"/>
      <c r="I1" s="2"/>
    </row>
    <row r="2" spans="1:66" ht="15.75" customHeight="1" x14ac:dyDescent="0.15">
      <c r="A2" s="1" t="s">
        <v>13</v>
      </c>
      <c r="B2" s="2">
        <v>43008</v>
      </c>
      <c r="H2" s="1"/>
      <c r="I2" s="2"/>
    </row>
    <row r="3" spans="1:66" ht="15.75" customHeight="1" x14ac:dyDescent="0.15">
      <c r="A3" s="5" t="s">
        <v>1</v>
      </c>
      <c r="B3" s="6"/>
      <c r="C3" s="6"/>
      <c r="D3" s="6"/>
      <c r="E3" s="6"/>
      <c r="F3" s="6"/>
      <c r="G3" s="5" t="s">
        <v>2</v>
      </c>
      <c r="H3" s="6"/>
      <c r="I3" s="6"/>
      <c r="J3" s="6"/>
      <c r="K3" s="6"/>
      <c r="L3" s="6"/>
      <c r="M3" s="5" t="s">
        <v>3</v>
      </c>
      <c r="N3" s="6"/>
      <c r="O3" s="6"/>
      <c r="P3" s="6"/>
      <c r="Q3" s="6"/>
      <c r="R3" s="6"/>
      <c r="S3" s="5" t="s">
        <v>4</v>
      </c>
      <c r="T3" s="6"/>
      <c r="U3" s="6"/>
      <c r="V3" s="6"/>
      <c r="W3" s="6"/>
      <c r="X3" s="6"/>
      <c r="Y3" s="5" t="s">
        <v>5</v>
      </c>
      <c r="Z3" s="6"/>
      <c r="AA3" s="6"/>
      <c r="AB3" s="6"/>
      <c r="AC3" s="6"/>
      <c r="AD3" s="6"/>
      <c r="AE3" s="5" t="s">
        <v>6</v>
      </c>
      <c r="AF3" s="6"/>
      <c r="AG3" s="6"/>
      <c r="AH3" s="6"/>
      <c r="AI3" s="6"/>
      <c r="AJ3" s="6"/>
      <c r="AK3" s="5" t="s">
        <v>7</v>
      </c>
      <c r="AL3" s="6"/>
      <c r="AM3" s="6"/>
      <c r="AN3" s="6"/>
      <c r="AO3" s="6"/>
      <c r="AP3" s="6"/>
      <c r="AQ3" s="5" t="s">
        <v>8</v>
      </c>
      <c r="AR3" s="6"/>
      <c r="AS3" s="6"/>
      <c r="AT3" s="6"/>
      <c r="AU3" s="6"/>
      <c r="AV3" s="6"/>
      <c r="AW3" s="5" t="s">
        <v>11</v>
      </c>
      <c r="AX3" s="6"/>
      <c r="AY3" s="6"/>
      <c r="AZ3" s="6"/>
      <c r="BA3" s="6"/>
      <c r="BB3" s="6"/>
      <c r="BC3" s="5" t="s">
        <v>9</v>
      </c>
      <c r="BD3" s="6"/>
      <c r="BE3" s="6"/>
      <c r="BF3" s="6"/>
      <c r="BG3" s="6"/>
      <c r="BH3" s="6"/>
      <c r="BI3" s="5" t="s">
        <v>10</v>
      </c>
      <c r="BJ3" s="6"/>
      <c r="BK3" s="6"/>
      <c r="BL3" s="6"/>
      <c r="BM3" s="6"/>
      <c r="BN3" s="6"/>
    </row>
    <row r="4" spans="1:66" ht="15.75" customHeight="1" x14ac:dyDescent="0.15">
      <c r="A4" s="1" t="str">
        <f ca="1">IFERROR(__xludf.DUMMYFUNCTION("GOOGLEFINANCE(""XLC"",""all"", B1, B2, ""DAILY"")"),"#N/A")</f>
        <v>#N/A</v>
      </c>
      <c r="G4" s="3" t="str">
        <f ca="1">IFERROR(__xludf.DUMMYFUNCTION("GOOGLEFINANCE(""XLY"",""all"", B1, B2, ""DAILY"")"),"Date")</f>
        <v>Date</v>
      </c>
      <c r="H4" s="3" t="str">
        <f ca="1">IFERROR(__xludf.DUMMYFUNCTION("""COMPUTED_VALUE"""),"Open")</f>
        <v>Open</v>
      </c>
      <c r="I4" s="3" t="str">
        <f ca="1">IFERROR(__xludf.DUMMYFUNCTION("""COMPUTED_VALUE"""),"High")</f>
        <v>High</v>
      </c>
      <c r="J4" s="3" t="str">
        <f ca="1">IFERROR(__xludf.DUMMYFUNCTION("""COMPUTED_VALUE"""),"Low")</f>
        <v>Low</v>
      </c>
      <c r="K4" s="3" t="str">
        <f ca="1">IFERROR(__xludf.DUMMYFUNCTION("""COMPUTED_VALUE"""),"Close")</f>
        <v>Close</v>
      </c>
      <c r="L4" s="3" t="str">
        <f ca="1">IFERROR(__xludf.DUMMYFUNCTION("""COMPUTED_VALUE"""),"Volume")</f>
        <v>Volume</v>
      </c>
      <c r="M4" s="3" t="str">
        <f ca="1">IFERROR(__xludf.DUMMYFUNCTION("GOOGLEFINANCE(""XLP"",""all"", B1, B2, ""DAILY"")"),"Date")</f>
        <v>Date</v>
      </c>
      <c r="N4" s="3" t="str">
        <f ca="1">IFERROR(__xludf.DUMMYFUNCTION("""COMPUTED_VALUE"""),"Open")</f>
        <v>Open</v>
      </c>
      <c r="O4" s="3" t="str">
        <f ca="1">IFERROR(__xludf.DUMMYFUNCTION("""COMPUTED_VALUE"""),"High")</f>
        <v>High</v>
      </c>
      <c r="P4" s="3" t="str">
        <f ca="1">IFERROR(__xludf.DUMMYFUNCTION("""COMPUTED_VALUE"""),"Low")</f>
        <v>Low</v>
      </c>
      <c r="Q4" s="3" t="str">
        <f ca="1">IFERROR(__xludf.DUMMYFUNCTION("""COMPUTED_VALUE"""),"Close")</f>
        <v>Close</v>
      </c>
      <c r="R4" s="3" t="str">
        <f ca="1">IFERROR(__xludf.DUMMYFUNCTION("""COMPUTED_VALUE"""),"Volume")</f>
        <v>Volume</v>
      </c>
      <c r="S4" s="3" t="str">
        <f ca="1">IFERROR(__xludf.DUMMYFUNCTION("GOOGLEFINANCE(""XLE"",""all"", B1, B2, ""DAILY"")"),"Date")</f>
        <v>Date</v>
      </c>
      <c r="T4" s="3" t="str">
        <f ca="1">IFERROR(__xludf.DUMMYFUNCTION("""COMPUTED_VALUE"""),"Open")</f>
        <v>Open</v>
      </c>
      <c r="U4" s="3" t="str">
        <f ca="1">IFERROR(__xludf.DUMMYFUNCTION("""COMPUTED_VALUE"""),"High")</f>
        <v>High</v>
      </c>
      <c r="V4" s="3" t="str">
        <f ca="1">IFERROR(__xludf.DUMMYFUNCTION("""COMPUTED_VALUE"""),"Low")</f>
        <v>Low</v>
      </c>
      <c r="W4" s="3" t="str">
        <f ca="1">IFERROR(__xludf.DUMMYFUNCTION("""COMPUTED_VALUE"""),"Close")</f>
        <v>Close</v>
      </c>
      <c r="X4" s="3" t="str">
        <f ca="1">IFERROR(__xludf.DUMMYFUNCTION("""COMPUTED_VALUE"""),"Volume")</f>
        <v>Volume</v>
      </c>
      <c r="Y4" s="3" t="str">
        <f ca="1">IFERROR(__xludf.DUMMYFUNCTION("GOOGLEFINANCE(""XLF"",""all"", B1, B2, ""DAILY"")"),"Date")</f>
        <v>Date</v>
      </c>
      <c r="Z4" s="3" t="str">
        <f ca="1">IFERROR(__xludf.DUMMYFUNCTION("""COMPUTED_VALUE"""),"Open")</f>
        <v>Open</v>
      </c>
      <c r="AA4" s="3" t="str">
        <f ca="1">IFERROR(__xludf.DUMMYFUNCTION("""COMPUTED_VALUE"""),"High")</f>
        <v>High</v>
      </c>
      <c r="AB4" s="3" t="str">
        <f ca="1">IFERROR(__xludf.DUMMYFUNCTION("""COMPUTED_VALUE"""),"Low")</f>
        <v>Low</v>
      </c>
      <c r="AC4" s="3" t="str">
        <f ca="1">IFERROR(__xludf.DUMMYFUNCTION("""COMPUTED_VALUE"""),"Close")</f>
        <v>Close</v>
      </c>
      <c r="AD4" s="3" t="str">
        <f ca="1">IFERROR(__xludf.DUMMYFUNCTION("""COMPUTED_VALUE"""),"Volume")</f>
        <v>Volume</v>
      </c>
      <c r="AE4" s="3" t="str">
        <f ca="1">IFERROR(__xludf.DUMMYFUNCTION("GOOGLEFINANCE(""XLV"",""all"", B1, B2, ""DAILY"")"),"Date")</f>
        <v>Date</v>
      </c>
      <c r="AF4" s="3" t="str">
        <f ca="1">IFERROR(__xludf.DUMMYFUNCTION("""COMPUTED_VALUE"""),"Open")</f>
        <v>Open</v>
      </c>
      <c r="AG4" s="3" t="str">
        <f ca="1">IFERROR(__xludf.DUMMYFUNCTION("""COMPUTED_VALUE"""),"High")</f>
        <v>High</v>
      </c>
      <c r="AH4" s="3" t="str">
        <f ca="1">IFERROR(__xludf.DUMMYFUNCTION("""COMPUTED_VALUE"""),"Low")</f>
        <v>Low</v>
      </c>
      <c r="AI4" s="3" t="str">
        <f ca="1">IFERROR(__xludf.DUMMYFUNCTION("""COMPUTED_VALUE"""),"Close")</f>
        <v>Close</v>
      </c>
      <c r="AJ4" s="3" t="str">
        <f ca="1">IFERROR(__xludf.DUMMYFUNCTION("""COMPUTED_VALUE"""),"Volume")</f>
        <v>Volume</v>
      </c>
      <c r="AK4" s="3" t="str">
        <f ca="1">IFERROR(__xludf.DUMMYFUNCTION("GOOGLEFINANCE(""XLI"",""all"", B1, B2, ""DAILY"")"),"Date")</f>
        <v>Date</v>
      </c>
      <c r="AL4" s="3" t="str">
        <f ca="1">IFERROR(__xludf.DUMMYFUNCTION("""COMPUTED_VALUE"""),"Open")</f>
        <v>Open</v>
      </c>
      <c r="AM4" s="3" t="str">
        <f ca="1">IFERROR(__xludf.DUMMYFUNCTION("""COMPUTED_VALUE"""),"High")</f>
        <v>High</v>
      </c>
      <c r="AN4" s="3" t="str">
        <f ca="1">IFERROR(__xludf.DUMMYFUNCTION("""COMPUTED_VALUE"""),"Low")</f>
        <v>Low</v>
      </c>
      <c r="AO4" s="3" t="str">
        <f ca="1">IFERROR(__xludf.DUMMYFUNCTION("""COMPUTED_VALUE"""),"Close")</f>
        <v>Close</v>
      </c>
      <c r="AP4" s="3" t="str">
        <f ca="1">IFERROR(__xludf.DUMMYFUNCTION("""COMPUTED_VALUE"""),"Volume")</f>
        <v>Volume</v>
      </c>
      <c r="AQ4" s="3" t="str">
        <f ca="1">IFERROR(__xludf.DUMMYFUNCTION("GOOGLEFINANCE(""XLB"",""all"", B1, B2, ""DAILY"")"),"Date")</f>
        <v>Date</v>
      </c>
      <c r="AR4" s="3" t="str">
        <f ca="1">IFERROR(__xludf.DUMMYFUNCTION("""COMPUTED_VALUE"""),"Open")</f>
        <v>Open</v>
      </c>
      <c r="AS4" s="3" t="str">
        <f ca="1">IFERROR(__xludf.DUMMYFUNCTION("""COMPUTED_VALUE"""),"High")</f>
        <v>High</v>
      </c>
      <c r="AT4" s="3" t="str">
        <f ca="1">IFERROR(__xludf.DUMMYFUNCTION("""COMPUTED_VALUE"""),"Low")</f>
        <v>Low</v>
      </c>
      <c r="AU4" s="3" t="str">
        <f ca="1">IFERROR(__xludf.DUMMYFUNCTION("""COMPUTED_VALUE"""),"Close")</f>
        <v>Close</v>
      </c>
      <c r="AV4" s="3" t="str">
        <f ca="1">IFERROR(__xludf.DUMMYFUNCTION("""COMPUTED_VALUE"""),"Volume")</f>
        <v>Volume</v>
      </c>
      <c r="AW4" s="3" t="str">
        <f ca="1">IFERROR(__xludf.DUMMYFUNCTION("GOOGLEFINANCE(""XLRE"",""all"", B1, B2, ""DAILY"")"),"Date")</f>
        <v>Date</v>
      </c>
      <c r="AX4" s="3" t="str">
        <f ca="1">IFERROR(__xludf.DUMMYFUNCTION("""COMPUTED_VALUE"""),"Open")</f>
        <v>Open</v>
      </c>
      <c r="AY4" s="3" t="str">
        <f ca="1">IFERROR(__xludf.DUMMYFUNCTION("""COMPUTED_VALUE"""),"High")</f>
        <v>High</v>
      </c>
      <c r="AZ4" s="3" t="str">
        <f ca="1">IFERROR(__xludf.DUMMYFUNCTION("""COMPUTED_VALUE"""),"Low")</f>
        <v>Low</v>
      </c>
      <c r="BA4" s="3" t="str">
        <f ca="1">IFERROR(__xludf.DUMMYFUNCTION("""COMPUTED_VALUE"""),"Close")</f>
        <v>Close</v>
      </c>
      <c r="BB4" s="3" t="str">
        <f ca="1">IFERROR(__xludf.DUMMYFUNCTION("""COMPUTED_VALUE"""),"Volume")</f>
        <v>Volume</v>
      </c>
      <c r="BC4" s="3" t="str">
        <f ca="1">IFERROR(__xludf.DUMMYFUNCTION("GOOGLEFINANCE(""XLK"",""all"", B1, B2, ""DAILY"")"),"Date")</f>
        <v>Date</v>
      </c>
      <c r="BD4" s="3" t="str">
        <f ca="1">IFERROR(__xludf.DUMMYFUNCTION("""COMPUTED_VALUE"""),"Open")</f>
        <v>Open</v>
      </c>
      <c r="BE4" s="3" t="str">
        <f ca="1">IFERROR(__xludf.DUMMYFUNCTION("""COMPUTED_VALUE"""),"High")</f>
        <v>High</v>
      </c>
      <c r="BF4" s="3" t="str">
        <f ca="1">IFERROR(__xludf.DUMMYFUNCTION("""COMPUTED_VALUE"""),"Low")</f>
        <v>Low</v>
      </c>
      <c r="BG4" s="3" t="str">
        <f ca="1">IFERROR(__xludf.DUMMYFUNCTION("""COMPUTED_VALUE"""),"Close")</f>
        <v>Close</v>
      </c>
      <c r="BH4" s="3" t="str">
        <f ca="1">IFERROR(__xludf.DUMMYFUNCTION("""COMPUTED_VALUE"""),"Volume")</f>
        <v>Volume</v>
      </c>
      <c r="BI4" s="3" t="str">
        <f ca="1">IFERROR(__xludf.DUMMYFUNCTION("GOOGLEFINANCE(""XLU"",""all"", B1, B2, ""DAILY"")"),"Date")</f>
        <v>Date</v>
      </c>
      <c r="BJ4" s="3" t="str">
        <f ca="1">IFERROR(__xludf.DUMMYFUNCTION("""COMPUTED_VALUE"""),"Open")</f>
        <v>Open</v>
      </c>
      <c r="BK4" s="3" t="str">
        <f ca="1">IFERROR(__xludf.DUMMYFUNCTION("""COMPUTED_VALUE"""),"High")</f>
        <v>High</v>
      </c>
      <c r="BL4" s="3" t="str">
        <f ca="1">IFERROR(__xludf.DUMMYFUNCTION("""COMPUTED_VALUE"""),"Low")</f>
        <v>Low</v>
      </c>
      <c r="BM4" s="3" t="str">
        <f ca="1">IFERROR(__xludf.DUMMYFUNCTION("""COMPUTED_VALUE"""),"Close")</f>
        <v>Close</v>
      </c>
      <c r="BN4" s="3" t="str">
        <f ca="1">IFERROR(__xludf.DUMMYFUNCTION("""COMPUTED_VALUE"""),"Volume")</f>
        <v>Volume</v>
      </c>
    </row>
    <row r="5" spans="1:66" ht="15.75" customHeight="1" x14ac:dyDescent="0.15">
      <c r="G5" s="4">
        <f ca="1">IFERROR(__xludf.DUMMYFUNCTION("""COMPUTED_VALUE"""),42131.6666666666)</f>
        <v>42131.666666666599</v>
      </c>
      <c r="H5" s="3">
        <f ca="1">IFERROR(__xludf.DUMMYFUNCTION("""COMPUTED_VALUE"""),75.4)</f>
        <v>75.400000000000006</v>
      </c>
      <c r="I5" s="3">
        <f ca="1">IFERROR(__xludf.DUMMYFUNCTION("""COMPUTED_VALUE"""),75.93)</f>
        <v>75.930000000000007</v>
      </c>
      <c r="J5" s="3">
        <f ca="1">IFERROR(__xludf.DUMMYFUNCTION("""COMPUTED_VALUE"""),75.21)</f>
        <v>75.209999999999994</v>
      </c>
      <c r="K5" s="3">
        <f ca="1">IFERROR(__xludf.DUMMYFUNCTION("""COMPUTED_VALUE"""),75.79)</f>
        <v>75.790000000000006</v>
      </c>
      <c r="L5" s="3">
        <f ca="1">IFERROR(__xludf.DUMMYFUNCTION("""COMPUTED_VALUE"""),5892410)</f>
        <v>5892410</v>
      </c>
      <c r="M5" s="4">
        <f ca="1">IFERROR(__xludf.DUMMYFUNCTION("""COMPUTED_VALUE"""),42131.6666666666)</f>
        <v>42131.666666666599</v>
      </c>
      <c r="N5" s="3">
        <f ca="1">IFERROR(__xludf.DUMMYFUNCTION("""COMPUTED_VALUE"""),48.48)</f>
        <v>48.48</v>
      </c>
      <c r="O5" s="3">
        <f ca="1">IFERROR(__xludf.DUMMYFUNCTION("""COMPUTED_VALUE"""),48.86)</f>
        <v>48.86</v>
      </c>
      <c r="P5" s="3">
        <f ca="1">IFERROR(__xludf.DUMMYFUNCTION("""COMPUTED_VALUE"""),48.37)</f>
        <v>48.37</v>
      </c>
      <c r="Q5" s="3">
        <f ca="1">IFERROR(__xludf.DUMMYFUNCTION("""COMPUTED_VALUE"""),48.76)</f>
        <v>48.76</v>
      </c>
      <c r="R5" s="3">
        <f ca="1">IFERROR(__xludf.DUMMYFUNCTION("""COMPUTED_VALUE"""),6433797)</f>
        <v>6433797</v>
      </c>
      <c r="S5" s="4">
        <f ca="1">IFERROR(__xludf.DUMMYFUNCTION("""COMPUTED_VALUE"""),42131.6666666666)</f>
        <v>42131.666666666599</v>
      </c>
      <c r="T5" s="3">
        <f ca="1">IFERROR(__xludf.DUMMYFUNCTION("""COMPUTED_VALUE"""),81.16)</f>
        <v>81.16</v>
      </c>
      <c r="U5" s="3">
        <f ca="1">IFERROR(__xludf.DUMMYFUNCTION("""COMPUTED_VALUE"""),81.18)</f>
        <v>81.180000000000007</v>
      </c>
      <c r="V5" s="3">
        <f ca="1">IFERROR(__xludf.DUMMYFUNCTION("""COMPUTED_VALUE"""),79.84)</f>
        <v>79.84</v>
      </c>
      <c r="W5" s="3">
        <f ca="1">IFERROR(__xludf.DUMMYFUNCTION("""COMPUTED_VALUE"""),80.44)</f>
        <v>80.44</v>
      </c>
      <c r="X5" s="3">
        <f ca="1">IFERROR(__xludf.DUMMYFUNCTION("""COMPUTED_VALUE"""),17396581)</f>
        <v>17396581</v>
      </c>
      <c r="Y5" s="4">
        <f ca="1">IFERROR(__xludf.DUMMYFUNCTION("""COMPUTED_VALUE"""),42131.6666666666)</f>
        <v>42131.666666666599</v>
      </c>
      <c r="Z5" s="3">
        <f ca="1">IFERROR(__xludf.DUMMYFUNCTION("""COMPUTED_VALUE"""),19.6)</f>
        <v>19.600000000000001</v>
      </c>
      <c r="AA5" s="3">
        <f ca="1">IFERROR(__xludf.DUMMYFUNCTION("""COMPUTED_VALUE"""),19.87)</f>
        <v>19.87</v>
      </c>
      <c r="AB5" s="3">
        <f ca="1">IFERROR(__xludf.DUMMYFUNCTION("""COMPUTED_VALUE"""),19.6)</f>
        <v>19.600000000000001</v>
      </c>
      <c r="AC5" s="3">
        <f ca="1">IFERROR(__xludf.DUMMYFUNCTION("""COMPUTED_VALUE"""),19.82)</f>
        <v>19.82</v>
      </c>
      <c r="AD5" s="3">
        <f ca="1">IFERROR(__xludf.DUMMYFUNCTION("""COMPUTED_VALUE"""),31917845)</f>
        <v>31917845</v>
      </c>
      <c r="AE5" s="4">
        <f ca="1">IFERROR(__xludf.DUMMYFUNCTION("""COMPUTED_VALUE"""),42131.6666666666)</f>
        <v>42131.666666666599</v>
      </c>
      <c r="AF5" s="3">
        <f ca="1">IFERROR(__xludf.DUMMYFUNCTION("""COMPUTED_VALUE"""),71.84)</f>
        <v>71.84</v>
      </c>
      <c r="AG5" s="3">
        <f ca="1">IFERROR(__xludf.DUMMYFUNCTION("""COMPUTED_VALUE"""),72.53)</f>
        <v>72.53</v>
      </c>
      <c r="AH5" s="3">
        <f ca="1">IFERROR(__xludf.DUMMYFUNCTION("""COMPUTED_VALUE"""),71.73)</f>
        <v>71.73</v>
      </c>
      <c r="AI5" s="3">
        <f ca="1">IFERROR(__xludf.DUMMYFUNCTION("""COMPUTED_VALUE"""),72.28)</f>
        <v>72.28</v>
      </c>
      <c r="AJ5" s="3">
        <f ca="1">IFERROR(__xludf.DUMMYFUNCTION("""COMPUTED_VALUE"""),9019729)</f>
        <v>9019729</v>
      </c>
      <c r="AK5" s="4">
        <f ca="1">IFERROR(__xludf.DUMMYFUNCTION("""COMPUTED_VALUE"""),42131.6666666666)</f>
        <v>42131.666666666599</v>
      </c>
      <c r="AL5" s="3">
        <f ca="1">IFERROR(__xludf.DUMMYFUNCTION("""COMPUTED_VALUE"""),55.46)</f>
        <v>55.46</v>
      </c>
      <c r="AM5" s="3">
        <f ca="1">IFERROR(__xludf.DUMMYFUNCTION("""COMPUTED_VALUE"""),56.05)</f>
        <v>56.05</v>
      </c>
      <c r="AN5" s="3">
        <f ca="1">IFERROR(__xludf.DUMMYFUNCTION("""COMPUTED_VALUE"""),55.46)</f>
        <v>55.46</v>
      </c>
      <c r="AO5" s="3">
        <f ca="1">IFERROR(__xludf.DUMMYFUNCTION("""COMPUTED_VALUE"""),55.92)</f>
        <v>55.92</v>
      </c>
      <c r="AP5" s="3">
        <f ca="1">IFERROR(__xludf.DUMMYFUNCTION("""COMPUTED_VALUE"""),10668317)</f>
        <v>10668317</v>
      </c>
      <c r="AQ5" s="4">
        <f ca="1">IFERROR(__xludf.DUMMYFUNCTION("""COMPUTED_VALUE"""),42131.6666666666)</f>
        <v>42131.666666666599</v>
      </c>
      <c r="AR5" s="3">
        <f ca="1">IFERROR(__xludf.DUMMYFUNCTION("""COMPUTED_VALUE"""),50.26)</f>
        <v>50.26</v>
      </c>
      <c r="AS5" s="3">
        <f ca="1">IFERROR(__xludf.DUMMYFUNCTION("""COMPUTED_VALUE"""),50.81)</f>
        <v>50.81</v>
      </c>
      <c r="AT5" s="3">
        <f ca="1">IFERROR(__xludf.DUMMYFUNCTION("""COMPUTED_VALUE"""),50.12)</f>
        <v>50.12</v>
      </c>
      <c r="AU5" s="3">
        <f ca="1">IFERROR(__xludf.DUMMYFUNCTION("""COMPUTED_VALUE"""),50.76)</f>
        <v>50.76</v>
      </c>
      <c r="AV5" s="3">
        <f ca="1">IFERROR(__xludf.DUMMYFUNCTION("""COMPUTED_VALUE"""),6230445)</f>
        <v>6230445</v>
      </c>
      <c r="AW5" s="4">
        <f ca="1">IFERROR(__xludf.DUMMYFUNCTION("""COMPUTED_VALUE"""),42285.6666666666)</f>
        <v>42285.666666666599</v>
      </c>
      <c r="AX5" s="3">
        <f ca="1">IFERROR(__xludf.DUMMYFUNCTION("""COMPUTED_VALUE"""),30.21)</f>
        <v>30.21</v>
      </c>
      <c r="AY5" s="3">
        <f ca="1">IFERROR(__xludf.DUMMYFUNCTION("""COMPUTED_VALUE"""),30.21)</f>
        <v>30.21</v>
      </c>
      <c r="AZ5" s="3">
        <f ca="1">IFERROR(__xludf.DUMMYFUNCTION("""COMPUTED_VALUE"""),30.01)</f>
        <v>30.01</v>
      </c>
      <c r="BA5" s="3">
        <f ca="1">IFERROR(__xludf.DUMMYFUNCTION("""COMPUTED_VALUE"""),30.21)</f>
        <v>30.21</v>
      </c>
      <c r="BB5" s="3">
        <f ca="1">IFERROR(__xludf.DUMMYFUNCTION("""COMPUTED_VALUE"""),2000)</f>
        <v>2000</v>
      </c>
      <c r="BC5" s="4">
        <f ca="1">IFERROR(__xludf.DUMMYFUNCTION("""COMPUTED_VALUE"""),42131.6666666666)</f>
        <v>42131.666666666599</v>
      </c>
      <c r="BD5" s="3">
        <f ca="1">IFERROR(__xludf.DUMMYFUNCTION("""COMPUTED_VALUE"""),42.18)</f>
        <v>42.18</v>
      </c>
      <c r="BE5" s="3">
        <f ca="1">IFERROR(__xludf.DUMMYFUNCTION("""COMPUTED_VALUE"""),42.57)</f>
        <v>42.57</v>
      </c>
      <c r="BF5" s="3">
        <f ca="1">IFERROR(__xludf.DUMMYFUNCTION("""COMPUTED_VALUE"""),42.09)</f>
        <v>42.09</v>
      </c>
      <c r="BG5" s="3">
        <f ca="1">IFERROR(__xludf.DUMMYFUNCTION("""COMPUTED_VALUE"""),42.42)</f>
        <v>42.42</v>
      </c>
      <c r="BH5" s="3">
        <f ca="1">IFERROR(__xludf.DUMMYFUNCTION("""COMPUTED_VALUE"""),5640285)</f>
        <v>5640285</v>
      </c>
      <c r="BI5" s="4">
        <f ca="1">IFERROR(__xludf.DUMMYFUNCTION("""COMPUTED_VALUE"""),42131.6666666666)</f>
        <v>42131.666666666599</v>
      </c>
      <c r="BJ5" s="3">
        <f ca="1">IFERROR(__xludf.DUMMYFUNCTION("""COMPUTED_VALUE"""),43.71)</f>
        <v>43.71</v>
      </c>
      <c r="BK5" s="3">
        <f ca="1">IFERROR(__xludf.DUMMYFUNCTION("""COMPUTED_VALUE"""),44.02)</f>
        <v>44.02</v>
      </c>
      <c r="BL5" s="3">
        <f ca="1">IFERROR(__xludf.DUMMYFUNCTION("""COMPUTED_VALUE"""),43.6)</f>
        <v>43.6</v>
      </c>
      <c r="BM5" s="3">
        <f ca="1">IFERROR(__xludf.DUMMYFUNCTION("""COMPUTED_VALUE"""),43.72)</f>
        <v>43.72</v>
      </c>
      <c r="BN5" s="3">
        <f ca="1">IFERROR(__xludf.DUMMYFUNCTION("""COMPUTED_VALUE"""),12687008)</f>
        <v>12687008</v>
      </c>
    </row>
    <row r="6" spans="1:66" ht="15.75" customHeight="1" x14ac:dyDescent="0.15">
      <c r="G6" s="4">
        <f ca="1">IFERROR(__xludf.DUMMYFUNCTION("""COMPUTED_VALUE"""),42132.6666666666)</f>
        <v>42132.666666666599</v>
      </c>
      <c r="H6" s="3">
        <f ca="1">IFERROR(__xludf.DUMMYFUNCTION("""COMPUTED_VALUE"""),76.56)</f>
        <v>76.56</v>
      </c>
      <c r="I6" s="3">
        <f ca="1">IFERROR(__xludf.DUMMYFUNCTION("""COMPUTED_VALUE"""),76.92)</f>
        <v>76.92</v>
      </c>
      <c r="J6" s="3">
        <f ca="1">IFERROR(__xludf.DUMMYFUNCTION("""COMPUTED_VALUE"""),76.53)</f>
        <v>76.53</v>
      </c>
      <c r="K6" s="3">
        <f ca="1">IFERROR(__xludf.DUMMYFUNCTION("""COMPUTED_VALUE"""),76.6)</f>
        <v>76.599999999999994</v>
      </c>
      <c r="L6" s="3">
        <f ca="1">IFERROR(__xludf.DUMMYFUNCTION("""COMPUTED_VALUE"""),5673635)</f>
        <v>5673635</v>
      </c>
      <c r="M6" s="4">
        <f ca="1">IFERROR(__xludf.DUMMYFUNCTION("""COMPUTED_VALUE"""),42132.6666666666)</f>
        <v>42132.666666666599</v>
      </c>
      <c r="N6" s="3">
        <f ca="1">IFERROR(__xludf.DUMMYFUNCTION("""COMPUTED_VALUE"""),49.01)</f>
        <v>49.01</v>
      </c>
      <c r="O6" s="3">
        <f ca="1">IFERROR(__xludf.DUMMYFUNCTION("""COMPUTED_VALUE"""),49.36)</f>
        <v>49.36</v>
      </c>
      <c r="P6" s="3">
        <f ca="1">IFERROR(__xludf.DUMMYFUNCTION("""COMPUTED_VALUE"""),49.01)</f>
        <v>49.01</v>
      </c>
      <c r="Q6" s="3">
        <f ca="1">IFERROR(__xludf.DUMMYFUNCTION("""COMPUTED_VALUE"""),49.17)</f>
        <v>49.17</v>
      </c>
      <c r="R6" s="3">
        <f ca="1">IFERROR(__xludf.DUMMYFUNCTION("""COMPUTED_VALUE"""),6946516)</f>
        <v>6946516</v>
      </c>
      <c r="S6" s="4">
        <f ca="1">IFERROR(__xludf.DUMMYFUNCTION("""COMPUTED_VALUE"""),42132.6666666666)</f>
        <v>42132.666666666599</v>
      </c>
      <c r="T6" s="3">
        <f ca="1">IFERROR(__xludf.DUMMYFUNCTION("""COMPUTED_VALUE"""),81.08)</f>
        <v>81.08</v>
      </c>
      <c r="U6" s="3">
        <f ca="1">IFERROR(__xludf.DUMMYFUNCTION("""COMPUTED_VALUE"""),81.85)</f>
        <v>81.849999999999994</v>
      </c>
      <c r="V6" s="3">
        <f ca="1">IFERROR(__xludf.DUMMYFUNCTION("""COMPUTED_VALUE"""),80.16)</f>
        <v>80.16</v>
      </c>
      <c r="W6" s="3">
        <f ca="1">IFERROR(__xludf.DUMMYFUNCTION("""COMPUTED_VALUE"""),81.76)</f>
        <v>81.760000000000005</v>
      </c>
      <c r="X6" s="3">
        <f ca="1">IFERROR(__xludf.DUMMYFUNCTION("""COMPUTED_VALUE"""),14515224)</f>
        <v>14515224</v>
      </c>
      <c r="Y6" s="4">
        <f ca="1">IFERROR(__xludf.DUMMYFUNCTION("""COMPUTED_VALUE"""),42132.6666666666)</f>
        <v>42132.666666666599</v>
      </c>
      <c r="Z6" s="3">
        <f ca="1">IFERROR(__xludf.DUMMYFUNCTION("""COMPUTED_VALUE"""),19.93)</f>
        <v>19.93</v>
      </c>
      <c r="AA6" s="3">
        <f ca="1">IFERROR(__xludf.DUMMYFUNCTION("""COMPUTED_VALUE"""),20.11)</f>
        <v>20.11</v>
      </c>
      <c r="AB6" s="3">
        <f ca="1">IFERROR(__xludf.DUMMYFUNCTION("""COMPUTED_VALUE"""),19.93)</f>
        <v>19.93</v>
      </c>
      <c r="AC6" s="3">
        <f ca="1">IFERROR(__xludf.DUMMYFUNCTION("""COMPUTED_VALUE"""),20.11)</f>
        <v>20.11</v>
      </c>
      <c r="AD6" s="3">
        <f ca="1">IFERROR(__xludf.DUMMYFUNCTION("""COMPUTED_VALUE"""),33074116)</f>
        <v>33074116</v>
      </c>
      <c r="AE6" s="4">
        <f ca="1">IFERROR(__xludf.DUMMYFUNCTION("""COMPUTED_VALUE"""),42132.6666666666)</f>
        <v>42132.666666666599</v>
      </c>
      <c r="AF6" s="3">
        <f ca="1">IFERROR(__xludf.DUMMYFUNCTION("""COMPUTED_VALUE"""),73.02)</f>
        <v>73.02</v>
      </c>
      <c r="AG6" s="3">
        <f ca="1">IFERROR(__xludf.DUMMYFUNCTION("""COMPUTED_VALUE"""),73.65)</f>
        <v>73.650000000000006</v>
      </c>
      <c r="AH6" s="3">
        <f ca="1">IFERROR(__xludf.DUMMYFUNCTION("""COMPUTED_VALUE"""),72.96)</f>
        <v>72.959999999999994</v>
      </c>
      <c r="AI6" s="3">
        <f ca="1">IFERROR(__xludf.DUMMYFUNCTION("""COMPUTED_VALUE"""),73.45)</f>
        <v>73.45</v>
      </c>
      <c r="AJ6" s="3">
        <f ca="1">IFERROR(__xludf.DUMMYFUNCTION("""COMPUTED_VALUE"""),11222370)</f>
        <v>11222370</v>
      </c>
      <c r="AK6" s="4">
        <f ca="1">IFERROR(__xludf.DUMMYFUNCTION("""COMPUTED_VALUE"""),42132.6666666666)</f>
        <v>42132.666666666599</v>
      </c>
      <c r="AL6" s="3">
        <f ca="1">IFERROR(__xludf.DUMMYFUNCTION("""COMPUTED_VALUE"""),56.52)</f>
        <v>56.52</v>
      </c>
      <c r="AM6" s="3">
        <f ca="1">IFERROR(__xludf.DUMMYFUNCTION("""COMPUTED_VALUE"""),56.74)</f>
        <v>56.74</v>
      </c>
      <c r="AN6" s="3">
        <f ca="1">IFERROR(__xludf.DUMMYFUNCTION("""COMPUTED_VALUE"""),56.36)</f>
        <v>56.36</v>
      </c>
      <c r="AO6" s="3">
        <f ca="1">IFERROR(__xludf.DUMMYFUNCTION("""COMPUTED_VALUE"""),56.58)</f>
        <v>56.58</v>
      </c>
      <c r="AP6" s="3">
        <f ca="1">IFERROR(__xludf.DUMMYFUNCTION("""COMPUTED_VALUE"""),7025140)</f>
        <v>7025140</v>
      </c>
      <c r="AQ6" s="4">
        <f ca="1">IFERROR(__xludf.DUMMYFUNCTION("""COMPUTED_VALUE"""),42132.6666666666)</f>
        <v>42132.666666666599</v>
      </c>
      <c r="AR6" s="3">
        <f ca="1">IFERROR(__xludf.DUMMYFUNCTION("""COMPUTED_VALUE"""),51.35)</f>
        <v>51.35</v>
      </c>
      <c r="AS6" s="3">
        <f ca="1">IFERROR(__xludf.DUMMYFUNCTION("""COMPUTED_VALUE"""),51.78)</f>
        <v>51.78</v>
      </c>
      <c r="AT6" s="3">
        <f ca="1">IFERROR(__xludf.DUMMYFUNCTION("""COMPUTED_VALUE"""),51.34)</f>
        <v>51.34</v>
      </c>
      <c r="AU6" s="3">
        <f ca="1">IFERROR(__xludf.DUMMYFUNCTION("""COMPUTED_VALUE"""),51.57)</f>
        <v>51.57</v>
      </c>
      <c r="AV6" s="3">
        <f ca="1">IFERROR(__xludf.DUMMYFUNCTION("""COMPUTED_VALUE"""),4630967)</f>
        <v>4630967</v>
      </c>
      <c r="AW6" s="4">
        <f ca="1">IFERROR(__xludf.DUMMYFUNCTION("""COMPUTED_VALUE"""),42286.6666666666)</f>
        <v>42286.666666666599</v>
      </c>
      <c r="AX6" s="3">
        <f ca="1">IFERROR(__xludf.DUMMYFUNCTION("""COMPUTED_VALUE"""),30.2)</f>
        <v>30.2</v>
      </c>
      <c r="AY6" s="3">
        <f ca="1">IFERROR(__xludf.DUMMYFUNCTION("""COMPUTED_VALUE"""),30.2)</f>
        <v>30.2</v>
      </c>
      <c r="AZ6" s="3">
        <f ca="1">IFERROR(__xludf.DUMMYFUNCTION("""COMPUTED_VALUE"""),30.06)</f>
        <v>30.06</v>
      </c>
      <c r="BA6" s="3">
        <f ca="1">IFERROR(__xludf.DUMMYFUNCTION("""COMPUTED_VALUE"""),30.16)</f>
        <v>30.16</v>
      </c>
      <c r="BB6" s="3">
        <f ca="1">IFERROR(__xludf.DUMMYFUNCTION("""COMPUTED_VALUE"""),4335)</f>
        <v>4335</v>
      </c>
      <c r="BC6" s="4">
        <f ca="1">IFERROR(__xludf.DUMMYFUNCTION("""COMPUTED_VALUE"""),42132.6666666666)</f>
        <v>42132.666666666599</v>
      </c>
      <c r="BD6" s="3">
        <f ca="1">IFERROR(__xludf.DUMMYFUNCTION("""COMPUTED_VALUE"""),42.85)</f>
        <v>42.85</v>
      </c>
      <c r="BE6" s="3">
        <f ca="1">IFERROR(__xludf.DUMMYFUNCTION("""COMPUTED_VALUE"""),43.06)</f>
        <v>43.06</v>
      </c>
      <c r="BF6" s="3">
        <f ca="1">IFERROR(__xludf.DUMMYFUNCTION("""COMPUTED_VALUE"""),42.78)</f>
        <v>42.78</v>
      </c>
      <c r="BG6" s="3">
        <f ca="1">IFERROR(__xludf.DUMMYFUNCTION("""COMPUTED_VALUE"""),43.03)</f>
        <v>43.03</v>
      </c>
      <c r="BH6" s="3">
        <f ca="1">IFERROR(__xludf.DUMMYFUNCTION("""COMPUTED_VALUE"""),9819247)</f>
        <v>9819247</v>
      </c>
      <c r="BI6" s="4">
        <f ca="1">IFERROR(__xludf.DUMMYFUNCTION("""COMPUTED_VALUE"""),42132.6666666666)</f>
        <v>42132.666666666599</v>
      </c>
      <c r="BJ6" s="3">
        <f ca="1">IFERROR(__xludf.DUMMYFUNCTION("""COMPUTED_VALUE"""),44.28)</f>
        <v>44.28</v>
      </c>
      <c r="BK6" s="3">
        <f ca="1">IFERROR(__xludf.DUMMYFUNCTION("""COMPUTED_VALUE"""),44.52)</f>
        <v>44.52</v>
      </c>
      <c r="BL6" s="3">
        <f ca="1">IFERROR(__xludf.DUMMYFUNCTION("""COMPUTED_VALUE"""),43.85)</f>
        <v>43.85</v>
      </c>
      <c r="BM6" s="3">
        <f ca="1">IFERROR(__xludf.DUMMYFUNCTION("""COMPUTED_VALUE"""),44.03)</f>
        <v>44.03</v>
      </c>
      <c r="BN6" s="3">
        <f ca="1">IFERROR(__xludf.DUMMYFUNCTION("""COMPUTED_VALUE"""),14383171)</f>
        <v>14383171</v>
      </c>
    </row>
    <row r="7" spans="1:66" ht="15.75" customHeight="1" x14ac:dyDescent="0.15">
      <c r="G7" s="4">
        <f ca="1">IFERROR(__xludf.DUMMYFUNCTION("""COMPUTED_VALUE"""),42135.6666666666)</f>
        <v>42135.666666666599</v>
      </c>
      <c r="H7" s="3">
        <f ca="1">IFERROR(__xludf.DUMMYFUNCTION("""COMPUTED_VALUE"""),76.54)</f>
        <v>76.540000000000006</v>
      </c>
      <c r="I7" s="3">
        <f ca="1">IFERROR(__xludf.DUMMYFUNCTION("""COMPUTED_VALUE"""),76.93)</f>
        <v>76.930000000000007</v>
      </c>
      <c r="J7" s="3">
        <f ca="1">IFERROR(__xludf.DUMMYFUNCTION("""COMPUTED_VALUE"""),76.25)</f>
        <v>76.25</v>
      </c>
      <c r="K7" s="3">
        <f ca="1">IFERROR(__xludf.DUMMYFUNCTION("""COMPUTED_VALUE"""),76.26)</f>
        <v>76.260000000000005</v>
      </c>
      <c r="L7" s="3">
        <f ca="1">IFERROR(__xludf.DUMMYFUNCTION("""COMPUTED_VALUE"""),6947200)</f>
        <v>6947200</v>
      </c>
      <c r="M7" s="4">
        <f ca="1">IFERROR(__xludf.DUMMYFUNCTION("""COMPUTED_VALUE"""),42135.6666666666)</f>
        <v>42135.666666666599</v>
      </c>
      <c r="N7" s="3">
        <f ca="1">IFERROR(__xludf.DUMMYFUNCTION("""COMPUTED_VALUE"""),49.03)</f>
        <v>49.03</v>
      </c>
      <c r="O7" s="3">
        <f ca="1">IFERROR(__xludf.DUMMYFUNCTION("""COMPUTED_VALUE"""),49.33)</f>
        <v>49.33</v>
      </c>
      <c r="P7" s="3">
        <f ca="1">IFERROR(__xludf.DUMMYFUNCTION("""COMPUTED_VALUE"""),48.95)</f>
        <v>48.95</v>
      </c>
      <c r="Q7" s="3">
        <f ca="1">IFERROR(__xludf.DUMMYFUNCTION("""COMPUTED_VALUE"""),48.97)</f>
        <v>48.97</v>
      </c>
      <c r="R7" s="3">
        <f ca="1">IFERROR(__xludf.DUMMYFUNCTION("""COMPUTED_VALUE"""),3988447)</f>
        <v>3988447</v>
      </c>
      <c r="S7" s="4">
        <f ca="1">IFERROR(__xludf.DUMMYFUNCTION("""COMPUTED_VALUE"""),42135.6666666666)</f>
        <v>42135.666666666599</v>
      </c>
      <c r="T7" s="3">
        <f ca="1">IFERROR(__xludf.DUMMYFUNCTION("""COMPUTED_VALUE"""),81.84)</f>
        <v>81.84</v>
      </c>
      <c r="U7" s="3">
        <f ca="1">IFERROR(__xludf.DUMMYFUNCTION("""COMPUTED_VALUE"""),81.88)</f>
        <v>81.88</v>
      </c>
      <c r="V7" s="3">
        <f ca="1">IFERROR(__xludf.DUMMYFUNCTION("""COMPUTED_VALUE"""),80.14)</f>
        <v>80.14</v>
      </c>
      <c r="W7" s="3">
        <f ca="1">IFERROR(__xludf.DUMMYFUNCTION("""COMPUTED_VALUE"""),80.22)</f>
        <v>80.22</v>
      </c>
      <c r="X7" s="3">
        <f ca="1">IFERROR(__xludf.DUMMYFUNCTION("""COMPUTED_VALUE"""),18144426)</f>
        <v>18144426</v>
      </c>
      <c r="Y7" s="4">
        <f ca="1">IFERROR(__xludf.DUMMYFUNCTION("""COMPUTED_VALUE"""),42135.6666666666)</f>
        <v>42135.666666666599</v>
      </c>
      <c r="Z7" s="3">
        <f ca="1">IFERROR(__xludf.DUMMYFUNCTION("""COMPUTED_VALUE"""),20.11)</f>
        <v>20.11</v>
      </c>
      <c r="AA7" s="3">
        <f ca="1">IFERROR(__xludf.DUMMYFUNCTION("""COMPUTED_VALUE"""),20.15)</f>
        <v>20.149999999999999</v>
      </c>
      <c r="AB7" s="3">
        <f ca="1">IFERROR(__xludf.DUMMYFUNCTION("""COMPUTED_VALUE"""),20)</f>
        <v>20</v>
      </c>
      <c r="AC7" s="3">
        <f ca="1">IFERROR(__xludf.DUMMYFUNCTION("""COMPUTED_VALUE"""),20.03)</f>
        <v>20.03</v>
      </c>
      <c r="AD7" s="3">
        <f ca="1">IFERROR(__xludf.DUMMYFUNCTION("""COMPUTED_VALUE"""),31157348)</f>
        <v>31157348</v>
      </c>
      <c r="AE7" s="4">
        <f ca="1">IFERROR(__xludf.DUMMYFUNCTION("""COMPUTED_VALUE"""),42135.6666666666)</f>
        <v>42135.666666666599</v>
      </c>
      <c r="AF7" s="3">
        <f ca="1">IFERROR(__xludf.DUMMYFUNCTION("""COMPUTED_VALUE"""),73.71)</f>
        <v>73.709999999999994</v>
      </c>
      <c r="AG7" s="3">
        <f ca="1">IFERROR(__xludf.DUMMYFUNCTION("""COMPUTED_VALUE"""),73.84)</f>
        <v>73.84</v>
      </c>
      <c r="AH7" s="3">
        <f ca="1">IFERROR(__xludf.DUMMYFUNCTION("""COMPUTED_VALUE"""),73.42)</f>
        <v>73.42</v>
      </c>
      <c r="AI7" s="3">
        <f ca="1">IFERROR(__xludf.DUMMYFUNCTION("""COMPUTED_VALUE"""),73.49)</f>
        <v>73.489999999999995</v>
      </c>
      <c r="AJ7" s="3">
        <f ca="1">IFERROR(__xludf.DUMMYFUNCTION("""COMPUTED_VALUE"""),7980692)</f>
        <v>7980692</v>
      </c>
      <c r="AK7" s="4">
        <f ca="1">IFERROR(__xludf.DUMMYFUNCTION("""COMPUTED_VALUE"""),42135.6666666666)</f>
        <v>42135.666666666599</v>
      </c>
      <c r="AL7" s="3">
        <f ca="1">IFERROR(__xludf.DUMMYFUNCTION("""COMPUTED_VALUE"""),56.56)</f>
        <v>56.56</v>
      </c>
      <c r="AM7" s="3">
        <f ca="1">IFERROR(__xludf.DUMMYFUNCTION("""COMPUTED_VALUE"""),56.77)</f>
        <v>56.77</v>
      </c>
      <c r="AN7" s="3">
        <f ca="1">IFERROR(__xludf.DUMMYFUNCTION("""COMPUTED_VALUE"""),56.48)</f>
        <v>56.48</v>
      </c>
      <c r="AO7" s="3">
        <f ca="1">IFERROR(__xludf.DUMMYFUNCTION("""COMPUTED_VALUE"""),56.53)</f>
        <v>56.53</v>
      </c>
      <c r="AP7" s="3">
        <f ca="1">IFERROR(__xludf.DUMMYFUNCTION("""COMPUTED_VALUE"""),5169762)</f>
        <v>5169762</v>
      </c>
      <c r="AQ7" s="4">
        <f ca="1">IFERROR(__xludf.DUMMYFUNCTION("""COMPUTED_VALUE"""),42135.6666666666)</f>
        <v>42135.666666666599</v>
      </c>
      <c r="AR7" s="3">
        <f ca="1">IFERROR(__xludf.DUMMYFUNCTION("""COMPUTED_VALUE"""),51.54)</f>
        <v>51.54</v>
      </c>
      <c r="AS7" s="3">
        <f ca="1">IFERROR(__xludf.DUMMYFUNCTION("""COMPUTED_VALUE"""),51.62)</f>
        <v>51.62</v>
      </c>
      <c r="AT7" s="3">
        <f ca="1">IFERROR(__xludf.DUMMYFUNCTION("""COMPUTED_VALUE"""),51.25)</f>
        <v>51.25</v>
      </c>
      <c r="AU7" s="3">
        <f ca="1">IFERROR(__xludf.DUMMYFUNCTION("""COMPUTED_VALUE"""),51.33)</f>
        <v>51.33</v>
      </c>
      <c r="AV7" s="3">
        <f ca="1">IFERROR(__xludf.DUMMYFUNCTION("""COMPUTED_VALUE"""),4117226)</f>
        <v>4117226</v>
      </c>
      <c r="AW7" s="4">
        <f ca="1">IFERROR(__xludf.DUMMYFUNCTION("""COMPUTED_VALUE"""),42289.6666666666)</f>
        <v>42289.666666666599</v>
      </c>
      <c r="AX7" s="3">
        <f ca="1">IFERROR(__xludf.DUMMYFUNCTION("""COMPUTED_VALUE"""),30.42)</f>
        <v>30.42</v>
      </c>
      <c r="AY7" s="3">
        <f ca="1">IFERROR(__xludf.DUMMYFUNCTION("""COMPUTED_VALUE"""),30.42)</f>
        <v>30.42</v>
      </c>
      <c r="AZ7" s="3">
        <f ca="1">IFERROR(__xludf.DUMMYFUNCTION("""COMPUTED_VALUE"""),30.27)</f>
        <v>30.27</v>
      </c>
      <c r="BA7" s="3">
        <f ca="1">IFERROR(__xludf.DUMMYFUNCTION("""COMPUTED_VALUE"""),30.35)</f>
        <v>30.35</v>
      </c>
      <c r="BB7" s="3">
        <f ca="1">IFERROR(__xludf.DUMMYFUNCTION("""COMPUTED_VALUE"""),2250)</f>
        <v>2250</v>
      </c>
      <c r="BC7" s="4">
        <f ca="1">IFERROR(__xludf.DUMMYFUNCTION("""COMPUTED_VALUE"""),42135.6666666666)</f>
        <v>42135.666666666599</v>
      </c>
      <c r="BD7" s="3">
        <f ca="1">IFERROR(__xludf.DUMMYFUNCTION("""COMPUTED_VALUE"""),43)</f>
        <v>43</v>
      </c>
      <c r="BE7" s="3">
        <f ca="1">IFERROR(__xludf.DUMMYFUNCTION("""COMPUTED_VALUE"""),43.05)</f>
        <v>43.05</v>
      </c>
      <c r="BF7" s="3">
        <f ca="1">IFERROR(__xludf.DUMMYFUNCTION("""COMPUTED_VALUE"""),42.77)</f>
        <v>42.77</v>
      </c>
      <c r="BG7" s="3">
        <f ca="1">IFERROR(__xludf.DUMMYFUNCTION("""COMPUTED_VALUE"""),42.81)</f>
        <v>42.81</v>
      </c>
      <c r="BH7" s="3">
        <f ca="1">IFERROR(__xludf.DUMMYFUNCTION("""COMPUTED_VALUE"""),6046481)</f>
        <v>6046481</v>
      </c>
      <c r="BI7" s="4">
        <f ca="1">IFERROR(__xludf.DUMMYFUNCTION("""COMPUTED_VALUE"""),42135.6666666666)</f>
        <v>42135.666666666599</v>
      </c>
      <c r="BJ7" s="3">
        <f ca="1">IFERROR(__xludf.DUMMYFUNCTION("""COMPUTED_VALUE"""),44.02)</f>
        <v>44.02</v>
      </c>
      <c r="BK7" s="3">
        <f ca="1">IFERROR(__xludf.DUMMYFUNCTION("""COMPUTED_VALUE"""),44.39)</f>
        <v>44.39</v>
      </c>
      <c r="BL7" s="3">
        <f ca="1">IFERROR(__xludf.DUMMYFUNCTION("""COMPUTED_VALUE"""),43.69)</f>
        <v>43.69</v>
      </c>
      <c r="BM7" s="3">
        <f ca="1">IFERROR(__xludf.DUMMYFUNCTION("""COMPUTED_VALUE"""),43.73)</f>
        <v>43.73</v>
      </c>
      <c r="BN7" s="3">
        <f ca="1">IFERROR(__xludf.DUMMYFUNCTION("""COMPUTED_VALUE"""),12639290)</f>
        <v>12639290</v>
      </c>
    </row>
    <row r="8" spans="1:66" ht="15.75" customHeight="1" x14ac:dyDescent="0.15">
      <c r="G8" s="4">
        <f ca="1">IFERROR(__xludf.DUMMYFUNCTION("""COMPUTED_VALUE"""),42136.6666666666)</f>
        <v>42136.666666666599</v>
      </c>
      <c r="H8" s="3">
        <f ca="1">IFERROR(__xludf.DUMMYFUNCTION("""COMPUTED_VALUE"""),75.84)</f>
        <v>75.84</v>
      </c>
      <c r="I8" s="3">
        <f ca="1">IFERROR(__xludf.DUMMYFUNCTION("""COMPUTED_VALUE"""),76.4)</f>
        <v>76.400000000000006</v>
      </c>
      <c r="J8" s="3">
        <f ca="1">IFERROR(__xludf.DUMMYFUNCTION("""COMPUTED_VALUE"""),75.54)</f>
        <v>75.540000000000006</v>
      </c>
      <c r="K8" s="3">
        <f ca="1">IFERROR(__xludf.DUMMYFUNCTION("""COMPUTED_VALUE"""),76.12)</f>
        <v>76.12</v>
      </c>
      <c r="L8" s="3">
        <f ca="1">IFERROR(__xludf.DUMMYFUNCTION("""COMPUTED_VALUE"""),7510392)</f>
        <v>7510392</v>
      </c>
      <c r="M8" s="4">
        <f ca="1">IFERROR(__xludf.DUMMYFUNCTION("""COMPUTED_VALUE"""),42136.6666666666)</f>
        <v>42136.666666666599</v>
      </c>
      <c r="N8" s="3">
        <f ca="1">IFERROR(__xludf.DUMMYFUNCTION("""COMPUTED_VALUE"""),48.51)</f>
        <v>48.51</v>
      </c>
      <c r="O8" s="3">
        <f ca="1">IFERROR(__xludf.DUMMYFUNCTION("""COMPUTED_VALUE"""),49.02)</f>
        <v>49.02</v>
      </c>
      <c r="P8" s="3">
        <f ca="1">IFERROR(__xludf.DUMMYFUNCTION("""COMPUTED_VALUE"""),48.51)</f>
        <v>48.51</v>
      </c>
      <c r="Q8" s="3">
        <f ca="1">IFERROR(__xludf.DUMMYFUNCTION("""COMPUTED_VALUE"""),48.86)</f>
        <v>48.86</v>
      </c>
      <c r="R8" s="3">
        <f ca="1">IFERROR(__xludf.DUMMYFUNCTION("""COMPUTED_VALUE"""),4903389)</f>
        <v>4903389</v>
      </c>
      <c r="S8" s="4">
        <f ca="1">IFERROR(__xludf.DUMMYFUNCTION("""COMPUTED_VALUE"""),42136.6666666666)</f>
        <v>42136.666666666599</v>
      </c>
      <c r="T8" s="3">
        <f ca="1">IFERROR(__xludf.DUMMYFUNCTION("""COMPUTED_VALUE"""),80.1)</f>
        <v>80.099999999999994</v>
      </c>
      <c r="U8" s="3">
        <f ca="1">IFERROR(__xludf.DUMMYFUNCTION("""COMPUTED_VALUE"""),81.01)</f>
        <v>81.010000000000005</v>
      </c>
      <c r="V8" s="3">
        <f ca="1">IFERROR(__xludf.DUMMYFUNCTION("""COMPUTED_VALUE"""),79.96)</f>
        <v>79.959999999999994</v>
      </c>
      <c r="W8" s="3">
        <f ca="1">IFERROR(__xludf.DUMMYFUNCTION("""COMPUTED_VALUE"""),80.59)</f>
        <v>80.59</v>
      </c>
      <c r="X8" s="3">
        <f ca="1">IFERROR(__xludf.DUMMYFUNCTION("""COMPUTED_VALUE"""),9851538)</f>
        <v>9851538</v>
      </c>
      <c r="Y8" s="4">
        <f ca="1">IFERROR(__xludf.DUMMYFUNCTION("""COMPUTED_VALUE"""),42136.6666666666)</f>
        <v>42136.666666666599</v>
      </c>
      <c r="Z8" s="3">
        <f ca="1">IFERROR(__xludf.DUMMYFUNCTION("""COMPUTED_VALUE"""),19.94)</f>
        <v>19.940000000000001</v>
      </c>
      <c r="AA8" s="3">
        <f ca="1">IFERROR(__xludf.DUMMYFUNCTION("""COMPUTED_VALUE"""),20.01)</f>
        <v>20.010000000000002</v>
      </c>
      <c r="AB8" s="3">
        <f ca="1">IFERROR(__xludf.DUMMYFUNCTION("""COMPUTED_VALUE"""),19.8)</f>
        <v>19.8</v>
      </c>
      <c r="AC8" s="3">
        <f ca="1">IFERROR(__xludf.DUMMYFUNCTION("""COMPUTED_VALUE"""),19.96)</f>
        <v>19.96</v>
      </c>
      <c r="AD8" s="3">
        <f ca="1">IFERROR(__xludf.DUMMYFUNCTION("""COMPUTED_VALUE"""),39610598)</f>
        <v>39610598</v>
      </c>
      <c r="AE8" s="4">
        <f ca="1">IFERROR(__xludf.DUMMYFUNCTION("""COMPUTED_VALUE"""),42136.6666666666)</f>
        <v>42136.666666666599</v>
      </c>
      <c r="AF8" s="3">
        <f ca="1">IFERROR(__xludf.DUMMYFUNCTION("""COMPUTED_VALUE"""),72.96)</f>
        <v>72.959999999999994</v>
      </c>
      <c r="AG8" s="3">
        <f ca="1">IFERROR(__xludf.DUMMYFUNCTION("""COMPUTED_VALUE"""),73.32)</f>
        <v>73.319999999999993</v>
      </c>
      <c r="AH8" s="3">
        <f ca="1">IFERROR(__xludf.DUMMYFUNCTION("""COMPUTED_VALUE"""),72.68)</f>
        <v>72.680000000000007</v>
      </c>
      <c r="AI8" s="3">
        <f ca="1">IFERROR(__xludf.DUMMYFUNCTION("""COMPUTED_VALUE"""),73.02)</f>
        <v>73.02</v>
      </c>
      <c r="AJ8" s="3">
        <f ca="1">IFERROR(__xludf.DUMMYFUNCTION("""COMPUTED_VALUE"""),7019849)</f>
        <v>7019849</v>
      </c>
      <c r="AK8" s="4">
        <f ca="1">IFERROR(__xludf.DUMMYFUNCTION("""COMPUTED_VALUE"""),42136.6666666666)</f>
        <v>42136.666666666599</v>
      </c>
      <c r="AL8" s="3">
        <f ca="1">IFERROR(__xludf.DUMMYFUNCTION("""COMPUTED_VALUE"""),56.36)</f>
        <v>56.36</v>
      </c>
      <c r="AM8" s="3">
        <f ca="1">IFERROR(__xludf.DUMMYFUNCTION("""COMPUTED_VALUE"""),56.66)</f>
        <v>56.66</v>
      </c>
      <c r="AN8" s="3">
        <f ca="1">IFERROR(__xludf.DUMMYFUNCTION("""COMPUTED_VALUE"""),56.1)</f>
        <v>56.1</v>
      </c>
      <c r="AO8" s="3">
        <f ca="1">IFERROR(__xludf.DUMMYFUNCTION("""COMPUTED_VALUE"""),56.47)</f>
        <v>56.47</v>
      </c>
      <c r="AP8" s="3">
        <f ca="1">IFERROR(__xludf.DUMMYFUNCTION("""COMPUTED_VALUE"""),7542420)</f>
        <v>7542420</v>
      </c>
      <c r="AQ8" s="4">
        <f ca="1">IFERROR(__xludf.DUMMYFUNCTION("""COMPUTED_VALUE"""),42136.6666666666)</f>
        <v>42136.666666666599</v>
      </c>
      <c r="AR8" s="3">
        <f ca="1">IFERROR(__xludf.DUMMYFUNCTION("""COMPUTED_VALUE"""),51.14)</f>
        <v>51.14</v>
      </c>
      <c r="AS8" s="3">
        <f ca="1">IFERROR(__xludf.DUMMYFUNCTION("""COMPUTED_VALUE"""),51.14)</f>
        <v>51.14</v>
      </c>
      <c r="AT8" s="3">
        <f ca="1">IFERROR(__xludf.DUMMYFUNCTION("""COMPUTED_VALUE"""),50.76)</f>
        <v>50.76</v>
      </c>
      <c r="AU8" s="3">
        <f ca="1">IFERROR(__xludf.DUMMYFUNCTION("""COMPUTED_VALUE"""),50.79)</f>
        <v>50.79</v>
      </c>
      <c r="AV8" s="3">
        <f ca="1">IFERROR(__xludf.DUMMYFUNCTION("""COMPUTED_VALUE"""),3774840)</f>
        <v>3774840</v>
      </c>
      <c r="AW8" s="4">
        <f ca="1">IFERROR(__xludf.DUMMYFUNCTION("""COMPUTED_VALUE"""),42290.6666666666)</f>
        <v>42290.666666666599</v>
      </c>
      <c r="AX8" s="3">
        <f ca="1">IFERROR(__xludf.DUMMYFUNCTION("""COMPUTED_VALUE"""),30.16)</f>
        <v>30.16</v>
      </c>
      <c r="AY8" s="3">
        <f ca="1">IFERROR(__xludf.DUMMYFUNCTION("""COMPUTED_VALUE"""),30.16)</f>
        <v>30.16</v>
      </c>
      <c r="AZ8" s="3">
        <f ca="1">IFERROR(__xludf.DUMMYFUNCTION("""COMPUTED_VALUE"""),30.16)</f>
        <v>30.16</v>
      </c>
      <c r="BA8" s="3">
        <f ca="1">IFERROR(__xludf.DUMMYFUNCTION("""COMPUTED_VALUE"""),30.16)</f>
        <v>30.16</v>
      </c>
      <c r="BB8" s="3">
        <f ca="1">IFERROR(__xludf.DUMMYFUNCTION("""COMPUTED_VALUE"""),508)</f>
        <v>508</v>
      </c>
      <c r="BC8" s="4">
        <f ca="1">IFERROR(__xludf.DUMMYFUNCTION("""COMPUTED_VALUE"""),42136.6666666666)</f>
        <v>42136.666666666599</v>
      </c>
      <c r="BD8" s="3">
        <f ca="1">IFERROR(__xludf.DUMMYFUNCTION("""COMPUTED_VALUE"""),42.58)</f>
        <v>42.58</v>
      </c>
      <c r="BE8" s="3">
        <f ca="1">IFERROR(__xludf.DUMMYFUNCTION("""COMPUTED_VALUE"""),42.77)</f>
        <v>42.77</v>
      </c>
      <c r="BF8" s="3">
        <f ca="1">IFERROR(__xludf.DUMMYFUNCTION("""COMPUTED_VALUE"""),42.21)</f>
        <v>42.21</v>
      </c>
      <c r="BG8" s="3">
        <f ca="1">IFERROR(__xludf.DUMMYFUNCTION("""COMPUTED_VALUE"""),42.58)</f>
        <v>42.58</v>
      </c>
      <c r="BH8" s="3">
        <f ca="1">IFERROR(__xludf.DUMMYFUNCTION("""COMPUTED_VALUE"""),7650527)</f>
        <v>7650527</v>
      </c>
      <c r="BI8" s="4">
        <f ca="1">IFERROR(__xludf.DUMMYFUNCTION("""COMPUTED_VALUE"""),42136.6666666666)</f>
        <v>42136.666666666599</v>
      </c>
      <c r="BJ8" s="3">
        <f ca="1">IFERROR(__xludf.DUMMYFUNCTION("""COMPUTED_VALUE"""),43.5)</f>
        <v>43.5</v>
      </c>
      <c r="BK8" s="3">
        <f ca="1">IFERROR(__xludf.DUMMYFUNCTION("""COMPUTED_VALUE"""),43.73)</f>
        <v>43.73</v>
      </c>
      <c r="BL8" s="3">
        <f ca="1">IFERROR(__xludf.DUMMYFUNCTION("""COMPUTED_VALUE"""),43.24)</f>
        <v>43.24</v>
      </c>
      <c r="BM8" s="3">
        <f ca="1">IFERROR(__xludf.DUMMYFUNCTION("""COMPUTED_VALUE"""),43.68)</f>
        <v>43.68</v>
      </c>
      <c r="BN8" s="3">
        <f ca="1">IFERROR(__xludf.DUMMYFUNCTION("""COMPUTED_VALUE"""),13535210)</f>
        <v>13535210</v>
      </c>
    </row>
    <row r="9" spans="1:66" ht="15.75" customHeight="1" x14ac:dyDescent="0.15">
      <c r="G9" s="4">
        <f ca="1">IFERROR(__xludf.DUMMYFUNCTION("""COMPUTED_VALUE"""),42137.6666666666)</f>
        <v>42137.666666666599</v>
      </c>
      <c r="H9" s="3">
        <f ca="1">IFERROR(__xludf.DUMMYFUNCTION("""COMPUTED_VALUE"""),76.16)</f>
        <v>76.16</v>
      </c>
      <c r="I9" s="3">
        <f ca="1">IFERROR(__xludf.DUMMYFUNCTION("""COMPUTED_VALUE"""),76.42)</f>
        <v>76.42</v>
      </c>
      <c r="J9" s="3">
        <f ca="1">IFERROR(__xludf.DUMMYFUNCTION("""COMPUTED_VALUE"""),75.58)</f>
        <v>75.58</v>
      </c>
      <c r="K9" s="3">
        <f ca="1">IFERROR(__xludf.DUMMYFUNCTION("""COMPUTED_VALUE"""),75.64)</f>
        <v>75.64</v>
      </c>
      <c r="L9" s="3">
        <f ca="1">IFERROR(__xludf.DUMMYFUNCTION("""COMPUTED_VALUE"""),7921603)</f>
        <v>7921603</v>
      </c>
      <c r="M9" s="4">
        <f ca="1">IFERROR(__xludf.DUMMYFUNCTION("""COMPUTED_VALUE"""),42137.6666666666)</f>
        <v>42137.666666666599</v>
      </c>
      <c r="N9" s="3">
        <f ca="1">IFERROR(__xludf.DUMMYFUNCTION("""COMPUTED_VALUE"""),48.85)</f>
        <v>48.85</v>
      </c>
      <c r="O9" s="3">
        <f ca="1">IFERROR(__xludf.DUMMYFUNCTION("""COMPUTED_VALUE"""),49.19)</f>
        <v>49.19</v>
      </c>
      <c r="P9" s="3">
        <f ca="1">IFERROR(__xludf.DUMMYFUNCTION("""COMPUTED_VALUE"""),48.78)</f>
        <v>48.78</v>
      </c>
      <c r="Q9" s="3">
        <f ca="1">IFERROR(__xludf.DUMMYFUNCTION("""COMPUTED_VALUE"""),48.84)</f>
        <v>48.84</v>
      </c>
      <c r="R9" s="3">
        <f ca="1">IFERROR(__xludf.DUMMYFUNCTION("""COMPUTED_VALUE"""),3716893)</f>
        <v>3716893</v>
      </c>
      <c r="S9" s="4">
        <f ca="1">IFERROR(__xludf.DUMMYFUNCTION("""COMPUTED_VALUE"""),42137.6666666666)</f>
        <v>42137.666666666599</v>
      </c>
      <c r="T9" s="3">
        <f ca="1">IFERROR(__xludf.DUMMYFUNCTION("""COMPUTED_VALUE"""),81.29)</f>
        <v>81.290000000000006</v>
      </c>
      <c r="U9" s="3">
        <f ca="1">IFERROR(__xludf.DUMMYFUNCTION("""COMPUTED_VALUE"""),81.39)</f>
        <v>81.39</v>
      </c>
      <c r="V9" s="3">
        <f ca="1">IFERROR(__xludf.DUMMYFUNCTION("""COMPUTED_VALUE"""),80.08)</f>
        <v>80.08</v>
      </c>
      <c r="W9" s="3">
        <f ca="1">IFERROR(__xludf.DUMMYFUNCTION("""COMPUTED_VALUE"""),80.38)</f>
        <v>80.38</v>
      </c>
      <c r="X9" s="3">
        <f ca="1">IFERROR(__xludf.DUMMYFUNCTION("""COMPUTED_VALUE"""),12534739)</f>
        <v>12534739</v>
      </c>
      <c r="Y9" s="4">
        <f ca="1">IFERROR(__xludf.DUMMYFUNCTION("""COMPUTED_VALUE"""),42137.6666666666)</f>
        <v>42137.666666666599</v>
      </c>
      <c r="Z9" s="3">
        <f ca="1">IFERROR(__xludf.DUMMYFUNCTION("""COMPUTED_VALUE"""),19.96)</f>
        <v>19.96</v>
      </c>
      <c r="AA9" s="3">
        <f ca="1">IFERROR(__xludf.DUMMYFUNCTION("""COMPUTED_VALUE"""),20.04)</f>
        <v>20.04</v>
      </c>
      <c r="AB9" s="3">
        <f ca="1">IFERROR(__xludf.DUMMYFUNCTION("""COMPUTED_VALUE"""),19.92)</f>
        <v>19.920000000000002</v>
      </c>
      <c r="AC9" s="3">
        <f ca="1">IFERROR(__xludf.DUMMYFUNCTION("""COMPUTED_VALUE"""),19.97)</f>
        <v>19.97</v>
      </c>
      <c r="AD9" s="3">
        <f ca="1">IFERROR(__xludf.DUMMYFUNCTION("""COMPUTED_VALUE"""),23907659)</f>
        <v>23907659</v>
      </c>
      <c r="AE9" s="4">
        <f ca="1">IFERROR(__xludf.DUMMYFUNCTION("""COMPUTED_VALUE"""),42137.6666666666)</f>
        <v>42137.666666666599</v>
      </c>
      <c r="AF9" s="3">
        <f ca="1">IFERROR(__xludf.DUMMYFUNCTION("""COMPUTED_VALUE"""),73.26)</f>
        <v>73.260000000000005</v>
      </c>
      <c r="AG9" s="3">
        <f ca="1">IFERROR(__xludf.DUMMYFUNCTION("""COMPUTED_VALUE"""),73.64)</f>
        <v>73.64</v>
      </c>
      <c r="AH9" s="3">
        <f ca="1">IFERROR(__xludf.DUMMYFUNCTION("""COMPUTED_VALUE"""),72.97)</f>
        <v>72.97</v>
      </c>
      <c r="AI9" s="3">
        <f ca="1">IFERROR(__xludf.DUMMYFUNCTION("""COMPUTED_VALUE"""),73.1)</f>
        <v>73.099999999999994</v>
      </c>
      <c r="AJ9" s="3">
        <f ca="1">IFERROR(__xludf.DUMMYFUNCTION("""COMPUTED_VALUE"""),6005823)</f>
        <v>6005823</v>
      </c>
      <c r="AK9" s="4">
        <f ca="1">IFERROR(__xludf.DUMMYFUNCTION("""COMPUTED_VALUE"""),42137.6666666666)</f>
        <v>42137.666666666599</v>
      </c>
      <c r="AL9" s="3">
        <f ca="1">IFERROR(__xludf.DUMMYFUNCTION("""COMPUTED_VALUE"""),56.68)</f>
        <v>56.68</v>
      </c>
      <c r="AM9" s="3">
        <f ca="1">IFERROR(__xludf.DUMMYFUNCTION("""COMPUTED_VALUE"""),56.97)</f>
        <v>56.97</v>
      </c>
      <c r="AN9" s="3">
        <f ca="1">IFERROR(__xludf.DUMMYFUNCTION("""COMPUTED_VALUE"""),56.51)</f>
        <v>56.51</v>
      </c>
      <c r="AO9" s="3">
        <f ca="1">IFERROR(__xludf.DUMMYFUNCTION("""COMPUTED_VALUE"""),56.59)</f>
        <v>56.59</v>
      </c>
      <c r="AP9" s="3">
        <f ca="1">IFERROR(__xludf.DUMMYFUNCTION("""COMPUTED_VALUE"""),7704328)</f>
        <v>7704328</v>
      </c>
      <c r="AQ9" s="4">
        <f ca="1">IFERROR(__xludf.DUMMYFUNCTION("""COMPUTED_VALUE"""),42137.6666666666)</f>
        <v>42137.666666666599</v>
      </c>
      <c r="AR9" s="3">
        <f ca="1">IFERROR(__xludf.DUMMYFUNCTION("""COMPUTED_VALUE"""),50.65)</f>
        <v>50.65</v>
      </c>
      <c r="AS9" s="3">
        <f ca="1">IFERROR(__xludf.DUMMYFUNCTION("""COMPUTED_VALUE"""),50.95)</f>
        <v>50.95</v>
      </c>
      <c r="AT9" s="3">
        <f ca="1">IFERROR(__xludf.DUMMYFUNCTION("""COMPUTED_VALUE"""),50.54)</f>
        <v>50.54</v>
      </c>
      <c r="AU9" s="3">
        <f ca="1">IFERROR(__xludf.DUMMYFUNCTION("""COMPUTED_VALUE"""),50.73)</f>
        <v>50.73</v>
      </c>
      <c r="AV9" s="3">
        <f ca="1">IFERROR(__xludf.DUMMYFUNCTION("""COMPUTED_VALUE"""),3814005)</f>
        <v>3814005</v>
      </c>
      <c r="AW9" s="4">
        <f ca="1">IFERROR(__xludf.DUMMYFUNCTION("""COMPUTED_VALUE"""),42292.6666666666)</f>
        <v>42292.666666666599</v>
      </c>
      <c r="AX9" s="3">
        <f ca="1">IFERROR(__xludf.DUMMYFUNCTION("""COMPUTED_VALUE"""),30.03)</f>
        <v>30.03</v>
      </c>
      <c r="AY9" s="3">
        <f ca="1">IFERROR(__xludf.DUMMYFUNCTION("""COMPUTED_VALUE"""),30.07)</f>
        <v>30.07</v>
      </c>
      <c r="AZ9" s="3">
        <f ca="1">IFERROR(__xludf.DUMMYFUNCTION("""COMPUTED_VALUE"""),30.03)</f>
        <v>30.03</v>
      </c>
      <c r="BA9" s="3">
        <f ca="1">IFERROR(__xludf.DUMMYFUNCTION("""COMPUTED_VALUE"""),30.07)</f>
        <v>30.07</v>
      </c>
      <c r="BB9" s="3">
        <f ca="1">IFERROR(__xludf.DUMMYFUNCTION("""COMPUTED_VALUE"""),2515)</f>
        <v>2515</v>
      </c>
      <c r="BC9" s="4">
        <f ca="1">IFERROR(__xludf.DUMMYFUNCTION("""COMPUTED_VALUE"""),42137.6666666666)</f>
        <v>42137.666666666599</v>
      </c>
      <c r="BD9" s="3">
        <f ca="1">IFERROR(__xludf.DUMMYFUNCTION("""COMPUTED_VALUE"""),42.76)</f>
        <v>42.76</v>
      </c>
      <c r="BE9" s="3">
        <f ca="1">IFERROR(__xludf.DUMMYFUNCTION("""COMPUTED_VALUE"""),43.01)</f>
        <v>43.01</v>
      </c>
      <c r="BF9" s="3">
        <f ca="1">IFERROR(__xludf.DUMMYFUNCTION("""COMPUTED_VALUE"""),42.67)</f>
        <v>42.67</v>
      </c>
      <c r="BG9" s="3">
        <f ca="1">IFERROR(__xludf.DUMMYFUNCTION("""COMPUTED_VALUE"""),42.76)</f>
        <v>42.76</v>
      </c>
      <c r="BH9" s="3">
        <f ca="1">IFERROR(__xludf.DUMMYFUNCTION("""COMPUTED_VALUE"""),9306475)</f>
        <v>9306475</v>
      </c>
      <c r="BI9" s="4">
        <f ca="1">IFERROR(__xludf.DUMMYFUNCTION("""COMPUTED_VALUE"""),42137.6666666666)</f>
        <v>42137.666666666599</v>
      </c>
      <c r="BJ9" s="3">
        <f ca="1">IFERROR(__xludf.DUMMYFUNCTION("""COMPUTED_VALUE"""),43.83)</f>
        <v>43.83</v>
      </c>
      <c r="BK9" s="3">
        <f ca="1">IFERROR(__xludf.DUMMYFUNCTION("""COMPUTED_VALUE"""),43.97)</f>
        <v>43.97</v>
      </c>
      <c r="BL9" s="3">
        <f ca="1">IFERROR(__xludf.DUMMYFUNCTION("""COMPUTED_VALUE"""),43.1)</f>
        <v>43.1</v>
      </c>
      <c r="BM9" s="3">
        <f ca="1">IFERROR(__xludf.DUMMYFUNCTION("""COMPUTED_VALUE"""),43.25)</f>
        <v>43.25</v>
      </c>
      <c r="BN9" s="3">
        <f ca="1">IFERROR(__xludf.DUMMYFUNCTION("""COMPUTED_VALUE"""),13979633)</f>
        <v>13979633</v>
      </c>
    </row>
    <row r="10" spans="1:66" ht="15.75" customHeight="1" x14ac:dyDescent="0.15">
      <c r="G10" s="4">
        <f ca="1">IFERROR(__xludf.DUMMYFUNCTION("""COMPUTED_VALUE"""),42138.6666666666)</f>
        <v>42138.666666666599</v>
      </c>
      <c r="H10" s="3">
        <f ca="1">IFERROR(__xludf.DUMMYFUNCTION("""COMPUTED_VALUE"""),75.93)</f>
        <v>75.930000000000007</v>
      </c>
      <c r="I10" s="3">
        <f ca="1">IFERROR(__xludf.DUMMYFUNCTION("""COMPUTED_VALUE"""),76.08)</f>
        <v>76.08</v>
      </c>
      <c r="J10" s="3">
        <f ca="1">IFERROR(__xludf.DUMMYFUNCTION("""COMPUTED_VALUE"""),75.52)</f>
        <v>75.52</v>
      </c>
      <c r="K10" s="3">
        <f ca="1">IFERROR(__xludf.DUMMYFUNCTION("""COMPUTED_VALUE"""),75.98)</f>
        <v>75.98</v>
      </c>
      <c r="L10" s="3">
        <f ca="1">IFERROR(__xludf.DUMMYFUNCTION("""COMPUTED_VALUE"""),6830306)</f>
        <v>6830306</v>
      </c>
      <c r="M10" s="4">
        <f ca="1">IFERROR(__xludf.DUMMYFUNCTION("""COMPUTED_VALUE"""),42138.6666666666)</f>
        <v>42138.666666666599</v>
      </c>
      <c r="N10" s="3">
        <f ca="1">IFERROR(__xludf.DUMMYFUNCTION("""COMPUTED_VALUE"""),49.04)</f>
        <v>49.04</v>
      </c>
      <c r="O10" s="3">
        <f ca="1">IFERROR(__xludf.DUMMYFUNCTION("""COMPUTED_VALUE"""),49.61)</f>
        <v>49.61</v>
      </c>
      <c r="P10" s="3">
        <f ca="1">IFERROR(__xludf.DUMMYFUNCTION("""COMPUTED_VALUE"""),49.04)</f>
        <v>49.04</v>
      </c>
      <c r="Q10" s="3">
        <f ca="1">IFERROR(__xludf.DUMMYFUNCTION("""COMPUTED_VALUE"""),49.59)</f>
        <v>49.59</v>
      </c>
      <c r="R10" s="3">
        <f ca="1">IFERROR(__xludf.DUMMYFUNCTION("""COMPUTED_VALUE"""),6174276)</f>
        <v>6174276</v>
      </c>
      <c r="S10" s="4">
        <f ca="1">IFERROR(__xludf.DUMMYFUNCTION("""COMPUTED_VALUE"""),42138.6666666666)</f>
        <v>42138.666666666599</v>
      </c>
      <c r="T10" s="3">
        <f ca="1">IFERROR(__xludf.DUMMYFUNCTION("""COMPUTED_VALUE"""),80.61)</f>
        <v>80.61</v>
      </c>
      <c r="U10" s="3">
        <f ca="1">IFERROR(__xludf.DUMMYFUNCTION("""COMPUTED_VALUE"""),81.15)</f>
        <v>81.150000000000006</v>
      </c>
      <c r="V10" s="3">
        <f ca="1">IFERROR(__xludf.DUMMYFUNCTION("""COMPUTED_VALUE"""),80.3)</f>
        <v>80.3</v>
      </c>
      <c r="W10" s="3">
        <f ca="1">IFERROR(__xludf.DUMMYFUNCTION("""COMPUTED_VALUE"""),80.35)</f>
        <v>80.349999999999994</v>
      </c>
      <c r="X10" s="3">
        <f ca="1">IFERROR(__xludf.DUMMYFUNCTION("""COMPUTED_VALUE"""),9617871)</f>
        <v>9617871</v>
      </c>
      <c r="Y10" s="4">
        <f ca="1">IFERROR(__xludf.DUMMYFUNCTION("""COMPUTED_VALUE"""),42138.6666666666)</f>
        <v>42138.666666666599</v>
      </c>
      <c r="Z10" s="3">
        <f ca="1">IFERROR(__xludf.DUMMYFUNCTION("""COMPUTED_VALUE"""),20.07)</f>
        <v>20.07</v>
      </c>
      <c r="AA10" s="3">
        <f ca="1">IFERROR(__xludf.DUMMYFUNCTION("""COMPUTED_VALUE"""),20.16)</f>
        <v>20.16</v>
      </c>
      <c r="AB10" s="3">
        <f ca="1">IFERROR(__xludf.DUMMYFUNCTION("""COMPUTED_VALUE"""),20.03)</f>
        <v>20.03</v>
      </c>
      <c r="AC10" s="3">
        <f ca="1">IFERROR(__xludf.DUMMYFUNCTION("""COMPUTED_VALUE"""),20.15)</f>
        <v>20.149999999999999</v>
      </c>
      <c r="AD10" s="3">
        <f ca="1">IFERROR(__xludf.DUMMYFUNCTION("""COMPUTED_VALUE"""),21482855)</f>
        <v>21482855</v>
      </c>
      <c r="AE10" s="4">
        <f ca="1">IFERROR(__xludf.DUMMYFUNCTION("""COMPUTED_VALUE"""),42138.6666666666)</f>
        <v>42138.666666666599</v>
      </c>
      <c r="AF10" s="3">
        <f ca="1">IFERROR(__xludf.DUMMYFUNCTION("""COMPUTED_VALUE"""),73.49)</f>
        <v>73.489999999999995</v>
      </c>
      <c r="AG10" s="3">
        <f ca="1">IFERROR(__xludf.DUMMYFUNCTION("""COMPUTED_VALUE"""),74.14)</f>
        <v>74.14</v>
      </c>
      <c r="AH10" s="3">
        <f ca="1">IFERROR(__xludf.DUMMYFUNCTION("""COMPUTED_VALUE"""),73.19)</f>
        <v>73.19</v>
      </c>
      <c r="AI10" s="3">
        <f ca="1">IFERROR(__xludf.DUMMYFUNCTION("""COMPUTED_VALUE"""),74.11)</f>
        <v>74.11</v>
      </c>
      <c r="AJ10" s="3">
        <f ca="1">IFERROR(__xludf.DUMMYFUNCTION("""COMPUTED_VALUE"""),6894435)</f>
        <v>6894435</v>
      </c>
      <c r="AK10" s="4">
        <f ca="1">IFERROR(__xludf.DUMMYFUNCTION("""COMPUTED_VALUE"""),42138.6666666666)</f>
        <v>42138.666666666599</v>
      </c>
      <c r="AL10" s="3">
        <f ca="1">IFERROR(__xludf.DUMMYFUNCTION("""COMPUTED_VALUE"""),56.84)</f>
        <v>56.84</v>
      </c>
      <c r="AM10" s="3">
        <f ca="1">IFERROR(__xludf.DUMMYFUNCTION("""COMPUTED_VALUE"""),57.22)</f>
        <v>57.22</v>
      </c>
      <c r="AN10" s="3">
        <f ca="1">IFERROR(__xludf.DUMMYFUNCTION("""COMPUTED_VALUE"""),56.79)</f>
        <v>56.79</v>
      </c>
      <c r="AO10" s="3">
        <f ca="1">IFERROR(__xludf.DUMMYFUNCTION("""COMPUTED_VALUE"""),57.16)</f>
        <v>57.16</v>
      </c>
      <c r="AP10" s="3">
        <f ca="1">IFERROR(__xludf.DUMMYFUNCTION("""COMPUTED_VALUE"""),8698422)</f>
        <v>8698422</v>
      </c>
      <c r="AQ10" s="4">
        <f ca="1">IFERROR(__xludf.DUMMYFUNCTION("""COMPUTED_VALUE"""),42138.6666666666)</f>
        <v>42138.666666666599</v>
      </c>
      <c r="AR10" s="3">
        <f ca="1">IFERROR(__xludf.DUMMYFUNCTION("""COMPUTED_VALUE"""),50.98)</f>
        <v>50.98</v>
      </c>
      <c r="AS10" s="3">
        <f ca="1">IFERROR(__xludf.DUMMYFUNCTION("""COMPUTED_VALUE"""),51.3)</f>
        <v>51.3</v>
      </c>
      <c r="AT10" s="3">
        <f ca="1">IFERROR(__xludf.DUMMYFUNCTION("""COMPUTED_VALUE"""),50.98)</f>
        <v>50.98</v>
      </c>
      <c r="AU10" s="3">
        <f ca="1">IFERROR(__xludf.DUMMYFUNCTION("""COMPUTED_VALUE"""),51.26)</f>
        <v>51.26</v>
      </c>
      <c r="AV10" s="3">
        <f ca="1">IFERROR(__xludf.DUMMYFUNCTION("""COMPUTED_VALUE"""),3159475)</f>
        <v>3159475</v>
      </c>
      <c r="AW10" s="4">
        <f ca="1">IFERROR(__xludf.DUMMYFUNCTION("""COMPUTED_VALUE"""),42293.6666666666)</f>
        <v>42293.666666666599</v>
      </c>
      <c r="AX10" s="3">
        <f ca="1">IFERROR(__xludf.DUMMYFUNCTION("""COMPUTED_VALUE"""),30.6)</f>
        <v>30.6</v>
      </c>
      <c r="AY10" s="3">
        <f ca="1">IFERROR(__xludf.DUMMYFUNCTION("""COMPUTED_VALUE"""),30.66)</f>
        <v>30.66</v>
      </c>
      <c r="AZ10" s="3">
        <f ca="1">IFERROR(__xludf.DUMMYFUNCTION("""COMPUTED_VALUE"""),30.6)</f>
        <v>30.6</v>
      </c>
      <c r="BA10" s="3">
        <f ca="1">IFERROR(__xludf.DUMMYFUNCTION("""COMPUTED_VALUE"""),30.64)</f>
        <v>30.64</v>
      </c>
      <c r="BB10" s="3">
        <f ca="1">IFERROR(__xludf.DUMMYFUNCTION("""COMPUTED_VALUE"""),400)</f>
        <v>400</v>
      </c>
      <c r="BC10" s="4">
        <f ca="1">IFERROR(__xludf.DUMMYFUNCTION("""COMPUTED_VALUE"""),42138.6666666666)</f>
        <v>42138.666666666599</v>
      </c>
      <c r="BD10" s="3">
        <f ca="1">IFERROR(__xludf.DUMMYFUNCTION("""COMPUTED_VALUE"""),43.1)</f>
        <v>43.1</v>
      </c>
      <c r="BE10" s="3">
        <f ca="1">IFERROR(__xludf.DUMMYFUNCTION("""COMPUTED_VALUE"""),43.47)</f>
        <v>43.47</v>
      </c>
      <c r="BF10" s="3">
        <f ca="1">IFERROR(__xludf.DUMMYFUNCTION("""COMPUTED_VALUE"""),43.06)</f>
        <v>43.06</v>
      </c>
      <c r="BG10" s="3">
        <f ca="1">IFERROR(__xludf.DUMMYFUNCTION("""COMPUTED_VALUE"""),43.45)</f>
        <v>43.45</v>
      </c>
      <c r="BH10" s="3">
        <f ca="1">IFERROR(__xludf.DUMMYFUNCTION("""COMPUTED_VALUE"""),6976158)</f>
        <v>6976158</v>
      </c>
      <c r="BI10" s="4">
        <f ca="1">IFERROR(__xludf.DUMMYFUNCTION("""COMPUTED_VALUE"""),42138.6666666666)</f>
        <v>42138.666666666599</v>
      </c>
      <c r="BJ10" s="3">
        <f ca="1">IFERROR(__xludf.DUMMYFUNCTION("""COMPUTED_VALUE"""),43.47)</f>
        <v>43.47</v>
      </c>
      <c r="BK10" s="3">
        <f ca="1">IFERROR(__xludf.DUMMYFUNCTION("""COMPUTED_VALUE"""),43.87)</f>
        <v>43.87</v>
      </c>
      <c r="BL10" s="3">
        <f ca="1">IFERROR(__xludf.DUMMYFUNCTION("""COMPUTED_VALUE"""),43.43)</f>
        <v>43.43</v>
      </c>
      <c r="BM10" s="3">
        <f ca="1">IFERROR(__xludf.DUMMYFUNCTION("""COMPUTED_VALUE"""),43.75)</f>
        <v>43.75</v>
      </c>
      <c r="BN10" s="3">
        <f ca="1">IFERROR(__xludf.DUMMYFUNCTION("""COMPUTED_VALUE"""),12242708)</f>
        <v>12242708</v>
      </c>
    </row>
    <row r="11" spans="1:66" ht="15.75" customHeight="1" x14ac:dyDescent="0.15">
      <c r="G11" s="4">
        <f ca="1">IFERROR(__xludf.DUMMYFUNCTION("""COMPUTED_VALUE"""),42139.6666666666)</f>
        <v>42139.666666666599</v>
      </c>
      <c r="H11" s="3">
        <f ca="1">IFERROR(__xludf.DUMMYFUNCTION("""COMPUTED_VALUE"""),76.07)</f>
        <v>76.069999999999993</v>
      </c>
      <c r="I11" s="3">
        <f ca="1">IFERROR(__xludf.DUMMYFUNCTION("""COMPUTED_VALUE"""),76.59)</f>
        <v>76.59</v>
      </c>
      <c r="J11" s="3">
        <f ca="1">IFERROR(__xludf.DUMMYFUNCTION("""COMPUTED_VALUE"""),75.99)</f>
        <v>75.989999999999995</v>
      </c>
      <c r="K11" s="3">
        <f ca="1">IFERROR(__xludf.DUMMYFUNCTION("""COMPUTED_VALUE"""),76.59)</f>
        <v>76.59</v>
      </c>
      <c r="L11" s="3">
        <f ca="1">IFERROR(__xludf.DUMMYFUNCTION("""COMPUTED_VALUE"""),7189908)</f>
        <v>7189908</v>
      </c>
      <c r="M11" s="4">
        <f ca="1">IFERROR(__xludf.DUMMYFUNCTION("""COMPUTED_VALUE"""),42139.6666666666)</f>
        <v>42139.666666666599</v>
      </c>
      <c r="N11" s="3">
        <f ca="1">IFERROR(__xludf.DUMMYFUNCTION("""COMPUTED_VALUE"""),49.6)</f>
        <v>49.6</v>
      </c>
      <c r="O11" s="3">
        <f ca="1">IFERROR(__xludf.DUMMYFUNCTION("""COMPUTED_VALUE"""),49.75)</f>
        <v>49.75</v>
      </c>
      <c r="P11" s="3">
        <f ca="1">IFERROR(__xludf.DUMMYFUNCTION("""COMPUTED_VALUE"""),49.55)</f>
        <v>49.55</v>
      </c>
      <c r="Q11" s="3">
        <f ca="1">IFERROR(__xludf.DUMMYFUNCTION("""COMPUTED_VALUE"""),49.75)</f>
        <v>49.75</v>
      </c>
      <c r="R11" s="3">
        <f ca="1">IFERROR(__xludf.DUMMYFUNCTION("""COMPUTED_VALUE"""),5014345)</f>
        <v>5014345</v>
      </c>
      <c r="S11" s="4">
        <f ca="1">IFERROR(__xludf.DUMMYFUNCTION("""COMPUTED_VALUE"""),42139.6666666666)</f>
        <v>42139.666666666599</v>
      </c>
      <c r="T11" s="3">
        <f ca="1">IFERROR(__xludf.DUMMYFUNCTION("""COMPUTED_VALUE"""),80.01)</f>
        <v>80.010000000000005</v>
      </c>
      <c r="U11" s="3">
        <f ca="1">IFERROR(__xludf.DUMMYFUNCTION("""COMPUTED_VALUE"""),80.99)</f>
        <v>80.989999999999995</v>
      </c>
      <c r="V11" s="3">
        <f ca="1">IFERROR(__xludf.DUMMYFUNCTION("""COMPUTED_VALUE"""),79.81)</f>
        <v>79.81</v>
      </c>
      <c r="W11" s="3">
        <f ca="1">IFERROR(__xludf.DUMMYFUNCTION("""COMPUTED_VALUE"""),80.67)</f>
        <v>80.67</v>
      </c>
      <c r="X11" s="3">
        <f ca="1">IFERROR(__xludf.DUMMYFUNCTION("""COMPUTED_VALUE"""),9780592)</f>
        <v>9780592</v>
      </c>
      <c r="Y11" s="4">
        <f ca="1">IFERROR(__xludf.DUMMYFUNCTION("""COMPUTED_VALUE"""),42139.6666666666)</f>
        <v>42139.666666666599</v>
      </c>
      <c r="Z11" s="3">
        <f ca="1">IFERROR(__xludf.DUMMYFUNCTION("""COMPUTED_VALUE"""),20.16)</f>
        <v>20.16</v>
      </c>
      <c r="AA11" s="3">
        <f ca="1">IFERROR(__xludf.DUMMYFUNCTION("""COMPUTED_VALUE"""),20.16)</f>
        <v>20.16</v>
      </c>
      <c r="AB11" s="3">
        <f ca="1">IFERROR(__xludf.DUMMYFUNCTION("""COMPUTED_VALUE"""),19.99)</f>
        <v>19.989999999999998</v>
      </c>
      <c r="AC11" s="3">
        <f ca="1">IFERROR(__xludf.DUMMYFUNCTION("""COMPUTED_VALUE"""),20.06)</f>
        <v>20.059999999999999</v>
      </c>
      <c r="AD11" s="3">
        <f ca="1">IFERROR(__xludf.DUMMYFUNCTION("""COMPUTED_VALUE"""),23147840)</f>
        <v>23147840</v>
      </c>
      <c r="AE11" s="4">
        <f ca="1">IFERROR(__xludf.DUMMYFUNCTION("""COMPUTED_VALUE"""),42139.6666666666)</f>
        <v>42139.666666666599</v>
      </c>
      <c r="AF11" s="3">
        <f ca="1">IFERROR(__xludf.DUMMYFUNCTION("""COMPUTED_VALUE"""),74.24)</f>
        <v>74.239999999999995</v>
      </c>
      <c r="AG11" s="3">
        <f ca="1">IFERROR(__xludf.DUMMYFUNCTION("""COMPUTED_VALUE"""),74.35)</f>
        <v>74.349999999999994</v>
      </c>
      <c r="AH11" s="3">
        <f ca="1">IFERROR(__xludf.DUMMYFUNCTION("""COMPUTED_VALUE"""),74.03)</f>
        <v>74.03</v>
      </c>
      <c r="AI11" s="3">
        <f ca="1">IFERROR(__xludf.DUMMYFUNCTION("""COMPUTED_VALUE"""),74.26)</f>
        <v>74.260000000000005</v>
      </c>
      <c r="AJ11" s="3">
        <f ca="1">IFERROR(__xludf.DUMMYFUNCTION("""COMPUTED_VALUE"""),3872343)</f>
        <v>3872343</v>
      </c>
      <c r="AK11" s="4">
        <f ca="1">IFERROR(__xludf.DUMMYFUNCTION("""COMPUTED_VALUE"""),42139.6666666666)</f>
        <v>42139.666666666599</v>
      </c>
      <c r="AL11" s="3">
        <f ca="1">IFERROR(__xludf.DUMMYFUNCTION("""COMPUTED_VALUE"""),57.14)</f>
        <v>57.14</v>
      </c>
      <c r="AM11" s="3">
        <f ca="1">IFERROR(__xludf.DUMMYFUNCTION("""COMPUTED_VALUE"""),57.27)</f>
        <v>57.27</v>
      </c>
      <c r="AN11" s="3">
        <f ca="1">IFERROR(__xludf.DUMMYFUNCTION("""COMPUTED_VALUE"""),56.94)</f>
        <v>56.94</v>
      </c>
      <c r="AO11" s="3">
        <f ca="1">IFERROR(__xludf.DUMMYFUNCTION("""COMPUTED_VALUE"""),57.11)</f>
        <v>57.11</v>
      </c>
      <c r="AP11" s="3">
        <f ca="1">IFERROR(__xludf.DUMMYFUNCTION("""COMPUTED_VALUE"""),6266250)</f>
        <v>6266250</v>
      </c>
      <c r="AQ11" s="4">
        <f ca="1">IFERROR(__xludf.DUMMYFUNCTION("""COMPUTED_VALUE"""),42139.6666666666)</f>
        <v>42139.666666666599</v>
      </c>
      <c r="AR11" s="3">
        <f ca="1">IFERROR(__xludf.DUMMYFUNCTION("""COMPUTED_VALUE"""),51.21)</f>
        <v>51.21</v>
      </c>
      <c r="AS11" s="3">
        <f ca="1">IFERROR(__xludf.DUMMYFUNCTION("""COMPUTED_VALUE"""),51.51)</f>
        <v>51.51</v>
      </c>
      <c r="AT11" s="3">
        <f ca="1">IFERROR(__xludf.DUMMYFUNCTION("""COMPUTED_VALUE"""),51.09)</f>
        <v>51.09</v>
      </c>
      <c r="AU11" s="3">
        <f ca="1">IFERROR(__xludf.DUMMYFUNCTION("""COMPUTED_VALUE"""),51.51)</f>
        <v>51.51</v>
      </c>
      <c r="AV11" s="3">
        <f ca="1">IFERROR(__xludf.DUMMYFUNCTION("""COMPUTED_VALUE"""),3129890)</f>
        <v>3129890</v>
      </c>
      <c r="AW11" s="4">
        <f ca="1">IFERROR(__xludf.DUMMYFUNCTION("""COMPUTED_VALUE"""),42296.6666666666)</f>
        <v>42296.666666666599</v>
      </c>
      <c r="AX11" s="3">
        <f ca="1">IFERROR(__xludf.DUMMYFUNCTION("""COMPUTED_VALUE"""),30.7)</f>
        <v>30.7</v>
      </c>
      <c r="AY11" s="3">
        <f ca="1">IFERROR(__xludf.DUMMYFUNCTION("""COMPUTED_VALUE"""),31.01)</f>
        <v>31.01</v>
      </c>
      <c r="AZ11" s="3">
        <f ca="1">IFERROR(__xludf.DUMMYFUNCTION("""COMPUTED_VALUE"""),30.7)</f>
        <v>30.7</v>
      </c>
      <c r="BA11" s="3">
        <f ca="1">IFERROR(__xludf.DUMMYFUNCTION("""COMPUTED_VALUE"""),31)</f>
        <v>31</v>
      </c>
      <c r="BB11" s="3">
        <f ca="1">IFERROR(__xludf.DUMMYFUNCTION("""COMPUTED_VALUE"""),2001)</f>
        <v>2001</v>
      </c>
      <c r="BC11" s="4">
        <f ca="1">IFERROR(__xludf.DUMMYFUNCTION("""COMPUTED_VALUE"""),42139.6666666666)</f>
        <v>42139.666666666599</v>
      </c>
      <c r="BD11" s="3">
        <f ca="1">IFERROR(__xludf.DUMMYFUNCTION("""COMPUTED_VALUE"""),43.54)</f>
        <v>43.54</v>
      </c>
      <c r="BE11" s="3">
        <f ca="1">IFERROR(__xludf.DUMMYFUNCTION("""COMPUTED_VALUE"""),43.58)</f>
        <v>43.58</v>
      </c>
      <c r="BF11" s="3">
        <f ca="1">IFERROR(__xludf.DUMMYFUNCTION("""COMPUTED_VALUE"""),43.21)</f>
        <v>43.21</v>
      </c>
      <c r="BG11" s="3">
        <f ca="1">IFERROR(__xludf.DUMMYFUNCTION("""COMPUTED_VALUE"""),43.31)</f>
        <v>43.31</v>
      </c>
      <c r="BH11" s="3">
        <f ca="1">IFERROR(__xludf.DUMMYFUNCTION("""COMPUTED_VALUE"""),8468238)</f>
        <v>8468238</v>
      </c>
      <c r="BI11" s="4">
        <f ca="1">IFERROR(__xludf.DUMMYFUNCTION("""COMPUTED_VALUE"""),42139.6666666666)</f>
        <v>42139.666666666599</v>
      </c>
      <c r="BJ11" s="3">
        <f ca="1">IFERROR(__xludf.DUMMYFUNCTION("""COMPUTED_VALUE"""),43.87)</f>
        <v>43.87</v>
      </c>
      <c r="BK11" s="3">
        <f ca="1">IFERROR(__xludf.DUMMYFUNCTION("""COMPUTED_VALUE"""),44.41)</f>
        <v>44.41</v>
      </c>
      <c r="BL11" s="3">
        <f ca="1">IFERROR(__xludf.DUMMYFUNCTION("""COMPUTED_VALUE"""),43.8)</f>
        <v>43.8</v>
      </c>
      <c r="BM11" s="3">
        <f ca="1">IFERROR(__xludf.DUMMYFUNCTION("""COMPUTED_VALUE"""),44.32)</f>
        <v>44.32</v>
      </c>
      <c r="BN11" s="3">
        <f ca="1">IFERROR(__xludf.DUMMYFUNCTION("""COMPUTED_VALUE"""),17791698)</f>
        <v>17791698</v>
      </c>
    </row>
    <row r="12" spans="1:66" ht="15.75" customHeight="1" x14ac:dyDescent="0.15">
      <c r="G12" s="4">
        <f ca="1">IFERROR(__xludf.DUMMYFUNCTION("""COMPUTED_VALUE"""),42142.6666666666)</f>
        <v>42142.666666666599</v>
      </c>
      <c r="H12" s="3">
        <f ca="1">IFERROR(__xludf.DUMMYFUNCTION("""COMPUTED_VALUE"""),76.46)</f>
        <v>76.459999999999994</v>
      </c>
      <c r="I12" s="3">
        <f ca="1">IFERROR(__xludf.DUMMYFUNCTION("""COMPUTED_VALUE"""),77.02)</f>
        <v>77.02</v>
      </c>
      <c r="J12" s="3">
        <f ca="1">IFERROR(__xludf.DUMMYFUNCTION("""COMPUTED_VALUE"""),76.44)</f>
        <v>76.44</v>
      </c>
      <c r="K12" s="3">
        <f ca="1">IFERROR(__xludf.DUMMYFUNCTION("""COMPUTED_VALUE"""),76.88)</f>
        <v>76.88</v>
      </c>
      <c r="L12" s="3">
        <f ca="1">IFERROR(__xludf.DUMMYFUNCTION("""COMPUTED_VALUE"""),3961471)</f>
        <v>3961471</v>
      </c>
      <c r="M12" s="4">
        <f ca="1">IFERROR(__xludf.DUMMYFUNCTION("""COMPUTED_VALUE"""),42142.6666666666)</f>
        <v>42142.666666666599</v>
      </c>
      <c r="N12" s="3">
        <f ca="1">IFERROR(__xludf.DUMMYFUNCTION("""COMPUTED_VALUE"""),49.7)</f>
        <v>49.7</v>
      </c>
      <c r="O12" s="3">
        <f ca="1">IFERROR(__xludf.DUMMYFUNCTION("""COMPUTED_VALUE"""),49.72)</f>
        <v>49.72</v>
      </c>
      <c r="P12" s="3">
        <f ca="1">IFERROR(__xludf.DUMMYFUNCTION("""COMPUTED_VALUE"""),49.51)</f>
        <v>49.51</v>
      </c>
      <c r="Q12" s="3">
        <f ca="1">IFERROR(__xludf.DUMMYFUNCTION("""COMPUTED_VALUE"""),49.59)</f>
        <v>49.59</v>
      </c>
      <c r="R12" s="3">
        <f ca="1">IFERROR(__xludf.DUMMYFUNCTION("""COMPUTED_VALUE"""),6199937)</f>
        <v>6199937</v>
      </c>
      <c r="S12" s="4">
        <f ca="1">IFERROR(__xludf.DUMMYFUNCTION("""COMPUTED_VALUE"""),42142.6666666666)</f>
        <v>42142.666666666599</v>
      </c>
      <c r="T12" s="3">
        <f ca="1">IFERROR(__xludf.DUMMYFUNCTION("""COMPUTED_VALUE"""),80.51)</f>
        <v>80.510000000000005</v>
      </c>
      <c r="U12" s="3">
        <f ca="1">IFERROR(__xludf.DUMMYFUNCTION("""COMPUTED_VALUE"""),80.84)</f>
        <v>80.84</v>
      </c>
      <c r="V12" s="3">
        <f ca="1">IFERROR(__xludf.DUMMYFUNCTION("""COMPUTED_VALUE"""),80.17)</f>
        <v>80.17</v>
      </c>
      <c r="W12" s="3">
        <f ca="1">IFERROR(__xludf.DUMMYFUNCTION("""COMPUTED_VALUE"""),80.74)</f>
        <v>80.739999999999995</v>
      </c>
      <c r="X12" s="3">
        <f ca="1">IFERROR(__xludf.DUMMYFUNCTION("""COMPUTED_VALUE"""),7229827)</f>
        <v>7229827</v>
      </c>
      <c r="Y12" s="4">
        <f ca="1">IFERROR(__xludf.DUMMYFUNCTION("""COMPUTED_VALUE"""),42142.6666666666)</f>
        <v>42142.666666666599</v>
      </c>
      <c r="Z12" s="3">
        <f ca="1">IFERROR(__xludf.DUMMYFUNCTION("""COMPUTED_VALUE"""),20.07)</f>
        <v>20.07</v>
      </c>
      <c r="AA12" s="3">
        <f ca="1">IFERROR(__xludf.DUMMYFUNCTION("""COMPUTED_VALUE"""),20.19)</f>
        <v>20.190000000000001</v>
      </c>
      <c r="AB12" s="3">
        <f ca="1">IFERROR(__xludf.DUMMYFUNCTION("""COMPUTED_VALUE"""),20.04)</f>
        <v>20.04</v>
      </c>
      <c r="AC12" s="3">
        <f ca="1">IFERROR(__xludf.DUMMYFUNCTION("""COMPUTED_VALUE"""),20.17)</f>
        <v>20.170000000000002</v>
      </c>
      <c r="AD12" s="3">
        <f ca="1">IFERROR(__xludf.DUMMYFUNCTION("""COMPUTED_VALUE"""),16118435)</f>
        <v>16118435</v>
      </c>
      <c r="AE12" s="4">
        <f ca="1">IFERROR(__xludf.DUMMYFUNCTION("""COMPUTED_VALUE"""),42142.6666666666)</f>
        <v>42142.666666666599</v>
      </c>
      <c r="AF12" s="3">
        <f ca="1">IFERROR(__xludf.DUMMYFUNCTION("""COMPUTED_VALUE"""),74.21)</f>
        <v>74.209999999999994</v>
      </c>
      <c r="AG12" s="3">
        <f ca="1">IFERROR(__xludf.DUMMYFUNCTION("""COMPUTED_VALUE"""),74.79)</f>
        <v>74.790000000000006</v>
      </c>
      <c r="AH12" s="3">
        <f ca="1">IFERROR(__xludf.DUMMYFUNCTION("""COMPUTED_VALUE"""),74.17)</f>
        <v>74.17</v>
      </c>
      <c r="AI12" s="3">
        <f ca="1">IFERROR(__xludf.DUMMYFUNCTION("""COMPUTED_VALUE"""),74.7)</f>
        <v>74.7</v>
      </c>
      <c r="AJ12" s="3">
        <f ca="1">IFERROR(__xludf.DUMMYFUNCTION("""COMPUTED_VALUE"""),6792243)</f>
        <v>6792243</v>
      </c>
      <c r="AK12" s="4">
        <f ca="1">IFERROR(__xludf.DUMMYFUNCTION("""COMPUTED_VALUE"""),42142.6666666666)</f>
        <v>42142.666666666599</v>
      </c>
      <c r="AL12" s="3">
        <f ca="1">IFERROR(__xludf.DUMMYFUNCTION("""COMPUTED_VALUE"""),57.26)</f>
        <v>57.26</v>
      </c>
      <c r="AM12" s="3">
        <f ca="1">IFERROR(__xludf.DUMMYFUNCTION("""COMPUTED_VALUE"""),57.29)</f>
        <v>57.29</v>
      </c>
      <c r="AN12" s="3">
        <f ca="1">IFERROR(__xludf.DUMMYFUNCTION("""COMPUTED_VALUE"""),56.98)</f>
        <v>56.98</v>
      </c>
      <c r="AO12" s="3">
        <f ca="1">IFERROR(__xludf.DUMMYFUNCTION("""COMPUTED_VALUE"""),57.22)</f>
        <v>57.22</v>
      </c>
      <c r="AP12" s="3">
        <f ca="1">IFERROR(__xludf.DUMMYFUNCTION("""COMPUTED_VALUE"""),6643755)</f>
        <v>6643755</v>
      </c>
      <c r="AQ12" s="4">
        <f ca="1">IFERROR(__xludf.DUMMYFUNCTION("""COMPUTED_VALUE"""),42142.6666666666)</f>
        <v>42142.666666666599</v>
      </c>
      <c r="AR12" s="3">
        <f ca="1">IFERROR(__xludf.DUMMYFUNCTION("""COMPUTED_VALUE"""),51.29)</f>
        <v>51.29</v>
      </c>
      <c r="AS12" s="3">
        <f ca="1">IFERROR(__xludf.DUMMYFUNCTION("""COMPUTED_VALUE"""),51.45)</f>
        <v>51.45</v>
      </c>
      <c r="AT12" s="3">
        <f ca="1">IFERROR(__xludf.DUMMYFUNCTION("""COMPUTED_VALUE"""),51.17)</f>
        <v>51.17</v>
      </c>
      <c r="AU12" s="3">
        <f ca="1">IFERROR(__xludf.DUMMYFUNCTION("""COMPUTED_VALUE"""),51.28)</f>
        <v>51.28</v>
      </c>
      <c r="AV12" s="3">
        <f ca="1">IFERROR(__xludf.DUMMYFUNCTION("""COMPUTED_VALUE"""),2690510)</f>
        <v>2690510</v>
      </c>
      <c r="AW12" s="4">
        <f ca="1">IFERROR(__xludf.DUMMYFUNCTION("""COMPUTED_VALUE"""),42297.6666666666)</f>
        <v>42297.666666666599</v>
      </c>
      <c r="AX12" s="3">
        <f ca="1">IFERROR(__xludf.DUMMYFUNCTION("""COMPUTED_VALUE"""),31.36)</f>
        <v>31.36</v>
      </c>
      <c r="AY12" s="3">
        <f ca="1">IFERROR(__xludf.DUMMYFUNCTION("""COMPUTED_VALUE"""),31.36)</f>
        <v>31.36</v>
      </c>
      <c r="AZ12" s="3">
        <f ca="1">IFERROR(__xludf.DUMMYFUNCTION("""COMPUTED_VALUE"""),30.99)</f>
        <v>30.99</v>
      </c>
      <c r="BA12" s="3">
        <f ca="1">IFERROR(__xludf.DUMMYFUNCTION("""COMPUTED_VALUE"""),31.03)</f>
        <v>31.03</v>
      </c>
      <c r="BB12" s="3">
        <f ca="1">IFERROR(__xludf.DUMMYFUNCTION("""COMPUTED_VALUE"""),3240)</f>
        <v>3240</v>
      </c>
      <c r="BC12" s="4">
        <f ca="1">IFERROR(__xludf.DUMMYFUNCTION("""COMPUTED_VALUE"""),42142.6666666666)</f>
        <v>42142.666666666599</v>
      </c>
      <c r="BD12" s="3">
        <f ca="1">IFERROR(__xludf.DUMMYFUNCTION("""COMPUTED_VALUE"""),43.25)</f>
        <v>43.25</v>
      </c>
      <c r="BE12" s="3">
        <f ca="1">IFERROR(__xludf.DUMMYFUNCTION("""COMPUTED_VALUE"""),43.6)</f>
        <v>43.6</v>
      </c>
      <c r="BF12" s="3">
        <f ca="1">IFERROR(__xludf.DUMMYFUNCTION("""COMPUTED_VALUE"""),43.19)</f>
        <v>43.19</v>
      </c>
      <c r="BG12" s="3">
        <f ca="1">IFERROR(__xludf.DUMMYFUNCTION("""COMPUTED_VALUE"""),43.52)</f>
        <v>43.52</v>
      </c>
      <c r="BH12" s="3">
        <f ca="1">IFERROR(__xludf.DUMMYFUNCTION("""COMPUTED_VALUE"""),3393310)</f>
        <v>3393310</v>
      </c>
      <c r="BI12" s="4">
        <f ca="1">IFERROR(__xludf.DUMMYFUNCTION("""COMPUTED_VALUE"""),42142.6666666666)</f>
        <v>42142.666666666599</v>
      </c>
      <c r="BJ12" s="3">
        <f ca="1">IFERROR(__xludf.DUMMYFUNCTION("""COMPUTED_VALUE"""),44.1)</f>
        <v>44.1</v>
      </c>
      <c r="BK12" s="3">
        <f ca="1">IFERROR(__xludf.DUMMYFUNCTION("""COMPUTED_VALUE"""),44.57)</f>
        <v>44.57</v>
      </c>
      <c r="BL12" s="3">
        <f ca="1">IFERROR(__xludf.DUMMYFUNCTION("""COMPUTED_VALUE"""),44.1)</f>
        <v>44.1</v>
      </c>
      <c r="BM12" s="3">
        <f ca="1">IFERROR(__xludf.DUMMYFUNCTION("""COMPUTED_VALUE"""),44.49)</f>
        <v>44.49</v>
      </c>
      <c r="BN12" s="3">
        <f ca="1">IFERROR(__xludf.DUMMYFUNCTION("""COMPUTED_VALUE"""),10243631)</f>
        <v>10243631</v>
      </c>
    </row>
    <row r="13" spans="1:66" ht="15.75" customHeight="1" x14ac:dyDescent="0.15">
      <c r="G13" s="4">
        <f ca="1">IFERROR(__xludf.DUMMYFUNCTION("""COMPUTED_VALUE"""),42143.6666666666)</f>
        <v>42143.666666666599</v>
      </c>
      <c r="H13" s="3">
        <f ca="1">IFERROR(__xludf.DUMMYFUNCTION("""COMPUTED_VALUE"""),77.09)</f>
        <v>77.09</v>
      </c>
      <c r="I13" s="3">
        <f ca="1">IFERROR(__xludf.DUMMYFUNCTION("""COMPUTED_VALUE"""),77.25)</f>
        <v>77.25</v>
      </c>
      <c r="J13" s="3">
        <f ca="1">IFERROR(__xludf.DUMMYFUNCTION("""COMPUTED_VALUE"""),76.78)</f>
        <v>76.78</v>
      </c>
      <c r="K13" s="3">
        <f ca="1">IFERROR(__xludf.DUMMYFUNCTION("""COMPUTED_VALUE"""),76.86)</f>
        <v>76.86</v>
      </c>
      <c r="L13" s="3">
        <f ca="1">IFERROR(__xludf.DUMMYFUNCTION("""COMPUTED_VALUE"""),4645381)</f>
        <v>4645381</v>
      </c>
      <c r="M13" s="4">
        <f ca="1">IFERROR(__xludf.DUMMYFUNCTION("""COMPUTED_VALUE"""),42143.6666666666)</f>
        <v>42143.666666666599</v>
      </c>
      <c r="N13" s="3">
        <f ca="1">IFERROR(__xludf.DUMMYFUNCTION("""COMPUTED_VALUE"""),49.62)</f>
        <v>49.62</v>
      </c>
      <c r="O13" s="3">
        <f ca="1">IFERROR(__xludf.DUMMYFUNCTION("""COMPUTED_VALUE"""),49.62)</f>
        <v>49.62</v>
      </c>
      <c r="P13" s="3">
        <f ca="1">IFERROR(__xludf.DUMMYFUNCTION("""COMPUTED_VALUE"""),49.3)</f>
        <v>49.3</v>
      </c>
      <c r="Q13" s="3">
        <f ca="1">IFERROR(__xludf.DUMMYFUNCTION("""COMPUTED_VALUE"""),49.46)</f>
        <v>49.46</v>
      </c>
      <c r="R13" s="3">
        <f ca="1">IFERROR(__xludf.DUMMYFUNCTION("""COMPUTED_VALUE"""),5157182)</f>
        <v>5157182</v>
      </c>
      <c r="S13" s="4">
        <f ca="1">IFERROR(__xludf.DUMMYFUNCTION("""COMPUTED_VALUE"""),42143.6666666666)</f>
        <v>42143.666666666599</v>
      </c>
      <c r="T13" s="3">
        <f ca="1">IFERROR(__xludf.DUMMYFUNCTION("""COMPUTED_VALUE"""),80.2)</f>
        <v>80.2</v>
      </c>
      <c r="U13" s="3">
        <f ca="1">IFERROR(__xludf.DUMMYFUNCTION("""COMPUTED_VALUE"""),80.28)</f>
        <v>80.28</v>
      </c>
      <c r="V13" s="3">
        <f ca="1">IFERROR(__xludf.DUMMYFUNCTION("""COMPUTED_VALUE"""),79.47)</f>
        <v>79.47</v>
      </c>
      <c r="W13" s="3">
        <f ca="1">IFERROR(__xludf.DUMMYFUNCTION("""COMPUTED_VALUE"""),79.59)</f>
        <v>79.59</v>
      </c>
      <c r="X13" s="3">
        <f ca="1">IFERROR(__xludf.DUMMYFUNCTION("""COMPUTED_VALUE"""),13919849)</f>
        <v>13919849</v>
      </c>
      <c r="Y13" s="4">
        <f ca="1">IFERROR(__xludf.DUMMYFUNCTION("""COMPUTED_VALUE"""),42143.6666666666)</f>
        <v>42143.666666666599</v>
      </c>
      <c r="Z13" s="3">
        <f ca="1">IFERROR(__xludf.DUMMYFUNCTION("""COMPUTED_VALUE"""),20.21)</f>
        <v>20.21</v>
      </c>
      <c r="AA13" s="3">
        <f ca="1">IFERROR(__xludf.DUMMYFUNCTION("""COMPUTED_VALUE"""),20.35)</f>
        <v>20.350000000000001</v>
      </c>
      <c r="AB13" s="3">
        <f ca="1">IFERROR(__xludf.DUMMYFUNCTION("""COMPUTED_VALUE"""),20.2)</f>
        <v>20.2</v>
      </c>
      <c r="AC13" s="3">
        <f ca="1">IFERROR(__xludf.DUMMYFUNCTION("""COMPUTED_VALUE"""),20.29)</f>
        <v>20.29</v>
      </c>
      <c r="AD13" s="3">
        <f ca="1">IFERROR(__xludf.DUMMYFUNCTION("""COMPUTED_VALUE"""),26411949)</f>
        <v>26411949</v>
      </c>
      <c r="AE13" s="4">
        <f ca="1">IFERROR(__xludf.DUMMYFUNCTION("""COMPUTED_VALUE"""),42143.6666666666)</f>
        <v>42143.666666666599</v>
      </c>
      <c r="AF13" s="3">
        <f ca="1">IFERROR(__xludf.DUMMYFUNCTION("""COMPUTED_VALUE"""),74.8)</f>
        <v>74.8</v>
      </c>
      <c r="AG13" s="3">
        <f ca="1">IFERROR(__xludf.DUMMYFUNCTION("""COMPUTED_VALUE"""),75.24)</f>
        <v>75.239999999999995</v>
      </c>
      <c r="AH13" s="3">
        <f ca="1">IFERROR(__xludf.DUMMYFUNCTION("""COMPUTED_VALUE"""),74.61)</f>
        <v>74.61</v>
      </c>
      <c r="AI13" s="3">
        <f ca="1">IFERROR(__xludf.DUMMYFUNCTION("""COMPUTED_VALUE"""),75.05)</f>
        <v>75.05</v>
      </c>
      <c r="AJ13" s="3">
        <f ca="1">IFERROR(__xludf.DUMMYFUNCTION("""COMPUTED_VALUE"""),5869169)</f>
        <v>5869169</v>
      </c>
      <c r="AK13" s="4">
        <f ca="1">IFERROR(__xludf.DUMMYFUNCTION("""COMPUTED_VALUE"""),42143.6666666666)</f>
        <v>42143.666666666599</v>
      </c>
      <c r="AL13" s="3">
        <f ca="1">IFERROR(__xludf.DUMMYFUNCTION("""COMPUTED_VALUE"""),57.01)</f>
        <v>57.01</v>
      </c>
      <c r="AM13" s="3">
        <f ca="1">IFERROR(__xludf.DUMMYFUNCTION("""COMPUTED_VALUE"""),57.29)</f>
        <v>57.29</v>
      </c>
      <c r="AN13" s="3">
        <f ca="1">IFERROR(__xludf.DUMMYFUNCTION("""COMPUTED_VALUE"""),56.98)</f>
        <v>56.98</v>
      </c>
      <c r="AO13" s="3">
        <f ca="1">IFERROR(__xludf.DUMMYFUNCTION("""COMPUTED_VALUE"""),57.06)</f>
        <v>57.06</v>
      </c>
      <c r="AP13" s="3">
        <f ca="1">IFERROR(__xludf.DUMMYFUNCTION("""COMPUTED_VALUE"""),6186887)</f>
        <v>6186887</v>
      </c>
      <c r="AQ13" s="4">
        <f ca="1">IFERROR(__xludf.DUMMYFUNCTION("""COMPUTED_VALUE"""),42143.6666666666)</f>
        <v>42143.666666666599</v>
      </c>
      <c r="AR13" s="3">
        <f ca="1">IFERROR(__xludf.DUMMYFUNCTION("""COMPUTED_VALUE"""),51.21)</f>
        <v>51.21</v>
      </c>
      <c r="AS13" s="3">
        <f ca="1">IFERROR(__xludf.DUMMYFUNCTION("""COMPUTED_VALUE"""),51.3)</f>
        <v>51.3</v>
      </c>
      <c r="AT13" s="3">
        <f ca="1">IFERROR(__xludf.DUMMYFUNCTION("""COMPUTED_VALUE"""),50.88)</f>
        <v>50.88</v>
      </c>
      <c r="AU13" s="3">
        <f ca="1">IFERROR(__xludf.DUMMYFUNCTION("""COMPUTED_VALUE"""),51.03)</f>
        <v>51.03</v>
      </c>
      <c r="AV13" s="3">
        <f ca="1">IFERROR(__xludf.DUMMYFUNCTION("""COMPUTED_VALUE"""),2714466)</f>
        <v>2714466</v>
      </c>
      <c r="AW13" s="4">
        <f ca="1">IFERROR(__xludf.DUMMYFUNCTION("""COMPUTED_VALUE"""),42298.6666666666)</f>
        <v>42298.666666666599</v>
      </c>
      <c r="AX13" s="3">
        <f ca="1">IFERROR(__xludf.DUMMYFUNCTION("""COMPUTED_VALUE"""),31.06)</f>
        <v>31.06</v>
      </c>
      <c r="AY13" s="3">
        <f ca="1">IFERROR(__xludf.DUMMYFUNCTION("""COMPUTED_VALUE"""),31.06)</f>
        <v>31.06</v>
      </c>
      <c r="AZ13" s="3">
        <f ca="1">IFERROR(__xludf.DUMMYFUNCTION("""COMPUTED_VALUE"""),31.06)</f>
        <v>31.06</v>
      </c>
      <c r="BA13" s="3">
        <f ca="1">IFERROR(__xludf.DUMMYFUNCTION("""COMPUTED_VALUE"""),31.06)</f>
        <v>31.06</v>
      </c>
      <c r="BB13" s="3">
        <f ca="1">IFERROR(__xludf.DUMMYFUNCTION("""COMPUTED_VALUE"""),400)</f>
        <v>400</v>
      </c>
      <c r="BC13" s="4">
        <f ca="1">IFERROR(__xludf.DUMMYFUNCTION("""COMPUTED_VALUE"""),42143.6666666666)</f>
        <v>42143.666666666599</v>
      </c>
      <c r="BD13" s="3">
        <f ca="1">IFERROR(__xludf.DUMMYFUNCTION("""COMPUTED_VALUE"""),43.57)</f>
        <v>43.57</v>
      </c>
      <c r="BE13" s="3">
        <f ca="1">IFERROR(__xludf.DUMMYFUNCTION("""COMPUTED_VALUE"""),43.62)</f>
        <v>43.62</v>
      </c>
      <c r="BF13" s="3">
        <f ca="1">IFERROR(__xludf.DUMMYFUNCTION("""COMPUTED_VALUE"""),43.36)</f>
        <v>43.36</v>
      </c>
      <c r="BG13" s="3">
        <f ca="1">IFERROR(__xludf.DUMMYFUNCTION("""COMPUTED_VALUE"""),43.41)</f>
        <v>43.41</v>
      </c>
      <c r="BH13" s="3">
        <f ca="1">IFERROR(__xludf.DUMMYFUNCTION("""COMPUTED_VALUE"""),4565385)</f>
        <v>4565385</v>
      </c>
      <c r="BI13" s="4">
        <f ca="1">IFERROR(__xludf.DUMMYFUNCTION("""COMPUTED_VALUE"""),42143.6666666666)</f>
        <v>42143.666666666599</v>
      </c>
      <c r="BJ13" s="3">
        <f ca="1">IFERROR(__xludf.DUMMYFUNCTION("""COMPUTED_VALUE"""),44.29)</f>
        <v>44.29</v>
      </c>
      <c r="BK13" s="3">
        <f ca="1">IFERROR(__xludf.DUMMYFUNCTION("""COMPUTED_VALUE"""),44.7)</f>
        <v>44.7</v>
      </c>
      <c r="BL13" s="3">
        <f ca="1">IFERROR(__xludf.DUMMYFUNCTION("""COMPUTED_VALUE"""),44.14)</f>
        <v>44.14</v>
      </c>
      <c r="BM13" s="3">
        <f ca="1">IFERROR(__xludf.DUMMYFUNCTION("""COMPUTED_VALUE"""),44.59)</f>
        <v>44.59</v>
      </c>
      <c r="BN13" s="3">
        <f ca="1">IFERROR(__xludf.DUMMYFUNCTION("""COMPUTED_VALUE"""),12908034)</f>
        <v>12908034</v>
      </c>
    </row>
    <row r="14" spans="1:66" ht="15.75" customHeight="1" x14ac:dyDescent="0.15">
      <c r="G14" s="4">
        <f ca="1">IFERROR(__xludf.DUMMYFUNCTION("""COMPUTED_VALUE"""),42144.6666666666)</f>
        <v>42144.666666666599</v>
      </c>
      <c r="H14" s="3">
        <f ca="1">IFERROR(__xludf.DUMMYFUNCTION("""COMPUTED_VALUE"""),76.87)</f>
        <v>76.87</v>
      </c>
      <c r="I14" s="3">
        <f ca="1">IFERROR(__xludf.DUMMYFUNCTION("""COMPUTED_VALUE"""),77.11)</f>
        <v>77.11</v>
      </c>
      <c r="J14" s="3">
        <f ca="1">IFERROR(__xludf.DUMMYFUNCTION("""COMPUTED_VALUE"""),76.5)</f>
        <v>76.5</v>
      </c>
      <c r="K14" s="3">
        <f ca="1">IFERROR(__xludf.DUMMYFUNCTION("""COMPUTED_VALUE"""),76.77)</f>
        <v>76.77</v>
      </c>
      <c r="L14" s="3">
        <f ca="1">IFERROR(__xludf.DUMMYFUNCTION("""COMPUTED_VALUE"""),7407751)</f>
        <v>7407751</v>
      </c>
      <c r="M14" s="4">
        <f ca="1">IFERROR(__xludf.DUMMYFUNCTION("""COMPUTED_VALUE"""),42144.6666666666)</f>
        <v>42144.666666666599</v>
      </c>
      <c r="N14" s="3">
        <f ca="1">IFERROR(__xludf.DUMMYFUNCTION("""COMPUTED_VALUE"""),49.39)</f>
        <v>49.39</v>
      </c>
      <c r="O14" s="3">
        <f ca="1">IFERROR(__xludf.DUMMYFUNCTION("""COMPUTED_VALUE"""),49.59)</f>
        <v>49.59</v>
      </c>
      <c r="P14" s="3">
        <f ca="1">IFERROR(__xludf.DUMMYFUNCTION("""COMPUTED_VALUE"""),49.35)</f>
        <v>49.35</v>
      </c>
      <c r="Q14" s="3">
        <f ca="1">IFERROR(__xludf.DUMMYFUNCTION("""COMPUTED_VALUE"""),49.35)</f>
        <v>49.35</v>
      </c>
      <c r="R14" s="3">
        <f ca="1">IFERROR(__xludf.DUMMYFUNCTION("""COMPUTED_VALUE"""),5463241)</f>
        <v>5463241</v>
      </c>
      <c r="S14" s="4">
        <f ca="1">IFERROR(__xludf.DUMMYFUNCTION("""COMPUTED_VALUE"""),42144.6666666666)</f>
        <v>42144.666666666599</v>
      </c>
      <c r="T14" s="3">
        <f ca="1">IFERROR(__xludf.DUMMYFUNCTION("""COMPUTED_VALUE"""),79.87)</f>
        <v>79.87</v>
      </c>
      <c r="U14" s="3">
        <f ca="1">IFERROR(__xludf.DUMMYFUNCTION("""COMPUTED_VALUE"""),80)</f>
        <v>80</v>
      </c>
      <c r="V14" s="3">
        <f ca="1">IFERROR(__xludf.DUMMYFUNCTION("""COMPUTED_VALUE"""),79.28)</f>
        <v>79.28</v>
      </c>
      <c r="W14" s="3">
        <f ca="1">IFERROR(__xludf.DUMMYFUNCTION("""COMPUTED_VALUE"""),79.74)</f>
        <v>79.739999999999995</v>
      </c>
      <c r="X14" s="3">
        <f ca="1">IFERROR(__xludf.DUMMYFUNCTION("""COMPUTED_VALUE"""),12623812)</f>
        <v>12623812</v>
      </c>
      <c r="Y14" s="4">
        <f ca="1">IFERROR(__xludf.DUMMYFUNCTION("""COMPUTED_VALUE"""),42144.6666666666)</f>
        <v>42144.666666666599</v>
      </c>
      <c r="Z14" s="3">
        <f ca="1">IFERROR(__xludf.DUMMYFUNCTION("""COMPUTED_VALUE"""),20.33)</f>
        <v>20.329999999999998</v>
      </c>
      <c r="AA14" s="3">
        <f ca="1">IFERROR(__xludf.DUMMYFUNCTION("""COMPUTED_VALUE"""),20.33)</f>
        <v>20.329999999999998</v>
      </c>
      <c r="AB14" s="3">
        <f ca="1">IFERROR(__xludf.DUMMYFUNCTION("""COMPUTED_VALUE"""),20.2)</f>
        <v>20.2</v>
      </c>
      <c r="AC14" s="3">
        <f ca="1">IFERROR(__xludf.DUMMYFUNCTION("""COMPUTED_VALUE"""),20.23)</f>
        <v>20.23</v>
      </c>
      <c r="AD14" s="3">
        <f ca="1">IFERROR(__xludf.DUMMYFUNCTION("""COMPUTED_VALUE"""),30341356)</f>
        <v>30341356</v>
      </c>
      <c r="AE14" s="4">
        <f ca="1">IFERROR(__xludf.DUMMYFUNCTION("""COMPUTED_VALUE"""),42144.6666666666)</f>
        <v>42144.666666666599</v>
      </c>
      <c r="AF14" s="3">
        <f ca="1">IFERROR(__xludf.DUMMYFUNCTION("""COMPUTED_VALUE"""),75.18)</f>
        <v>75.180000000000007</v>
      </c>
      <c r="AG14" s="3">
        <f ca="1">IFERROR(__xludf.DUMMYFUNCTION("""COMPUTED_VALUE"""),75.47)</f>
        <v>75.47</v>
      </c>
      <c r="AH14" s="3">
        <f ca="1">IFERROR(__xludf.DUMMYFUNCTION("""COMPUTED_VALUE"""),74.85)</f>
        <v>74.849999999999994</v>
      </c>
      <c r="AI14" s="3">
        <f ca="1">IFERROR(__xludf.DUMMYFUNCTION("""COMPUTED_VALUE"""),75.15)</f>
        <v>75.150000000000006</v>
      </c>
      <c r="AJ14" s="3">
        <f ca="1">IFERROR(__xludf.DUMMYFUNCTION("""COMPUTED_VALUE"""),10577011)</f>
        <v>10577011</v>
      </c>
      <c r="AK14" s="4">
        <f ca="1">IFERROR(__xludf.DUMMYFUNCTION("""COMPUTED_VALUE"""),42144.6666666666)</f>
        <v>42144.666666666599</v>
      </c>
      <c r="AL14" s="3">
        <f ca="1">IFERROR(__xludf.DUMMYFUNCTION("""COMPUTED_VALUE"""),57.1)</f>
        <v>57.1</v>
      </c>
      <c r="AM14" s="3">
        <f ca="1">IFERROR(__xludf.DUMMYFUNCTION("""COMPUTED_VALUE"""),57.13)</f>
        <v>57.13</v>
      </c>
      <c r="AN14" s="3">
        <f ca="1">IFERROR(__xludf.DUMMYFUNCTION("""COMPUTED_VALUE"""),56.76)</f>
        <v>56.76</v>
      </c>
      <c r="AO14" s="3">
        <f ca="1">IFERROR(__xludf.DUMMYFUNCTION("""COMPUTED_VALUE"""),56.85)</f>
        <v>56.85</v>
      </c>
      <c r="AP14" s="3">
        <f ca="1">IFERROR(__xludf.DUMMYFUNCTION("""COMPUTED_VALUE"""),7064403)</f>
        <v>7064403</v>
      </c>
      <c r="AQ14" s="4">
        <f ca="1">IFERROR(__xludf.DUMMYFUNCTION("""COMPUTED_VALUE"""),42144.6666666666)</f>
        <v>42144.666666666599</v>
      </c>
      <c r="AR14" s="3">
        <f ca="1">IFERROR(__xludf.DUMMYFUNCTION("""COMPUTED_VALUE"""),51.12)</f>
        <v>51.12</v>
      </c>
      <c r="AS14" s="3">
        <f ca="1">IFERROR(__xludf.DUMMYFUNCTION("""COMPUTED_VALUE"""),51.17)</f>
        <v>51.17</v>
      </c>
      <c r="AT14" s="3">
        <f ca="1">IFERROR(__xludf.DUMMYFUNCTION("""COMPUTED_VALUE"""),50.87)</f>
        <v>50.87</v>
      </c>
      <c r="AU14" s="3">
        <f ca="1">IFERROR(__xludf.DUMMYFUNCTION("""COMPUTED_VALUE"""),51)</f>
        <v>51</v>
      </c>
      <c r="AV14" s="3">
        <f ca="1">IFERROR(__xludf.DUMMYFUNCTION("""COMPUTED_VALUE"""),2203738)</f>
        <v>2203738</v>
      </c>
      <c r="AW14" s="4">
        <f ca="1">IFERROR(__xludf.DUMMYFUNCTION("""COMPUTED_VALUE"""),42299.6666666666)</f>
        <v>42299.666666666599</v>
      </c>
      <c r="AX14" s="3">
        <f ca="1">IFERROR(__xludf.DUMMYFUNCTION("""COMPUTED_VALUE"""),31.18)</f>
        <v>31.18</v>
      </c>
      <c r="AY14" s="3">
        <f ca="1">IFERROR(__xludf.DUMMYFUNCTION("""COMPUTED_VALUE"""),31.46)</f>
        <v>31.46</v>
      </c>
      <c r="AZ14" s="3">
        <f ca="1">IFERROR(__xludf.DUMMYFUNCTION("""COMPUTED_VALUE"""),31.18)</f>
        <v>31.18</v>
      </c>
      <c r="BA14" s="3">
        <f ca="1">IFERROR(__xludf.DUMMYFUNCTION("""COMPUTED_VALUE"""),31.45)</f>
        <v>31.45</v>
      </c>
      <c r="BB14" s="3">
        <f ca="1">IFERROR(__xludf.DUMMYFUNCTION("""COMPUTED_VALUE"""),2180)</f>
        <v>2180</v>
      </c>
      <c r="BC14" s="4">
        <f ca="1">IFERROR(__xludf.DUMMYFUNCTION("""COMPUTED_VALUE"""),42144.6666666666)</f>
        <v>42144.666666666599</v>
      </c>
      <c r="BD14" s="3">
        <f ca="1">IFERROR(__xludf.DUMMYFUNCTION("""COMPUTED_VALUE"""),43.44)</f>
        <v>43.44</v>
      </c>
      <c r="BE14" s="3">
        <f ca="1">IFERROR(__xludf.DUMMYFUNCTION("""COMPUTED_VALUE"""),43.67)</f>
        <v>43.67</v>
      </c>
      <c r="BF14" s="3">
        <f ca="1">IFERROR(__xludf.DUMMYFUNCTION("""COMPUTED_VALUE"""),43.28)</f>
        <v>43.28</v>
      </c>
      <c r="BG14" s="3">
        <f ca="1">IFERROR(__xludf.DUMMYFUNCTION("""COMPUTED_VALUE"""),43.44)</f>
        <v>43.44</v>
      </c>
      <c r="BH14" s="3">
        <f ca="1">IFERROR(__xludf.DUMMYFUNCTION("""COMPUTED_VALUE"""),11010945)</f>
        <v>11010945</v>
      </c>
      <c r="BI14" s="4">
        <f ca="1">IFERROR(__xludf.DUMMYFUNCTION("""COMPUTED_VALUE"""),42144.6666666666)</f>
        <v>42144.666666666599</v>
      </c>
      <c r="BJ14" s="3">
        <f ca="1">IFERROR(__xludf.DUMMYFUNCTION("""COMPUTED_VALUE"""),44.59)</f>
        <v>44.59</v>
      </c>
      <c r="BK14" s="3">
        <f ca="1">IFERROR(__xludf.DUMMYFUNCTION("""COMPUTED_VALUE"""),44.98)</f>
        <v>44.98</v>
      </c>
      <c r="BL14" s="3">
        <f ca="1">IFERROR(__xludf.DUMMYFUNCTION("""COMPUTED_VALUE"""),44.49)</f>
        <v>44.49</v>
      </c>
      <c r="BM14" s="3">
        <f ca="1">IFERROR(__xludf.DUMMYFUNCTION("""COMPUTED_VALUE"""),44.66)</f>
        <v>44.66</v>
      </c>
      <c r="BN14" s="3">
        <f ca="1">IFERROR(__xludf.DUMMYFUNCTION("""COMPUTED_VALUE"""),9068664)</f>
        <v>9068664</v>
      </c>
    </row>
    <row r="15" spans="1:66" ht="15.75" customHeight="1" x14ac:dyDescent="0.15">
      <c r="G15" s="4">
        <f ca="1">IFERROR(__xludf.DUMMYFUNCTION("""COMPUTED_VALUE"""),42145.6666666666)</f>
        <v>42145.666666666599</v>
      </c>
      <c r="H15" s="3">
        <f ca="1">IFERROR(__xludf.DUMMYFUNCTION("""COMPUTED_VALUE"""),76.6)</f>
        <v>76.599999999999994</v>
      </c>
      <c r="I15" s="3">
        <f ca="1">IFERROR(__xludf.DUMMYFUNCTION("""COMPUTED_VALUE"""),77.24)</f>
        <v>77.239999999999995</v>
      </c>
      <c r="J15" s="3">
        <f ca="1">IFERROR(__xludf.DUMMYFUNCTION("""COMPUTED_VALUE"""),76.6)</f>
        <v>76.599999999999994</v>
      </c>
      <c r="K15" s="3">
        <f ca="1">IFERROR(__xludf.DUMMYFUNCTION("""COMPUTED_VALUE"""),77.07)</f>
        <v>77.069999999999993</v>
      </c>
      <c r="L15" s="3">
        <f ca="1">IFERROR(__xludf.DUMMYFUNCTION("""COMPUTED_VALUE"""),2930361)</f>
        <v>2930361</v>
      </c>
      <c r="M15" s="4">
        <f ca="1">IFERROR(__xludf.DUMMYFUNCTION("""COMPUTED_VALUE"""),42145.6666666666)</f>
        <v>42145.666666666599</v>
      </c>
      <c r="N15" s="3">
        <f ca="1">IFERROR(__xludf.DUMMYFUNCTION("""COMPUTED_VALUE"""),49.36)</f>
        <v>49.36</v>
      </c>
      <c r="O15" s="3">
        <f ca="1">IFERROR(__xludf.DUMMYFUNCTION("""COMPUTED_VALUE"""),49.52)</f>
        <v>49.52</v>
      </c>
      <c r="P15" s="3">
        <f ca="1">IFERROR(__xludf.DUMMYFUNCTION("""COMPUTED_VALUE"""),49.19)</f>
        <v>49.19</v>
      </c>
      <c r="Q15" s="3">
        <f ca="1">IFERROR(__xludf.DUMMYFUNCTION("""COMPUTED_VALUE"""),49.46)</f>
        <v>49.46</v>
      </c>
      <c r="R15" s="3">
        <f ca="1">IFERROR(__xludf.DUMMYFUNCTION("""COMPUTED_VALUE"""),4313587)</f>
        <v>4313587</v>
      </c>
      <c r="S15" s="4">
        <f ca="1">IFERROR(__xludf.DUMMYFUNCTION("""COMPUTED_VALUE"""),42145.6666666666)</f>
        <v>42145.666666666599</v>
      </c>
      <c r="T15" s="3">
        <f ca="1">IFERROR(__xludf.DUMMYFUNCTION("""COMPUTED_VALUE"""),80.19)</f>
        <v>80.19</v>
      </c>
      <c r="U15" s="3">
        <f ca="1">IFERROR(__xludf.DUMMYFUNCTION("""COMPUTED_VALUE"""),80.61)</f>
        <v>80.61</v>
      </c>
      <c r="V15" s="3">
        <f ca="1">IFERROR(__xludf.DUMMYFUNCTION("""COMPUTED_VALUE"""),79.9)</f>
        <v>79.900000000000006</v>
      </c>
      <c r="W15" s="3">
        <f ca="1">IFERROR(__xludf.DUMMYFUNCTION("""COMPUTED_VALUE"""),80.49)</f>
        <v>80.489999999999995</v>
      </c>
      <c r="X15" s="3">
        <f ca="1">IFERROR(__xludf.DUMMYFUNCTION("""COMPUTED_VALUE"""),10087322)</f>
        <v>10087322</v>
      </c>
      <c r="Y15" s="4">
        <f ca="1">IFERROR(__xludf.DUMMYFUNCTION("""COMPUTED_VALUE"""),42145.6666666666)</f>
        <v>42145.666666666599</v>
      </c>
      <c r="Z15" s="3">
        <f ca="1">IFERROR(__xludf.DUMMYFUNCTION("""COMPUTED_VALUE"""),20.19)</f>
        <v>20.190000000000001</v>
      </c>
      <c r="AA15" s="3">
        <f ca="1">IFERROR(__xludf.DUMMYFUNCTION("""COMPUTED_VALUE"""),20.23)</f>
        <v>20.23</v>
      </c>
      <c r="AB15" s="3">
        <f ca="1">IFERROR(__xludf.DUMMYFUNCTION("""COMPUTED_VALUE"""),20.16)</f>
        <v>20.16</v>
      </c>
      <c r="AC15" s="3">
        <f ca="1">IFERROR(__xludf.DUMMYFUNCTION("""COMPUTED_VALUE"""),20.18)</f>
        <v>20.18</v>
      </c>
      <c r="AD15" s="3">
        <f ca="1">IFERROR(__xludf.DUMMYFUNCTION("""COMPUTED_VALUE"""),18823828)</f>
        <v>18823828</v>
      </c>
      <c r="AE15" s="4">
        <f ca="1">IFERROR(__xludf.DUMMYFUNCTION("""COMPUTED_VALUE"""),42145.6666666666)</f>
        <v>42145.666666666599</v>
      </c>
      <c r="AF15" s="3">
        <f ca="1">IFERROR(__xludf.DUMMYFUNCTION("""COMPUTED_VALUE"""),75.13)</f>
        <v>75.13</v>
      </c>
      <c r="AG15" s="3">
        <f ca="1">IFERROR(__xludf.DUMMYFUNCTION("""COMPUTED_VALUE"""),75.24)</f>
        <v>75.239999999999995</v>
      </c>
      <c r="AH15" s="3">
        <f ca="1">IFERROR(__xludf.DUMMYFUNCTION("""COMPUTED_VALUE"""),74.88)</f>
        <v>74.88</v>
      </c>
      <c r="AI15" s="3">
        <f ca="1">IFERROR(__xludf.DUMMYFUNCTION("""COMPUTED_VALUE"""),75.16)</f>
        <v>75.16</v>
      </c>
      <c r="AJ15" s="3">
        <f ca="1">IFERROR(__xludf.DUMMYFUNCTION("""COMPUTED_VALUE"""),4537941)</f>
        <v>4537941</v>
      </c>
      <c r="AK15" s="4">
        <f ca="1">IFERROR(__xludf.DUMMYFUNCTION("""COMPUTED_VALUE"""),42145.6666666666)</f>
        <v>42145.666666666599</v>
      </c>
      <c r="AL15" s="3">
        <f ca="1">IFERROR(__xludf.DUMMYFUNCTION("""COMPUTED_VALUE"""),56.78)</f>
        <v>56.78</v>
      </c>
      <c r="AM15" s="3">
        <f ca="1">IFERROR(__xludf.DUMMYFUNCTION("""COMPUTED_VALUE"""),57.28)</f>
        <v>57.28</v>
      </c>
      <c r="AN15" s="3">
        <f ca="1">IFERROR(__xludf.DUMMYFUNCTION("""COMPUTED_VALUE"""),56.78)</f>
        <v>56.78</v>
      </c>
      <c r="AO15" s="3">
        <f ca="1">IFERROR(__xludf.DUMMYFUNCTION("""COMPUTED_VALUE"""),57.16)</f>
        <v>57.16</v>
      </c>
      <c r="AP15" s="3">
        <f ca="1">IFERROR(__xludf.DUMMYFUNCTION("""COMPUTED_VALUE"""),6276681)</f>
        <v>6276681</v>
      </c>
      <c r="AQ15" s="4">
        <f ca="1">IFERROR(__xludf.DUMMYFUNCTION("""COMPUTED_VALUE"""),42145.6666666666)</f>
        <v>42145.666666666599</v>
      </c>
      <c r="AR15" s="3">
        <f ca="1">IFERROR(__xludf.DUMMYFUNCTION("""COMPUTED_VALUE"""),51.02)</f>
        <v>51.02</v>
      </c>
      <c r="AS15" s="3">
        <f ca="1">IFERROR(__xludf.DUMMYFUNCTION("""COMPUTED_VALUE"""),51.29)</f>
        <v>51.29</v>
      </c>
      <c r="AT15" s="3">
        <f ca="1">IFERROR(__xludf.DUMMYFUNCTION("""COMPUTED_VALUE"""),50.87)</f>
        <v>50.87</v>
      </c>
      <c r="AU15" s="3">
        <f ca="1">IFERROR(__xludf.DUMMYFUNCTION("""COMPUTED_VALUE"""),51.18)</f>
        <v>51.18</v>
      </c>
      <c r="AV15" s="3">
        <f ca="1">IFERROR(__xludf.DUMMYFUNCTION("""COMPUTED_VALUE"""),1909403)</f>
        <v>1909403</v>
      </c>
      <c r="AW15" s="4">
        <f ca="1">IFERROR(__xludf.DUMMYFUNCTION("""COMPUTED_VALUE"""),42300.6666666666)</f>
        <v>42300.666666666599</v>
      </c>
      <c r="AX15" s="3">
        <f ca="1">IFERROR(__xludf.DUMMYFUNCTION("""COMPUTED_VALUE"""),31.05)</f>
        <v>31.05</v>
      </c>
      <c r="AY15" s="3">
        <f ca="1">IFERROR(__xludf.DUMMYFUNCTION("""COMPUTED_VALUE"""),31.07)</f>
        <v>31.07</v>
      </c>
      <c r="AZ15" s="3">
        <f ca="1">IFERROR(__xludf.DUMMYFUNCTION("""COMPUTED_VALUE"""),30.94)</f>
        <v>30.94</v>
      </c>
      <c r="BA15" s="3">
        <f ca="1">IFERROR(__xludf.DUMMYFUNCTION("""COMPUTED_VALUE"""),31.07)</f>
        <v>31.07</v>
      </c>
      <c r="BB15" s="3">
        <f ca="1">IFERROR(__xludf.DUMMYFUNCTION("""COMPUTED_VALUE"""),3548)</f>
        <v>3548</v>
      </c>
      <c r="BC15" s="4">
        <f ca="1">IFERROR(__xludf.DUMMYFUNCTION("""COMPUTED_VALUE"""),42145.6666666666)</f>
        <v>42145.666666666599</v>
      </c>
      <c r="BD15" s="3">
        <f ca="1">IFERROR(__xludf.DUMMYFUNCTION("""COMPUTED_VALUE"""),43.38)</f>
        <v>43.38</v>
      </c>
      <c r="BE15" s="3">
        <f ca="1">IFERROR(__xludf.DUMMYFUNCTION("""COMPUTED_VALUE"""),43.68)</f>
        <v>43.68</v>
      </c>
      <c r="BF15" s="3">
        <f ca="1">IFERROR(__xludf.DUMMYFUNCTION("""COMPUTED_VALUE"""),43.33)</f>
        <v>43.33</v>
      </c>
      <c r="BG15" s="3">
        <f ca="1">IFERROR(__xludf.DUMMYFUNCTION("""COMPUTED_VALUE"""),43.63)</f>
        <v>43.63</v>
      </c>
      <c r="BH15" s="3">
        <f ca="1">IFERROR(__xludf.DUMMYFUNCTION("""COMPUTED_VALUE"""),3713121)</f>
        <v>3713121</v>
      </c>
      <c r="BI15" s="4">
        <f ca="1">IFERROR(__xludf.DUMMYFUNCTION("""COMPUTED_VALUE"""),42145.6666666666)</f>
        <v>42145.666666666599</v>
      </c>
      <c r="BJ15" s="3">
        <f ca="1">IFERROR(__xludf.DUMMYFUNCTION("""COMPUTED_VALUE"""),44.77)</f>
        <v>44.77</v>
      </c>
      <c r="BK15" s="3">
        <f ca="1">IFERROR(__xludf.DUMMYFUNCTION("""COMPUTED_VALUE"""),44.82)</f>
        <v>44.82</v>
      </c>
      <c r="BL15" s="3">
        <f ca="1">IFERROR(__xludf.DUMMYFUNCTION("""COMPUTED_VALUE"""),44.43)</f>
        <v>44.43</v>
      </c>
      <c r="BM15" s="3">
        <f ca="1">IFERROR(__xludf.DUMMYFUNCTION("""COMPUTED_VALUE"""),44.64)</f>
        <v>44.64</v>
      </c>
      <c r="BN15" s="3">
        <f ca="1">IFERROR(__xludf.DUMMYFUNCTION("""COMPUTED_VALUE"""),8062554)</f>
        <v>8062554</v>
      </c>
    </row>
    <row r="16" spans="1:66" ht="15.75" customHeight="1" x14ac:dyDescent="0.15">
      <c r="G16" s="4">
        <f ca="1">IFERROR(__xludf.DUMMYFUNCTION("""COMPUTED_VALUE"""),42146.6666666666)</f>
        <v>42146.666666666599</v>
      </c>
      <c r="H16" s="3">
        <f ca="1">IFERROR(__xludf.DUMMYFUNCTION("""COMPUTED_VALUE"""),77.06)</f>
        <v>77.06</v>
      </c>
      <c r="I16" s="3">
        <f ca="1">IFERROR(__xludf.DUMMYFUNCTION("""COMPUTED_VALUE"""),77.23)</f>
        <v>77.23</v>
      </c>
      <c r="J16" s="3">
        <f ca="1">IFERROR(__xludf.DUMMYFUNCTION("""COMPUTED_VALUE"""),76.81)</f>
        <v>76.81</v>
      </c>
      <c r="K16" s="3">
        <f ca="1">IFERROR(__xludf.DUMMYFUNCTION("""COMPUTED_VALUE"""),76.94)</f>
        <v>76.94</v>
      </c>
      <c r="L16" s="3">
        <f ca="1">IFERROR(__xludf.DUMMYFUNCTION("""COMPUTED_VALUE"""),2963763)</f>
        <v>2963763</v>
      </c>
      <c r="M16" s="4">
        <f ca="1">IFERROR(__xludf.DUMMYFUNCTION("""COMPUTED_VALUE"""),42146.6666666666)</f>
        <v>42146.666666666599</v>
      </c>
      <c r="N16" s="3">
        <f ca="1">IFERROR(__xludf.DUMMYFUNCTION("""COMPUTED_VALUE"""),49.23)</f>
        <v>49.23</v>
      </c>
      <c r="O16" s="3">
        <f ca="1">IFERROR(__xludf.DUMMYFUNCTION("""COMPUTED_VALUE"""),49.4)</f>
        <v>49.4</v>
      </c>
      <c r="P16" s="3">
        <f ca="1">IFERROR(__xludf.DUMMYFUNCTION("""COMPUTED_VALUE"""),49.22)</f>
        <v>49.22</v>
      </c>
      <c r="Q16" s="3">
        <f ca="1">IFERROR(__xludf.DUMMYFUNCTION("""COMPUTED_VALUE"""),49.25)</f>
        <v>49.25</v>
      </c>
      <c r="R16" s="3">
        <f ca="1">IFERROR(__xludf.DUMMYFUNCTION("""COMPUTED_VALUE"""),5336919)</f>
        <v>5336919</v>
      </c>
      <c r="S16" s="4">
        <f ca="1">IFERROR(__xludf.DUMMYFUNCTION("""COMPUTED_VALUE"""),42146.6666666666)</f>
        <v>42146.666666666599</v>
      </c>
      <c r="T16" s="3">
        <f ca="1">IFERROR(__xludf.DUMMYFUNCTION("""COMPUTED_VALUE"""),79.94)</f>
        <v>79.94</v>
      </c>
      <c r="U16" s="3">
        <f ca="1">IFERROR(__xludf.DUMMYFUNCTION("""COMPUTED_VALUE"""),80.56)</f>
        <v>80.56</v>
      </c>
      <c r="V16" s="3">
        <f ca="1">IFERROR(__xludf.DUMMYFUNCTION("""COMPUTED_VALUE"""),79.79)</f>
        <v>79.790000000000006</v>
      </c>
      <c r="W16" s="3">
        <f ca="1">IFERROR(__xludf.DUMMYFUNCTION("""COMPUTED_VALUE"""),80.2)</f>
        <v>80.2</v>
      </c>
      <c r="X16" s="3">
        <f ca="1">IFERROR(__xludf.DUMMYFUNCTION("""COMPUTED_VALUE"""),6360710)</f>
        <v>6360710</v>
      </c>
      <c r="Y16" s="4">
        <f ca="1">IFERROR(__xludf.DUMMYFUNCTION("""COMPUTED_VALUE"""),42146.6666666666)</f>
        <v>42146.666666666599</v>
      </c>
      <c r="Z16" s="3">
        <f ca="1">IFERROR(__xludf.DUMMYFUNCTION("""COMPUTED_VALUE"""),20.14)</f>
        <v>20.14</v>
      </c>
      <c r="AA16" s="3">
        <f ca="1">IFERROR(__xludf.DUMMYFUNCTION("""COMPUTED_VALUE"""),20.24)</f>
        <v>20.239999999999998</v>
      </c>
      <c r="AB16" s="3">
        <f ca="1">IFERROR(__xludf.DUMMYFUNCTION("""COMPUTED_VALUE"""),20.14)</f>
        <v>20.14</v>
      </c>
      <c r="AC16" s="3">
        <f ca="1">IFERROR(__xludf.DUMMYFUNCTION("""COMPUTED_VALUE"""),20.19)</f>
        <v>20.190000000000001</v>
      </c>
      <c r="AD16" s="3">
        <f ca="1">IFERROR(__xludf.DUMMYFUNCTION("""COMPUTED_VALUE"""),13185958)</f>
        <v>13185958</v>
      </c>
      <c r="AE16" s="4">
        <f ca="1">IFERROR(__xludf.DUMMYFUNCTION("""COMPUTED_VALUE"""),42146.6666666666)</f>
        <v>42146.666666666599</v>
      </c>
      <c r="AF16" s="3">
        <f ca="1">IFERROR(__xludf.DUMMYFUNCTION("""COMPUTED_VALUE"""),75.03)</f>
        <v>75.03</v>
      </c>
      <c r="AG16" s="3">
        <f ca="1">IFERROR(__xludf.DUMMYFUNCTION("""COMPUTED_VALUE"""),75.34)</f>
        <v>75.34</v>
      </c>
      <c r="AH16" s="3">
        <f ca="1">IFERROR(__xludf.DUMMYFUNCTION("""COMPUTED_VALUE"""),74.92)</f>
        <v>74.92</v>
      </c>
      <c r="AI16" s="3">
        <f ca="1">IFERROR(__xludf.DUMMYFUNCTION("""COMPUTED_VALUE"""),74.98)</f>
        <v>74.98</v>
      </c>
      <c r="AJ16" s="3">
        <f ca="1">IFERROR(__xludf.DUMMYFUNCTION("""COMPUTED_VALUE"""),4612315)</f>
        <v>4612315</v>
      </c>
      <c r="AK16" s="4">
        <f ca="1">IFERROR(__xludf.DUMMYFUNCTION("""COMPUTED_VALUE"""),42146.6666666666)</f>
        <v>42146.666666666599</v>
      </c>
      <c r="AL16" s="3">
        <f ca="1">IFERROR(__xludf.DUMMYFUNCTION("""COMPUTED_VALUE"""),57.13)</f>
        <v>57.13</v>
      </c>
      <c r="AM16" s="3">
        <f ca="1">IFERROR(__xludf.DUMMYFUNCTION("""COMPUTED_VALUE"""),57.19)</f>
        <v>57.19</v>
      </c>
      <c r="AN16" s="3">
        <f ca="1">IFERROR(__xludf.DUMMYFUNCTION("""COMPUTED_VALUE"""),56.88)</f>
        <v>56.88</v>
      </c>
      <c r="AO16" s="3">
        <f ca="1">IFERROR(__xludf.DUMMYFUNCTION("""COMPUTED_VALUE"""),56.9)</f>
        <v>56.9</v>
      </c>
      <c r="AP16" s="3">
        <f ca="1">IFERROR(__xludf.DUMMYFUNCTION("""COMPUTED_VALUE"""),5835258)</f>
        <v>5835258</v>
      </c>
      <c r="AQ16" s="4">
        <f ca="1">IFERROR(__xludf.DUMMYFUNCTION("""COMPUTED_VALUE"""),42146.6666666666)</f>
        <v>42146.666666666599</v>
      </c>
      <c r="AR16" s="3">
        <f ca="1">IFERROR(__xludf.DUMMYFUNCTION("""COMPUTED_VALUE"""),51.15)</f>
        <v>51.15</v>
      </c>
      <c r="AS16" s="3">
        <f ca="1">IFERROR(__xludf.DUMMYFUNCTION("""COMPUTED_VALUE"""),51.22)</f>
        <v>51.22</v>
      </c>
      <c r="AT16" s="3">
        <f ca="1">IFERROR(__xludf.DUMMYFUNCTION("""COMPUTED_VALUE"""),51.03)</f>
        <v>51.03</v>
      </c>
      <c r="AU16" s="3">
        <f ca="1">IFERROR(__xludf.DUMMYFUNCTION("""COMPUTED_VALUE"""),51.12)</f>
        <v>51.12</v>
      </c>
      <c r="AV16" s="3">
        <f ca="1">IFERROR(__xludf.DUMMYFUNCTION("""COMPUTED_VALUE"""),1754534)</f>
        <v>1754534</v>
      </c>
      <c r="AW16" s="4">
        <f ca="1">IFERROR(__xludf.DUMMYFUNCTION("""COMPUTED_VALUE"""),42303.6666666666)</f>
        <v>42303.666666666599</v>
      </c>
      <c r="AX16" s="3">
        <f ca="1">IFERROR(__xludf.DUMMYFUNCTION("""COMPUTED_VALUE"""),31.03)</f>
        <v>31.03</v>
      </c>
      <c r="AY16" s="3">
        <f ca="1">IFERROR(__xludf.DUMMYFUNCTION("""COMPUTED_VALUE"""),31.12)</f>
        <v>31.12</v>
      </c>
      <c r="AZ16" s="3">
        <f ca="1">IFERROR(__xludf.DUMMYFUNCTION("""COMPUTED_VALUE"""),31.03)</f>
        <v>31.03</v>
      </c>
      <c r="BA16" s="3">
        <f ca="1">IFERROR(__xludf.DUMMYFUNCTION("""COMPUTED_VALUE"""),31.11)</f>
        <v>31.11</v>
      </c>
      <c r="BB16" s="3">
        <f ca="1">IFERROR(__xludf.DUMMYFUNCTION("""COMPUTED_VALUE"""),576)</f>
        <v>576</v>
      </c>
      <c r="BC16" s="4">
        <f ca="1">IFERROR(__xludf.DUMMYFUNCTION("""COMPUTED_VALUE"""),42146.6666666666)</f>
        <v>42146.666666666599</v>
      </c>
      <c r="BD16" s="3">
        <f ca="1">IFERROR(__xludf.DUMMYFUNCTION("""COMPUTED_VALUE"""),43.49)</f>
        <v>43.49</v>
      </c>
      <c r="BE16" s="3">
        <f ca="1">IFERROR(__xludf.DUMMYFUNCTION("""COMPUTED_VALUE"""),43.71)</f>
        <v>43.71</v>
      </c>
      <c r="BF16" s="3">
        <f ca="1">IFERROR(__xludf.DUMMYFUNCTION("""COMPUTED_VALUE"""),43.49)</f>
        <v>43.49</v>
      </c>
      <c r="BG16" s="3">
        <f ca="1">IFERROR(__xludf.DUMMYFUNCTION("""COMPUTED_VALUE"""),43.6)</f>
        <v>43.6</v>
      </c>
      <c r="BH16" s="3">
        <f ca="1">IFERROR(__xludf.DUMMYFUNCTION("""COMPUTED_VALUE"""),3968539)</f>
        <v>3968539</v>
      </c>
      <c r="BI16" s="4">
        <f ca="1">IFERROR(__xludf.DUMMYFUNCTION("""COMPUTED_VALUE"""),42146.6666666666)</f>
        <v>42146.666666666599</v>
      </c>
      <c r="BJ16" s="3">
        <f ca="1">IFERROR(__xludf.DUMMYFUNCTION("""COMPUTED_VALUE"""),44.48)</f>
        <v>44.48</v>
      </c>
      <c r="BK16" s="3">
        <f ca="1">IFERROR(__xludf.DUMMYFUNCTION("""COMPUTED_VALUE"""),44.7)</f>
        <v>44.7</v>
      </c>
      <c r="BL16" s="3">
        <f ca="1">IFERROR(__xludf.DUMMYFUNCTION("""COMPUTED_VALUE"""),44.29)</f>
        <v>44.29</v>
      </c>
      <c r="BM16" s="3">
        <f ca="1">IFERROR(__xludf.DUMMYFUNCTION("""COMPUTED_VALUE"""),44.57)</f>
        <v>44.57</v>
      </c>
      <c r="BN16" s="3">
        <f ca="1">IFERROR(__xludf.DUMMYFUNCTION("""COMPUTED_VALUE"""),8923864)</f>
        <v>8923864</v>
      </c>
    </row>
    <row r="17" spans="7:66" ht="15.75" customHeight="1" x14ac:dyDescent="0.15">
      <c r="G17" s="4">
        <f ca="1">IFERROR(__xludf.DUMMYFUNCTION("""COMPUTED_VALUE"""),42150.6666666666)</f>
        <v>42150.666666666599</v>
      </c>
      <c r="H17" s="3">
        <f ca="1">IFERROR(__xludf.DUMMYFUNCTION("""COMPUTED_VALUE"""),76.88)</f>
        <v>76.88</v>
      </c>
      <c r="I17" s="3">
        <f ca="1">IFERROR(__xludf.DUMMYFUNCTION("""COMPUTED_VALUE"""),77.11)</f>
        <v>77.11</v>
      </c>
      <c r="J17" s="3">
        <f ca="1">IFERROR(__xludf.DUMMYFUNCTION("""COMPUTED_VALUE"""),76.27)</f>
        <v>76.27</v>
      </c>
      <c r="K17" s="3">
        <f ca="1">IFERROR(__xludf.DUMMYFUNCTION("""COMPUTED_VALUE"""),76.39)</f>
        <v>76.39</v>
      </c>
      <c r="L17" s="3">
        <f ca="1">IFERROR(__xludf.DUMMYFUNCTION("""COMPUTED_VALUE"""),5336010)</f>
        <v>5336010</v>
      </c>
      <c r="M17" s="4">
        <f ca="1">IFERROR(__xludf.DUMMYFUNCTION("""COMPUTED_VALUE"""),42150.6666666666)</f>
        <v>42150.666666666599</v>
      </c>
      <c r="N17" s="3">
        <f ca="1">IFERROR(__xludf.DUMMYFUNCTION("""COMPUTED_VALUE"""),49.19)</f>
        <v>49.19</v>
      </c>
      <c r="O17" s="3">
        <f ca="1">IFERROR(__xludf.DUMMYFUNCTION("""COMPUTED_VALUE"""),49.21)</f>
        <v>49.21</v>
      </c>
      <c r="P17" s="3">
        <f ca="1">IFERROR(__xludf.DUMMYFUNCTION("""COMPUTED_VALUE"""),48.76)</f>
        <v>48.76</v>
      </c>
      <c r="Q17" s="3">
        <f ca="1">IFERROR(__xludf.DUMMYFUNCTION("""COMPUTED_VALUE"""),48.86)</f>
        <v>48.86</v>
      </c>
      <c r="R17" s="3">
        <f ca="1">IFERROR(__xludf.DUMMYFUNCTION("""COMPUTED_VALUE"""),8790115)</f>
        <v>8790115</v>
      </c>
      <c r="S17" s="4">
        <f ca="1">IFERROR(__xludf.DUMMYFUNCTION("""COMPUTED_VALUE"""),42150.6666666666)</f>
        <v>42150.666666666599</v>
      </c>
      <c r="T17" s="3">
        <f ca="1">IFERROR(__xludf.DUMMYFUNCTION("""COMPUTED_VALUE"""),79.55)</f>
        <v>79.55</v>
      </c>
      <c r="U17" s="3">
        <f ca="1">IFERROR(__xludf.DUMMYFUNCTION("""COMPUTED_VALUE"""),79.72)</f>
        <v>79.72</v>
      </c>
      <c r="V17" s="3">
        <f ca="1">IFERROR(__xludf.DUMMYFUNCTION("""COMPUTED_VALUE"""),78.63)</f>
        <v>78.63</v>
      </c>
      <c r="W17" s="3">
        <f ca="1">IFERROR(__xludf.DUMMYFUNCTION("""COMPUTED_VALUE"""),78.93)</f>
        <v>78.930000000000007</v>
      </c>
      <c r="X17" s="3">
        <f ca="1">IFERROR(__xludf.DUMMYFUNCTION("""COMPUTED_VALUE"""),13183580)</f>
        <v>13183580</v>
      </c>
      <c r="Y17" s="4">
        <f ca="1">IFERROR(__xludf.DUMMYFUNCTION("""COMPUTED_VALUE"""),42150.6666666666)</f>
        <v>42150.666666666599</v>
      </c>
      <c r="Z17" s="3">
        <f ca="1">IFERROR(__xludf.DUMMYFUNCTION("""COMPUTED_VALUE"""),20.16)</f>
        <v>20.16</v>
      </c>
      <c r="AA17" s="3">
        <f ca="1">IFERROR(__xludf.DUMMYFUNCTION("""COMPUTED_VALUE"""),20.16)</f>
        <v>20.16</v>
      </c>
      <c r="AB17" s="3">
        <f ca="1">IFERROR(__xludf.DUMMYFUNCTION("""COMPUTED_VALUE"""),19.94)</f>
        <v>19.940000000000001</v>
      </c>
      <c r="AC17" s="3">
        <f ca="1">IFERROR(__xludf.DUMMYFUNCTION("""COMPUTED_VALUE"""),19.96)</f>
        <v>19.96</v>
      </c>
      <c r="AD17" s="3">
        <f ca="1">IFERROR(__xludf.DUMMYFUNCTION("""COMPUTED_VALUE"""),44542814)</f>
        <v>44542814</v>
      </c>
      <c r="AE17" s="4">
        <f ca="1">IFERROR(__xludf.DUMMYFUNCTION("""COMPUTED_VALUE"""),42150.6666666666)</f>
        <v>42150.666666666599</v>
      </c>
      <c r="AF17" s="3">
        <f ca="1">IFERROR(__xludf.DUMMYFUNCTION("""COMPUTED_VALUE"""),74.75)</f>
        <v>74.75</v>
      </c>
      <c r="AG17" s="3">
        <f ca="1">IFERROR(__xludf.DUMMYFUNCTION("""COMPUTED_VALUE"""),74.83)</f>
        <v>74.83</v>
      </c>
      <c r="AH17" s="3">
        <f ca="1">IFERROR(__xludf.DUMMYFUNCTION("""COMPUTED_VALUE"""),74.07)</f>
        <v>74.069999999999993</v>
      </c>
      <c r="AI17" s="3">
        <f ca="1">IFERROR(__xludf.DUMMYFUNCTION("""COMPUTED_VALUE"""),74.22)</f>
        <v>74.22</v>
      </c>
      <c r="AJ17" s="3">
        <f ca="1">IFERROR(__xludf.DUMMYFUNCTION("""COMPUTED_VALUE"""),9533833)</f>
        <v>9533833</v>
      </c>
      <c r="AK17" s="4">
        <f ca="1">IFERROR(__xludf.DUMMYFUNCTION("""COMPUTED_VALUE"""),42150.6666666666)</f>
        <v>42150.666666666599</v>
      </c>
      <c r="AL17" s="3">
        <f ca="1">IFERROR(__xludf.DUMMYFUNCTION("""COMPUTED_VALUE"""),56.81)</f>
        <v>56.81</v>
      </c>
      <c r="AM17" s="3">
        <f ca="1">IFERROR(__xludf.DUMMYFUNCTION("""COMPUTED_VALUE"""),56.81)</f>
        <v>56.81</v>
      </c>
      <c r="AN17" s="3">
        <f ca="1">IFERROR(__xludf.DUMMYFUNCTION("""COMPUTED_VALUE"""),56.14)</f>
        <v>56.14</v>
      </c>
      <c r="AO17" s="3">
        <f ca="1">IFERROR(__xludf.DUMMYFUNCTION("""COMPUTED_VALUE"""),56.28)</f>
        <v>56.28</v>
      </c>
      <c r="AP17" s="3">
        <f ca="1">IFERROR(__xludf.DUMMYFUNCTION("""COMPUTED_VALUE"""),7889870)</f>
        <v>7889870</v>
      </c>
      <c r="AQ17" s="4">
        <f ca="1">IFERROR(__xludf.DUMMYFUNCTION("""COMPUTED_VALUE"""),42150.6666666666)</f>
        <v>42150.666666666599</v>
      </c>
      <c r="AR17" s="3">
        <f ca="1">IFERROR(__xludf.DUMMYFUNCTION("""COMPUTED_VALUE"""),50.86)</f>
        <v>50.86</v>
      </c>
      <c r="AS17" s="3">
        <f ca="1">IFERROR(__xludf.DUMMYFUNCTION("""COMPUTED_VALUE"""),50.87)</f>
        <v>50.87</v>
      </c>
      <c r="AT17" s="3">
        <f ca="1">IFERROR(__xludf.DUMMYFUNCTION("""COMPUTED_VALUE"""),50.29)</f>
        <v>50.29</v>
      </c>
      <c r="AU17" s="3">
        <f ca="1">IFERROR(__xludf.DUMMYFUNCTION("""COMPUTED_VALUE"""),50.48)</f>
        <v>50.48</v>
      </c>
      <c r="AV17" s="3">
        <f ca="1">IFERROR(__xludf.DUMMYFUNCTION("""COMPUTED_VALUE"""),3787583)</f>
        <v>3787583</v>
      </c>
      <c r="AW17" s="4">
        <f ca="1">IFERROR(__xludf.DUMMYFUNCTION("""COMPUTED_VALUE"""),42304.6666666666)</f>
        <v>42304.666666666599</v>
      </c>
      <c r="AX17" s="3">
        <f ca="1">IFERROR(__xludf.DUMMYFUNCTION("""COMPUTED_VALUE"""),31.06)</f>
        <v>31.06</v>
      </c>
      <c r="AY17" s="3">
        <f ca="1">IFERROR(__xludf.DUMMYFUNCTION("""COMPUTED_VALUE"""),31.12)</f>
        <v>31.12</v>
      </c>
      <c r="AZ17" s="3">
        <f ca="1">IFERROR(__xludf.DUMMYFUNCTION("""COMPUTED_VALUE"""),31)</f>
        <v>31</v>
      </c>
      <c r="BA17" s="3">
        <f ca="1">IFERROR(__xludf.DUMMYFUNCTION("""COMPUTED_VALUE"""),31.12)</f>
        <v>31.12</v>
      </c>
      <c r="BB17" s="3">
        <f ca="1">IFERROR(__xludf.DUMMYFUNCTION("""COMPUTED_VALUE"""),3350)</f>
        <v>3350</v>
      </c>
      <c r="BC17" s="4">
        <f ca="1">IFERROR(__xludf.DUMMYFUNCTION("""COMPUTED_VALUE"""),42150.6666666666)</f>
        <v>42150.666666666599</v>
      </c>
      <c r="BD17" s="3">
        <f ca="1">IFERROR(__xludf.DUMMYFUNCTION("""COMPUTED_VALUE"""),43.47)</f>
        <v>43.47</v>
      </c>
      <c r="BE17" s="3">
        <f ca="1">IFERROR(__xludf.DUMMYFUNCTION("""COMPUTED_VALUE"""),43.5)</f>
        <v>43.5</v>
      </c>
      <c r="BF17" s="3">
        <f ca="1">IFERROR(__xludf.DUMMYFUNCTION("""COMPUTED_VALUE"""),42.84)</f>
        <v>42.84</v>
      </c>
      <c r="BG17" s="3">
        <f ca="1">IFERROR(__xludf.DUMMYFUNCTION("""COMPUTED_VALUE"""),42.97)</f>
        <v>42.97</v>
      </c>
      <c r="BH17" s="3">
        <f ca="1">IFERROR(__xludf.DUMMYFUNCTION("""COMPUTED_VALUE"""),7924384)</f>
        <v>7924384</v>
      </c>
      <c r="BI17" s="4">
        <f ca="1">IFERROR(__xludf.DUMMYFUNCTION("""COMPUTED_VALUE"""),42150.6666666666)</f>
        <v>42150.666666666599</v>
      </c>
      <c r="BJ17" s="3">
        <f ca="1">IFERROR(__xludf.DUMMYFUNCTION("""COMPUTED_VALUE"""),44.5)</f>
        <v>44.5</v>
      </c>
      <c r="BK17" s="3">
        <f ca="1">IFERROR(__xludf.DUMMYFUNCTION("""COMPUTED_VALUE"""),44.55)</f>
        <v>44.55</v>
      </c>
      <c r="BL17" s="3">
        <f ca="1">IFERROR(__xludf.DUMMYFUNCTION("""COMPUTED_VALUE"""),44)</f>
        <v>44</v>
      </c>
      <c r="BM17" s="3">
        <f ca="1">IFERROR(__xludf.DUMMYFUNCTION("""COMPUTED_VALUE"""),44.29)</f>
        <v>44.29</v>
      </c>
      <c r="BN17" s="3">
        <f ca="1">IFERROR(__xludf.DUMMYFUNCTION("""COMPUTED_VALUE"""),10563852)</f>
        <v>10563852</v>
      </c>
    </row>
    <row r="18" spans="7:66" ht="15.75" customHeight="1" x14ac:dyDescent="0.15">
      <c r="G18" s="4">
        <f ca="1">IFERROR(__xludf.DUMMYFUNCTION("""COMPUTED_VALUE"""),42151.6666666666)</f>
        <v>42151.666666666599</v>
      </c>
      <c r="H18" s="3">
        <f ca="1">IFERROR(__xludf.DUMMYFUNCTION("""COMPUTED_VALUE"""),76.54)</f>
        <v>76.540000000000006</v>
      </c>
      <c r="I18" s="3">
        <f ca="1">IFERROR(__xludf.DUMMYFUNCTION("""COMPUTED_VALUE"""),77.06)</f>
        <v>77.06</v>
      </c>
      <c r="J18" s="3">
        <f ca="1">IFERROR(__xludf.DUMMYFUNCTION("""COMPUTED_VALUE"""),76.38)</f>
        <v>76.38</v>
      </c>
      <c r="K18" s="3">
        <f ca="1">IFERROR(__xludf.DUMMYFUNCTION("""COMPUTED_VALUE"""),76.96)</f>
        <v>76.959999999999994</v>
      </c>
      <c r="L18" s="3">
        <f ca="1">IFERROR(__xludf.DUMMYFUNCTION("""COMPUTED_VALUE"""),3627679)</f>
        <v>3627679</v>
      </c>
      <c r="M18" s="4">
        <f ca="1">IFERROR(__xludf.DUMMYFUNCTION("""COMPUTED_VALUE"""),42151.6666666666)</f>
        <v>42151.666666666599</v>
      </c>
      <c r="N18" s="3">
        <f ca="1">IFERROR(__xludf.DUMMYFUNCTION("""COMPUTED_VALUE"""),48.96)</f>
        <v>48.96</v>
      </c>
      <c r="O18" s="3">
        <f ca="1">IFERROR(__xludf.DUMMYFUNCTION("""COMPUTED_VALUE"""),49.25)</f>
        <v>49.25</v>
      </c>
      <c r="P18" s="3">
        <f ca="1">IFERROR(__xludf.DUMMYFUNCTION("""COMPUTED_VALUE"""),48.92)</f>
        <v>48.92</v>
      </c>
      <c r="Q18" s="3">
        <f ca="1">IFERROR(__xludf.DUMMYFUNCTION("""COMPUTED_VALUE"""),49.17)</f>
        <v>49.17</v>
      </c>
      <c r="R18" s="3">
        <f ca="1">IFERROR(__xludf.DUMMYFUNCTION("""COMPUTED_VALUE"""),7599854)</f>
        <v>7599854</v>
      </c>
      <c r="S18" s="4">
        <f ca="1">IFERROR(__xludf.DUMMYFUNCTION("""COMPUTED_VALUE"""),42151.6666666666)</f>
        <v>42151.666666666599</v>
      </c>
      <c r="T18" s="3">
        <f ca="1">IFERROR(__xludf.DUMMYFUNCTION("""COMPUTED_VALUE"""),78.88)</f>
        <v>78.88</v>
      </c>
      <c r="U18" s="3">
        <f ca="1">IFERROR(__xludf.DUMMYFUNCTION("""COMPUTED_VALUE"""),79.52)</f>
        <v>79.52</v>
      </c>
      <c r="V18" s="3">
        <f ca="1">IFERROR(__xludf.DUMMYFUNCTION("""COMPUTED_VALUE"""),78.36)</f>
        <v>78.36</v>
      </c>
      <c r="W18" s="3">
        <f ca="1">IFERROR(__xludf.DUMMYFUNCTION("""COMPUTED_VALUE"""),78.79)</f>
        <v>78.790000000000006</v>
      </c>
      <c r="X18" s="3">
        <f ca="1">IFERROR(__xludf.DUMMYFUNCTION("""COMPUTED_VALUE"""),11374967)</f>
        <v>11374967</v>
      </c>
      <c r="Y18" s="4">
        <f ca="1">IFERROR(__xludf.DUMMYFUNCTION("""COMPUTED_VALUE"""),42151.6666666666)</f>
        <v>42151.666666666599</v>
      </c>
      <c r="Z18" s="3">
        <f ca="1">IFERROR(__xludf.DUMMYFUNCTION("""COMPUTED_VALUE"""),20.02)</f>
        <v>20.02</v>
      </c>
      <c r="AA18" s="3">
        <f ca="1">IFERROR(__xludf.DUMMYFUNCTION("""COMPUTED_VALUE"""),20.2)</f>
        <v>20.2</v>
      </c>
      <c r="AB18" s="3">
        <f ca="1">IFERROR(__xludf.DUMMYFUNCTION("""COMPUTED_VALUE"""),19.99)</f>
        <v>19.989999999999998</v>
      </c>
      <c r="AC18" s="3">
        <f ca="1">IFERROR(__xludf.DUMMYFUNCTION("""COMPUTED_VALUE"""),20.18)</f>
        <v>20.18</v>
      </c>
      <c r="AD18" s="3">
        <f ca="1">IFERROR(__xludf.DUMMYFUNCTION("""COMPUTED_VALUE"""),25811031)</f>
        <v>25811031</v>
      </c>
      <c r="AE18" s="4">
        <f ca="1">IFERROR(__xludf.DUMMYFUNCTION("""COMPUTED_VALUE"""),42151.6666666666)</f>
        <v>42151.666666666599</v>
      </c>
      <c r="AF18" s="3">
        <f ca="1">IFERROR(__xludf.DUMMYFUNCTION("""COMPUTED_VALUE"""),74.48)</f>
        <v>74.48</v>
      </c>
      <c r="AG18" s="3">
        <f ca="1">IFERROR(__xludf.DUMMYFUNCTION("""COMPUTED_VALUE"""),75.16)</f>
        <v>75.16</v>
      </c>
      <c r="AH18" s="3">
        <f ca="1">IFERROR(__xludf.DUMMYFUNCTION("""COMPUTED_VALUE"""),74.28)</f>
        <v>74.28</v>
      </c>
      <c r="AI18" s="3">
        <f ca="1">IFERROR(__xludf.DUMMYFUNCTION("""COMPUTED_VALUE"""),75.08)</f>
        <v>75.08</v>
      </c>
      <c r="AJ18" s="3">
        <f ca="1">IFERROR(__xludf.DUMMYFUNCTION("""COMPUTED_VALUE"""),13043718)</f>
        <v>13043718</v>
      </c>
      <c r="AK18" s="4">
        <f ca="1">IFERROR(__xludf.DUMMYFUNCTION("""COMPUTED_VALUE"""),42151.6666666666)</f>
        <v>42151.666666666599</v>
      </c>
      <c r="AL18" s="3">
        <f ca="1">IFERROR(__xludf.DUMMYFUNCTION("""COMPUTED_VALUE"""),56.47)</f>
        <v>56.47</v>
      </c>
      <c r="AM18" s="3">
        <f ca="1">IFERROR(__xludf.DUMMYFUNCTION("""COMPUTED_VALUE"""),56.71)</f>
        <v>56.71</v>
      </c>
      <c r="AN18" s="3">
        <f ca="1">IFERROR(__xludf.DUMMYFUNCTION("""COMPUTED_VALUE"""),56.29)</f>
        <v>56.29</v>
      </c>
      <c r="AO18" s="3">
        <f ca="1">IFERROR(__xludf.DUMMYFUNCTION("""COMPUTED_VALUE"""),56.64)</f>
        <v>56.64</v>
      </c>
      <c r="AP18" s="3">
        <f ca="1">IFERROR(__xludf.DUMMYFUNCTION("""COMPUTED_VALUE"""),5498942)</f>
        <v>5498942</v>
      </c>
      <c r="AQ18" s="4">
        <f ca="1">IFERROR(__xludf.DUMMYFUNCTION("""COMPUTED_VALUE"""),42151.6666666666)</f>
        <v>42151.666666666599</v>
      </c>
      <c r="AR18" s="3">
        <f ca="1">IFERROR(__xludf.DUMMYFUNCTION("""COMPUTED_VALUE"""),50.48)</f>
        <v>50.48</v>
      </c>
      <c r="AS18" s="3">
        <f ca="1">IFERROR(__xludf.DUMMYFUNCTION("""COMPUTED_VALUE"""),50.89)</f>
        <v>50.89</v>
      </c>
      <c r="AT18" s="3">
        <f ca="1">IFERROR(__xludf.DUMMYFUNCTION("""COMPUTED_VALUE"""),50.42)</f>
        <v>50.42</v>
      </c>
      <c r="AU18" s="3">
        <f ca="1">IFERROR(__xludf.DUMMYFUNCTION("""COMPUTED_VALUE"""),50.81)</f>
        <v>50.81</v>
      </c>
      <c r="AV18" s="3">
        <f ca="1">IFERROR(__xludf.DUMMYFUNCTION("""COMPUTED_VALUE"""),2792950)</f>
        <v>2792950</v>
      </c>
      <c r="AW18" s="4">
        <f ca="1">IFERROR(__xludf.DUMMYFUNCTION("""COMPUTED_VALUE"""),42305.6666666666)</f>
        <v>42305.666666666599</v>
      </c>
      <c r="AX18" s="3">
        <f ca="1">IFERROR(__xludf.DUMMYFUNCTION("""COMPUTED_VALUE"""),31.24)</f>
        <v>31.24</v>
      </c>
      <c r="AY18" s="3">
        <f ca="1">IFERROR(__xludf.DUMMYFUNCTION("""COMPUTED_VALUE"""),31.33)</f>
        <v>31.33</v>
      </c>
      <c r="AZ18" s="3">
        <f ca="1">IFERROR(__xludf.DUMMYFUNCTION("""COMPUTED_VALUE"""),31.01)</f>
        <v>31.01</v>
      </c>
      <c r="BA18" s="3">
        <f ca="1">IFERROR(__xludf.DUMMYFUNCTION("""COMPUTED_VALUE"""),31.01)</f>
        <v>31.01</v>
      </c>
      <c r="BB18" s="3">
        <f ca="1">IFERROR(__xludf.DUMMYFUNCTION("""COMPUTED_VALUE"""),3210)</f>
        <v>3210</v>
      </c>
      <c r="BC18" s="4">
        <f ca="1">IFERROR(__xludf.DUMMYFUNCTION("""COMPUTED_VALUE"""),42151.6666666666)</f>
        <v>42151.666666666599</v>
      </c>
      <c r="BD18" s="3">
        <f ca="1">IFERROR(__xludf.DUMMYFUNCTION("""COMPUTED_VALUE"""),43.13)</f>
        <v>43.13</v>
      </c>
      <c r="BE18" s="3">
        <f ca="1">IFERROR(__xludf.DUMMYFUNCTION("""COMPUTED_VALUE"""),43.81)</f>
        <v>43.81</v>
      </c>
      <c r="BF18" s="3">
        <f ca="1">IFERROR(__xludf.DUMMYFUNCTION("""COMPUTED_VALUE"""),43.1)</f>
        <v>43.1</v>
      </c>
      <c r="BG18" s="3">
        <f ca="1">IFERROR(__xludf.DUMMYFUNCTION("""COMPUTED_VALUE"""),43.78)</f>
        <v>43.78</v>
      </c>
      <c r="BH18" s="3">
        <f ca="1">IFERROR(__xludf.DUMMYFUNCTION("""COMPUTED_VALUE"""),12587062)</f>
        <v>12587062</v>
      </c>
      <c r="BI18" s="4">
        <f ca="1">IFERROR(__xludf.DUMMYFUNCTION("""COMPUTED_VALUE"""),42151.6666666666)</f>
        <v>42151.666666666599</v>
      </c>
      <c r="BJ18" s="3">
        <f ca="1">IFERROR(__xludf.DUMMYFUNCTION("""COMPUTED_VALUE"""),44.33)</f>
        <v>44.33</v>
      </c>
      <c r="BK18" s="3">
        <f ca="1">IFERROR(__xludf.DUMMYFUNCTION("""COMPUTED_VALUE"""),44.55)</f>
        <v>44.55</v>
      </c>
      <c r="BL18" s="3">
        <f ca="1">IFERROR(__xludf.DUMMYFUNCTION("""COMPUTED_VALUE"""),44.24)</f>
        <v>44.24</v>
      </c>
      <c r="BM18" s="3">
        <f ca="1">IFERROR(__xludf.DUMMYFUNCTION("""COMPUTED_VALUE"""),44.47)</f>
        <v>44.47</v>
      </c>
      <c r="BN18" s="3">
        <f ca="1">IFERROR(__xludf.DUMMYFUNCTION("""COMPUTED_VALUE"""),7637755)</f>
        <v>7637755</v>
      </c>
    </row>
    <row r="19" spans="7:66" ht="15.75" customHeight="1" x14ac:dyDescent="0.15">
      <c r="G19" s="4">
        <f ca="1">IFERROR(__xludf.DUMMYFUNCTION("""COMPUTED_VALUE"""),42152.6666666666)</f>
        <v>42152.666666666599</v>
      </c>
      <c r="H19" s="3">
        <f ca="1">IFERROR(__xludf.DUMMYFUNCTION("""COMPUTED_VALUE"""),76.83)</f>
        <v>76.83</v>
      </c>
      <c r="I19" s="3">
        <f ca="1">IFERROR(__xludf.DUMMYFUNCTION("""COMPUTED_VALUE"""),76.99)</f>
        <v>76.989999999999995</v>
      </c>
      <c r="J19" s="3">
        <f ca="1">IFERROR(__xludf.DUMMYFUNCTION("""COMPUTED_VALUE"""),76.63)</f>
        <v>76.63</v>
      </c>
      <c r="K19" s="3">
        <f ca="1">IFERROR(__xludf.DUMMYFUNCTION("""COMPUTED_VALUE"""),76.83)</f>
        <v>76.83</v>
      </c>
      <c r="L19" s="3">
        <f ca="1">IFERROR(__xludf.DUMMYFUNCTION("""COMPUTED_VALUE"""),3254159)</f>
        <v>3254159</v>
      </c>
      <c r="M19" s="4">
        <f ca="1">IFERROR(__xludf.DUMMYFUNCTION("""COMPUTED_VALUE"""),42152.6666666666)</f>
        <v>42152.666666666599</v>
      </c>
      <c r="N19" s="3">
        <f ca="1">IFERROR(__xludf.DUMMYFUNCTION("""COMPUTED_VALUE"""),49.12)</f>
        <v>49.12</v>
      </c>
      <c r="O19" s="3">
        <f ca="1">IFERROR(__xludf.DUMMYFUNCTION("""COMPUTED_VALUE"""),49.17)</f>
        <v>49.17</v>
      </c>
      <c r="P19" s="3">
        <f ca="1">IFERROR(__xludf.DUMMYFUNCTION("""COMPUTED_VALUE"""),48.89)</f>
        <v>48.89</v>
      </c>
      <c r="Q19" s="3">
        <f ca="1">IFERROR(__xludf.DUMMYFUNCTION("""COMPUTED_VALUE"""),49.1)</f>
        <v>49.1</v>
      </c>
      <c r="R19" s="3">
        <f ca="1">IFERROR(__xludf.DUMMYFUNCTION("""COMPUTED_VALUE"""),5741289)</f>
        <v>5741289</v>
      </c>
      <c r="S19" s="4">
        <f ca="1">IFERROR(__xludf.DUMMYFUNCTION("""COMPUTED_VALUE"""),42152.6666666666)</f>
        <v>42152.666666666599</v>
      </c>
      <c r="T19" s="3">
        <f ca="1">IFERROR(__xludf.DUMMYFUNCTION("""COMPUTED_VALUE"""),78.52)</f>
        <v>78.52</v>
      </c>
      <c r="U19" s="3">
        <f ca="1">IFERROR(__xludf.DUMMYFUNCTION("""COMPUTED_VALUE"""),78.62)</f>
        <v>78.62</v>
      </c>
      <c r="V19" s="3">
        <f ca="1">IFERROR(__xludf.DUMMYFUNCTION("""COMPUTED_VALUE"""),77.98)</f>
        <v>77.98</v>
      </c>
      <c r="W19" s="3">
        <f ca="1">IFERROR(__xludf.DUMMYFUNCTION("""COMPUTED_VALUE"""),78.48)</f>
        <v>78.48</v>
      </c>
      <c r="X19" s="3">
        <f ca="1">IFERROR(__xludf.DUMMYFUNCTION("""COMPUTED_VALUE"""),12164179)</f>
        <v>12164179</v>
      </c>
      <c r="Y19" s="4">
        <f ca="1">IFERROR(__xludf.DUMMYFUNCTION("""COMPUTED_VALUE"""),42152.6666666666)</f>
        <v>42152.666666666599</v>
      </c>
      <c r="Z19" s="3">
        <f ca="1">IFERROR(__xludf.DUMMYFUNCTION("""COMPUTED_VALUE"""),20.13)</f>
        <v>20.13</v>
      </c>
      <c r="AA19" s="3">
        <f ca="1">IFERROR(__xludf.DUMMYFUNCTION("""COMPUTED_VALUE"""),20.17)</f>
        <v>20.170000000000002</v>
      </c>
      <c r="AB19" s="3">
        <f ca="1">IFERROR(__xludf.DUMMYFUNCTION("""COMPUTED_VALUE"""),20.03)</f>
        <v>20.03</v>
      </c>
      <c r="AC19" s="3">
        <f ca="1">IFERROR(__xludf.DUMMYFUNCTION("""COMPUTED_VALUE"""),20.16)</f>
        <v>20.16</v>
      </c>
      <c r="AD19" s="3">
        <f ca="1">IFERROR(__xludf.DUMMYFUNCTION("""COMPUTED_VALUE"""),17790870)</f>
        <v>17790870</v>
      </c>
      <c r="AE19" s="4">
        <f ca="1">IFERROR(__xludf.DUMMYFUNCTION("""COMPUTED_VALUE"""),42152.6666666666)</f>
        <v>42152.666666666599</v>
      </c>
      <c r="AF19" s="3">
        <f ca="1">IFERROR(__xludf.DUMMYFUNCTION("""COMPUTED_VALUE"""),75.07)</f>
        <v>75.069999999999993</v>
      </c>
      <c r="AG19" s="3">
        <f ca="1">IFERROR(__xludf.DUMMYFUNCTION("""COMPUTED_VALUE"""),75.34)</f>
        <v>75.34</v>
      </c>
      <c r="AH19" s="3">
        <f ca="1">IFERROR(__xludf.DUMMYFUNCTION("""COMPUTED_VALUE"""),74.77)</f>
        <v>74.77</v>
      </c>
      <c r="AI19" s="3">
        <f ca="1">IFERROR(__xludf.DUMMYFUNCTION("""COMPUTED_VALUE"""),75.13)</f>
        <v>75.13</v>
      </c>
      <c r="AJ19" s="3">
        <f ca="1">IFERROR(__xludf.DUMMYFUNCTION("""COMPUTED_VALUE"""),5766396)</f>
        <v>5766396</v>
      </c>
      <c r="AK19" s="4">
        <f ca="1">IFERROR(__xludf.DUMMYFUNCTION("""COMPUTED_VALUE"""),42152.6666666666)</f>
        <v>42152.666666666599</v>
      </c>
      <c r="AL19" s="3">
        <f ca="1">IFERROR(__xludf.DUMMYFUNCTION("""COMPUTED_VALUE"""),56.5)</f>
        <v>56.5</v>
      </c>
      <c r="AM19" s="3">
        <f ca="1">IFERROR(__xludf.DUMMYFUNCTION("""COMPUTED_VALUE"""),56.54)</f>
        <v>56.54</v>
      </c>
      <c r="AN19" s="3">
        <f ca="1">IFERROR(__xludf.DUMMYFUNCTION("""COMPUTED_VALUE"""),56.16)</f>
        <v>56.16</v>
      </c>
      <c r="AO19" s="3">
        <f ca="1">IFERROR(__xludf.DUMMYFUNCTION("""COMPUTED_VALUE"""),56.37)</f>
        <v>56.37</v>
      </c>
      <c r="AP19" s="3">
        <f ca="1">IFERROR(__xludf.DUMMYFUNCTION("""COMPUTED_VALUE"""),5775316)</f>
        <v>5775316</v>
      </c>
      <c r="AQ19" s="4">
        <f ca="1">IFERROR(__xludf.DUMMYFUNCTION("""COMPUTED_VALUE"""),42152.6666666666)</f>
        <v>42152.666666666599</v>
      </c>
      <c r="AR19" s="3">
        <f ca="1">IFERROR(__xludf.DUMMYFUNCTION("""COMPUTED_VALUE"""),50.73)</f>
        <v>50.73</v>
      </c>
      <c r="AS19" s="3">
        <f ca="1">IFERROR(__xludf.DUMMYFUNCTION("""COMPUTED_VALUE"""),50.97)</f>
        <v>50.97</v>
      </c>
      <c r="AT19" s="3">
        <f ca="1">IFERROR(__xludf.DUMMYFUNCTION("""COMPUTED_VALUE"""),50.63)</f>
        <v>50.63</v>
      </c>
      <c r="AU19" s="3">
        <f ca="1">IFERROR(__xludf.DUMMYFUNCTION("""COMPUTED_VALUE"""),50.94)</f>
        <v>50.94</v>
      </c>
      <c r="AV19" s="3">
        <f ca="1">IFERROR(__xludf.DUMMYFUNCTION("""COMPUTED_VALUE"""),1742063)</f>
        <v>1742063</v>
      </c>
      <c r="AW19" s="4">
        <f ca="1">IFERROR(__xludf.DUMMYFUNCTION("""COMPUTED_VALUE"""),42306.6666666666)</f>
        <v>42306.666666666599</v>
      </c>
      <c r="AX19" s="3">
        <f ca="1">IFERROR(__xludf.DUMMYFUNCTION("""COMPUTED_VALUE"""),31.03)</f>
        <v>31.03</v>
      </c>
      <c r="AY19" s="3">
        <f ca="1">IFERROR(__xludf.DUMMYFUNCTION("""COMPUTED_VALUE"""),31.15)</f>
        <v>31.15</v>
      </c>
      <c r="AZ19" s="3">
        <f ca="1">IFERROR(__xludf.DUMMYFUNCTION("""COMPUTED_VALUE"""),31.01)</f>
        <v>31.01</v>
      </c>
      <c r="BA19" s="3">
        <f ca="1">IFERROR(__xludf.DUMMYFUNCTION("""COMPUTED_VALUE"""),31.15)</f>
        <v>31.15</v>
      </c>
      <c r="BB19" s="3">
        <f ca="1">IFERROR(__xludf.DUMMYFUNCTION("""COMPUTED_VALUE"""),3906)</f>
        <v>3906</v>
      </c>
      <c r="BC19" s="4">
        <f ca="1">IFERROR(__xludf.DUMMYFUNCTION("""COMPUTED_VALUE"""),42152.6666666666)</f>
        <v>42152.666666666599</v>
      </c>
      <c r="BD19" s="3">
        <f ca="1">IFERROR(__xludf.DUMMYFUNCTION("""COMPUTED_VALUE"""),43.64)</f>
        <v>43.64</v>
      </c>
      <c r="BE19" s="3">
        <f ca="1">IFERROR(__xludf.DUMMYFUNCTION("""COMPUTED_VALUE"""),43.77)</f>
        <v>43.77</v>
      </c>
      <c r="BF19" s="3">
        <f ca="1">IFERROR(__xludf.DUMMYFUNCTION("""COMPUTED_VALUE"""),43.56)</f>
        <v>43.56</v>
      </c>
      <c r="BG19" s="3">
        <f ca="1">IFERROR(__xludf.DUMMYFUNCTION("""COMPUTED_VALUE"""),43.69)</f>
        <v>43.69</v>
      </c>
      <c r="BH19" s="3">
        <f ca="1">IFERROR(__xludf.DUMMYFUNCTION("""COMPUTED_VALUE"""),4664843)</f>
        <v>4664843</v>
      </c>
      <c r="BI19" s="4">
        <f ca="1">IFERROR(__xludf.DUMMYFUNCTION("""COMPUTED_VALUE"""),42152.6666666666)</f>
        <v>42152.666666666599</v>
      </c>
      <c r="BJ19" s="3">
        <f ca="1">IFERROR(__xludf.DUMMYFUNCTION("""COMPUTED_VALUE"""),44.45)</f>
        <v>44.45</v>
      </c>
      <c r="BK19" s="3">
        <f ca="1">IFERROR(__xludf.DUMMYFUNCTION("""COMPUTED_VALUE"""),44.68)</f>
        <v>44.68</v>
      </c>
      <c r="BL19" s="3">
        <f ca="1">IFERROR(__xludf.DUMMYFUNCTION("""COMPUTED_VALUE"""),44.29)</f>
        <v>44.29</v>
      </c>
      <c r="BM19" s="3">
        <f ca="1">IFERROR(__xludf.DUMMYFUNCTION("""COMPUTED_VALUE"""),44.57)</f>
        <v>44.57</v>
      </c>
      <c r="BN19" s="3">
        <f ca="1">IFERROR(__xludf.DUMMYFUNCTION("""COMPUTED_VALUE"""),9986942)</f>
        <v>9986942</v>
      </c>
    </row>
    <row r="20" spans="7:66" ht="15.75" customHeight="1" x14ac:dyDescent="0.15">
      <c r="G20" s="4">
        <f ca="1">IFERROR(__xludf.DUMMYFUNCTION("""COMPUTED_VALUE"""),42153.6666666666)</f>
        <v>42153.666666666599</v>
      </c>
      <c r="H20" s="3">
        <f ca="1">IFERROR(__xludf.DUMMYFUNCTION("""COMPUTED_VALUE"""),76.61)</f>
        <v>76.61</v>
      </c>
      <c r="I20" s="3">
        <f ca="1">IFERROR(__xludf.DUMMYFUNCTION("""COMPUTED_VALUE"""),76.89)</f>
        <v>76.89</v>
      </c>
      <c r="J20" s="3">
        <f ca="1">IFERROR(__xludf.DUMMYFUNCTION("""COMPUTED_VALUE"""),76.19)</f>
        <v>76.19</v>
      </c>
      <c r="K20" s="3">
        <f ca="1">IFERROR(__xludf.DUMMYFUNCTION("""COMPUTED_VALUE"""),76.3)</f>
        <v>76.3</v>
      </c>
      <c r="L20" s="3">
        <f ca="1">IFERROR(__xludf.DUMMYFUNCTION("""COMPUTED_VALUE"""),6166504)</f>
        <v>6166504</v>
      </c>
      <c r="M20" s="4">
        <f ca="1">IFERROR(__xludf.DUMMYFUNCTION("""COMPUTED_VALUE"""),42153.6666666666)</f>
        <v>42153.666666666599</v>
      </c>
      <c r="N20" s="3">
        <f ca="1">IFERROR(__xludf.DUMMYFUNCTION("""COMPUTED_VALUE"""),49.02)</f>
        <v>49.02</v>
      </c>
      <c r="O20" s="3">
        <f ca="1">IFERROR(__xludf.DUMMYFUNCTION("""COMPUTED_VALUE"""),49.07)</f>
        <v>49.07</v>
      </c>
      <c r="P20" s="3">
        <f ca="1">IFERROR(__xludf.DUMMYFUNCTION("""COMPUTED_VALUE"""),48.7)</f>
        <v>48.7</v>
      </c>
      <c r="Q20" s="3">
        <f ca="1">IFERROR(__xludf.DUMMYFUNCTION("""COMPUTED_VALUE"""),48.79)</f>
        <v>48.79</v>
      </c>
      <c r="R20" s="3">
        <f ca="1">IFERROR(__xludf.DUMMYFUNCTION("""COMPUTED_VALUE"""),6663595)</f>
        <v>6663595</v>
      </c>
      <c r="S20" s="4">
        <f ca="1">IFERROR(__xludf.DUMMYFUNCTION("""COMPUTED_VALUE"""),42153.6666666666)</f>
        <v>42153.666666666599</v>
      </c>
      <c r="T20" s="3">
        <f ca="1">IFERROR(__xludf.DUMMYFUNCTION("""COMPUTED_VALUE"""),78.46)</f>
        <v>78.459999999999994</v>
      </c>
      <c r="U20" s="3">
        <f ca="1">IFERROR(__xludf.DUMMYFUNCTION("""COMPUTED_VALUE"""),78.89)</f>
        <v>78.89</v>
      </c>
      <c r="V20" s="3">
        <f ca="1">IFERROR(__xludf.DUMMYFUNCTION("""COMPUTED_VALUE"""),78.2)</f>
        <v>78.2</v>
      </c>
      <c r="W20" s="3">
        <f ca="1">IFERROR(__xludf.DUMMYFUNCTION("""COMPUTED_VALUE"""),78.39)</f>
        <v>78.39</v>
      </c>
      <c r="X20" s="3">
        <f ca="1">IFERROR(__xludf.DUMMYFUNCTION("""COMPUTED_VALUE"""),12978090)</f>
        <v>12978090</v>
      </c>
      <c r="Y20" s="4">
        <f ca="1">IFERROR(__xludf.DUMMYFUNCTION("""COMPUTED_VALUE"""),42153.6666666666)</f>
        <v>42153.666666666599</v>
      </c>
      <c r="Z20" s="3">
        <f ca="1">IFERROR(__xludf.DUMMYFUNCTION("""COMPUTED_VALUE"""),20.16)</f>
        <v>20.16</v>
      </c>
      <c r="AA20" s="3">
        <f ca="1">IFERROR(__xludf.DUMMYFUNCTION("""COMPUTED_VALUE"""),20.16)</f>
        <v>20.16</v>
      </c>
      <c r="AB20" s="3">
        <f ca="1">IFERROR(__xludf.DUMMYFUNCTION("""COMPUTED_VALUE"""),19.93)</f>
        <v>19.93</v>
      </c>
      <c r="AC20" s="3">
        <f ca="1">IFERROR(__xludf.DUMMYFUNCTION("""COMPUTED_VALUE"""),19.98)</f>
        <v>19.98</v>
      </c>
      <c r="AD20" s="3">
        <f ca="1">IFERROR(__xludf.DUMMYFUNCTION("""COMPUTED_VALUE"""),25606435)</f>
        <v>25606435</v>
      </c>
      <c r="AE20" s="4">
        <f ca="1">IFERROR(__xludf.DUMMYFUNCTION("""COMPUTED_VALUE"""),42153.6666666666)</f>
        <v>42153.666666666599</v>
      </c>
      <c r="AF20" s="3">
        <f ca="1">IFERROR(__xludf.DUMMYFUNCTION("""COMPUTED_VALUE"""),75.01)</f>
        <v>75.010000000000005</v>
      </c>
      <c r="AG20" s="3">
        <f ca="1">IFERROR(__xludf.DUMMYFUNCTION("""COMPUTED_VALUE"""),75.62)</f>
        <v>75.62</v>
      </c>
      <c r="AH20" s="3">
        <f ca="1">IFERROR(__xludf.DUMMYFUNCTION("""COMPUTED_VALUE"""),74.71)</f>
        <v>74.709999999999994</v>
      </c>
      <c r="AI20" s="3">
        <f ca="1">IFERROR(__xludf.DUMMYFUNCTION("""COMPUTED_VALUE"""),74.94)</f>
        <v>74.94</v>
      </c>
      <c r="AJ20" s="3">
        <f ca="1">IFERROR(__xludf.DUMMYFUNCTION("""COMPUTED_VALUE"""),9839177)</f>
        <v>9839177</v>
      </c>
      <c r="AK20" s="4">
        <f ca="1">IFERROR(__xludf.DUMMYFUNCTION("""COMPUTED_VALUE"""),42153.6666666666)</f>
        <v>42153.666666666599</v>
      </c>
      <c r="AL20" s="3">
        <f ca="1">IFERROR(__xludf.DUMMYFUNCTION("""COMPUTED_VALUE"""),56.32)</f>
        <v>56.32</v>
      </c>
      <c r="AM20" s="3">
        <f ca="1">IFERROR(__xludf.DUMMYFUNCTION("""COMPUTED_VALUE"""),56.34)</f>
        <v>56.34</v>
      </c>
      <c r="AN20" s="3">
        <f ca="1">IFERROR(__xludf.DUMMYFUNCTION("""COMPUTED_VALUE"""),55.7)</f>
        <v>55.7</v>
      </c>
      <c r="AO20" s="3">
        <f ca="1">IFERROR(__xludf.DUMMYFUNCTION("""COMPUTED_VALUE"""),55.81)</f>
        <v>55.81</v>
      </c>
      <c r="AP20" s="3">
        <f ca="1">IFERROR(__xludf.DUMMYFUNCTION("""COMPUTED_VALUE"""),11798984)</f>
        <v>11798984</v>
      </c>
      <c r="AQ20" s="4">
        <f ca="1">IFERROR(__xludf.DUMMYFUNCTION("""COMPUTED_VALUE"""),42153.6666666666)</f>
        <v>42153.666666666599</v>
      </c>
      <c r="AR20" s="3">
        <f ca="1">IFERROR(__xludf.DUMMYFUNCTION("""COMPUTED_VALUE"""),50.92)</f>
        <v>50.92</v>
      </c>
      <c r="AS20" s="3">
        <f ca="1">IFERROR(__xludf.DUMMYFUNCTION("""COMPUTED_VALUE"""),50.93)</f>
        <v>50.93</v>
      </c>
      <c r="AT20" s="3">
        <f ca="1">IFERROR(__xludf.DUMMYFUNCTION("""COMPUTED_VALUE"""),50.48)</f>
        <v>50.48</v>
      </c>
      <c r="AU20" s="3">
        <f ca="1">IFERROR(__xludf.DUMMYFUNCTION("""COMPUTED_VALUE"""),50.61)</f>
        <v>50.61</v>
      </c>
      <c r="AV20" s="3">
        <f ca="1">IFERROR(__xludf.DUMMYFUNCTION("""COMPUTED_VALUE"""),3251153)</f>
        <v>3251153</v>
      </c>
      <c r="AW20" s="4">
        <f ca="1">IFERROR(__xludf.DUMMYFUNCTION("""COMPUTED_VALUE"""),42307.6666666666)</f>
        <v>42307.666666666599</v>
      </c>
      <c r="AX20" s="3">
        <f ca="1">IFERROR(__xludf.DUMMYFUNCTION("""COMPUTED_VALUE"""),30.95)</f>
        <v>30.95</v>
      </c>
      <c r="AY20" s="3">
        <f ca="1">IFERROR(__xludf.DUMMYFUNCTION("""COMPUTED_VALUE"""),30.95)</f>
        <v>30.95</v>
      </c>
      <c r="AZ20" s="3">
        <f ca="1">IFERROR(__xludf.DUMMYFUNCTION("""COMPUTED_VALUE"""),30.95)</f>
        <v>30.95</v>
      </c>
      <c r="BA20" s="3">
        <f ca="1">IFERROR(__xludf.DUMMYFUNCTION("""COMPUTED_VALUE"""),30.95)</f>
        <v>30.95</v>
      </c>
      <c r="BB20" s="3">
        <f ca="1">IFERROR(__xludf.DUMMYFUNCTION("""COMPUTED_VALUE"""),211)</f>
        <v>211</v>
      </c>
      <c r="BC20" s="4">
        <f ca="1">IFERROR(__xludf.DUMMYFUNCTION("""COMPUTED_VALUE"""),42153.6666666666)</f>
        <v>42153.666666666599</v>
      </c>
      <c r="BD20" s="3">
        <f ca="1">IFERROR(__xludf.DUMMYFUNCTION("""COMPUTED_VALUE"""),43.69)</f>
        <v>43.69</v>
      </c>
      <c r="BE20" s="3">
        <f ca="1">IFERROR(__xludf.DUMMYFUNCTION("""COMPUTED_VALUE"""),43.71)</f>
        <v>43.71</v>
      </c>
      <c r="BF20" s="3">
        <f ca="1">IFERROR(__xludf.DUMMYFUNCTION("""COMPUTED_VALUE"""),43.26)</f>
        <v>43.26</v>
      </c>
      <c r="BG20" s="3">
        <f ca="1">IFERROR(__xludf.DUMMYFUNCTION("""COMPUTED_VALUE"""),43.37)</f>
        <v>43.37</v>
      </c>
      <c r="BH20" s="3">
        <f ca="1">IFERROR(__xludf.DUMMYFUNCTION("""COMPUTED_VALUE"""),7738375)</f>
        <v>7738375</v>
      </c>
      <c r="BI20" s="4">
        <f ca="1">IFERROR(__xludf.DUMMYFUNCTION("""COMPUTED_VALUE"""),42153.6666666666)</f>
        <v>42153.666666666599</v>
      </c>
      <c r="BJ20" s="3">
        <f ca="1">IFERROR(__xludf.DUMMYFUNCTION("""COMPUTED_VALUE"""),44.48)</f>
        <v>44.48</v>
      </c>
      <c r="BK20" s="3">
        <f ca="1">IFERROR(__xludf.DUMMYFUNCTION("""COMPUTED_VALUE"""),44.7)</f>
        <v>44.7</v>
      </c>
      <c r="BL20" s="3">
        <f ca="1">IFERROR(__xludf.DUMMYFUNCTION("""COMPUTED_VALUE"""),44.33)</f>
        <v>44.33</v>
      </c>
      <c r="BM20" s="3">
        <f ca="1">IFERROR(__xludf.DUMMYFUNCTION("""COMPUTED_VALUE"""),44.5)</f>
        <v>44.5</v>
      </c>
      <c r="BN20" s="3">
        <f ca="1">IFERROR(__xludf.DUMMYFUNCTION("""COMPUTED_VALUE"""),9160483)</f>
        <v>9160483</v>
      </c>
    </row>
    <row r="21" spans="7:66" ht="15.75" customHeight="1" x14ac:dyDescent="0.15">
      <c r="G21" s="4">
        <f ca="1">IFERROR(__xludf.DUMMYFUNCTION("""COMPUTED_VALUE"""),42156.6666666666)</f>
        <v>42156.666666666599</v>
      </c>
      <c r="H21" s="3">
        <f ca="1">IFERROR(__xludf.DUMMYFUNCTION("""COMPUTED_VALUE"""),76.37)</f>
        <v>76.37</v>
      </c>
      <c r="I21" s="3">
        <f ca="1">IFERROR(__xludf.DUMMYFUNCTION("""COMPUTED_VALUE"""),76.79)</f>
        <v>76.790000000000006</v>
      </c>
      <c r="J21" s="3">
        <f ca="1">IFERROR(__xludf.DUMMYFUNCTION("""COMPUTED_VALUE"""),76.14)</f>
        <v>76.14</v>
      </c>
      <c r="K21" s="3">
        <f ca="1">IFERROR(__xludf.DUMMYFUNCTION("""COMPUTED_VALUE"""),76.52)</f>
        <v>76.52</v>
      </c>
      <c r="L21" s="3">
        <f ca="1">IFERROR(__xludf.DUMMYFUNCTION("""COMPUTED_VALUE"""),5547524)</f>
        <v>5547524</v>
      </c>
      <c r="M21" s="4">
        <f ca="1">IFERROR(__xludf.DUMMYFUNCTION("""COMPUTED_VALUE"""),42156.6666666666)</f>
        <v>42156.666666666599</v>
      </c>
      <c r="N21" s="3">
        <f ca="1">IFERROR(__xludf.DUMMYFUNCTION("""COMPUTED_VALUE"""),48.89)</f>
        <v>48.89</v>
      </c>
      <c r="O21" s="3">
        <f ca="1">IFERROR(__xludf.DUMMYFUNCTION("""COMPUTED_VALUE"""),48.99)</f>
        <v>48.99</v>
      </c>
      <c r="P21" s="3">
        <f ca="1">IFERROR(__xludf.DUMMYFUNCTION("""COMPUTED_VALUE"""),48.62)</f>
        <v>48.62</v>
      </c>
      <c r="Q21" s="3">
        <f ca="1">IFERROR(__xludf.DUMMYFUNCTION("""COMPUTED_VALUE"""),48.79)</f>
        <v>48.79</v>
      </c>
      <c r="R21" s="3">
        <f ca="1">IFERROR(__xludf.DUMMYFUNCTION("""COMPUTED_VALUE"""),5992277)</f>
        <v>5992277</v>
      </c>
      <c r="S21" s="4">
        <f ca="1">IFERROR(__xludf.DUMMYFUNCTION("""COMPUTED_VALUE"""),42156.6666666666)</f>
        <v>42156.666666666599</v>
      </c>
      <c r="T21" s="3">
        <f ca="1">IFERROR(__xludf.DUMMYFUNCTION("""COMPUTED_VALUE"""),78.59)</f>
        <v>78.59</v>
      </c>
      <c r="U21" s="3">
        <f ca="1">IFERROR(__xludf.DUMMYFUNCTION("""COMPUTED_VALUE"""),78.6)</f>
        <v>78.599999999999994</v>
      </c>
      <c r="V21" s="3">
        <f ca="1">IFERROR(__xludf.DUMMYFUNCTION("""COMPUTED_VALUE"""),78.09)</f>
        <v>78.09</v>
      </c>
      <c r="W21" s="3">
        <f ca="1">IFERROR(__xludf.DUMMYFUNCTION("""COMPUTED_VALUE"""),78.19)</f>
        <v>78.19</v>
      </c>
      <c r="X21" s="3">
        <f ca="1">IFERROR(__xludf.DUMMYFUNCTION("""COMPUTED_VALUE"""),8487184)</f>
        <v>8487184</v>
      </c>
      <c r="Y21" s="4">
        <f ca="1">IFERROR(__xludf.DUMMYFUNCTION("""COMPUTED_VALUE"""),42156.6666666666)</f>
        <v>42156.666666666599</v>
      </c>
      <c r="Z21" s="3">
        <f ca="1">IFERROR(__xludf.DUMMYFUNCTION("""COMPUTED_VALUE"""),20.08)</f>
        <v>20.079999999999998</v>
      </c>
      <c r="AA21" s="3">
        <f ca="1">IFERROR(__xludf.DUMMYFUNCTION("""COMPUTED_VALUE"""),20.11)</f>
        <v>20.11</v>
      </c>
      <c r="AB21" s="3">
        <f ca="1">IFERROR(__xludf.DUMMYFUNCTION("""COMPUTED_VALUE"""),19.94)</f>
        <v>19.940000000000001</v>
      </c>
      <c r="AC21" s="3">
        <f ca="1">IFERROR(__xludf.DUMMYFUNCTION("""COMPUTED_VALUE"""),19.99)</f>
        <v>19.989999999999998</v>
      </c>
      <c r="AD21" s="3">
        <f ca="1">IFERROR(__xludf.DUMMYFUNCTION("""COMPUTED_VALUE"""),18734545)</f>
        <v>18734545</v>
      </c>
      <c r="AE21" s="4">
        <f ca="1">IFERROR(__xludf.DUMMYFUNCTION("""COMPUTED_VALUE"""),42156.6666666666)</f>
        <v>42156.666666666599</v>
      </c>
      <c r="AF21" s="3">
        <f ca="1">IFERROR(__xludf.DUMMYFUNCTION("""COMPUTED_VALUE"""),75.37)</f>
        <v>75.37</v>
      </c>
      <c r="AG21" s="3">
        <f ca="1">IFERROR(__xludf.DUMMYFUNCTION("""COMPUTED_VALUE"""),75.53)</f>
        <v>75.53</v>
      </c>
      <c r="AH21" s="3">
        <f ca="1">IFERROR(__xludf.DUMMYFUNCTION("""COMPUTED_VALUE"""),74.74)</f>
        <v>74.739999999999995</v>
      </c>
      <c r="AI21" s="3">
        <f ca="1">IFERROR(__xludf.DUMMYFUNCTION("""COMPUTED_VALUE"""),75.24)</f>
        <v>75.239999999999995</v>
      </c>
      <c r="AJ21" s="3">
        <f ca="1">IFERROR(__xludf.DUMMYFUNCTION("""COMPUTED_VALUE"""),7466723)</f>
        <v>7466723</v>
      </c>
      <c r="AK21" s="4">
        <f ca="1">IFERROR(__xludf.DUMMYFUNCTION("""COMPUTED_VALUE"""),42156.6666666666)</f>
        <v>42156.666666666599</v>
      </c>
      <c r="AL21" s="3">
        <f ca="1">IFERROR(__xludf.DUMMYFUNCTION("""COMPUTED_VALUE"""),55.99)</f>
        <v>55.99</v>
      </c>
      <c r="AM21" s="3">
        <f ca="1">IFERROR(__xludf.DUMMYFUNCTION("""COMPUTED_VALUE"""),56.25)</f>
        <v>56.25</v>
      </c>
      <c r="AN21" s="3">
        <f ca="1">IFERROR(__xludf.DUMMYFUNCTION("""COMPUTED_VALUE"""),55.67)</f>
        <v>55.67</v>
      </c>
      <c r="AO21" s="3">
        <f ca="1">IFERROR(__xludf.DUMMYFUNCTION("""COMPUTED_VALUE"""),56.06)</f>
        <v>56.06</v>
      </c>
      <c r="AP21" s="3">
        <f ca="1">IFERROR(__xludf.DUMMYFUNCTION("""COMPUTED_VALUE"""),8712908)</f>
        <v>8712908</v>
      </c>
      <c r="AQ21" s="4">
        <f ca="1">IFERROR(__xludf.DUMMYFUNCTION("""COMPUTED_VALUE"""),42156.6666666666)</f>
        <v>42156.666666666599</v>
      </c>
      <c r="AR21" s="3">
        <f ca="1">IFERROR(__xludf.DUMMYFUNCTION("""COMPUTED_VALUE"""),50.73)</f>
        <v>50.73</v>
      </c>
      <c r="AS21" s="3">
        <f ca="1">IFERROR(__xludf.DUMMYFUNCTION("""COMPUTED_VALUE"""),50.77)</f>
        <v>50.77</v>
      </c>
      <c r="AT21" s="3">
        <f ca="1">IFERROR(__xludf.DUMMYFUNCTION("""COMPUTED_VALUE"""),50.28)</f>
        <v>50.28</v>
      </c>
      <c r="AU21" s="3">
        <f ca="1">IFERROR(__xludf.DUMMYFUNCTION("""COMPUTED_VALUE"""),50.63)</f>
        <v>50.63</v>
      </c>
      <c r="AV21" s="3">
        <f ca="1">IFERROR(__xludf.DUMMYFUNCTION("""COMPUTED_VALUE"""),4367948)</f>
        <v>4367948</v>
      </c>
      <c r="AW21" s="4">
        <f ca="1">IFERROR(__xludf.DUMMYFUNCTION("""COMPUTED_VALUE"""),42311.6666666666)</f>
        <v>42311.666666666599</v>
      </c>
      <c r="AX21" s="3">
        <f ca="1">IFERROR(__xludf.DUMMYFUNCTION("""COMPUTED_VALUE"""),31.6)</f>
        <v>31.6</v>
      </c>
      <c r="AY21" s="3">
        <f ca="1">IFERROR(__xludf.DUMMYFUNCTION("""COMPUTED_VALUE"""),31.6)</f>
        <v>31.6</v>
      </c>
      <c r="AZ21" s="3">
        <f ca="1">IFERROR(__xludf.DUMMYFUNCTION("""COMPUTED_VALUE"""),31.32)</f>
        <v>31.32</v>
      </c>
      <c r="BA21" s="3">
        <f ca="1">IFERROR(__xludf.DUMMYFUNCTION("""COMPUTED_VALUE"""),31.35)</f>
        <v>31.35</v>
      </c>
      <c r="BB21" s="3">
        <f ca="1">IFERROR(__xludf.DUMMYFUNCTION("""COMPUTED_VALUE"""),520)</f>
        <v>520</v>
      </c>
      <c r="BC21" s="4">
        <f ca="1">IFERROR(__xludf.DUMMYFUNCTION("""COMPUTED_VALUE"""),42156.6666666666)</f>
        <v>42156.666666666599</v>
      </c>
      <c r="BD21" s="3">
        <f ca="1">IFERROR(__xludf.DUMMYFUNCTION("""COMPUTED_VALUE"""),43.62)</f>
        <v>43.62</v>
      </c>
      <c r="BE21" s="3">
        <f ca="1">IFERROR(__xludf.DUMMYFUNCTION("""COMPUTED_VALUE"""),43.64)</f>
        <v>43.64</v>
      </c>
      <c r="BF21" s="3">
        <f ca="1">IFERROR(__xludf.DUMMYFUNCTION("""COMPUTED_VALUE"""),43.22)</f>
        <v>43.22</v>
      </c>
      <c r="BG21" s="3">
        <f ca="1">IFERROR(__xludf.DUMMYFUNCTION("""COMPUTED_VALUE"""),43.49)</f>
        <v>43.49</v>
      </c>
      <c r="BH21" s="3">
        <f ca="1">IFERROR(__xludf.DUMMYFUNCTION("""COMPUTED_VALUE"""),6936313)</f>
        <v>6936313</v>
      </c>
      <c r="BI21" s="4">
        <f ca="1">IFERROR(__xludf.DUMMYFUNCTION("""COMPUTED_VALUE"""),42156.6666666666)</f>
        <v>42156.666666666599</v>
      </c>
      <c r="BJ21" s="3">
        <f ca="1">IFERROR(__xludf.DUMMYFUNCTION("""COMPUTED_VALUE"""),44.62)</f>
        <v>44.62</v>
      </c>
      <c r="BK21" s="3">
        <f ca="1">IFERROR(__xludf.DUMMYFUNCTION("""COMPUTED_VALUE"""),44.83)</f>
        <v>44.83</v>
      </c>
      <c r="BL21" s="3">
        <f ca="1">IFERROR(__xludf.DUMMYFUNCTION("""COMPUTED_VALUE"""),44.42)</f>
        <v>44.42</v>
      </c>
      <c r="BM21" s="3">
        <f ca="1">IFERROR(__xludf.DUMMYFUNCTION("""COMPUTED_VALUE"""),44.56)</f>
        <v>44.56</v>
      </c>
      <c r="BN21" s="3">
        <f ca="1">IFERROR(__xludf.DUMMYFUNCTION("""COMPUTED_VALUE"""),8839059)</f>
        <v>8839059</v>
      </c>
    </row>
    <row r="22" spans="7:66" ht="15.75" customHeight="1" x14ac:dyDescent="0.15">
      <c r="G22" s="4">
        <f ca="1">IFERROR(__xludf.DUMMYFUNCTION("""COMPUTED_VALUE"""),42157.6666666666)</f>
        <v>42157.666666666599</v>
      </c>
      <c r="H22" s="3">
        <f ca="1">IFERROR(__xludf.DUMMYFUNCTION("""COMPUTED_VALUE"""),76.35)</f>
        <v>76.349999999999994</v>
      </c>
      <c r="I22" s="3">
        <f ca="1">IFERROR(__xludf.DUMMYFUNCTION("""COMPUTED_VALUE"""),77.06)</f>
        <v>77.06</v>
      </c>
      <c r="J22" s="3">
        <f ca="1">IFERROR(__xludf.DUMMYFUNCTION("""COMPUTED_VALUE"""),76.25)</f>
        <v>76.25</v>
      </c>
      <c r="K22" s="3">
        <f ca="1">IFERROR(__xludf.DUMMYFUNCTION("""COMPUTED_VALUE"""),76.69)</f>
        <v>76.69</v>
      </c>
      <c r="L22" s="3">
        <f ca="1">IFERROR(__xludf.DUMMYFUNCTION("""COMPUTED_VALUE"""),7130786)</f>
        <v>7130786</v>
      </c>
      <c r="M22" s="4">
        <f ca="1">IFERROR(__xludf.DUMMYFUNCTION("""COMPUTED_VALUE"""),42157.6666666666)</f>
        <v>42157.666666666599</v>
      </c>
      <c r="N22" s="3">
        <f ca="1">IFERROR(__xludf.DUMMYFUNCTION("""COMPUTED_VALUE"""),48.65)</f>
        <v>48.65</v>
      </c>
      <c r="O22" s="3">
        <f ca="1">IFERROR(__xludf.DUMMYFUNCTION("""COMPUTED_VALUE"""),48.77)</f>
        <v>48.77</v>
      </c>
      <c r="P22" s="3">
        <f ca="1">IFERROR(__xludf.DUMMYFUNCTION("""COMPUTED_VALUE"""),48.42)</f>
        <v>48.42</v>
      </c>
      <c r="Q22" s="3">
        <f ca="1">IFERROR(__xludf.DUMMYFUNCTION("""COMPUTED_VALUE"""),48.66)</f>
        <v>48.66</v>
      </c>
      <c r="R22" s="3">
        <f ca="1">IFERROR(__xludf.DUMMYFUNCTION("""COMPUTED_VALUE"""),4998166)</f>
        <v>4998166</v>
      </c>
      <c r="S22" s="4">
        <f ca="1">IFERROR(__xludf.DUMMYFUNCTION("""COMPUTED_VALUE"""),42157.6666666666)</f>
        <v>42157.666666666599</v>
      </c>
      <c r="T22" s="3">
        <f ca="1">IFERROR(__xludf.DUMMYFUNCTION("""COMPUTED_VALUE"""),78.43)</f>
        <v>78.430000000000007</v>
      </c>
      <c r="U22" s="3">
        <f ca="1">IFERROR(__xludf.DUMMYFUNCTION("""COMPUTED_VALUE"""),79.11)</f>
        <v>79.11</v>
      </c>
      <c r="V22" s="3">
        <f ca="1">IFERROR(__xludf.DUMMYFUNCTION("""COMPUTED_VALUE"""),78.01)</f>
        <v>78.010000000000005</v>
      </c>
      <c r="W22" s="3">
        <f ca="1">IFERROR(__xludf.DUMMYFUNCTION("""COMPUTED_VALUE"""),78.73)</f>
        <v>78.73</v>
      </c>
      <c r="X22" s="3">
        <f ca="1">IFERROR(__xludf.DUMMYFUNCTION("""COMPUTED_VALUE"""),10183010)</f>
        <v>10183010</v>
      </c>
      <c r="Y22" s="4">
        <f ca="1">IFERROR(__xludf.DUMMYFUNCTION("""COMPUTED_VALUE"""),42157.6666666666)</f>
        <v>42157.666666666599</v>
      </c>
      <c r="Z22" s="3">
        <f ca="1">IFERROR(__xludf.DUMMYFUNCTION("""COMPUTED_VALUE"""),19.98)</f>
        <v>19.98</v>
      </c>
      <c r="AA22" s="3">
        <f ca="1">IFERROR(__xludf.DUMMYFUNCTION("""COMPUTED_VALUE"""),20.1)</f>
        <v>20.100000000000001</v>
      </c>
      <c r="AB22" s="3">
        <f ca="1">IFERROR(__xludf.DUMMYFUNCTION("""COMPUTED_VALUE"""),19.9)</f>
        <v>19.899999999999999</v>
      </c>
      <c r="AC22" s="3">
        <f ca="1">IFERROR(__xludf.DUMMYFUNCTION("""COMPUTED_VALUE"""),20.03)</f>
        <v>20.03</v>
      </c>
      <c r="AD22" s="3">
        <f ca="1">IFERROR(__xludf.DUMMYFUNCTION("""COMPUTED_VALUE"""),21467845)</f>
        <v>21467845</v>
      </c>
      <c r="AE22" s="4">
        <f ca="1">IFERROR(__xludf.DUMMYFUNCTION("""COMPUTED_VALUE"""),42157.6666666666)</f>
        <v>42157.666666666599</v>
      </c>
      <c r="AF22" s="3">
        <f ca="1">IFERROR(__xludf.DUMMYFUNCTION("""COMPUTED_VALUE"""),75)</f>
        <v>75</v>
      </c>
      <c r="AG22" s="3">
        <f ca="1">IFERROR(__xludf.DUMMYFUNCTION("""COMPUTED_VALUE"""),75.09)</f>
        <v>75.09</v>
      </c>
      <c r="AH22" s="3">
        <f ca="1">IFERROR(__xludf.DUMMYFUNCTION("""COMPUTED_VALUE"""),74.46)</f>
        <v>74.459999999999994</v>
      </c>
      <c r="AI22" s="3">
        <f ca="1">IFERROR(__xludf.DUMMYFUNCTION("""COMPUTED_VALUE"""),74.75)</f>
        <v>74.75</v>
      </c>
      <c r="AJ22" s="3">
        <f ca="1">IFERROR(__xludf.DUMMYFUNCTION("""COMPUTED_VALUE"""),5722417)</f>
        <v>5722417</v>
      </c>
      <c r="AK22" s="4">
        <f ca="1">IFERROR(__xludf.DUMMYFUNCTION("""COMPUTED_VALUE"""),42157.6666666666)</f>
        <v>42157.666666666599</v>
      </c>
      <c r="AL22" s="3">
        <f ca="1">IFERROR(__xludf.DUMMYFUNCTION("""COMPUTED_VALUE"""),55.87)</f>
        <v>55.87</v>
      </c>
      <c r="AM22" s="3">
        <f ca="1">IFERROR(__xludf.DUMMYFUNCTION("""COMPUTED_VALUE"""),56.41)</f>
        <v>56.41</v>
      </c>
      <c r="AN22" s="3">
        <f ca="1">IFERROR(__xludf.DUMMYFUNCTION("""COMPUTED_VALUE"""),55.73)</f>
        <v>55.73</v>
      </c>
      <c r="AO22" s="3">
        <f ca="1">IFERROR(__xludf.DUMMYFUNCTION("""COMPUTED_VALUE"""),56.17)</f>
        <v>56.17</v>
      </c>
      <c r="AP22" s="3">
        <f ca="1">IFERROR(__xludf.DUMMYFUNCTION("""COMPUTED_VALUE"""),6126842)</f>
        <v>6126842</v>
      </c>
      <c r="AQ22" s="4">
        <f ca="1">IFERROR(__xludf.DUMMYFUNCTION("""COMPUTED_VALUE"""),42157.6666666666)</f>
        <v>42157.666666666599</v>
      </c>
      <c r="AR22" s="3">
        <f ca="1">IFERROR(__xludf.DUMMYFUNCTION("""COMPUTED_VALUE"""),50.56)</f>
        <v>50.56</v>
      </c>
      <c r="AS22" s="3">
        <f ca="1">IFERROR(__xludf.DUMMYFUNCTION("""COMPUTED_VALUE"""),51.02)</f>
        <v>51.02</v>
      </c>
      <c r="AT22" s="3">
        <f ca="1">IFERROR(__xludf.DUMMYFUNCTION("""COMPUTED_VALUE"""),50.45)</f>
        <v>50.45</v>
      </c>
      <c r="AU22" s="3">
        <f ca="1">IFERROR(__xludf.DUMMYFUNCTION("""COMPUTED_VALUE"""),50.79)</f>
        <v>50.79</v>
      </c>
      <c r="AV22" s="3">
        <f ca="1">IFERROR(__xludf.DUMMYFUNCTION("""COMPUTED_VALUE"""),3655845)</f>
        <v>3655845</v>
      </c>
      <c r="AW22" s="4">
        <f ca="1">IFERROR(__xludf.DUMMYFUNCTION("""COMPUTED_VALUE"""),42312.6666666666)</f>
        <v>42312.666666666599</v>
      </c>
      <c r="AX22" s="3">
        <f ca="1">IFERROR(__xludf.DUMMYFUNCTION("""COMPUTED_VALUE"""),31.52)</f>
        <v>31.52</v>
      </c>
      <c r="AY22" s="3">
        <f ca="1">IFERROR(__xludf.DUMMYFUNCTION("""COMPUTED_VALUE"""),31.52)</f>
        <v>31.52</v>
      </c>
      <c r="AZ22" s="3">
        <f ca="1">IFERROR(__xludf.DUMMYFUNCTION("""COMPUTED_VALUE"""),31.22)</f>
        <v>31.22</v>
      </c>
      <c r="BA22" s="3">
        <f ca="1">IFERROR(__xludf.DUMMYFUNCTION("""COMPUTED_VALUE"""),31.22)</f>
        <v>31.22</v>
      </c>
      <c r="BB22" s="3">
        <f ca="1">IFERROR(__xludf.DUMMYFUNCTION("""COMPUTED_VALUE"""),1850)</f>
        <v>1850</v>
      </c>
      <c r="BC22" s="4">
        <f ca="1">IFERROR(__xludf.DUMMYFUNCTION("""COMPUTED_VALUE"""),42157.6666666666)</f>
        <v>42157.666666666599</v>
      </c>
      <c r="BD22" s="3">
        <f ca="1">IFERROR(__xludf.DUMMYFUNCTION("""COMPUTED_VALUE"""),43.33)</f>
        <v>43.33</v>
      </c>
      <c r="BE22" s="3">
        <f ca="1">IFERROR(__xludf.DUMMYFUNCTION("""COMPUTED_VALUE"""),43.6)</f>
        <v>43.6</v>
      </c>
      <c r="BF22" s="3">
        <f ca="1">IFERROR(__xludf.DUMMYFUNCTION("""COMPUTED_VALUE"""),43.12)</f>
        <v>43.12</v>
      </c>
      <c r="BG22" s="3">
        <f ca="1">IFERROR(__xludf.DUMMYFUNCTION("""COMPUTED_VALUE"""),43.4)</f>
        <v>43.4</v>
      </c>
      <c r="BH22" s="3">
        <f ca="1">IFERROR(__xludf.DUMMYFUNCTION("""COMPUTED_VALUE"""),5637768)</f>
        <v>5637768</v>
      </c>
      <c r="BI22" s="4">
        <f ca="1">IFERROR(__xludf.DUMMYFUNCTION("""COMPUTED_VALUE"""),42157.6666666666)</f>
        <v>42157.666666666599</v>
      </c>
      <c r="BJ22" s="3">
        <f ca="1">IFERROR(__xludf.DUMMYFUNCTION("""COMPUTED_VALUE"""),44.32)</f>
        <v>44.32</v>
      </c>
      <c r="BK22" s="3">
        <f ca="1">IFERROR(__xludf.DUMMYFUNCTION("""COMPUTED_VALUE"""),44.36)</f>
        <v>44.36</v>
      </c>
      <c r="BL22" s="3">
        <f ca="1">IFERROR(__xludf.DUMMYFUNCTION("""COMPUTED_VALUE"""),43.66)</f>
        <v>43.66</v>
      </c>
      <c r="BM22" s="3">
        <f ca="1">IFERROR(__xludf.DUMMYFUNCTION("""COMPUTED_VALUE"""),43.97)</f>
        <v>43.97</v>
      </c>
      <c r="BN22" s="3">
        <f ca="1">IFERROR(__xludf.DUMMYFUNCTION("""COMPUTED_VALUE"""),12151348)</f>
        <v>12151348</v>
      </c>
    </row>
    <row r="23" spans="7:66" ht="15.75" customHeight="1" x14ac:dyDescent="0.15">
      <c r="G23" s="4">
        <f ca="1">IFERROR(__xludf.DUMMYFUNCTION("""COMPUTED_VALUE"""),42158.6666666666)</f>
        <v>42158.666666666599</v>
      </c>
      <c r="H23" s="3">
        <f ca="1">IFERROR(__xludf.DUMMYFUNCTION("""COMPUTED_VALUE"""),76.9)</f>
        <v>76.900000000000006</v>
      </c>
      <c r="I23" s="3">
        <f ca="1">IFERROR(__xludf.DUMMYFUNCTION("""COMPUTED_VALUE"""),77.4)</f>
        <v>77.400000000000006</v>
      </c>
      <c r="J23" s="3">
        <f ca="1">IFERROR(__xludf.DUMMYFUNCTION("""COMPUTED_VALUE"""),76.7)</f>
        <v>76.7</v>
      </c>
      <c r="K23" s="3">
        <f ca="1">IFERROR(__xludf.DUMMYFUNCTION("""COMPUTED_VALUE"""),77.29)</f>
        <v>77.290000000000006</v>
      </c>
      <c r="L23" s="3">
        <f ca="1">IFERROR(__xludf.DUMMYFUNCTION("""COMPUTED_VALUE"""),4398015)</f>
        <v>4398015</v>
      </c>
      <c r="M23" s="4">
        <f ca="1">IFERROR(__xludf.DUMMYFUNCTION("""COMPUTED_VALUE"""),42158.6666666666)</f>
        <v>42158.666666666599</v>
      </c>
      <c r="N23" s="3">
        <f ca="1">IFERROR(__xludf.DUMMYFUNCTION("""COMPUTED_VALUE"""),48.72)</f>
        <v>48.72</v>
      </c>
      <c r="O23" s="3">
        <f ca="1">IFERROR(__xludf.DUMMYFUNCTION("""COMPUTED_VALUE"""),48.86)</f>
        <v>48.86</v>
      </c>
      <c r="P23" s="3">
        <f ca="1">IFERROR(__xludf.DUMMYFUNCTION("""COMPUTED_VALUE"""),48.56)</f>
        <v>48.56</v>
      </c>
      <c r="Q23" s="3">
        <f ca="1">IFERROR(__xludf.DUMMYFUNCTION("""COMPUTED_VALUE"""),48.63)</f>
        <v>48.63</v>
      </c>
      <c r="R23" s="3">
        <f ca="1">IFERROR(__xludf.DUMMYFUNCTION("""COMPUTED_VALUE"""),5892661)</f>
        <v>5892661</v>
      </c>
      <c r="S23" s="4">
        <f ca="1">IFERROR(__xludf.DUMMYFUNCTION("""COMPUTED_VALUE"""),42158.6666666666)</f>
        <v>42158.666666666599</v>
      </c>
      <c r="T23" s="3">
        <f ca="1">IFERROR(__xludf.DUMMYFUNCTION("""COMPUTED_VALUE"""),78.49)</f>
        <v>78.489999999999995</v>
      </c>
      <c r="U23" s="3">
        <f ca="1">IFERROR(__xludf.DUMMYFUNCTION("""COMPUTED_VALUE"""),79.07)</f>
        <v>79.069999999999993</v>
      </c>
      <c r="V23" s="3">
        <f ca="1">IFERROR(__xludf.DUMMYFUNCTION("""COMPUTED_VALUE"""),78.08)</f>
        <v>78.08</v>
      </c>
      <c r="W23" s="3">
        <f ca="1">IFERROR(__xludf.DUMMYFUNCTION("""COMPUTED_VALUE"""),78.19)</f>
        <v>78.19</v>
      </c>
      <c r="X23" s="3">
        <f ca="1">IFERROR(__xludf.DUMMYFUNCTION("""COMPUTED_VALUE"""),8640272)</f>
        <v>8640272</v>
      </c>
      <c r="Y23" s="4">
        <f ca="1">IFERROR(__xludf.DUMMYFUNCTION("""COMPUTED_VALUE"""),42158.6666666666)</f>
        <v>42158.666666666599</v>
      </c>
      <c r="Z23" s="3">
        <f ca="1">IFERROR(__xludf.DUMMYFUNCTION("""COMPUTED_VALUE"""),20.1)</f>
        <v>20.100000000000001</v>
      </c>
      <c r="AA23" s="3">
        <f ca="1">IFERROR(__xludf.DUMMYFUNCTION("""COMPUTED_VALUE"""),20.25)</f>
        <v>20.25</v>
      </c>
      <c r="AB23" s="3">
        <f ca="1">IFERROR(__xludf.DUMMYFUNCTION("""COMPUTED_VALUE"""),20.06)</f>
        <v>20.059999999999999</v>
      </c>
      <c r="AC23" s="3">
        <f ca="1">IFERROR(__xludf.DUMMYFUNCTION("""COMPUTED_VALUE"""),20.2)</f>
        <v>20.2</v>
      </c>
      <c r="AD23" s="3">
        <f ca="1">IFERROR(__xludf.DUMMYFUNCTION("""COMPUTED_VALUE"""),33223803)</f>
        <v>33223803</v>
      </c>
      <c r="AE23" s="4">
        <f ca="1">IFERROR(__xludf.DUMMYFUNCTION("""COMPUTED_VALUE"""),42158.6666666666)</f>
        <v>42158.666666666599</v>
      </c>
      <c r="AF23" s="3">
        <f ca="1">IFERROR(__xludf.DUMMYFUNCTION("""COMPUTED_VALUE"""),75)</f>
        <v>75</v>
      </c>
      <c r="AG23" s="3">
        <f ca="1">IFERROR(__xludf.DUMMYFUNCTION("""COMPUTED_VALUE"""),75.07)</f>
        <v>75.069999999999993</v>
      </c>
      <c r="AH23" s="3">
        <f ca="1">IFERROR(__xludf.DUMMYFUNCTION("""COMPUTED_VALUE"""),74.68)</f>
        <v>74.680000000000007</v>
      </c>
      <c r="AI23" s="3">
        <f ca="1">IFERROR(__xludf.DUMMYFUNCTION("""COMPUTED_VALUE"""),74.89)</f>
        <v>74.89</v>
      </c>
      <c r="AJ23" s="3">
        <f ca="1">IFERROR(__xludf.DUMMYFUNCTION("""COMPUTED_VALUE"""),5357958)</f>
        <v>5357958</v>
      </c>
      <c r="AK23" s="4">
        <f ca="1">IFERROR(__xludf.DUMMYFUNCTION("""COMPUTED_VALUE"""),42158.6666666666)</f>
        <v>42158.666666666599</v>
      </c>
      <c r="AL23" s="3">
        <f ca="1">IFERROR(__xludf.DUMMYFUNCTION("""COMPUTED_VALUE"""),56.31)</f>
        <v>56.31</v>
      </c>
      <c r="AM23" s="3">
        <f ca="1">IFERROR(__xludf.DUMMYFUNCTION("""COMPUTED_VALUE"""),56.64)</f>
        <v>56.64</v>
      </c>
      <c r="AN23" s="3">
        <f ca="1">IFERROR(__xludf.DUMMYFUNCTION("""COMPUTED_VALUE"""),56.13)</f>
        <v>56.13</v>
      </c>
      <c r="AO23" s="3">
        <f ca="1">IFERROR(__xludf.DUMMYFUNCTION("""COMPUTED_VALUE"""),56.45)</f>
        <v>56.45</v>
      </c>
      <c r="AP23" s="3">
        <f ca="1">IFERROR(__xludf.DUMMYFUNCTION("""COMPUTED_VALUE"""),7916980)</f>
        <v>7916980</v>
      </c>
      <c r="AQ23" s="4">
        <f ca="1">IFERROR(__xludf.DUMMYFUNCTION("""COMPUTED_VALUE"""),42158.6666666666)</f>
        <v>42158.666666666599</v>
      </c>
      <c r="AR23" s="3">
        <f ca="1">IFERROR(__xludf.DUMMYFUNCTION("""COMPUTED_VALUE"""),50.96)</f>
        <v>50.96</v>
      </c>
      <c r="AS23" s="3">
        <f ca="1">IFERROR(__xludf.DUMMYFUNCTION("""COMPUTED_VALUE"""),51.15)</f>
        <v>51.15</v>
      </c>
      <c r="AT23" s="3">
        <f ca="1">IFERROR(__xludf.DUMMYFUNCTION("""COMPUTED_VALUE"""),50.75)</f>
        <v>50.75</v>
      </c>
      <c r="AU23" s="3">
        <f ca="1">IFERROR(__xludf.DUMMYFUNCTION("""COMPUTED_VALUE"""),50.84)</f>
        <v>50.84</v>
      </c>
      <c r="AV23" s="3">
        <f ca="1">IFERROR(__xludf.DUMMYFUNCTION("""COMPUTED_VALUE"""),2630240)</f>
        <v>2630240</v>
      </c>
      <c r="AW23" s="4">
        <f ca="1">IFERROR(__xludf.DUMMYFUNCTION("""COMPUTED_VALUE"""),42313.6666666666)</f>
        <v>42313.666666666599</v>
      </c>
      <c r="AX23" s="3">
        <f ca="1">IFERROR(__xludf.DUMMYFUNCTION("""COMPUTED_VALUE"""),31.28)</f>
        <v>31.28</v>
      </c>
      <c r="AY23" s="3">
        <f ca="1">IFERROR(__xludf.DUMMYFUNCTION("""COMPUTED_VALUE"""),31.28)</f>
        <v>31.28</v>
      </c>
      <c r="AZ23" s="3">
        <f ca="1">IFERROR(__xludf.DUMMYFUNCTION("""COMPUTED_VALUE"""),30.95)</f>
        <v>30.95</v>
      </c>
      <c r="BA23" s="3">
        <f ca="1">IFERROR(__xludf.DUMMYFUNCTION("""COMPUTED_VALUE"""),31.1)</f>
        <v>31.1</v>
      </c>
      <c r="BB23" s="3">
        <f ca="1">IFERROR(__xludf.DUMMYFUNCTION("""COMPUTED_VALUE"""),23810)</f>
        <v>23810</v>
      </c>
      <c r="BC23" s="4">
        <f ca="1">IFERROR(__xludf.DUMMYFUNCTION("""COMPUTED_VALUE"""),42158.6666666666)</f>
        <v>42158.666666666599</v>
      </c>
      <c r="BD23" s="3">
        <f ca="1">IFERROR(__xludf.DUMMYFUNCTION("""COMPUTED_VALUE"""),43.47)</f>
        <v>43.47</v>
      </c>
      <c r="BE23" s="3">
        <f ca="1">IFERROR(__xludf.DUMMYFUNCTION("""COMPUTED_VALUE"""),43.73)</f>
        <v>43.73</v>
      </c>
      <c r="BF23" s="3">
        <f ca="1">IFERROR(__xludf.DUMMYFUNCTION("""COMPUTED_VALUE"""),43.41)</f>
        <v>43.41</v>
      </c>
      <c r="BG23" s="3">
        <f ca="1">IFERROR(__xludf.DUMMYFUNCTION("""COMPUTED_VALUE"""),43.49)</f>
        <v>43.49</v>
      </c>
      <c r="BH23" s="3">
        <f ca="1">IFERROR(__xludf.DUMMYFUNCTION("""COMPUTED_VALUE"""),5657318)</f>
        <v>5657318</v>
      </c>
      <c r="BI23" s="4">
        <f ca="1">IFERROR(__xludf.DUMMYFUNCTION("""COMPUTED_VALUE"""),42158.6666666666)</f>
        <v>42158.666666666599</v>
      </c>
      <c r="BJ23" s="3">
        <f ca="1">IFERROR(__xludf.DUMMYFUNCTION("""COMPUTED_VALUE"""),43.8)</f>
        <v>43.8</v>
      </c>
      <c r="BK23" s="3">
        <f ca="1">IFERROR(__xludf.DUMMYFUNCTION("""COMPUTED_VALUE"""),43.98)</f>
        <v>43.98</v>
      </c>
      <c r="BL23" s="3">
        <f ca="1">IFERROR(__xludf.DUMMYFUNCTION("""COMPUTED_VALUE"""),43.08)</f>
        <v>43.08</v>
      </c>
      <c r="BM23" s="3">
        <f ca="1">IFERROR(__xludf.DUMMYFUNCTION("""COMPUTED_VALUE"""),43.32)</f>
        <v>43.32</v>
      </c>
      <c r="BN23" s="3">
        <f ca="1">IFERROR(__xludf.DUMMYFUNCTION("""COMPUTED_VALUE"""),23362547)</f>
        <v>23362547</v>
      </c>
    </row>
    <row r="24" spans="7:66" ht="15.75" customHeight="1" x14ac:dyDescent="0.15">
      <c r="G24" s="4">
        <f ca="1">IFERROR(__xludf.DUMMYFUNCTION("""COMPUTED_VALUE"""),42159.6666666666)</f>
        <v>42159.666666666599</v>
      </c>
      <c r="H24" s="3">
        <f ca="1">IFERROR(__xludf.DUMMYFUNCTION("""COMPUTED_VALUE"""),77.11)</f>
        <v>77.11</v>
      </c>
      <c r="I24" s="3">
        <f ca="1">IFERROR(__xludf.DUMMYFUNCTION("""COMPUTED_VALUE"""),77.27)</f>
        <v>77.27</v>
      </c>
      <c r="J24" s="3">
        <f ca="1">IFERROR(__xludf.DUMMYFUNCTION("""COMPUTED_VALUE"""),76.61)</f>
        <v>76.61</v>
      </c>
      <c r="K24" s="3">
        <f ca="1">IFERROR(__xludf.DUMMYFUNCTION("""COMPUTED_VALUE"""),76.74)</f>
        <v>76.739999999999995</v>
      </c>
      <c r="L24" s="3">
        <f ca="1">IFERROR(__xludf.DUMMYFUNCTION("""COMPUTED_VALUE"""),5660486)</f>
        <v>5660486</v>
      </c>
      <c r="M24" s="4">
        <f ca="1">IFERROR(__xludf.DUMMYFUNCTION("""COMPUTED_VALUE"""),42159.6666666666)</f>
        <v>42159.666666666599</v>
      </c>
      <c r="N24" s="3">
        <f ca="1">IFERROR(__xludf.DUMMYFUNCTION("""COMPUTED_VALUE"""),48.54)</f>
        <v>48.54</v>
      </c>
      <c r="O24" s="3">
        <f ca="1">IFERROR(__xludf.DUMMYFUNCTION("""COMPUTED_VALUE"""),48.66)</f>
        <v>48.66</v>
      </c>
      <c r="P24" s="3">
        <f ca="1">IFERROR(__xludf.DUMMYFUNCTION("""COMPUTED_VALUE"""),48.18)</f>
        <v>48.18</v>
      </c>
      <c r="Q24" s="3">
        <f ca="1">IFERROR(__xludf.DUMMYFUNCTION("""COMPUTED_VALUE"""),48.28)</f>
        <v>48.28</v>
      </c>
      <c r="R24" s="3">
        <f ca="1">IFERROR(__xludf.DUMMYFUNCTION("""COMPUTED_VALUE"""),7084781)</f>
        <v>7084781</v>
      </c>
      <c r="S24" s="4">
        <f ca="1">IFERROR(__xludf.DUMMYFUNCTION("""COMPUTED_VALUE"""),42159.6666666666)</f>
        <v>42159.666666666599</v>
      </c>
      <c r="T24" s="3">
        <f ca="1">IFERROR(__xludf.DUMMYFUNCTION("""COMPUTED_VALUE"""),77.78)</f>
        <v>77.78</v>
      </c>
      <c r="U24" s="3">
        <f ca="1">IFERROR(__xludf.DUMMYFUNCTION("""COMPUTED_VALUE"""),77.93)</f>
        <v>77.930000000000007</v>
      </c>
      <c r="V24" s="3">
        <f ca="1">IFERROR(__xludf.DUMMYFUNCTION("""COMPUTED_VALUE"""),77.07)</f>
        <v>77.069999999999993</v>
      </c>
      <c r="W24" s="3">
        <f ca="1">IFERROR(__xludf.DUMMYFUNCTION("""COMPUTED_VALUE"""),77.13)</f>
        <v>77.13</v>
      </c>
      <c r="X24" s="3">
        <f ca="1">IFERROR(__xludf.DUMMYFUNCTION("""COMPUTED_VALUE"""),15946084)</f>
        <v>15946084</v>
      </c>
      <c r="Y24" s="4">
        <f ca="1">IFERROR(__xludf.DUMMYFUNCTION("""COMPUTED_VALUE"""),42159.6666666666)</f>
        <v>42159.666666666599</v>
      </c>
      <c r="Z24" s="3">
        <f ca="1">IFERROR(__xludf.DUMMYFUNCTION("""COMPUTED_VALUE"""),20.14)</f>
        <v>20.14</v>
      </c>
      <c r="AA24" s="3">
        <f ca="1">IFERROR(__xludf.DUMMYFUNCTION("""COMPUTED_VALUE"""),20.18)</f>
        <v>20.18</v>
      </c>
      <c r="AB24" s="3">
        <f ca="1">IFERROR(__xludf.DUMMYFUNCTION("""COMPUTED_VALUE"""),19.98)</f>
        <v>19.98</v>
      </c>
      <c r="AC24" s="3">
        <f ca="1">IFERROR(__xludf.DUMMYFUNCTION("""COMPUTED_VALUE"""),20.02)</f>
        <v>20.02</v>
      </c>
      <c r="AD24" s="3">
        <f ca="1">IFERROR(__xludf.DUMMYFUNCTION("""COMPUTED_VALUE"""),30439739)</f>
        <v>30439739</v>
      </c>
      <c r="AE24" s="4">
        <f ca="1">IFERROR(__xludf.DUMMYFUNCTION("""COMPUTED_VALUE"""),42159.6666666666)</f>
        <v>42159.666666666599</v>
      </c>
      <c r="AF24" s="3">
        <f ca="1">IFERROR(__xludf.DUMMYFUNCTION("""COMPUTED_VALUE"""),74.61)</f>
        <v>74.61</v>
      </c>
      <c r="AG24" s="3">
        <f ca="1">IFERROR(__xludf.DUMMYFUNCTION("""COMPUTED_VALUE"""),74.91)</f>
        <v>74.91</v>
      </c>
      <c r="AH24" s="3">
        <f ca="1">IFERROR(__xludf.DUMMYFUNCTION("""COMPUTED_VALUE"""),74.11)</f>
        <v>74.11</v>
      </c>
      <c r="AI24" s="3">
        <f ca="1">IFERROR(__xludf.DUMMYFUNCTION("""COMPUTED_VALUE"""),74.37)</f>
        <v>74.37</v>
      </c>
      <c r="AJ24" s="3">
        <f ca="1">IFERROR(__xludf.DUMMYFUNCTION("""COMPUTED_VALUE"""),6479514)</f>
        <v>6479514</v>
      </c>
      <c r="AK24" s="4">
        <f ca="1">IFERROR(__xludf.DUMMYFUNCTION("""COMPUTED_VALUE"""),42159.6666666666)</f>
        <v>42159.666666666599</v>
      </c>
      <c r="AL24" s="3">
        <f ca="1">IFERROR(__xludf.DUMMYFUNCTION("""COMPUTED_VALUE"""),56.16)</f>
        <v>56.16</v>
      </c>
      <c r="AM24" s="3">
        <f ca="1">IFERROR(__xludf.DUMMYFUNCTION("""COMPUTED_VALUE"""),56.33)</f>
        <v>56.33</v>
      </c>
      <c r="AN24" s="3">
        <f ca="1">IFERROR(__xludf.DUMMYFUNCTION("""COMPUTED_VALUE"""),55.73)</f>
        <v>55.73</v>
      </c>
      <c r="AO24" s="3">
        <f ca="1">IFERROR(__xludf.DUMMYFUNCTION("""COMPUTED_VALUE"""),55.82)</f>
        <v>55.82</v>
      </c>
      <c r="AP24" s="3">
        <f ca="1">IFERROR(__xludf.DUMMYFUNCTION("""COMPUTED_VALUE"""),10183350)</f>
        <v>10183350</v>
      </c>
      <c r="AQ24" s="4">
        <f ca="1">IFERROR(__xludf.DUMMYFUNCTION("""COMPUTED_VALUE"""),42159.6666666666)</f>
        <v>42159.666666666599</v>
      </c>
      <c r="AR24" s="3">
        <f ca="1">IFERROR(__xludf.DUMMYFUNCTION("""COMPUTED_VALUE"""),50.54)</f>
        <v>50.54</v>
      </c>
      <c r="AS24" s="3">
        <f ca="1">IFERROR(__xludf.DUMMYFUNCTION("""COMPUTED_VALUE"""),50.54)</f>
        <v>50.54</v>
      </c>
      <c r="AT24" s="3">
        <f ca="1">IFERROR(__xludf.DUMMYFUNCTION("""COMPUTED_VALUE"""),50)</f>
        <v>50</v>
      </c>
      <c r="AU24" s="3">
        <f ca="1">IFERROR(__xludf.DUMMYFUNCTION("""COMPUTED_VALUE"""),50.24)</f>
        <v>50.24</v>
      </c>
      <c r="AV24" s="3">
        <f ca="1">IFERROR(__xludf.DUMMYFUNCTION("""COMPUTED_VALUE"""),3772663)</f>
        <v>3772663</v>
      </c>
      <c r="AW24" s="4">
        <f ca="1">IFERROR(__xludf.DUMMYFUNCTION("""COMPUTED_VALUE"""),42314.6666666666)</f>
        <v>42314.666666666599</v>
      </c>
      <c r="AX24" s="3">
        <f ca="1">IFERROR(__xludf.DUMMYFUNCTION("""COMPUTED_VALUE"""),30.38)</f>
        <v>30.38</v>
      </c>
      <c r="AY24" s="3">
        <f ca="1">IFERROR(__xludf.DUMMYFUNCTION("""COMPUTED_VALUE"""),30.38)</f>
        <v>30.38</v>
      </c>
      <c r="AZ24" s="3">
        <f ca="1">IFERROR(__xludf.DUMMYFUNCTION("""COMPUTED_VALUE"""),29.95)</f>
        <v>29.95</v>
      </c>
      <c r="BA24" s="3">
        <f ca="1">IFERROR(__xludf.DUMMYFUNCTION("""COMPUTED_VALUE"""),29.95)</f>
        <v>29.95</v>
      </c>
      <c r="BB24" s="3">
        <f ca="1">IFERROR(__xludf.DUMMYFUNCTION("""COMPUTED_VALUE"""),9031)</f>
        <v>9031</v>
      </c>
      <c r="BC24" s="4">
        <f ca="1">IFERROR(__xludf.DUMMYFUNCTION("""COMPUTED_VALUE"""),42159.6666666666)</f>
        <v>42159.666666666599</v>
      </c>
      <c r="BD24" s="3">
        <f ca="1">IFERROR(__xludf.DUMMYFUNCTION("""COMPUTED_VALUE"""),43.25)</f>
        <v>43.25</v>
      </c>
      <c r="BE24" s="3">
        <f ca="1">IFERROR(__xludf.DUMMYFUNCTION("""COMPUTED_VALUE"""),43.5)</f>
        <v>43.5</v>
      </c>
      <c r="BF24" s="3">
        <f ca="1">IFERROR(__xludf.DUMMYFUNCTION("""COMPUTED_VALUE"""),42.99)</f>
        <v>42.99</v>
      </c>
      <c r="BG24" s="3">
        <f ca="1">IFERROR(__xludf.DUMMYFUNCTION("""COMPUTED_VALUE"""),43.09)</f>
        <v>43.09</v>
      </c>
      <c r="BH24" s="3">
        <f ca="1">IFERROR(__xludf.DUMMYFUNCTION("""COMPUTED_VALUE"""),8347252)</f>
        <v>8347252</v>
      </c>
      <c r="BI24" s="4">
        <f ca="1">IFERROR(__xludf.DUMMYFUNCTION("""COMPUTED_VALUE"""),42159.6666666666)</f>
        <v>42159.666666666599</v>
      </c>
      <c r="BJ24" s="3">
        <f ca="1">IFERROR(__xludf.DUMMYFUNCTION("""COMPUTED_VALUE"""),43.37)</f>
        <v>43.37</v>
      </c>
      <c r="BK24" s="3">
        <f ca="1">IFERROR(__xludf.DUMMYFUNCTION("""COMPUTED_VALUE"""),43.56)</f>
        <v>43.56</v>
      </c>
      <c r="BL24" s="3">
        <f ca="1">IFERROR(__xludf.DUMMYFUNCTION("""COMPUTED_VALUE"""),43.18)</f>
        <v>43.18</v>
      </c>
      <c r="BM24" s="3">
        <f ca="1">IFERROR(__xludf.DUMMYFUNCTION("""COMPUTED_VALUE"""),43.26)</f>
        <v>43.26</v>
      </c>
      <c r="BN24" s="3">
        <f ca="1">IFERROR(__xludf.DUMMYFUNCTION("""COMPUTED_VALUE"""),13300890)</f>
        <v>13300890</v>
      </c>
    </row>
    <row r="25" spans="7:66" ht="15.75" customHeight="1" x14ac:dyDescent="0.15">
      <c r="G25" s="4">
        <f ca="1">IFERROR(__xludf.DUMMYFUNCTION("""COMPUTED_VALUE"""),42160.6666666666)</f>
        <v>42160.666666666599</v>
      </c>
      <c r="H25" s="3">
        <f ca="1">IFERROR(__xludf.DUMMYFUNCTION("""COMPUTED_VALUE"""),76.52)</f>
        <v>76.52</v>
      </c>
      <c r="I25" s="3">
        <f ca="1">IFERROR(__xludf.DUMMYFUNCTION("""COMPUTED_VALUE"""),76.7)</f>
        <v>76.7</v>
      </c>
      <c r="J25" s="3">
        <f ca="1">IFERROR(__xludf.DUMMYFUNCTION("""COMPUTED_VALUE"""),76.16)</f>
        <v>76.16</v>
      </c>
      <c r="K25" s="3">
        <f ca="1">IFERROR(__xludf.DUMMYFUNCTION("""COMPUTED_VALUE"""),76.52)</f>
        <v>76.52</v>
      </c>
      <c r="L25" s="3">
        <f ca="1">IFERROR(__xludf.DUMMYFUNCTION("""COMPUTED_VALUE"""),3512996)</f>
        <v>3512996</v>
      </c>
      <c r="M25" s="4">
        <f ca="1">IFERROR(__xludf.DUMMYFUNCTION("""COMPUTED_VALUE"""),42160.6666666666)</f>
        <v>42160.666666666599</v>
      </c>
      <c r="N25" s="3">
        <f ca="1">IFERROR(__xludf.DUMMYFUNCTION("""COMPUTED_VALUE"""),48.15)</f>
        <v>48.15</v>
      </c>
      <c r="O25" s="3">
        <f ca="1">IFERROR(__xludf.DUMMYFUNCTION("""COMPUTED_VALUE"""),48.27)</f>
        <v>48.27</v>
      </c>
      <c r="P25" s="3">
        <f ca="1">IFERROR(__xludf.DUMMYFUNCTION("""COMPUTED_VALUE"""),47.56)</f>
        <v>47.56</v>
      </c>
      <c r="Q25" s="3">
        <f ca="1">IFERROR(__xludf.DUMMYFUNCTION("""COMPUTED_VALUE"""),47.59)</f>
        <v>47.59</v>
      </c>
      <c r="R25" s="3">
        <f ca="1">IFERROR(__xludf.DUMMYFUNCTION("""COMPUTED_VALUE"""),9482272)</f>
        <v>9482272</v>
      </c>
      <c r="S25" s="4">
        <f ca="1">IFERROR(__xludf.DUMMYFUNCTION("""COMPUTED_VALUE"""),42160.6666666666)</f>
        <v>42160.666666666599</v>
      </c>
      <c r="T25" s="3">
        <f ca="1">IFERROR(__xludf.DUMMYFUNCTION("""COMPUTED_VALUE"""),76.78)</f>
        <v>76.78</v>
      </c>
      <c r="U25" s="3">
        <f ca="1">IFERROR(__xludf.DUMMYFUNCTION("""COMPUTED_VALUE"""),78.36)</f>
        <v>78.36</v>
      </c>
      <c r="V25" s="3">
        <f ca="1">IFERROR(__xludf.DUMMYFUNCTION("""COMPUTED_VALUE"""),76.75)</f>
        <v>76.75</v>
      </c>
      <c r="W25" s="3">
        <f ca="1">IFERROR(__xludf.DUMMYFUNCTION("""COMPUTED_VALUE"""),77.67)</f>
        <v>77.67</v>
      </c>
      <c r="X25" s="3">
        <f ca="1">IFERROR(__xludf.DUMMYFUNCTION("""COMPUTED_VALUE"""),18956004)</f>
        <v>18956004</v>
      </c>
      <c r="Y25" s="4">
        <f ca="1">IFERROR(__xludf.DUMMYFUNCTION("""COMPUTED_VALUE"""),42160.6666666666)</f>
        <v>42160.666666666599</v>
      </c>
      <c r="Z25" s="3">
        <f ca="1">IFERROR(__xludf.DUMMYFUNCTION("""COMPUTED_VALUE"""),20.16)</f>
        <v>20.16</v>
      </c>
      <c r="AA25" s="3">
        <f ca="1">IFERROR(__xludf.DUMMYFUNCTION("""COMPUTED_VALUE"""),20.26)</f>
        <v>20.260000000000002</v>
      </c>
      <c r="AB25" s="3">
        <f ca="1">IFERROR(__xludf.DUMMYFUNCTION("""COMPUTED_VALUE"""),20.07)</f>
        <v>20.07</v>
      </c>
      <c r="AC25" s="3">
        <f ca="1">IFERROR(__xludf.DUMMYFUNCTION("""COMPUTED_VALUE"""),20.13)</f>
        <v>20.13</v>
      </c>
      <c r="AD25" s="3">
        <f ca="1">IFERROR(__xludf.DUMMYFUNCTION("""COMPUTED_VALUE"""),42569389)</f>
        <v>42569389</v>
      </c>
      <c r="AE25" s="4">
        <f ca="1">IFERROR(__xludf.DUMMYFUNCTION("""COMPUTED_VALUE"""),42160.6666666666)</f>
        <v>42160.666666666599</v>
      </c>
      <c r="AF25" s="3">
        <f ca="1">IFERROR(__xludf.DUMMYFUNCTION("""COMPUTED_VALUE"""),74.27)</f>
        <v>74.27</v>
      </c>
      <c r="AG25" s="3">
        <f ca="1">IFERROR(__xludf.DUMMYFUNCTION("""COMPUTED_VALUE"""),74.39)</f>
        <v>74.39</v>
      </c>
      <c r="AH25" s="3">
        <f ca="1">IFERROR(__xludf.DUMMYFUNCTION("""COMPUTED_VALUE"""),73.74)</f>
        <v>73.739999999999995</v>
      </c>
      <c r="AI25" s="3">
        <f ca="1">IFERROR(__xludf.DUMMYFUNCTION("""COMPUTED_VALUE"""),74.34)</f>
        <v>74.34</v>
      </c>
      <c r="AJ25" s="3">
        <f ca="1">IFERROR(__xludf.DUMMYFUNCTION("""COMPUTED_VALUE"""),7772234)</f>
        <v>7772234</v>
      </c>
      <c r="AK25" s="4">
        <f ca="1">IFERROR(__xludf.DUMMYFUNCTION("""COMPUTED_VALUE"""),42160.6666666666)</f>
        <v>42160.666666666599</v>
      </c>
      <c r="AL25" s="3">
        <f ca="1">IFERROR(__xludf.DUMMYFUNCTION("""COMPUTED_VALUE"""),55.71)</f>
        <v>55.71</v>
      </c>
      <c r="AM25" s="3">
        <f ca="1">IFERROR(__xludf.DUMMYFUNCTION("""COMPUTED_VALUE"""),55.93)</f>
        <v>55.93</v>
      </c>
      <c r="AN25" s="3">
        <f ca="1">IFERROR(__xludf.DUMMYFUNCTION("""COMPUTED_VALUE"""),55.5)</f>
        <v>55.5</v>
      </c>
      <c r="AO25" s="3">
        <f ca="1">IFERROR(__xludf.DUMMYFUNCTION("""COMPUTED_VALUE"""),55.86)</f>
        <v>55.86</v>
      </c>
      <c r="AP25" s="3">
        <f ca="1">IFERROR(__xludf.DUMMYFUNCTION("""COMPUTED_VALUE"""),9071843)</f>
        <v>9071843</v>
      </c>
      <c r="AQ25" s="4">
        <f ca="1">IFERROR(__xludf.DUMMYFUNCTION("""COMPUTED_VALUE"""),42160.6666666666)</f>
        <v>42160.666666666599</v>
      </c>
      <c r="AR25" s="3">
        <f ca="1">IFERROR(__xludf.DUMMYFUNCTION("""COMPUTED_VALUE"""),50.07)</f>
        <v>50.07</v>
      </c>
      <c r="AS25" s="3">
        <f ca="1">IFERROR(__xludf.DUMMYFUNCTION("""COMPUTED_VALUE"""),50.25)</f>
        <v>50.25</v>
      </c>
      <c r="AT25" s="3">
        <f ca="1">IFERROR(__xludf.DUMMYFUNCTION("""COMPUTED_VALUE"""),49.8)</f>
        <v>49.8</v>
      </c>
      <c r="AU25" s="3">
        <f ca="1">IFERROR(__xludf.DUMMYFUNCTION("""COMPUTED_VALUE"""),50.01)</f>
        <v>50.01</v>
      </c>
      <c r="AV25" s="3">
        <f ca="1">IFERROR(__xludf.DUMMYFUNCTION("""COMPUTED_VALUE"""),2962205)</f>
        <v>2962205</v>
      </c>
      <c r="AW25" s="4">
        <f ca="1">IFERROR(__xludf.DUMMYFUNCTION("""COMPUTED_VALUE"""),42317.6666666666)</f>
        <v>42317.666666666599</v>
      </c>
      <c r="AX25" s="3">
        <f ca="1">IFERROR(__xludf.DUMMYFUNCTION("""COMPUTED_VALUE"""),29.82)</f>
        <v>29.82</v>
      </c>
      <c r="AY25" s="3">
        <f ca="1">IFERROR(__xludf.DUMMYFUNCTION("""COMPUTED_VALUE"""),30.1)</f>
        <v>30.1</v>
      </c>
      <c r="AZ25" s="3">
        <f ca="1">IFERROR(__xludf.DUMMYFUNCTION("""COMPUTED_VALUE"""),29.6)</f>
        <v>29.6</v>
      </c>
      <c r="BA25" s="3">
        <f ca="1">IFERROR(__xludf.DUMMYFUNCTION("""COMPUTED_VALUE"""),29.71)</f>
        <v>29.71</v>
      </c>
      <c r="BB25" s="3">
        <f ca="1">IFERROR(__xludf.DUMMYFUNCTION("""COMPUTED_VALUE"""),45453)</f>
        <v>45453</v>
      </c>
      <c r="BC25" s="4">
        <f ca="1">IFERROR(__xludf.DUMMYFUNCTION("""COMPUTED_VALUE"""),42160.6666666666)</f>
        <v>42160.666666666599</v>
      </c>
      <c r="BD25" s="3">
        <f ca="1">IFERROR(__xludf.DUMMYFUNCTION("""COMPUTED_VALUE"""),43.04)</f>
        <v>43.04</v>
      </c>
      <c r="BE25" s="3">
        <f ca="1">IFERROR(__xludf.DUMMYFUNCTION("""COMPUTED_VALUE"""),43.13)</f>
        <v>43.13</v>
      </c>
      <c r="BF25" s="3">
        <f ca="1">IFERROR(__xludf.DUMMYFUNCTION("""COMPUTED_VALUE"""),42.76)</f>
        <v>42.76</v>
      </c>
      <c r="BG25" s="3">
        <f ca="1">IFERROR(__xludf.DUMMYFUNCTION("""COMPUTED_VALUE"""),42.95)</f>
        <v>42.95</v>
      </c>
      <c r="BH25" s="3">
        <f ca="1">IFERROR(__xludf.DUMMYFUNCTION("""COMPUTED_VALUE"""),7727487)</f>
        <v>7727487</v>
      </c>
      <c r="BI25" s="4">
        <f ca="1">IFERROR(__xludf.DUMMYFUNCTION("""COMPUTED_VALUE"""),42160.6666666666)</f>
        <v>42160.666666666599</v>
      </c>
      <c r="BJ25" s="3">
        <f ca="1">IFERROR(__xludf.DUMMYFUNCTION("""COMPUTED_VALUE"""),42.7)</f>
        <v>42.7</v>
      </c>
      <c r="BK25" s="3">
        <f ca="1">IFERROR(__xludf.DUMMYFUNCTION("""COMPUTED_VALUE"""),42.9)</f>
        <v>42.9</v>
      </c>
      <c r="BL25" s="3">
        <f ca="1">IFERROR(__xludf.DUMMYFUNCTION("""COMPUTED_VALUE"""),42.55)</f>
        <v>42.55</v>
      </c>
      <c r="BM25" s="3">
        <f ca="1">IFERROR(__xludf.DUMMYFUNCTION("""COMPUTED_VALUE"""),42.72)</f>
        <v>42.72</v>
      </c>
      <c r="BN25" s="3">
        <f ca="1">IFERROR(__xludf.DUMMYFUNCTION("""COMPUTED_VALUE"""),15918777)</f>
        <v>15918777</v>
      </c>
    </row>
    <row r="26" spans="7:66" ht="15.75" customHeight="1" x14ac:dyDescent="0.15">
      <c r="G26" s="4">
        <f ca="1">IFERROR(__xludf.DUMMYFUNCTION("""COMPUTED_VALUE"""),42163.6666666666)</f>
        <v>42163.666666666599</v>
      </c>
      <c r="H26" s="3">
        <f ca="1">IFERROR(__xludf.DUMMYFUNCTION("""COMPUTED_VALUE"""),76.43)</f>
        <v>76.430000000000007</v>
      </c>
      <c r="I26" s="3">
        <f ca="1">IFERROR(__xludf.DUMMYFUNCTION("""COMPUTED_VALUE"""),76.46)</f>
        <v>76.459999999999994</v>
      </c>
      <c r="J26" s="3">
        <f ca="1">IFERROR(__xludf.DUMMYFUNCTION("""COMPUTED_VALUE"""),75.96)</f>
        <v>75.959999999999994</v>
      </c>
      <c r="K26" s="3">
        <f ca="1">IFERROR(__xludf.DUMMYFUNCTION("""COMPUTED_VALUE"""),75.98)</f>
        <v>75.98</v>
      </c>
      <c r="L26" s="3">
        <f ca="1">IFERROR(__xludf.DUMMYFUNCTION("""COMPUTED_VALUE"""),3696421)</f>
        <v>3696421</v>
      </c>
      <c r="M26" s="4">
        <f ca="1">IFERROR(__xludf.DUMMYFUNCTION("""COMPUTED_VALUE"""),42163.6666666666)</f>
        <v>42163.666666666599</v>
      </c>
      <c r="N26" s="3">
        <f ca="1">IFERROR(__xludf.DUMMYFUNCTION("""COMPUTED_VALUE"""),47.56)</f>
        <v>47.56</v>
      </c>
      <c r="O26" s="3">
        <f ca="1">IFERROR(__xludf.DUMMYFUNCTION("""COMPUTED_VALUE"""),47.74)</f>
        <v>47.74</v>
      </c>
      <c r="P26" s="3">
        <f ca="1">IFERROR(__xludf.DUMMYFUNCTION("""COMPUTED_VALUE"""),47.46)</f>
        <v>47.46</v>
      </c>
      <c r="Q26" s="3">
        <f ca="1">IFERROR(__xludf.DUMMYFUNCTION("""COMPUTED_VALUE"""),47.57)</f>
        <v>47.57</v>
      </c>
      <c r="R26" s="3">
        <f ca="1">IFERROR(__xludf.DUMMYFUNCTION("""COMPUTED_VALUE"""),10944033)</f>
        <v>10944033</v>
      </c>
      <c r="S26" s="4">
        <f ca="1">IFERROR(__xludf.DUMMYFUNCTION("""COMPUTED_VALUE"""),42163.6666666666)</f>
        <v>42163.666666666599</v>
      </c>
      <c r="T26" s="3">
        <f ca="1">IFERROR(__xludf.DUMMYFUNCTION("""COMPUTED_VALUE"""),77.37)</f>
        <v>77.37</v>
      </c>
      <c r="U26" s="3">
        <f ca="1">IFERROR(__xludf.DUMMYFUNCTION("""COMPUTED_VALUE"""),77.82)</f>
        <v>77.819999999999993</v>
      </c>
      <c r="V26" s="3">
        <f ca="1">IFERROR(__xludf.DUMMYFUNCTION("""COMPUTED_VALUE"""),77.05)</f>
        <v>77.05</v>
      </c>
      <c r="W26" s="3">
        <f ca="1">IFERROR(__xludf.DUMMYFUNCTION("""COMPUTED_VALUE"""),77.23)</f>
        <v>77.23</v>
      </c>
      <c r="X26" s="3">
        <f ca="1">IFERROR(__xludf.DUMMYFUNCTION("""COMPUTED_VALUE"""),9707330)</f>
        <v>9707330</v>
      </c>
      <c r="Y26" s="4">
        <f ca="1">IFERROR(__xludf.DUMMYFUNCTION("""COMPUTED_VALUE"""),42163.6666666666)</f>
        <v>42163.666666666599</v>
      </c>
      <c r="Z26" s="3">
        <f ca="1">IFERROR(__xludf.DUMMYFUNCTION("""COMPUTED_VALUE"""),20.16)</f>
        <v>20.16</v>
      </c>
      <c r="AA26" s="3">
        <f ca="1">IFERROR(__xludf.DUMMYFUNCTION("""COMPUTED_VALUE"""),20.19)</f>
        <v>20.190000000000001</v>
      </c>
      <c r="AB26" s="3">
        <f ca="1">IFERROR(__xludf.DUMMYFUNCTION("""COMPUTED_VALUE"""),20)</f>
        <v>20</v>
      </c>
      <c r="AC26" s="3">
        <f ca="1">IFERROR(__xludf.DUMMYFUNCTION("""COMPUTED_VALUE"""),20.01)</f>
        <v>20.010000000000002</v>
      </c>
      <c r="AD26" s="3">
        <f ca="1">IFERROR(__xludf.DUMMYFUNCTION("""COMPUTED_VALUE"""),22966786)</f>
        <v>22966786</v>
      </c>
      <c r="AE26" s="4">
        <f ca="1">IFERROR(__xludf.DUMMYFUNCTION("""COMPUTED_VALUE"""),42163.6666666666)</f>
        <v>42163.666666666599</v>
      </c>
      <c r="AF26" s="3">
        <f ca="1">IFERROR(__xludf.DUMMYFUNCTION("""COMPUTED_VALUE"""),74.36)</f>
        <v>74.36</v>
      </c>
      <c r="AG26" s="3">
        <f ca="1">IFERROR(__xludf.DUMMYFUNCTION("""COMPUTED_VALUE"""),74.52)</f>
        <v>74.52</v>
      </c>
      <c r="AH26" s="3">
        <f ca="1">IFERROR(__xludf.DUMMYFUNCTION("""COMPUTED_VALUE"""),73.97)</f>
        <v>73.97</v>
      </c>
      <c r="AI26" s="3">
        <f ca="1">IFERROR(__xludf.DUMMYFUNCTION("""COMPUTED_VALUE"""),73.97)</f>
        <v>73.97</v>
      </c>
      <c r="AJ26" s="3">
        <f ca="1">IFERROR(__xludf.DUMMYFUNCTION("""COMPUTED_VALUE"""),6736570)</f>
        <v>6736570</v>
      </c>
      <c r="AK26" s="4">
        <f ca="1">IFERROR(__xludf.DUMMYFUNCTION("""COMPUTED_VALUE"""),42163.6666666666)</f>
        <v>42163.666666666599</v>
      </c>
      <c r="AL26" s="3">
        <f ca="1">IFERROR(__xludf.DUMMYFUNCTION("""COMPUTED_VALUE"""),55.77)</f>
        <v>55.77</v>
      </c>
      <c r="AM26" s="3">
        <f ca="1">IFERROR(__xludf.DUMMYFUNCTION("""COMPUTED_VALUE"""),55.86)</f>
        <v>55.86</v>
      </c>
      <c r="AN26" s="3">
        <f ca="1">IFERROR(__xludf.DUMMYFUNCTION("""COMPUTED_VALUE"""),55.44)</f>
        <v>55.44</v>
      </c>
      <c r="AO26" s="3">
        <f ca="1">IFERROR(__xludf.DUMMYFUNCTION("""COMPUTED_VALUE"""),55.45)</f>
        <v>55.45</v>
      </c>
      <c r="AP26" s="3">
        <f ca="1">IFERROR(__xludf.DUMMYFUNCTION("""COMPUTED_VALUE"""),6920477)</f>
        <v>6920477</v>
      </c>
      <c r="AQ26" s="4">
        <f ca="1">IFERROR(__xludf.DUMMYFUNCTION("""COMPUTED_VALUE"""),42163.6666666666)</f>
        <v>42163.666666666599</v>
      </c>
      <c r="AR26" s="3">
        <f ca="1">IFERROR(__xludf.DUMMYFUNCTION("""COMPUTED_VALUE"""),50.01)</f>
        <v>50.01</v>
      </c>
      <c r="AS26" s="3">
        <f ca="1">IFERROR(__xludf.DUMMYFUNCTION("""COMPUTED_VALUE"""),50.11)</f>
        <v>50.11</v>
      </c>
      <c r="AT26" s="3">
        <f ca="1">IFERROR(__xludf.DUMMYFUNCTION("""COMPUTED_VALUE"""),49.82)</f>
        <v>49.82</v>
      </c>
      <c r="AU26" s="3">
        <f ca="1">IFERROR(__xludf.DUMMYFUNCTION("""COMPUTED_VALUE"""),49.83)</f>
        <v>49.83</v>
      </c>
      <c r="AV26" s="3">
        <f ca="1">IFERROR(__xludf.DUMMYFUNCTION("""COMPUTED_VALUE"""),3924501)</f>
        <v>3924501</v>
      </c>
      <c r="AW26" s="4">
        <f ca="1">IFERROR(__xludf.DUMMYFUNCTION("""COMPUTED_VALUE"""),42318.6666666666)</f>
        <v>42318.666666666599</v>
      </c>
      <c r="AX26" s="3">
        <f ca="1">IFERROR(__xludf.DUMMYFUNCTION("""COMPUTED_VALUE"""),30.11)</f>
        <v>30.11</v>
      </c>
      <c r="AY26" s="3">
        <f ca="1">IFERROR(__xludf.DUMMYFUNCTION("""COMPUTED_VALUE"""),30.11)</f>
        <v>30.11</v>
      </c>
      <c r="AZ26" s="3">
        <f ca="1">IFERROR(__xludf.DUMMYFUNCTION("""COMPUTED_VALUE"""),29.85)</f>
        <v>29.85</v>
      </c>
      <c r="BA26" s="3">
        <f ca="1">IFERROR(__xludf.DUMMYFUNCTION("""COMPUTED_VALUE"""),30.03)</f>
        <v>30.03</v>
      </c>
      <c r="BB26" s="3">
        <f ca="1">IFERROR(__xludf.DUMMYFUNCTION("""COMPUTED_VALUE"""),27240)</f>
        <v>27240</v>
      </c>
      <c r="BC26" s="4">
        <f ca="1">IFERROR(__xludf.DUMMYFUNCTION("""COMPUTED_VALUE"""),42163.6666666666)</f>
        <v>42163.666666666599</v>
      </c>
      <c r="BD26" s="3">
        <f ca="1">IFERROR(__xludf.DUMMYFUNCTION("""COMPUTED_VALUE"""),42.94)</f>
        <v>42.94</v>
      </c>
      <c r="BE26" s="3">
        <f ca="1">IFERROR(__xludf.DUMMYFUNCTION("""COMPUTED_VALUE"""),42.95)</f>
        <v>42.95</v>
      </c>
      <c r="BF26" s="3">
        <f ca="1">IFERROR(__xludf.DUMMYFUNCTION("""COMPUTED_VALUE"""),42.39)</f>
        <v>42.39</v>
      </c>
      <c r="BG26" s="3">
        <f ca="1">IFERROR(__xludf.DUMMYFUNCTION("""COMPUTED_VALUE"""),42.47)</f>
        <v>42.47</v>
      </c>
      <c r="BH26" s="3">
        <f ca="1">IFERROR(__xludf.DUMMYFUNCTION("""COMPUTED_VALUE"""),8379498)</f>
        <v>8379498</v>
      </c>
      <c r="BI26" s="4">
        <f ca="1">IFERROR(__xludf.DUMMYFUNCTION("""COMPUTED_VALUE"""),42163.6666666666)</f>
        <v>42163.666666666599</v>
      </c>
      <c r="BJ26" s="3">
        <f ca="1">IFERROR(__xludf.DUMMYFUNCTION("""COMPUTED_VALUE"""),42.76)</f>
        <v>42.76</v>
      </c>
      <c r="BK26" s="3">
        <f ca="1">IFERROR(__xludf.DUMMYFUNCTION("""COMPUTED_VALUE"""),42.76)</f>
        <v>42.76</v>
      </c>
      <c r="BL26" s="3">
        <f ca="1">IFERROR(__xludf.DUMMYFUNCTION("""COMPUTED_VALUE"""),42.44)</f>
        <v>42.44</v>
      </c>
      <c r="BM26" s="3">
        <f ca="1">IFERROR(__xludf.DUMMYFUNCTION("""COMPUTED_VALUE"""),42.47)</f>
        <v>42.47</v>
      </c>
      <c r="BN26" s="3">
        <f ca="1">IFERROR(__xludf.DUMMYFUNCTION("""COMPUTED_VALUE"""),7917693)</f>
        <v>7917693</v>
      </c>
    </row>
    <row r="27" spans="7:66" ht="15.75" customHeight="1" x14ac:dyDescent="0.15">
      <c r="G27" s="4">
        <f ca="1">IFERROR(__xludf.DUMMYFUNCTION("""COMPUTED_VALUE"""),42164.6666666666)</f>
        <v>42164.666666666599</v>
      </c>
      <c r="H27" s="3">
        <f ca="1">IFERROR(__xludf.DUMMYFUNCTION("""COMPUTED_VALUE"""),76)</f>
        <v>76</v>
      </c>
      <c r="I27" s="3">
        <f ca="1">IFERROR(__xludf.DUMMYFUNCTION("""COMPUTED_VALUE"""),76.13)</f>
        <v>76.13</v>
      </c>
      <c r="J27" s="3">
        <f ca="1">IFERROR(__xludf.DUMMYFUNCTION("""COMPUTED_VALUE"""),75.44)</f>
        <v>75.44</v>
      </c>
      <c r="K27" s="3">
        <f ca="1">IFERROR(__xludf.DUMMYFUNCTION("""COMPUTED_VALUE"""),75.9)</f>
        <v>75.900000000000006</v>
      </c>
      <c r="L27" s="3">
        <f ca="1">IFERROR(__xludf.DUMMYFUNCTION("""COMPUTED_VALUE"""),4686139)</f>
        <v>4686139</v>
      </c>
      <c r="M27" s="4">
        <f ca="1">IFERROR(__xludf.DUMMYFUNCTION("""COMPUTED_VALUE"""),42164.6666666666)</f>
        <v>42164.666666666599</v>
      </c>
      <c r="N27" s="3">
        <f ca="1">IFERROR(__xludf.DUMMYFUNCTION("""COMPUTED_VALUE"""),47.63)</f>
        <v>47.63</v>
      </c>
      <c r="O27" s="3">
        <f ca="1">IFERROR(__xludf.DUMMYFUNCTION("""COMPUTED_VALUE"""),47.98)</f>
        <v>47.98</v>
      </c>
      <c r="P27" s="3">
        <f ca="1">IFERROR(__xludf.DUMMYFUNCTION("""COMPUTED_VALUE"""),47.55)</f>
        <v>47.55</v>
      </c>
      <c r="Q27" s="3">
        <f ca="1">IFERROR(__xludf.DUMMYFUNCTION("""COMPUTED_VALUE"""),47.8)</f>
        <v>47.8</v>
      </c>
      <c r="R27" s="3">
        <f ca="1">IFERROR(__xludf.DUMMYFUNCTION("""COMPUTED_VALUE"""),7096711)</f>
        <v>7096711</v>
      </c>
      <c r="S27" s="4">
        <f ca="1">IFERROR(__xludf.DUMMYFUNCTION("""COMPUTED_VALUE"""),42164.6666666666)</f>
        <v>42164.666666666599</v>
      </c>
      <c r="T27" s="3">
        <f ca="1">IFERROR(__xludf.DUMMYFUNCTION("""COMPUTED_VALUE"""),77.7)</f>
        <v>77.7</v>
      </c>
      <c r="U27" s="3">
        <f ca="1">IFERROR(__xludf.DUMMYFUNCTION("""COMPUTED_VALUE"""),78.19)</f>
        <v>78.19</v>
      </c>
      <c r="V27" s="3">
        <f ca="1">IFERROR(__xludf.DUMMYFUNCTION("""COMPUTED_VALUE"""),77.19)</f>
        <v>77.19</v>
      </c>
      <c r="W27" s="3">
        <f ca="1">IFERROR(__xludf.DUMMYFUNCTION("""COMPUTED_VALUE"""),77.22)</f>
        <v>77.22</v>
      </c>
      <c r="X27" s="3">
        <f ca="1">IFERROR(__xludf.DUMMYFUNCTION("""COMPUTED_VALUE"""),11033127)</f>
        <v>11033127</v>
      </c>
      <c r="Y27" s="4">
        <f ca="1">IFERROR(__xludf.DUMMYFUNCTION("""COMPUTED_VALUE"""),42164.6666666666)</f>
        <v>42164.666666666599</v>
      </c>
      <c r="Z27" s="3">
        <f ca="1">IFERROR(__xludf.DUMMYFUNCTION("""COMPUTED_VALUE"""),20.03)</f>
        <v>20.03</v>
      </c>
      <c r="AA27" s="3">
        <f ca="1">IFERROR(__xludf.DUMMYFUNCTION("""COMPUTED_VALUE"""),20.15)</f>
        <v>20.149999999999999</v>
      </c>
      <c r="AB27" s="3">
        <f ca="1">IFERROR(__xludf.DUMMYFUNCTION("""COMPUTED_VALUE"""),19.94)</f>
        <v>19.940000000000001</v>
      </c>
      <c r="AC27" s="3">
        <f ca="1">IFERROR(__xludf.DUMMYFUNCTION("""COMPUTED_VALUE"""),20.06)</f>
        <v>20.059999999999999</v>
      </c>
      <c r="AD27" s="3">
        <f ca="1">IFERROR(__xludf.DUMMYFUNCTION("""COMPUTED_VALUE"""),25315188)</f>
        <v>25315188</v>
      </c>
      <c r="AE27" s="4">
        <f ca="1">IFERROR(__xludf.DUMMYFUNCTION("""COMPUTED_VALUE"""),42164.6666666666)</f>
        <v>42164.666666666599</v>
      </c>
      <c r="AF27" s="3">
        <f ca="1">IFERROR(__xludf.DUMMYFUNCTION("""COMPUTED_VALUE"""),74.21)</f>
        <v>74.209999999999994</v>
      </c>
      <c r="AG27" s="3">
        <f ca="1">IFERROR(__xludf.DUMMYFUNCTION("""COMPUTED_VALUE"""),74.21)</f>
        <v>74.209999999999994</v>
      </c>
      <c r="AH27" s="3">
        <f ca="1">IFERROR(__xludf.DUMMYFUNCTION("""COMPUTED_VALUE"""),73.66)</f>
        <v>73.66</v>
      </c>
      <c r="AI27" s="3">
        <f ca="1">IFERROR(__xludf.DUMMYFUNCTION("""COMPUTED_VALUE"""),73.95)</f>
        <v>73.95</v>
      </c>
      <c r="AJ27" s="3">
        <f ca="1">IFERROR(__xludf.DUMMYFUNCTION("""COMPUTED_VALUE"""),8297533)</f>
        <v>8297533</v>
      </c>
      <c r="AK27" s="4">
        <f ca="1">IFERROR(__xludf.DUMMYFUNCTION("""COMPUTED_VALUE"""),42164.6666666666)</f>
        <v>42164.666666666599</v>
      </c>
      <c r="AL27" s="3">
        <f ca="1">IFERROR(__xludf.DUMMYFUNCTION("""COMPUTED_VALUE"""),55.39)</f>
        <v>55.39</v>
      </c>
      <c r="AM27" s="3">
        <f ca="1">IFERROR(__xludf.DUMMYFUNCTION("""COMPUTED_VALUE"""),55.68)</f>
        <v>55.68</v>
      </c>
      <c r="AN27" s="3">
        <f ca="1">IFERROR(__xludf.DUMMYFUNCTION("""COMPUTED_VALUE"""),55.3)</f>
        <v>55.3</v>
      </c>
      <c r="AO27" s="3">
        <f ca="1">IFERROR(__xludf.DUMMYFUNCTION("""COMPUTED_VALUE"""),55.44)</f>
        <v>55.44</v>
      </c>
      <c r="AP27" s="3">
        <f ca="1">IFERROR(__xludf.DUMMYFUNCTION("""COMPUTED_VALUE"""),5631723)</f>
        <v>5631723</v>
      </c>
      <c r="AQ27" s="4">
        <f ca="1">IFERROR(__xludf.DUMMYFUNCTION("""COMPUTED_VALUE"""),42164.6666666666)</f>
        <v>42164.666666666599</v>
      </c>
      <c r="AR27" s="3">
        <f ca="1">IFERROR(__xludf.DUMMYFUNCTION("""COMPUTED_VALUE"""),49.8)</f>
        <v>49.8</v>
      </c>
      <c r="AS27" s="3">
        <f ca="1">IFERROR(__xludf.DUMMYFUNCTION("""COMPUTED_VALUE"""),50.13)</f>
        <v>50.13</v>
      </c>
      <c r="AT27" s="3">
        <f ca="1">IFERROR(__xludf.DUMMYFUNCTION("""COMPUTED_VALUE"""),49.8)</f>
        <v>49.8</v>
      </c>
      <c r="AU27" s="3">
        <f ca="1">IFERROR(__xludf.DUMMYFUNCTION("""COMPUTED_VALUE"""),49.86)</f>
        <v>49.86</v>
      </c>
      <c r="AV27" s="3">
        <f ca="1">IFERROR(__xludf.DUMMYFUNCTION("""COMPUTED_VALUE"""),2608783)</f>
        <v>2608783</v>
      </c>
      <c r="AW27" s="4">
        <f ca="1">IFERROR(__xludf.DUMMYFUNCTION("""COMPUTED_VALUE"""),42319.6666666666)</f>
        <v>42319.666666666599</v>
      </c>
      <c r="AX27" s="3">
        <f ca="1">IFERROR(__xludf.DUMMYFUNCTION("""COMPUTED_VALUE"""),30.11)</f>
        <v>30.11</v>
      </c>
      <c r="AY27" s="3">
        <f ca="1">IFERROR(__xludf.DUMMYFUNCTION("""COMPUTED_VALUE"""),30.26)</f>
        <v>30.26</v>
      </c>
      <c r="AZ27" s="3">
        <f ca="1">IFERROR(__xludf.DUMMYFUNCTION("""COMPUTED_VALUE"""),29.99)</f>
        <v>29.99</v>
      </c>
      <c r="BA27" s="3">
        <f ca="1">IFERROR(__xludf.DUMMYFUNCTION("""COMPUTED_VALUE"""),30.13)</f>
        <v>30.13</v>
      </c>
      <c r="BB27" s="3">
        <f ca="1">IFERROR(__xludf.DUMMYFUNCTION("""COMPUTED_VALUE"""),27147)</f>
        <v>27147</v>
      </c>
      <c r="BC27" s="4">
        <f ca="1">IFERROR(__xludf.DUMMYFUNCTION("""COMPUTED_VALUE"""),42164.6666666666)</f>
        <v>42164.666666666599</v>
      </c>
      <c r="BD27" s="3">
        <f ca="1">IFERROR(__xludf.DUMMYFUNCTION("""COMPUTED_VALUE"""),42.4)</f>
        <v>42.4</v>
      </c>
      <c r="BE27" s="3">
        <f ca="1">IFERROR(__xludf.DUMMYFUNCTION("""COMPUTED_VALUE"""),42.53)</f>
        <v>42.53</v>
      </c>
      <c r="BF27" s="3">
        <f ca="1">IFERROR(__xludf.DUMMYFUNCTION("""COMPUTED_VALUE"""),42.09)</f>
        <v>42.09</v>
      </c>
      <c r="BG27" s="3">
        <f ca="1">IFERROR(__xludf.DUMMYFUNCTION("""COMPUTED_VALUE"""),42.37)</f>
        <v>42.37</v>
      </c>
      <c r="BH27" s="3">
        <f ca="1">IFERROR(__xludf.DUMMYFUNCTION("""COMPUTED_VALUE"""),7706653)</f>
        <v>7706653</v>
      </c>
      <c r="BI27" s="4">
        <f ca="1">IFERROR(__xludf.DUMMYFUNCTION("""COMPUTED_VALUE"""),42164.6666666666)</f>
        <v>42164.666666666599</v>
      </c>
      <c r="BJ27" s="3">
        <f ca="1">IFERROR(__xludf.DUMMYFUNCTION("""COMPUTED_VALUE"""),42.4)</f>
        <v>42.4</v>
      </c>
      <c r="BK27" s="3">
        <f ca="1">IFERROR(__xludf.DUMMYFUNCTION("""COMPUTED_VALUE"""),42.63)</f>
        <v>42.63</v>
      </c>
      <c r="BL27" s="3">
        <f ca="1">IFERROR(__xludf.DUMMYFUNCTION("""COMPUTED_VALUE"""),42.37)</f>
        <v>42.37</v>
      </c>
      <c r="BM27" s="3">
        <f ca="1">IFERROR(__xludf.DUMMYFUNCTION("""COMPUTED_VALUE"""),42.37)</f>
        <v>42.37</v>
      </c>
      <c r="BN27" s="3">
        <f ca="1">IFERROR(__xludf.DUMMYFUNCTION("""COMPUTED_VALUE"""),10268423)</f>
        <v>10268423</v>
      </c>
    </row>
    <row r="28" spans="7:66" ht="15.75" customHeight="1" x14ac:dyDescent="0.15">
      <c r="G28" s="4">
        <f ca="1">IFERROR(__xludf.DUMMYFUNCTION("""COMPUTED_VALUE"""),42165.6666666666)</f>
        <v>42165.666666666599</v>
      </c>
      <c r="H28" s="3">
        <f ca="1">IFERROR(__xludf.DUMMYFUNCTION("""COMPUTED_VALUE"""),76.22)</f>
        <v>76.22</v>
      </c>
      <c r="I28" s="3">
        <f ca="1">IFERROR(__xludf.DUMMYFUNCTION("""COMPUTED_VALUE"""),76.86)</f>
        <v>76.86</v>
      </c>
      <c r="J28" s="3">
        <f ca="1">IFERROR(__xludf.DUMMYFUNCTION("""COMPUTED_VALUE"""),76.13)</f>
        <v>76.13</v>
      </c>
      <c r="K28" s="3">
        <f ca="1">IFERROR(__xludf.DUMMYFUNCTION("""COMPUTED_VALUE"""),76.68)</f>
        <v>76.680000000000007</v>
      </c>
      <c r="L28" s="3">
        <f ca="1">IFERROR(__xludf.DUMMYFUNCTION("""COMPUTED_VALUE"""),4663727)</f>
        <v>4663727</v>
      </c>
      <c r="M28" s="4">
        <f ca="1">IFERROR(__xludf.DUMMYFUNCTION("""COMPUTED_VALUE"""),42165.6666666666)</f>
        <v>42165.666666666599</v>
      </c>
      <c r="N28" s="3">
        <f ca="1">IFERROR(__xludf.DUMMYFUNCTION("""COMPUTED_VALUE"""),47.92)</f>
        <v>47.92</v>
      </c>
      <c r="O28" s="3">
        <f ca="1">IFERROR(__xludf.DUMMYFUNCTION("""COMPUTED_VALUE"""),48.37)</f>
        <v>48.37</v>
      </c>
      <c r="P28" s="3">
        <f ca="1">IFERROR(__xludf.DUMMYFUNCTION("""COMPUTED_VALUE"""),47.92)</f>
        <v>47.92</v>
      </c>
      <c r="Q28" s="3">
        <f ca="1">IFERROR(__xludf.DUMMYFUNCTION("""COMPUTED_VALUE"""),48.27)</f>
        <v>48.27</v>
      </c>
      <c r="R28" s="3">
        <f ca="1">IFERROR(__xludf.DUMMYFUNCTION("""COMPUTED_VALUE"""),7091575)</f>
        <v>7091575</v>
      </c>
      <c r="S28" s="4">
        <f ca="1">IFERROR(__xludf.DUMMYFUNCTION("""COMPUTED_VALUE"""),42165.6666666666)</f>
        <v>42165.666666666599</v>
      </c>
      <c r="T28" s="3">
        <f ca="1">IFERROR(__xludf.DUMMYFUNCTION("""COMPUTED_VALUE"""),78.17)</f>
        <v>78.17</v>
      </c>
      <c r="U28" s="3">
        <f ca="1">IFERROR(__xludf.DUMMYFUNCTION("""COMPUTED_VALUE"""),78.39)</f>
        <v>78.39</v>
      </c>
      <c r="V28" s="3">
        <f ca="1">IFERROR(__xludf.DUMMYFUNCTION("""COMPUTED_VALUE"""),77.9)</f>
        <v>77.900000000000006</v>
      </c>
      <c r="W28" s="3">
        <f ca="1">IFERROR(__xludf.DUMMYFUNCTION("""COMPUTED_VALUE"""),78.17)</f>
        <v>78.17</v>
      </c>
      <c r="X28" s="3">
        <f ca="1">IFERROR(__xludf.DUMMYFUNCTION("""COMPUTED_VALUE"""),9785399)</f>
        <v>9785399</v>
      </c>
      <c r="Y28" s="4">
        <f ca="1">IFERROR(__xludf.DUMMYFUNCTION("""COMPUTED_VALUE"""),42165.6666666666)</f>
        <v>42165.666666666599</v>
      </c>
      <c r="Z28" s="3">
        <f ca="1">IFERROR(__xludf.DUMMYFUNCTION("""COMPUTED_VALUE"""),20.17)</f>
        <v>20.170000000000002</v>
      </c>
      <c r="AA28" s="3">
        <f ca="1">IFERROR(__xludf.DUMMYFUNCTION("""COMPUTED_VALUE"""),20.41)</f>
        <v>20.41</v>
      </c>
      <c r="AB28" s="3">
        <f ca="1">IFERROR(__xludf.DUMMYFUNCTION("""COMPUTED_VALUE"""),20.14)</f>
        <v>20.14</v>
      </c>
      <c r="AC28" s="3">
        <f ca="1">IFERROR(__xludf.DUMMYFUNCTION("""COMPUTED_VALUE"""),20.34)</f>
        <v>20.34</v>
      </c>
      <c r="AD28" s="3">
        <f ca="1">IFERROR(__xludf.DUMMYFUNCTION("""COMPUTED_VALUE"""),43840870)</f>
        <v>43840870</v>
      </c>
      <c r="AE28" s="4">
        <f ca="1">IFERROR(__xludf.DUMMYFUNCTION("""COMPUTED_VALUE"""),42165.6666666666)</f>
        <v>42165.666666666599</v>
      </c>
      <c r="AF28" s="3">
        <f ca="1">IFERROR(__xludf.DUMMYFUNCTION("""COMPUTED_VALUE"""),74.12)</f>
        <v>74.12</v>
      </c>
      <c r="AG28" s="3">
        <f ca="1">IFERROR(__xludf.DUMMYFUNCTION("""COMPUTED_VALUE"""),74.95)</f>
        <v>74.95</v>
      </c>
      <c r="AH28" s="3">
        <f ca="1">IFERROR(__xludf.DUMMYFUNCTION("""COMPUTED_VALUE"""),73.98)</f>
        <v>73.98</v>
      </c>
      <c r="AI28" s="3">
        <f ca="1">IFERROR(__xludf.DUMMYFUNCTION("""COMPUTED_VALUE"""),74.86)</f>
        <v>74.86</v>
      </c>
      <c r="AJ28" s="3">
        <f ca="1">IFERROR(__xludf.DUMMYFUNCTION("""COMPUTED_VALUE"""),7728761)</f>
        <v>7728761</v>
      </c>
      <c r="AK28" s="4">
        <f ca="1">IFERROR(__xludf.DUMMYFUNCTION("""COMPUTED_VALUE"""),42165.6666666666)</f>
        <v>42165.666666666599</v>
      </c>
      <c r="AL28" s="3">
        <f ca="1">IFERROR(__xludf.DUMMYFUNCTION("""COMPUTED_VALUE"""),55.64)</f>
        <v>55.64</v>
      </c>
      <c r="AM28" s="3">
        <f ca="1">IFERROR(__xludf.DUMMYFUNCTION("""COMPUTED_VALUE"""),56.14)</f>
        <v>56.14</v>
      </c>
      <c r="AN28" s="3">
        <f ca="1">IFERROR(__xludf.DUMMYFUNCTION("""COMPUTED_VALUE"""),55.58)</f>
        <v>55.58</v>
      </c>
      <c r="AO28" s="3">
        <f ca="1">IFERROR(__xludf.DUMMYFUNCTION("""COMPUTED_VALUE"""),55.99)</f>
        <v>55.99</v>
      </c>
      <c r="AP28" s="3">
        <f ca="1">IFERROR(__xludf.DUMMYFUNCTION("""COMPUTED_VALUE"""),7293460)</f>
        <v>7293460</v>
      </c>
      <c r="AQ28" s="4">
        <f ca="1">IFERROR(__xludf.DUMMYFUNCTION("""COMPUTED_VALUE"""),42165.6666666666)</f>
        <v>42165.666666666599</v>
      </c>
      <c r="AR28" s="3">
        <f ca="1">IFERROR(__xludf.DUMMYFUNCTION("""COMPUTED_VALUE"""),50.16)</f>
        <v>50.16</v>
      </c>
      <c r="AS28" s="3">
        <f ca="1">IFERROR(__xludf.DUMMYFUNCTION("""COMPUTED_VALUE"""),50.56)</f>
        <v>50.56</v>
      </c>
      <c r="AT28" s="3">
        <f ca="1">IFERROR(__xludf.DUMMYFUNCTION("""COMPUTED_VALUE"""),50.13)</f>
        <v>50.13</v>
      </c>
      <c r="AU28" s="3">
        <f ca="1">IFERROR(__xludf.DUMMYFUNCTION("""COMPUTED_VALUE"""),50.38)</f>
        <v>50.38</v>
      </c>
      <c r="AV28" s="3">
        <f ca="1">IFERROR(__xludf.DUMMYFUNCTION("""COMPUTED_VALUE"""),2727218)</f>
        <v>2727218</v>
      </c>
      <c r="AW28" s="4">
        <f ca="1">IFERROR(__xludf.DUMMYFUNCTION("""COMPUTED_VALUE"""),42320.6666666666)</f>
        <v>42320.666666666599</v>
      </c>
      <c r="AX28" s="3">
        <f ca="1">IFERROR(__xludf.DUMMYFUNCTION("""COMPUTED_VALUE"""),29.86)</f>
        <v>29.86</v>
      </c>
      <c r="AY28" s="3">
        <f ca="1">IFERROR(__xludf.DUMMYFUNCTION("""COMPUTED_VALUE"""),30.08)</f>
        <v>30.08</v>
      </c>
      <c r="AZ28" s="3">
        <f ca="1">IFERROR(__xludf.DUMMYFUNCTION("""COMPUTED_VALUE"""),29.86)</f>
        <v>29.86</v>
      </c>
      <c r="BA28" s="3">
        <f ca="1">IFERROR(__xludf.DUMMYFUNCTION("""COMPUTED_VALUE"""),29.95)</f>
        <v>29.95</v>
      </c>
      <c r="BB28" s="3">
        <f ca="1">IFERROR(__xludf.DUMMYFUNCTION("""COMPUTED_VALUE"""),63887)</f>
        <v>63887</v>
      </c>
      <c r="BC28" s="4">
        <f ca="1">IFERROR(__xludf.DUMMYFUNCTION("""COMPUTED_VALUE"""),42165.6666666666)</f>
        <v>42165.666666666599</v>
      </c>
      <c r="BD28" s="3">
        <f ca="1">IFERROR(__xludf.DUMMYFUNCTION("""COMPUTED_VALUE"""),42.47)</f>
        <v>42.47</v>
      </c>
      <c r="BE28" s="3">
        <f ca="1">IFERROR(__xludf.DUMMYFUNCTION("""COMPUTED_VALUE"""),43.12)</f>
        <v>43.12</v>
      </c>
      <c r="BF28" s="3">
        <f ca="1">IFERROR(__xludf.DUMMYFUNCTION("""COMPUTED_VALUE"""),42.47)</f>
        <v>42.47</v>
      </c>
      <c r="BG28" s="3">
        <f ca="1">IFERROR(__xludf.DUMMYFUNCTION("""COMPUTED_VALUE"""),43.03)</f>
        <v>43.03</v>
      </c>
      <c r="BH28" s="3">
        <f ca="1">IFERROR(__xludf.DUMMYFUNCTION("""COMPUTED_VALUE"""),8964836)</f>
        <v>8964836</v>
      </c>
      <c r="BI28" s="4">
        <f ca="1">IFERROR(__xludf.DUMMYFUNCTION("""COMPUTED_VALUE"""),42165.6666666666)</f>
        <v>42165.666666666599</v>
      </c>
      <c r="BJ28" s="3">
        <f ca="1">IFERROR(__xludf.DUMMYFUNCTION("""COMPUTED_VALUE"""),42.75)</f>
        <v>42.75</v>
      </c>
      <c r="BK28" s="3">
        <f ca="1">IFERROR(__xludf.DUMMYFUNCTION("""COMPUTED_VALUE"""),42.9)</f>
        <v>42.9</v>
      </c>
      <c r="BL28" s="3">
        <f ca="1">IFERROR(__xludf.DUMMYFUNCTION("""COMPUTED_VALUE"""),42.57)</f>
        <v>42.57</v>
      </c>
      <c r="BM28" s="3">
        <f ca="1">IFERROR(__xludf.DUMMYFUNCTION("""COMPUTED_VALUE"""),42.58)</f>
        <v>42.58</v>
      </c>
      <c r="BN28" s="3">
        <f ca="1">IFERROR(__xludf.DUMMYFUNCTION("""COMPUTED_VALUE"""),11091005)</f>
        <v>11091005</v>
      </c>
    </row>
    <row r="29" spans="7:66" ht="15.75" customHeight="1" x14ac:dyDescent="0.15">
      <c r="G29" s="4">
        <f ca="1">IFERROR(__xludf.DUMMYFUNCTION("""COMPUTED_VALUE"""),42166.6666666666)</f>
        <v>42166.666666666599</v>
      </c>
      <c r="H29" s="3">
        <f ca="1">IFERROR(__xludf.DUMMYFUNCTION("""COMPUTED_VALUE"""),76.88)</f>
        <v>76.88</v>
      </c>
      <c r="I29" s="3">
        <f ca="1">IFERROR(__xludf.DUMMYFUNCTION("""COMPUTED_VALUE"""),77.19)</f>
        <v>77.19</v>
      </c>
      <c r="J29" s="3">
        <f ca="1">IFERROR(__xludf.DUMMYFUNCTION("""COMPUTED_VALUE"""),76.81)</f>
        <v>76.81</v>
      </c>
      <c r="K29" s="3">
        <f ca="1">IFERROR(__xludf.DUMMYFUNCTION("""COMPUTED_VALUE"""),76.94)</f>
        <v>76.94</v>
      </c>
      <c r="L29" s="3">
        <f ca="1">IFERROR(__xludf.DUMMYFUNCTION("""COMPUTED_VALUE"""),4393276)</f>
        <v>4393276</v>
      </c>
      <c r="M29" s="4">
        <f ca="1">IFERROR(__xludf.DUMMYFUNCTION("""COMPUTED_VALUE"""),42166.6666666666)</f>
        <v>42166.666666666599</v>
      </c>
      <c r="N29" s="3">
        <f ca="1">IFERROR(__xludf.DUMMYFUNCTION("""COMPUTED_VALUE"""),48.31)</f>
        <v>48.31</v>
      </c>
      <c r="O29" s="3">
        <f ca="1">IFERROR(__xludf.DUMMYFUNCTION("""COMPUTED_VALUE"""),48.47)</f>
        <v>48.47</v>
      </c>
      <c r="P29" s="3">
        <f ca="1">IFERROR(__xludf.DUMMYFUNCTION("""COMPUTED_VALUE"""),48.2)</f>
        <v>48.2</v>
      </c>
      <c r="Q29" s="3">
        <f ca="1">IFERROR(__xludf.DUMMYFUNCTION("""COMPUTED_VALUE"""),48.25)</f>
        <v>48.25</v>
      </c>
      <c r="R29" s="3">
        <f ca="1">IFERROR(__xludf.DUMMYFUNCTION("""COMPUTED_VALUE"""),7469331)</f>
        <v>7469331</v>
      </c>
      <c r="S29" s="4">
        <f ca="1">IFERROR(__xludf.DUMMYFUNCTION("""COMPUTED_VALUE"""),42166.6666666666)</f>
        <v>42166.666666666599</v>
      </c>
      <c r="T29" s="3">
        <f ca="1">IFERROR(__xludf.DUMMYFUNCTION("""COMPUTED_VALUE"""),78.31)</f>
        <v>78.31</v>
      </c>
      <c r="U29" s="3">
        <f ca="1">IFERROR(__xludf.DUMMYFUNCTION("""COMPUTED_VALUE"""),78.44)</f>
        <v>78.44</v>
      </c>
      <c r="V29" s="3">
        <f ca="1">IFERROR(__xludf.DUMMYFUNCTION("""COMPUTED_VALUE"""),77.75)</f>
        <v>77.75</v>
      </c>
      <c r="W29" s="3">
        <f ca="1">IFERROR(__xludf.DUMMYFUNCTION("""COMPUTED_VALUE"""),77.82)</f>
        <v>77.819999999999993</v>
      </c>
      <c r="X29" s="3">
        <f ca="1">IFERROR(__xludf.DUMMYFUNCTION("""COMPUTED_VALUE"""),8416545)</f>
        <v>8416545</v>
      </c>
      <c r="Y29" s="4">
        <f ca="1">IFERROR(__xludf.DUMMYFUNCTION("""COMPUTED_VALUE"""),42166.6666666666)</f>
        <v>42166.666666666599</v>
      </c>
      <c r="Z29" s="3">
        <f ca="1">IFERROR(__xludf.DUMMYFUNCTION("""COMPUTED_VALUE"""),20.43)</f>
        <v>20.43</v>
      </c>
      <c r="AA29" s="3">
        <f ca="1">IFERROR(__xludf.DUMMYFUNCTION("""COMPUTED_VALUE"""),20.46)</f>
        <v>20.46</v>
      </c>
      <c r="AB29" s="3">
        <f ca="1">IFERROR(__xludf.DUMMYFUNCTION("""COMPUTED_VALUE"""),20.35)</f>
        <v>20.350000000000001</v>
      </c>
      <c r="AC29" s="3">
        <f ca="1">IFERROR(__xludf.DUMMYFUNCTION("""COMPUTED_VALUE"""),20.42)</f>
        <v>20.420000000000002</v>
      </c>
      <c r="AD29" s="3">
        <f ca="1">IFERROR(__xludf.DUMMYFUNCTION("""COMPUTED_VALUE"""),48768646)</f>
        <v>48768646</v>
      </c>
      <c r="AE29" s="4">
        <f ca="1">IFERROR(__xludf.DUMMYFUNCTION("""COMPUTED_VALUE"""),42166.6666666666)</f>
        <v>42166.666666666599</v>
      </c>
      <c r="AF29" s="3">
        <f ca="1">IFERROR(__xludf.DUMMYFUNCTION("""COMPUTED_VALUE"""),75.44)</f>
        <v>75.44</v>
      </c>
      <c r="AG29" s="3">
        <f ca="1">IFERROR(__xludf.DUMMYFUNCTION("""COMPUTED_VALUE"""),75.49)</f>
        <v>75.489999999999995</v>
      </c>
      <c r="AH29" s="3">
        <f ca="1">IFERROR(__xludf.DUMMYFUNCTION("""COMPUTED_VALUE"""),74.97)</f>
        <v>74.97</v>
      </c>
      <c r="AI29" s="3">
        <f ca="1">IFERROR(__xludf.DUMMYFUNCTION("""COMPUTED_VALUE"""),75.37)</f>
        <v>75.37</v>
      </c>
      <c r="AJ29" s="3">
        <f ca="1">IFERROR(__xludf.DUMMYFUNCTION("""COMPUTED_VALUE"""),4912014)</f>
        <v>4912014</v>
      </c>
      <c r="AK29" s="4">
        <f ca="1">IFERROR(__xludf.DUMMYFUNCTION("""COMPUTED_VALUE"""),42166.6666666666)</f>
        <v>42166.666666666599</v>
      </c>
      <c r="AL29" s="3">
        <f ca="1">IFERROR(__xludf.DUMMYFUNCTION("""COMPUTED_VALUE"""),56.14)</f>
        <v>56.14</v>
      </c>
      <c r="AM29" s="3">
        <f ca="1">IFERROR(__xludf.DUMMYFUNCTION("""COMPUTED_VALUE"""),56.34)</f>
        <v>56.34</v>
      </c>
      <c r="AN29" s="3">
        <f ca="1">IFERROR(__xludf.DUMMYFUNCTION("""COMPUTED_VALUE"""),56.05)</f>
        <v>56.05</v>
      </c>
      <c r="AO29" s="3">
        <f ca="1">IFERROR(__xludf.DUMMYFUNCTION("""COMPUTED_VALUE"""),56.31)</f>
        <v>56.31</v>
      </c>
      <c r="AP29" s="3">
        <f ca="1">IFERROR(__xludf.DUMMYFUNCTION("""COMPUTED_VALUE"""),5256705)</f>
        <v>5256705</v>
      </c>
      <c r="AQ29" s="4">
        <f ca="1">IFERROR(__xludf.DUMMYFUNCTION("""COMPUTED_VALUE"""),42166.6666666666)</f>
        <v>42166.666666666599</v>
      </c>
      <c r="AR29" s="3">
        <f ca="1">IFERROR(__xludf.DUMMYFUNCTION("""COMPUTED_VALUE"""),50.43)</f>
        <v>50.43</v>
      </c>
      <c r="AS29" s="3">
        <f ca="1">IFERROR(__xludf.DUMMYFUNCTION("""COMPUTED_VALUE"""),50.6)</f>
        <v>50.6</v>
      </c>
      <c r="AT29" s="3">
        <f ca="1">IFERROR(__xludf.DUMMYFUNCTION("""COMPUTED_VALUE"""),50.36)</f>
        <v>50.36</v>
      </c>
      <c r="AU29" s="3">
        <f ca="1">IFERROR(__xludf.DUMMYFUNCTION("""COMPUTED_VALUE"""),50.5)</f>
        <v>50.5</v>
      </c>
      <c r="AV29" s="3">
        <f ca="1">IFERROR(__xludf.DUMMYFUNCTION("""COMPUTED_VALUE"""),1858238)</f>
        <v>1858238</v>
      </c>
      <c r="AW29" s="4">
        <f ca="1">IFERROR(__xludf.DUMMYFUNCTION("""COMPUTED_VALUE"""),42321.6666666666)</f>
        <v>42321.666666666599</v>
      </c>
      <c r="AX29" s="3">
        <f ca="1">IFERROR(__xludf.DUMMYFUNCTION("""COMPUTED_VALUE"""),29.82)</f>
        <v>29.82</v>
      </c>
      <c r="AY29" s="3">
        <f ca="1">IFERROR(__xludf.DUMMYFUNCTION("""COMPUTED_VALUE"""),29.87)</f>
        <v>29.87</v>
      </c>
      <c r="AZ29" s="3">
        <f ca="1">IFERROR(__xludf.DUMMYFUNCTION("""COMPUTED_VALUE"""),29.56)</f>
        <v>29.56</v>
      </c>
      <c r="BA29" s="3">
        <f ca="1">IFERROR(__xludf.DUMMYFUNCTION("""COMPUTED_VALUE"""),29.56)</f>
        <v>29.56</v>
      </c>
      <c r="BB29" s="3">
        <f ca="1">IFERROR(__xludf.DUMMYFUNCTION("""COMPUTED_VALUE"""),47674)</f>
        <v>47674</v>
      </c>
      <c r="BC29" s="4">
        <f ca="1">IFERROR(__xludf.DUMMYFUNCTION("""COMPUTED_VALUE"""),42166.6666666666)</f>
        <v>42166.666666666599</v>
      </c>
      <c r="BD29" s="3">
        <f ca="1">IFERROR(__xludf.DUMMYFUNCTION("""COMPUTED_VALUE"""),43.18)</f>
        <v>43.18</v>
      </c>
      <c r="BE29" s="3">
        <f ca="1">IFERROR(__xludf.DUMMYFUNCTION("""COMPUTED_VALUE"""),43.29)</f>
        <v>43.29</v>
      </c>
      <c r="BF29" s="3">
        <f ca="1">IFERROR(__xludf.DUMMYFUNCTION("""COMPUTED_VALUE"""),42.99)</f>
        <v>42.99</v>
      </c>
      <c r="BG29" s="3">
        <f ca="1">IFERROR(__xludf.DUMMYFUNCTION("""COMPUTED_VALUE"""),43.05)</f>
        <v>43.05</v>
      </c>
      <c r="BH29" s="3">
        <f ca="1">IFERROR(__xludf.DUMMYFUNCTION("""COMPUTED_VALUE"""),5644698)</f>
        <v>5644698</v>
      </c>
      <c r="BI29" s="4">
        <f ca="1">IFERROR(__xludf.DUMMYFUNCTION("""COMPUTED_VALUE"""),42166.6666666666)</f>
        <v>42166.666666666599</v>
      </c>
      <c r="BJ29" s="3">
        <f ca="1">IFERROR(__xludf.DUMMYFUNCTION("""COMPUTED_VALUE"""),42.93)</f>
        <v>42.93</v>
      </c>
      <c r="BK29" s="3">
        <f ca="1">IFERROR(__xludf.DUMMYFUNCTION("""COMPUTED_VALUE"""),43.01)</f>
        <v>43.01</v>
      </c>
      <c r="BL29" s="3">
        <f ca="1">IFERROR(__xludf.DUMMYFUNCTION("""COMPUTED_VALUE"""),42.74)</f>
        <v>42.74</v>
      </c>
      <c r="BM29" s="3">
        <f ca="1">IFERROR(__xludf.DUMMYFUNCTION("""COMPUTED_VALUE"""),42.92)</f>
        <v>42.92</v>
      </c>
      <c r="BN29" s="3">
        <f ca="1">IFERROR(__xludf.DUMMYFUNCTION("""COMPUTED_VALUE"""),8976873)</f>
        <v>8976873</v>
      </c>
    </row>
    <row r="30" spans="7:66" ht="15.75" customHeight="1" x14ac:dyDescent="0.15">
      <c r="G30" s="4">
        <f ca="1">IFERROR(__xludf.DUMMYFUNCTION("""COMPUTED_VALUE"""),42167.6666666666)</f>
        <v>42167.666666666599</v>
      </c>
      <c r="H30" s="3">
        <f ca="1">IFERROR(__xludf.DUMMYFUNCTION("""COMPUTED_VALUE"""),76.5)</f>
        <v>76.5</v>
      </c>
      <c r="I30" s="3">
        <f ca="1">IFERROR(__xludf.DUMMYFUNCTION("""COMPUTED_VALUE"""),76.78)</f>
        <v>76.78</v>
      </c>
      <c r="J30" s="3">
        <f ca="1">IFERROR(__xludf.DUMMYFUNCTION("""COMPUTED_VALUE"""),76.45)</f>
        <v>76.45</v>
      </c>
      <c r="K30" s="3">
        <f ca="1">IFERROR(__xludf.DUMMYFUNCTION("""COMPUTED_VALUE"""),76.59)</f>
        <v>76.59</v>
      </c>
      <c r="L30" s="3">
        <f ca="1">IFERROR(__xludf.DUMMYFUNCTION("""COMPUTED_VALUE"""),4067712)</f>
        <v>4067712</v>
      </c>
      <c r="M30" s="4">
        <f ca="1">IFERROR(__xludf.DUMMYFUNCTION("""COMPUTED_VALUE"""),42167.6666666666)</f>
        <v>42167.666666666599</v>
      </c>
      <c r="N30" s="3">
        <f ca="1">IFERROR(__xludf.DUMMYFUNCTION("""COMPUTED_VALUE"""),48.13)</f>
        <v>48.13</v>
      </c>
      <c r="O30" s="3">
        <f ca="1">IFERROR(__xludf.DUMMYFUNCTION("""COMPUTED_VALUE"""),48.17)</f>
        <v>48.17</v>
      </c>
      <c r="P30" s="3">
        <f ca="1">IFERROR(__xludf.DUMMYFUNCTION("""COMPUTED_VALUE"""),47.89)</f>
        <v>47.89</v>
      </c>
      <c r="Q30" s="3">
        <f ca="1">IFERROR(__xludf.DUMMYFUNCTION("""COMPUTED_VALUE"""),48.06)</f>
        <v>48.06</v>
      </c>
      <c r="R30" s="3">
        <f ca="1">IFERROR(__xludf.DUMMYFUNCTION("""COMPUTED_VALUE"""),6748776)</f>
        <v>6748776</v>
      </c>
      <c r="S30" s="4">
        <f ca="1">IFERROR(__xludf.DUMMYFUNCTION("""COMPUTED_VALUE"""),42167.6666666666)</f>
        <v>42167.666666666599</v>
      </c>
      <c r="T30" s="3">
        <f ca="1">IFERROR(__xludf.DUMMYFUNCTION("""COMPUTED_VALUE"""),77.38)</f>
        <v>77.38</v>
      </c>
      <c r="U30" s="3">
        <f ca="1">IFERROR(__xludf.DUMMYFUNCTION("""COMPUTED_VALUE"""),77.44)</f>
        <v>77.44</v>
      </c>
      <c r="V30" s="3">
        <f ca="1">IFERROR(__xludf.DUMMYFUNCTION("""COMPUTED_VALUE"""),76.82)</f>
        <v>76.819999999999993</v>
      </c>
      <c r="W30" s="3">
        <f ca="1">IFERROR(__xludf.DUMMYFUNCTION("""COMPUTED_VALUE"""),76.95)</f>
        <v>76.95</v>
      </c>
      <c r="X30" s="3">
        <f ca="1">IFERROR(__xludf.DUMMYFUNCTION("""COMPUTED_VALUE"""),10504524)</f>
        <v>10504524</v>
      </c>
      <c r="Y30" s="4">
        <f ca="1">IFERROR(__xludf.DUMMYFUNCTION("""COMPUTED_VALUE"""),42167.6666666666)</f>
        <v>42167.666666666599</v>
      </c>
      <c r="Z30" s="3">
        <f ca="1">IFERROR(__xludf.DUMMYFUNCTION("""COMPUTED_VALUE"""),20.37)</f>
        <v>20.37</v>
      </c>
      <c r="AA30" s="3">
        <f ca="1">IFERROR(__xludf.DUMMYFUNCTION("""COMPUTED_VALUE"""),20.41)</f>
        <v>20.41</v>
      </c>
      <c r="AB30" s="3">
        <f ca="1">IFERROR(__xludf.DUMMYFUNCTION("""COMPUTED_VALUE"""),20.27)</f>
        <v>20.27</v>
      </c>
      <c r="AC30" s="3">
        <f ca="1">IFERROR(__xludf.DUMMYFUNCTION("""COMPUTED_VALUE"""),20.33)</f>
        <v>20.329999999999998</v>
      </c>
      <c r="AD30" s="3">
        <f ca="1">IFERROR(__xludf.DUMMYFUNCTION("""COMPUTED_VALUE"""),34286416)</f>
        <v>34286416</v>
      </c>
      <c r="AE30" s="4">
        <f ca="1">IFERROR(__xludf.DUMMYFUNCTION("""COMPUTED_VALUE"""),42167.6666666666)</f>
        <v>42167.666666666599</v>
      </c>
      <c r="AF30" s="3">
        <f ca="1">IFERROR(__xludf.DUMMYFUNCTION("""COMPUTED_VALUE"""),75)</f>
        <v>75</v>
      </c>
      <c r="AG30" s="3">
        <f ca="1">IFERROR(__xludf.DUMMYFUNCTION("""COMPUTED_VALUE"""),75.11)</f>
        <v>75.11</v>
      </c>
      <c r="AH30" s="3">
        <f ca="1">IFERROR(__xludf.DUMMYFUNCTION("""COMPUTED_VALUE"""),74.34)</f>
        <v>74.34</v>
      </c>
      <c r="AI30" s="3">
        <f ca="1">IFERROR(__xludf.DUMMYFUNCTION("""COMPUTED_VALUE"""),74.44)</f>
        <v>74.44</v>
      </c>
      <c r="AJ30" s="3">
        <f ca="1">IFERROR(__xludf.DUMMYFUNCTION("""COMPUTED_VALUE"""),6330563)</f>
        <v>6330563</v>
      </c>
      <c r="AK30" s="4">
        <f ca="1">IFERROR(__xludf.DUMMYFUNCTION("""COMPUTED_VALUE"""),42167.6666666666)</f>
        <v>42167.666666666599</v>
      </c>
      <c r="AL30" s="3">
        <f ca="1">IFERROR(__xludf.DUMMYFUNCTION("""COMPUTED_VALUE"""),56.01)</f>
        <v>56.01</v>
      </c>
      <c r="AM30" s="3">
        <f ca="1">IFERROR(__xludf.DUMMYFUNCTION("""COMPUTED_VALUE"""),56.17)</f>
        <v>56.17</v>
      </c>
      <c r="AN30" s="3">
        <f ca="1">IFERROR(__xludf.DUMMYFUNCTION("""COMPUTED_VALUE"""),55.83)</f>
        <v>55.83</v>
      </c>
      <c r="AO30" s="3">
        <f ca="1">IFERROR(__xludf.DUMMYFUNCTION("""COMPUTED_VALUE"""),55.98)</f>
        <v>55.98</v>
      </c>
      <c r="AP30" s="3">
        <f ca="1">IFERROR(__xludf.DUMMYFUNCTION("""COMPUTED_VALUE"""),7799261)</f>
        <v>7799261</v>
      </c>
      <c r="AQ30" s="4">
        <f ca="1">IFERROR(__xludf.DUMMYFUNCTION("""COMPUTED_VALUE"""),42167.6666666666)</f>
        <v>42167.666666666599</v>
      </c>
      <c r="AR30" s="3">
        <f ca="1">IFERROR(__xludf.DUMMYFUNCTION("""COMPUTED_VALUE"""),50.42)</f>
        <v>50.42</v>
      </c>
      <c r="AS30" s="3">
        <f ca="1">IFERROR(__xludf.DUMMYFUNCTION("""COMPUTED_VALUE"""),50.44)</f>
        <v>50.44</v>
      </c>
      <c r="AT30" s="3">
        <f ca="1">IFERROR(__xludf.DUMMYFUNCTION("""COMPUTED_VALUE"""),50.1)</f>
        <v>50.1</v>
      </c>
      <c r="AU30" s="3">
        <f ca="1">IFERROR(__xludf.DUMMYFUNCTION("""COMPUTED_VALUE"""),50.2)</f>
        <v>50.2</v>
      </c>
      <c r="AV30" s="3">
        <f ca="1">IFERROR(__xludf.DUMMYFUNCTION("""COMPUTED_VALUE"""),2373480)</f>
        <v>2373480</v>
      </c>
      <c r="AW30" s="4">
        <f ca="1">IFERROR(__xludf.DUMMYFUNCTION("""COMPUTED_VALUE"""),42324.6666666666)</f>
        <v>42324.666666666599</v>
      </c>
      <c r="AX30" s="3">
        <f ca="1">IFERROR(__xludf.DUMMYFUNCTION("""COMPUTED_VALUE"""),29.53)</f>
        <v>29.53</v>
      </c>
      <c r="AY30" s="3">
        <f ca="1">IFERROR(__xludf.DUMMYFUNCTION("""COMPUTED_VALUE"""),29.62)</f>
        <v>29.62</v>
      </c>
      <c r="AZ30" s="3">
        <f ca="1">IFERROR(__xludf.DUMMYFUNCTION("""COMPUTED_VALUE"""),29.53)</f>
        <v>29.53</v>
      </c>
      <c r="BA30" s="3">
        <f ca="1">IFERROR(__xludf.DUMMYFUNCTION("""COMPUTED_VALUE"""),29.53)</f>
        <v>29.53</v>
      </c>
      <c r="BB30" s="3">
        <f ca="1">IFERROR(__xludf.DUMMYFUNCTION("""COMPUTED_VALUE"""),4200)</f>
        <v>4200</v>
      </c>
      <c r="BC30" s="4">
        <f ca="1">IFERROR(__xludf.DUMMYFUNCTION("""COMPUTED_VALUE"""),42167.6666666666)</f>
        <v>42167.666666666599</v>
      </c>
      <c r="BD30" s="3">
        <f ca="1">IFERROR(__xludf.DUMMYFUNCTION("""COMPUTED_VALUE"""),42.84)</f>
        <v>42.84</v>
      </c>
      <c r="BE30" s="3">
        <f ca="1">IFERROR(__xludf.DUMMYFUNCTION("""COMPUTED_VALUE"""),42.91)</f>
        <v>42.91</v>
      </c>
      <c r="BF30" s="3">
        <f ca="1">IFERROR(__xludf.DUMMYFUNCTION("""COMPUTED_VALUE"""),42.63)</f>
        <v>42.63</v>
      </c>
      <c r="BG30" s="3">
        <f ca="1">IFERROR(__xludf.DUMMYFUNCTION("""COMPUTED_VALUE"""),42.67)</f>
        <v>42.67</v>
      </c>
      <c r="BH30" s="3">
        <f ca="1">IFERROR(__xludf.DUMMYFUNCTION("""COMPUTED_VALUE"""),6158829)</f>
        <v>6158829</v>
      </c>
      <c r="BI30" s="4">
        <f ca="1">IFERROR(__xludf.DUMMYFUNCTION("""COMPUTED_VALUE"""),42167.6666666666)</f>
        <v>42167.666666666599</v>
      </c>
      <c r="BJ30" s="3">
        <f ca="1">IFERROR(__xludf.DUMMYFUNCTION("""COMPUTED_VALUE"""),42.74)</f>
        <v>42.74</v>
      </c>
      <c r="BK30" s="3">
        <f ca="1">IFERROR(__xludf.DUMMYFUNCTION("""COMPUTED_VALUE"""),42.88)</f>
        <v>42.88</v>
      </c>
      <c r="BL30" s="3">
        <f ca="1">IFERROR(__xludf.DUMMYFUNCTION("""COMPUTED_VALUE"""),42.53)</f>
        <v>42.53</v>
      </c>
      <c r="BM30" s="3">
        <f ca="1">IFERROR(__xludf.DUMMYFUNCTION("""COMPUTED_VALUE"""),42.54)</f>
        <v>42.54</v>
      </c>
      <c r="BN30" s="3">
        <f ca="1">IFERROR(__xludf.DUMMYFUNCTION("""COMPUTED_VALUE"""),8629277)</f>
        <v>8629277</v>
      </c>
    </row>
    <row r="31" spans="7:66" ht="15.75" customHeight="1" x14ac:dyDescent="0.15">
      <c r="G31" s="4">
        <f ca="1">IFERROR(__xludf.DUMMYFUNCTION("""COMPUTED_VALUE"""),42170.6666666666)</f>
        <v>42170.666666666599</v>
      </c>
      <c r="H31" s="3">
        <f ca="1">IFERROR(__xludf.DUMMYFUNCTION("""COMPUTED_VALUE"""),76.11)</f>
        <v>76.11</v>
      </c>
      <c r="I31" s="3">
        <f ca="1">IFERROR(__xludf.DUMMYFUNCTION("""COMPUTED_VALUE"""),76.37)</f>
        <v>76.37</v>
      </c>
      <c r="J31" s="3">
        <f ca="1">IFERROR(__xludf.DUMMYFUNCTION("""COMPUTED_VALUE"""),75.82)</f>
        <v>75.819999999999993</v>
      </c>
      <c r="K31" s="3">
        <f ca="1">IFERROR(__xludf.DUMMYFUNCTION("""COMPUTED_VALUE"""),76.23)</f>
        <v>76.23</v>
      </c>
      <c r="L31" s="3">
        <f ca="1">IFERROR(__xludf.DUMMYFUNCTION("""COMPUTED_VALUE"""),4671420)</f>
        <v>4671420</v>
      </c>
      <c r="M31" s="4">
        <f ca="1">IFERROR(__xludf.DUMMYFUNCTION("""COMPUTED_VALUE"""),42170.6666666666)</f>
        <v>42170.666666666599</v>
      </c>
      <c r="N31" s="3">
        <f ca="1">IFERROR(__xludf.DUMMYFUNCTION("""COMPUTED_VALUE"""),47.87)</f>
        <v>47.87</v>
      </c>
      <c r="O31" s="3">
        <f ca="1">IFERROR(__xludf.DUMMYFUNCTION("""COMPUTED_VALUE"""),47.96)</f>
        <v>47.96</v>
      </c>
      <c r="P31" s="3">
        <f ca="1">IFERROR(__xludf.DUMMYFUNCTION("""COMPUTED_VALUE"""),47.68)</f>
        <v>47.68</v>
      </c>
      <c r="Q31" s="3">
        <f ca="1">IFERROR(__xludf.DUMMYFUNCTION("""COMPUTED_VALUE"""),47.71)</f>
        <v>47.71</v>
      </c>
      <c r="R31" s="3">
        <f ca="1">IFERROR(__xludf.DUMMYFUNCTION("""COMPUTED_VALUE"""),7632584)</f>
        <v>7632584</v>
      </c>
      <c r="S31" s="4">
        <f ca="1">IFERROR(__xludf.DUMMYFUNCTION("""COMPUTED_VALUE"""),42170.6666666666)</f>
        <v>42170.666666666599</v>
      </c>
      <c r="T31" s="3">
        <f ca="1">IFERROR(__xludf.DUMMYFUNCTION("""COMPUTED_VALUE"""),76.42)</f>
        <v>76.42</v>
      </c>
      <c r="U31" s="3">
        <f ca="1">IFERROR(__xludf.DUMMYFUNCTION("""COMPUTED_VALUE"""),77.18)</f>
        <v>77.180000000000007</v>
      </c>
      <c r="V31" s="3">
        <f ca="1">IFERROR(__xludf.DUMMYFUNCTION("""COMPUTED_VALUE"""),76.19)</f>
        <v>76.19</v>
      </c>
      <c r="W31" s="3">
        <f ca="1">IFERROR(__xludf.DUMMYFUNCTION("""COMPUTED_VALUE"""),76.77)</f>
        <v>76.77</v>
      </c>
      <c r="X31" s="3">
        <f ca="1">IFERROR(__xludf.DUMMYFUNCTION("""COMPUTED_VALUE"""),8075548)</f>
        <v>8075548</v>
      </c>
      <c r="Y31" s="4">
        <f ca="1">IFERROR(__xludf.DUMMYFUNCTION("""COMPUTED_VALUE"""),42170.6666666666)</f>
        <v>42170.666666666599</v>
      </c>
      <c r="Z31" s="3">
        <f ca="1">IFERROR(__xludf.DUMMYFUNCTION("""COMPUTED_VALUE"""),20.2)</f>
        <v>20.2</v>
      </c>
      <c r="AA31" s="3">
        <f ca="1">IFERROR(__xludf.DUMMYFUNCTION("""COMPUTED_VALUE"""),20.32)</f>
        <v>20.32</v>
      </c>
      <c r="AB31" s="3">
        <f ca="1">IFERROR(__xludf.DUMMYFUNCTION("""COMPUTED_VALUE"""),20.12)</f>
        <v>20.12</v>
      </c>
      <c r="AC31" s="3">
        <f ca="1">IFERROR(__xludf.DUMMYFUNCTION("""COMPUTED_VALUE"""),20.24)</f>
        <v>20.239999999999998</v>
      </c>
      <c r="AD31" s="3">
        <f ca="1">IFERROR(__xludf.DUMMYFUNCTION("""COMPUTED_VALUE"""),33045213)</f>
        <v>33045213</v>
      </c>
      <c r="AE31" s="4">
        <f ca="1">IFERROR(__xludf.DUMMYFUNCTION("""COMPUTED_VALUE"""),42170.6666666666)</f>
        <v>42170.666666666599</v>
      </c>
      <c r="AF31" s="3">
        <f ca="1">IFERROR(__xludf.DUMMYFUNCTION("""COMPUTED_VALUE"""),73.97)</f>
        <v>73.97</v>
      </c>
      <c r="AG31" s="3">
        <f ca="1">IFERROR(__xludf.DUMMYFUNCTION("""COMPUTED_VALUE"""),74.68)</f>
        <v>74.680000000000007</v>
      </c>
      <c r="AH31" s="3">
        <f ca="1">IFERROR(__xludf.DUMMYFUNCTION("""COMPUTED_VALUE"""),73.59)</f>
        <v>73.59</v>
      </c>
      <c r="AI31" s="3">
        <f ca="1">IFERROR(__xludf.DUMMYFUNCTION("""COMPUTED_VALUE"""),74.53)</f>
        <v>74.53</v>
      </c>
      <c r="AJ31" s="3">
        <f ca="1">IFERROR(__xludf.DUMMYFUNCTION("""COMPUTED_VALUE"""),7150167)</f>
        <v>7150167</v>
      </c>
      <c r="AK31" s="4">
        <f ca="1">IFERROR(__xludf.DUMMYFUNCTION("""COMPUTED_VALUE"""),42170.6666666666)</f>
        <v>42170.666666666599</v>
      </c>
      <c r="AL31" s="3">
        <f ca="1">IFERROR(__xludf.DUMMYFUNCTION("""COMPUTED_VALUE"""),55.56)</f>
        <v>55.56</v>
      </c>
      <c r="AM31" s="3">
        <f ca="1">IFERROR(__xludf.DUMMYFUNCTION("""COMPUTED_VALUE"""),55.73)</f>
        <v>55.73</v>
      </c>
      <c r="AN31" s="3">
        <f ca="1">IFERROR(__xludf.DUMMYFUNCTION("""COMPUTED_VALUE"""),55.25)</f>
        <v>55.25</v>
      </c>
      <c r="AO31" s="3">
        <f ca="1">IFERROR(__xludf.DUMMYFUNCTION("""COMPUTED_VALUE"""),55.51)</f>
        <v>55.51</v>
      </c>
      <c r="AP31" s="3">
        <f ca="1">IFERROR(__xludf.DUMMYFUNCTION("""COMPUTED_VALUE"""),8872425)</f>
        <v>8872425</v>
      </c>
      <c r="AQ31" s="4">
        <f ca="1">IFERROR(__xludf.DUMMYFUNCTION("""COMPUTED_VALUE"""),42170.6666666666)</f>
        <v>42170.666666666599</v>
      </c>
      <c r="AR31" s="3">
        <f ca="1">IFERROR(__xludf.DUMMYFUNCTION("""COMPUTED_VALUE"""),49.82)</f>
        <v>49.82</v>
      </c>
      <c r="AS31" s="3">
        <f ca="1">IFERROR(__xludf.DUMMYFUNCTION("""COMPUTED_VALUE"""),50.08)</f>
        <v>50.08</v>
      </c>
      <c r="AT31" s="3">
        <f ca="1">IFERROR(__xludf.DUMMYFUNCTION("""COMPUTED_VALUE"""),49.63)</f>
        <v>49.63</v>
      </c>
      <c r="AU31" s="3">
        <f ca="1">IFERROR(__xludf.DUMMYFUNCTION("""COMPUTED_VALUE"""),49.89)</f>
        <v>49.89</v>
      </c>
      <c r="AV31" s="3">
        <f ca="1">IFERROR(__xludf.DUMMYFUNCTION("""COMPUTED_VALUE"""),3355902)</f>
        <v>3355902</v>
      </c>
      <c r="AW31" s="4">
        <f ca="1">IFERROR(__xludf.DUMMYFUNCTION("""COMPUTED_VALUE"""),42325.6666666666)</f>
        <v>42325.666666666599</v>
      </c>
      <c r="AX31" s="3">
        <f ca="1">IFERROR(__xludf.DUMMYFUNCTION("""COMPUTED_VALUE"""),30)</f>
        <v>30</v>
      </c>
      <c r="AY31" s="3">
        <f ca="1">IFERROR(__xludf.DUMMYFUNCTION("""COMPUTED_VALUE"""),30.18)</f>
        <v>30.18</v>
      </c>
      <c r="AZ31" s="3">
        <f ca="1">IFERROR(__xludf.DUMMYFUNCTION("""COMPUTED_VALUE"""),29.93)</f>
        <v>29.93</v>
      </c>
      <c r="BA31" s="3">
        <f ca="1">IFERROR(__xludf.DUMMYFUNCTION("""COMPUTED_VALUE"""),29.99)</f>
        <v>29.99</v>
      </c>
      <c r="BB31" s="3">
        <f ca="1">IFERROR(__xludf.DUMMYFUNCTION("""COMPUTED_VALUE"""),25680)</f>
        <v>25680</v>
      </c>
      <c r="BC31" s="4">
        <f ca="1">IFERROR(__xludf.DUMMYFUNCTION("""COMPUTED_VALUE"""),42170.6666666666)</f>
        <v>42170.666666666599</v>
      </c>
      <c r="BD31" s="3">
        <f ca="1">IFERROR(__xludf.DUMMYFUNCTION("""COMPUTED_VALUE"""),42.39)</f>
        <v>42.39</v>
      </c>
      <c r="BE31" s="3">
        <f ca="1">IFERROR(__xludf.DUMMYFUNCTION("""COMPUTED_VALUE"""),42.47)</f>
        <v>42.47</v>
      </c>
      <c r="BF31" s="3">
        <f ca="1">IFERROR(__xludf.DUMMYFUNCTION("""COMPUTED_VALUE"""),42.09)</f>
        <v>42.09</v>
      </c>
      <c r="BG31" s="3">
        <f ca="1">IFERROR(__xludf.DUMMYFUNCTION("""COMPUTED_VALUE"""),42.41)</f>
        <v>42.41</v>
      </c>
      <c r="BH31" s="3">
        <f ca="1">IFERROR(__xludf.DUMMYFUNCTION("""COMPUTED_VALUE"""),9179103)</f>
        <v>9179103</v>
      </c>
      <c r="BI31" s="4">
        <f ca="1">IFERROR(__xludf.DUMMYFUNCTION("""COMPUTED_VALUE"""),42170.6666666666)</f>
        <v>42170.666666666599</v>
      </c>
      <c r="BJ31" s="3">
        <f ca="1">IFERROR(__xludf.DUMMYFUNCTION("""COMPUTED_VALUE"""),42.42)</f>
        <v>42.42</v>
      </c>
      <c r="BK31" s="3">
        <f ca="1">IFERROR(__xludf.DUMMYFUNCTION("""COMPUTED_VALUE"""),42.67)</f>
        <v>42.67</v>
      </c>
      <c r="BL31" s="3">
        <f ca="1">IFERROR(__xludf.DUMMYFUNCTION("""COMPUTED_VALUE"""),42.29)</f>
        <v>42.29</v>
      </c>
      <c r="BM31" s="3">
        <f ca="1">IFERROR(__xludf.DUMMYFUNCTION("""COMPUTED_VALUE"""),42.47)</f>
        <v>42.47</v>
      </c>
      <c r="BN31" s="3">
        <f ca="1">IFERROR(__xludf.DUMMYFUNCTION("""COMPUTED_VALUE"""),10076120)</f>
        <v>10076120</v>
      </c>
    </row>
    <row r="32" spans="7:66" ht="15.75" customHeight="1" x14ac:dyDescent="0.15">
      <c r="G32" s="4">
        <f ca="1">IFERROR(__xludf.DUMMYFUNCTION("""COMPUTED_VALUE"""),42171.6666666666)</f>
        <v>42171.666666666599</v>
      </c>
      <c r="H32" s="3">
        <f ca="1">IFERROR(__xludf.DUMMYFUNCTION("""COMPUTED_VALUE"""),76.15)</f>
        <v>76.150000000000006</v>
      </c>
      <c r="I32" s="3">
        <f ca="1">IFERROR(__xludf.DUMMYFUNCTION("""COMPUTED_VALUE"""),76.71)</f>
        <v>76.709999999999994</v>
      </c>
      <c r="J32" s="3">
        <f ca="1">IFERROR(__xludf.DUMMYFUNCTION("""COMPUTED_VALUE"""),76.09)</f>
        <v>76.09</v>
      </c>
      <c r="K32" s="3">
        <f ca="1">IFERROR(__xludf.DUMMYFUNCTION("""COMPUTED_VALUE"""),76.69)</f>
        <v>76.69</v>
      </c>
      <c r="L32" s="3">
        <f ca="1">IFERROR(__xludf.DUMMYFUNCTION("""COMPUTED_VALUE"""),4106788)</f>
        <v>4106788</v>
      </c>
      <c r="M32" s="4">
        <f ca="1">IFERROR(__xludf.DUMMYFUNCTION("""COMPUTED_VALUE"""),42171.6666666666)</f>
        <v>42171.666666666599</v>
      </c>
      <c r="N32" s="3">
        <f ca="1">IFERROR(__xludf.DUMMYFUNCTION("""COMPUTED_VALUE"""),47.84)</f>
        <v>47.84</v>
      </c>
      <c r="O32" s="3">
        <f ca="1">IFERROR(__xludf.DUMMYFUNCTION("""COMPUTED_VALUE"""),48.26)</f>
        <v>48.26</v>
      </c>
      <c r="P32" s="3">
        <f ca="1">IFERROR(__xludf.DUMMYFUNCTION("""COMPUTED_VALUE"""),47.77)</f>
        <v>47.77</v>
      </c>
      <c r="Q32" s="3">
        <f ca="1">IFERROR(__xludf.DUMMYFUNCTION("""COMPUTED_VALUE"""),48.23)</f>
        <v>48.23</v>
      </c>
      <c r="R32" s="3">
        <f ca="1">IFERROR(__xludf.DUMMYFUNCTION("""COMPUTED_VALUE"""),5036370)</f>
        <v>5036370</v>
      </c>
      <c r="S32" s="4">
        <f ca="1">IFERROR(__xludf.DUMMYFUNCTION("""COMPUTED_VALUE"""),42171.6666666666)</f>
        <v>42171.666666666599</v>
      </c>
      <c r="T32" s="3">
        <f ca="1">IFERROR(__xludf.DUMMYFUNCTION("""COMPUTED_VALUE"""),76.91)</f>
        <v>76.91</v>
      </c>
      <c r="U32" s="3">
        <f ca="1">IFERROR(__xludf.DUMMYFUNCTION("""COMPUTED_VALUE"""),77.39)</f>
        <v>77.39</v>
      </c>
      <c r="V32" s="3">
        <f ca="1">IFERROR(__xludf.DUMMYFUNCTION("""COMPUTED_VALUE"""),76.54)</f>
        <v>76.540000000000006</v>
      </c>
      <c r="W32" s="3">
        <f ca="1">IFERROR(__xludf.DUMMYFUNCTION("""COMPUTED_VALUE"""),77.37)</f>
        <v>77.37</v>
      </c>
      <c r="X32" s="3">
        <f ca="1">IFERROR(__xludf.DUMMYFUNCTION("""COMPUTED_VALUE"""),9017622)</f>
        <v>9017622</v>
      </c>
      <c r="Y32" s="4">
        <f ca="1">IFERROR(__xludf.DUMMYFUNCTION("""COMPUTED_VALUE"""),42171.6666666666)</f>
        <v>42171.666666666599</v>
      </c>
      <c r="Z32" s="3">
        <f ca="1">IFERROR(__xludf.DUMMYFUNCTION("""COMPUTED_VALUE"""),20.25)</f>
        <v>20.25</v>
      </c>
      <c r="AA32" s="3">
        <f ca="1">IFERROR(__xludf.DUMMYFUNCTION("""COMPUTED_VALUE"""),20.37)</f>
        <v>20.37</v>
      </c>
      <c r="AB32" s="3">
        <f ca="1">IFERROR(__xludf.DUMMYFUNCTION("""COMPUTED_VALUE"""),20.19)</f>
        <v>20.190000000000001</v>
      </c>
      <c r="AC32" s="3">
        <f ca="1">IFERROR(__xludf.DUMMYFUNCTION("""COMPUTED_VALUE"""),20.36)</f>
        <v>20.36</v>
      </c>
      <c r="AD32" s="3">
        <f ca="1">IFERROR(__xludf.DUMMYFUNCTION("""COMPUTED_VALUE"""),29429918)</f>
        <v>29429918</v>
      </c>
      <c r="AE32" s="4">
        <f ca="1">IFERROR(__xludf.DUMMYFUNCTION("""COMPUTED_VALUE"""),42171.6666666666)</f>
        <v>42171.666666666599</v>
      </c>
      <c r="AF32" s="3">
        <f ca="1">IFERROR(__xludf.DUMMYFUNCTION("""COMPUTED_VALUE"""),74.49)</f>
        <v>74.489999999999995</v>
      </c>
      <c r="AG32" s="3">
        <f ca="1">IFERROR(__xludf.DUMMYFUNCTION("""COMPUTED_VALUE"""),74.94)</f>
        <v>74.94</v>
      </c>
      <c r="AH32" s="3">
        <f ca="1">IFERROR(__xludf.DUMMYFUNCTION("""COMPUTED_VALUE"""),74.33)</f>
        <v>74.33</v>
      </c>
      <c r="AI32" s="3">
        <f ca="1">IFERROR(__xludf.DUMMYFUNCTION("""COMPUTED_VALUE"""),74.9)</f>
        <v>74.900000000000006</v>
      </c>
      <c r="AJ32" s="3">
        <f ca="1">IFERROR(__xludf.DUMMYFUNCTION("""COMPUTED_VALUE"""),6041425)</f>
        <v>6041425</v>
      </c>
      <c r="AK32" s="4">
        <f ca="1">IFERROR(__xludf.DUMMYFUNCTION("""COMPUTED_VALUE"""),42171.6666666666)</f>
        <v>42171.666666666599</v>
      </c>
      <c r="AL32" s="3">
        <f ca="1">IFERROR(__xludf.DUMMYFUNCTION("""COMPUTED_VALUE"""),55.44)</f>
        <v>55.44</v>
      </c>
      <c r="AM32" s="3">
        <f ca="1">IFERROR(__xludf.DUMMYFUNCTION("""COMPUTED_VALUE"""),55.65)</f>
        <v>55.65</v>
      </c>
      <c r="AN32" s="3">
        <f ca="1">IFERROR(__xludf.DUMMYFUNCTION("""COMPUTED_VALUE"""),55.33)</f>
        <v>55.33</v>
      </c>
      <c r="AO32" s="3">
        <f ca="1">IFERROR(__xludf.DUMMYFUNCTION("""COMPUTED_VALUE"""),55.56)</f>
        <v>55.56</v>
      </c>
      <c r="AP32" s="3">
        <f ca="1">IFERROR(__xludf.DUMMYFUNCTION("""COMPUTED_VALUE"""),7514411)</f>
        <v>7514411</v>
      </c>
      <c r="AQ32" s="4">
        <f ca="1">IFERROR(__xludf.DUMMYFUNCTION("""COMPUTED_VALUE"""),42171.6666666666)</f>
        <v>42171.666666666599</v>
      </c>
      <c r="AR32" s="3">
        <f ca="1">IFERROR(__xludf.DUMMYFUNCTION("""COMPUTED_VALUE"""),49.79)</f>
        <v>49.79</v>
      </c>
      <c r="AS32" s="3">
        <f ca="1">IFERROR(__xludf.DUMMYFUNCTION("""COMPUTED_VALUE"""),50.18)</f>
        <v>50.18</v>
      </c>
      <c r="AT32" s="3">
        <f ca="1">IFERROR(__xludf.DUMMYFUNCTION("""COMPUTED_VALUE"""),49.76)</f>
        <v>49.76</v>
      </c>
      <c r="AU32" s="3">
        <f ca="1">IFERROR(__xludf.DUMMYFUNCTION("""COMPUTED_VALUE"""),50.15)</f>
        <v>50.15</v>
      </c>
      <c r="AV32" s="3">
        <f ca="1">IFERROR(__xludf.DUMMYFUNCTION("""COMPUTED_VALUE"""),2145197)</f>
        <v>2145197</v>
      </c>
      <c r="AW32" s="4">
        <f ca="1">IFERROR(__xludf.DUMMYFUNCTION("""COMPUTED_VALUE"""),42326.6666666666)</f>
        <v>42326.666666666599</v>
      </c>
      <c r="AX32" s="3">
        <f ca="1">IFERROR(__xludf.DUMMYFUNCTION("""COMPUTED_VALUE"""),29.64)</f>
        <v>29.64</v>
      </c>
      <c r="AY32" s="3">
        <f ca="1">IFERROR(__xludf.DUMMYFUNCTION("""COMPUTED_VALUE"""),30.34)</f>
        <v>30.34</v>
      </c>
      <c r="AZ32" s="3">
        <f ca="1">IFERROR(__xludf.DUMMYFUNCTION("""COMPUTED_VALUE"""),26.7)</f>
        <v>26.7</v>
      </c>
      <c r="BA32" s="3">
        <f ca="1">IFERROR(__xludf.DUMMYFUNCTION("""COMPUTED_VALUE"""),30.34)</f>
        <v>30.34</v>
      </c>
      <c r="BB32" s="3">
        <f ca="1">IFERROR(__xludf.DUMMYFUNCTION("""COMPUTED_VALUE"""),28556)</f>
        <v>28556</v>
      </c>
      <c r="BC32" s="4">
        <f ca="1">IFERROR(__xludf.DUMMYFUNCTION("""COMPUTED_VALUE"""),42171.6666666666)</f>
        <v>42171.666666666599</v>
      </c>
      <c r="BD32" s="3">
        <f ca="1">IFERROR(__xludf.DUMMYFUNCTION("""COMPUTED_VALUE"""),42.39)</f>
        <v>42.39</v>
      </c>
      <c r="BE32" s="3">
        <f ca="1">IFERROR(__xludf.DUMMYFUNCTION("""COMPUTED_VALUE"""),42.74)</f>
        <v>42.74</v>
      </c>
      <c r="BF32" s="3">
        <f ca="1">IFERROR(__xludf.DUMMYFUNCTION("""COMPUTED_VALUE"""),42.32)</f>
        <v>42.32</v>
      </c>
      <c r="BG32" s="3">
        <f ca="1">IFERROR(__xludf.DUMMYFUNCTION("""COMPUTED_VALUE"""),42.69)</f>
        <v>42.69</v>
      </c>
      <c r="BH32" s="3">
        <f ca="1">IFERROR(__xludf.DUMMYFUNCTION("""COMPUTED_VALUE"""),9173344)</f>
        <v>9173344</v>
      </c>
      <c r="BI32" s="4">
        <f ca="1">IFERROR(__xludf.DUMMYFUNCTION("""COMPUTED_VALUE"""),42171.6666666666)</f>
        <v>42171.666666666599</v>
      </c>
      <c r="BJ32" s="3">
        <f ca="1">IFERROR(__xludf.DUMMYFUNCTION("""COMPUTED_VALUE"""),42.39)</f>
        <v>42.39</v>
      </c>
      <c r="BK32" s="3">
        <f ca="1">IFERROR(__xludf.DUMMYFUNCTION("""COMPUTED_VALUE"""),42.67)</f>
        <v>42.67</v>
      </c>
      <c r="BL32" s="3">
        <f ca="1">IFERROR(__xludf.DUMMYFUNCTION("""COMPUTED_VALUE"""),42.21)</f>
        <v>42.21</v>
      </c>
      <c r="BM32" s="3">
        <f ca="1">IFERROR(__xludf.DUMMYFUNCTION("""COMPUTED_VALUE"""),42.67)</f>
        <v>42.67</v>
      </c>
      <c r="BN32" s="3">
        <f ca="1">IFERROR(__xludf.DUMMYFUNCTION("""COMPUTED_VALUE"""),8036782)</f>
        <v>8036782</v>
      </c>
    </row>
    <row r="33" spans="7:66" ht="15.75" customHeight="1" x14ac:dyDescent="0.15">
      <c r="G33" s="4">
        <f ca="1">IFERROR(__xludf.DUMMYFUNCTION("""COMPUTED_VALUE"""),42172.6666666666)</f>
        <v>42172.666666666599</v>
      </c>
      <c r="H33" s="3">
        <f ca="1">IFERROR(__xludf.DUMMYFUNCTION("""COMPUTED_VALUE"""),76.83)</f>
        <v>76.83</v>
      </c>
      <c r="I33" s="3">
        <f ca="1">IFERROR(__xludf.DUMMYFUNCTION("""COMPUTED_VALUE"""),77.22)</f>
        <v>77.22</v>
      </c>
      <c r="J33" s="3">
        <f ca="1">IFERROR(__xludf.DUMMYFUNCTION("""COMPUTED_VALUE"""),76.49)</f>
        <v>76.489999999999995</v>
      </c>
      <c r="K33" s="3">
        <f ca="1">IFERROR(__xludf.DUMMYFUNCTION("""COMPUTED_VALUE"""),77.04)</f>
        <v>77.040000000000006</v>
      </c>
      <c r="L33" s="3">
        <f ca="1">IFERROR(__xludf.DUMMYFUNCTION("""COMPUTED_VALUE"""),4288608)</f>
        <v>4288608</v>
      </c>
      <c r="M33" s="4">
        <f ca="1">IFERROR(__xludf.DUMMYFUNCTION("""COMPUTED_VALUE"""),42172.6666666666)</f>
        <v>42172.666666666599</v>
      </c>
      <c r="N33" s="3">
        <f ca="1">IFERROR(__xludf.DUMMYFUNCTION("""COMPUTED_VALUE"""),48.38)</f>
        <v>48.38</v>
      </c>
      <c r="O33" s="3">
        <f ca="1">IFERROR(__xludf.DUMMYFUNCTION("""COMPUTED_VALUE"""),48.57)</f>
        <v>48.57</v>
      </c>
      <c r="P33" s="3">
        <f ca="1">IFERROR(__xludf.DUMMYFUNCTION("""COMPUTED_VALUE"""),48.12)</f>
        <v>48.12</v>
      </c>
      <c r="Q33" s="3">
        <f ca="1">IFERROR(__xludf.DUMMYFUNCTION("""COMPUTED_VALUE"""),48.49)</f>
        <v>48.49</v>
      </c>
      <c r="R33" s="3">
        <f ca="1">IFERROR(__xludf.DUMMYFUNCTION("""COMPUTED_VALUE"""),10508750)</f>
        <v>10508750</v>
      </c>
      <c r="S33" s="4">
        <f ca="1">IFERROR(__xludf.DUMMYFUNCTION("""COMPUTED_VALUE"""),42172.6666666666)</f>
        <v>42172.666666666599</v>
      </c>
      <c r="T33" s="3">
        <f ca="1">IFERROR(__xludf.DUMMYFUNCTION("""COMPUTED_VALUE"""),77.78)</f>
        <v>77.78</v>
      </c>
      <c r="U33" s="3">
        <f ca="1">IFERROR(__xludf.DUMMYFUNCTION("""COMPUTED_VALUE"""),78.12)</f>
        <v>78.12</v>
      </c>
      <c r="V33" s="3">
        <f ca="1">IFERROR(__xludf.DUMMYFUNCTION("""COMPUTED_VALUE"""),76.79)</f>
        <v>76.790000000000006</v>
      </c>
      <c r="W33" s="3">
        <f ca="1">IFERROR(__xludf.DUMMYFUNCTION("""COMPUTED_VALUE"""),77.18)</f>
        <v>77.180000000000007</v>
      </c>
      <c r="X33" s="3">
        <f ca="1">IFERROR(__xludf.DUMMYFUNCTION("""COMPUTED_VALUE"""),10413739)</f>
        <v>10413739</v>
      </c>
      <c r="Y33" s="4">
        <f ca="1">IFERROR(__xludf.DUMMYFUNCTION("""COMPUTED_VALUE"""),42172.6666666666)</f>
        <v>42172.666666666599</v>
      </c>
      <c r="Z33" s="3">
        <f ca="1">IFERROR(__xludf.DUMMYFUNCTION("""COMPUTED_VALUE"""),20.42)</f>
        <v>20.420000000000002</v>
      </c>
      <c r="AA33" s="3">
        <f ca="1">IFERROR(__xludf.DUMMYFUNCTION("""COMPUTED_VALUE"""),20.45)</f>
        <v>20.45</v>
      </c>
      <c r="AB33" s="3">
        <f ca="1">IFERROR(__xludf.DUMMYFUNCTION("""COMPUTED_VALUE"""),20.29)</f>
        <v>20.29</v>
      </c>
      <c r="AC33" s="3">
        <f ca="1">IFERROR(__xludf.DUMMYFUNCTION("""COMPUTED_VALUE"""),20.33)</f>
        <v>20.329999999999998</v>
      </c>
      <c r="AD33" s="3">
        <f ca="1">IFERROR(__xludf.DUMMYFUNCTION("""COMPUTED_VALUE"""),45043204)</f>
        <v>45043204</v>
      </c>
      <c r="AE33" s="4">
        <f ca="1">IFERROR(__xludf.DUMMYFUNCTION("""COMPUTED_VALUE"""),42172.6666666666)</f>
        <v>42172.666666666599</v>
      </c>
      <c r="AF33" s="3">
        <f ca="1">IFERROR(__xludf.DUMMYFUNCTION("""COMPUTED_VALUE"""),74.99)</f>
        <v>74.989999999999995</v>
      </c>
      <c r="AG33" s="3">
        <f ca="1">IFERROR(__xludf.DUMMYFUNCTION("""COMPUTED_VALUE"""),75.16)</f>
        <v>75.16</v>
      </c>
      <c r="AH33" s="3">
        <f ca="1">IFERROR(__xludf.DUMMYFUNCTION("""COMPUTED_VALUE"""),74.5)</f>
        <v>74.5</v>
      </c>
      <c r="AI33" s="3">
        <f ca="1">IFERROR(__xludf.DUMMYFUNCTION("""COMPUTED_VALUE"""),74.97)</f>
        <v>74.97</v>
      </c>
      <c r="AJ33" s="3">
        <f ca="1">IFERROR(__xludf.DUMMYFUNCTION("""COMPUTED_VALUE"""),5132122)</f>
        <v>5132122</v>
      </c>
      <c r="AK33" s="4">
        <f ca="1">IFERROR(__xludf.DUMMYFUNCTION("""COMPUTED_VALUE"""),42172.6666666666)</f>
        <v>42172.666666666599</v>
      </c>
      <c r="AL33" s="3">
        <f ca="1">IFERROR(__xludf.DUMMYFUNCTION("""COMPUTED_VALUE"""),55.59)</f>
        <v>55.59</v>
      </c>
      <c r="AM33" s="3">
        <f ca="1">IFERROR(__xludf.DUMMYFUNCTION("""COMPUTED_VALUE"""),55.83)</f>
        <v>55.83</v>
      </c>
      <c r="AN33" s="3">
        <f ca="1">IFERROR(__xludf.DUMMYFUNCTION("""COMPUTED_VALUE"""),55.26)</f>
        <v>55.26</v>
      </c>
      <c r="AO33" s="3">
        <f ca="1">IFERROR(__xludf.DUMMYFUNCTION("""COMPUTED_VALUE"""),55.71)</f>
        <v>55.71</v>
      </c>
      <c r="AP33" s="3">
        <f ca="1">IFERROR(__xludf.DUMMYFUNCTION("""COMPUTED_VALUE"""),10321010)</f>
        <v>10321010</v>
      </c>
      <c r="AQ33" s="4">
        <f ca="1">IFERROR(__xludf.DUMMYFUNCTION("""COMPUTED_VALUE"""),42172.6666666666)</f>
        <v>42172.666666666599</v>
      </c>
      <c r="AR33" s="3">
        <f ca="1">IFERROR(__xludf.DUMMYFUNCTION("""COMPUTED_VALUE"""),50.25)</f>
        <v>50.25</v>
      </c>
      <c r="AS33" s="3">
        <f ca="1">IFERROR(__xludf.DUMMYFUNCTION("""COMPUTED_VALUE"""),50.47)</f>
        <v>50.47</v>
      </c>
      <c r="AT33" s="3">
        <f ca="1">IFERROR(__xludf.DUMMYFUNCTION("""COMPUTED_VALUE"""),49.88)</f>
        <v>49.88</v>
      </c>
      <c r="AU33" s="3">
        <f ca="1">IFERROR(__xludf.DUMMYFUNCTION("""COMPUTED_VALUE"""),50.36)</f>
        <v>50.36</v>
      </c>
      <c r="AV33" s="3">
        <f ca="1">IFERROR(__xludf.DUMMYFUNCTION("""COMPUTED_VALUE"""),3539583)</f>
        <v>3539583</v>
      </c>
      <c r="AW33" s="4">
        <f ca="1">IFERROR(__xludf.DUMMYFUNCTION("""COMPUTED_VALUE"""),42327.6666666666)</f>
        <v>42327.666666666599</v>
      </c>
      <c r="AX33" s="3">
        <f ca="1">IFERROR(__xludf.DUMMYFUNCTION("""COMPUTED_VALUE"""),30.41)</f>
        <v>30.41</v>
      </c>
      <c r="AY33" s="3">
        <f ca="1">IFERROR(__xludf.DUMMYFUNCTION("""COMPUTED_VALUE"""),30.55)</f>
        <v>30.55</v>
      </c>
      <c r="AZ33" s="3">
        <f ca="1">IFERROR(__xludf.DUMMYFUNCTION("""COMPUTED_VALUE"""),30.41)</f>
        <v>30.41</v>
      </c>
      <c r="BA33" s="3">
        <f ca="1">IFERROR(__xludf.DUMMYFUNCTION("""COMPUTED_VALUE"""),30.51)</f>
        <v>30.51</v>
      </c>
      <c r="BB33" s="3">
        <f ca="1">IFERROR(__xludf.DUMMYFUNCTION("""COMPUTED_VALUE"""),3517)</f>
        <v>3517</v>
      </c>
      <c r="BC33" s="4">
        <f ca="1">IFERROR(__xludf.DUMMYFUNCTION("""COMPUTED_VALUE"""),42172.6666666666)</f>
        <v>42172.666666666599</v>
      </c>
      <c r="BD33" s="3">
        <f ca="1">IFERROR(__xludf.DUMMYFUNCTION("""COMPUTED_VALUE"""),42.72)</f>
        <v>42.72</v>
      </c>
      <c r="BE33" s="3">
        <f ca="1">IFERROR(__xludf.DUMMYFUNCTION("""COMPUTED_VALUE"""),42.88)</f>
        <v>42.88</v>
      </c>
      <c r="BF33" s="3">
        <f ca="1">IFERROR(__xludf.DUMMYFUNCTION("""COMPUTED_VALUE"""),42.46)</f>
        <v>42.46</v>
      </c>
      <c r="BG33" s="3">
        <f ca="1">IFERROR(__xludf.DUMMYFUNCTION("""COMPUTED_VALUE"""),42.71)</f>
        <v>42.71</v>
      </c>
      <c r="BH33" s="3">
        <f ca="1">IFERROR(__xludf.DUMMYFUNCTION("""COMPUTED_VALUE"""),11023877)</f>
        <v>11023877</v>
      </c>
      <c r="BI33" s="4">
        <f ca="1">IFERROR(__xludf.DUMMYFUNCTION("""COMPUTED_VALUE"""),42172.6666666666)</f>
        <v>42172.666666666599</v>
      </c>
      <c r="BJ33" s="3">
        <f ca="1">IFERROR(__xludf.DUMMYFUNCTION("""COMPUTED_VALUE"""),42.69)</f>
        <v>42.69</v>
      </c>
      <c r="BK33" s="3">
        <f ca="1">IFERROR(__xludf.DUMMYFUNCTION("""COMPUTED_VALUE"""),43.1)</f>
        <v>43.1</v>
      </c>
      <c r="BL33" s="3">
        <f ca="1">IFERROR(__xludf.DUMMYFUNCTION("""COMPUTED_VALUE"""),42.56)</f>
        <v>42.56</v>
      </c>
      <c r="BM33" s="3">
        <f ca="1">IFERROR(__xludf.DUMMYFUNCTION("""COMPUTED_VALUE"""),43.03)</f>
        <v>43.03</v>
      </c>
      <c r="BN33" s="3">
        <f ca="1">IFERROR(__xludf.DUMMYFUNCTION("""COMPUTED_VALUE"""),18291918)</f>
        <v>18291918</v>
      </c>
    </row>
    <row r="34" spans="7:66" ht="15.75" customHeight="1" x14ac:dyDescent="0.15">
      <c r="G34" s="4">
        <f ca="1">IFERROR(__xludf.DUMMYFUNCTION("""COMPUTED_VALUE"""),42173.6666666666)</f>
        <v>42173.666666666599</v>
      </c>
      <c r="H34" s="3">
        <f ca="1">IFERROR(__xludf.DUMMYFUNCTION("""COMPUTED_VALUE"""),77.05)</f>
        <v>77.05</v>
      </c>
      <c r="I34" s="3">
        <f ca="1">IFERROR(__xludf.DUMMYFUNCTION("""COMPUTED_VALUE"""),78.19)</f>
        <v>78.19</v>
      </c>
      <c r="J34" s="3">
        <f ca="1">IFERROR(__xludf.DUMMYFUNCTION("""COMPUTED_VALUE"""),77.05)</f>
        <v>77.05</v>
      </c>
      <c r="K34" s="3">
        <f ca="1">IFERROR(__xludf.DUMMYFUNCTION("""COMPUTED_VALUE"""),77.97)</f>
        <v>77.97</v>
      </c>
      <c r="L34" s="3">
        <f ca="1">IFERROR(__xludf.DUMMYFUNCTION("""COMPUTED_VALUE"""),5791712)</f>
        <v>5791712</v>
      </c>
      <c r="M34" s="4">
        <f ca="1">IFERROR(__xludf.DUMMYFUNCTION("""COMPUTED_VALUE"""),42173.6666666666)</f>
        <v>42173.666666666599</v>
      </c>
      <c r="N34" s="3">
        <f ca="1">IFERROR(__xludf.DUMMYFUNCTION("""COMPUTED_VALUE"""),48.64)</f>
        <v>48.64</v>
      </c>
      <c r="O34" s="3">
        <f ca="1">IFERROR(__xludf.DUMMYFUNCTION("""COMPUTED_VALUE"""),49.22)</f>
        <v>49.22</v>
      </c>
      <c r="P34" s="3">
        <f ca="1">IFERROR(__xludf.DUMMYFUNCTION("""COMPUTED_VALUE"""),48.6)</f>
        <v>48.6</v>
      </c>
      <c r="Q34" s="3">
        <f ca="1">IFERROR(__xludf.DUMMYFUNCTION("""COMPUTED_VALUE"""),49.03)</f>
        <v>49.03</v>
      </c>
      <c r="R34" s="3">
        <f ca="1">IFERROR(__xludf.DUMMYFUNCTION("""COMPUTED_VALUE"""),8820968)</f>
        <v>8820968</v>
      </c>
      <c r="S34" s="4">
        <f ca="1">IFERROR(__xludf.DUMMYFUNCTION("""COMPUTED_VALUE"""),42173.6666666666)</f>
        <v>42173.666666666599</v>
      </c>
      <c r="T34" s="3">
        <f ca="1">IFERROR(__xludf.DUMMYFUNCTION("""COMPUTED_VALUE"""),77.42)</f>
        <v>77.42</v>
      </c>
      <c r="U34" s="3">
        <f ca="1">IFERROR(__xludf.DUMMYFUNCTION("""COMPUTED_VALUE"""),77.77)</f>
        <v>77.77</v>
      </c>
      <c r="V34" s="3">
        <f ca="1">IFERROR(__xludf.DUMMYFUNCTION("""COMPUTED_VALUE"""),77.06)</f>
        <v>77.06</v>
      </c>
      <c r="W34" s="3">
        <f ca="1">IFERROR(__xludf.DUMMYFUNCTION("""COMPUTED_VALUE"""),77.13)</f>
        <v>77.13</v>
      </c>
      <c r="X34" s="3">
        <f ca="1">IFERROR(__xludf.DUMMYFUNCTION("""COMPUTED_VALUE"""),12672578)</f>
        <v>12672578</v>
      </c>
      <c r="Y34" s="4">
        <f ca="1">IFERROR(__xludf.DUMMYFUNCTION("""COMPUTED_VALUE"""),42173.6666666666)</f>
        <v>42173.666666666599</v>
      </c>
      <c r="Z34" s="3">
        <f ca="1">IFERROR(__xludf.DUMMYFUNCTION("""COMPUTED_VALUE"""),20.42)</f>
        <v>20.420000000000002</v>
      </c>
      <c r="AA34" s="3">
        <f ca="1">IFERROR(__xludf.DUMMYFUNCTION("""COMPUTED_VALUE"""),20.55)</f>
        <v>20.55</v>
      </c>
      <c r="AB34" s="3">
        <f ca="1">IFERROR(__xludf.DUMMYFUNCTION("""COMPUTED_VALUE"""),20.33)</f>
        <v>20.329999999999998</v>
      </c>
      <c r="AC34" s="3">
        <f ca="1">IFERROR(__xludf.DUMMYFUNCTION("""COMPUTED_VALUE"""),20.52)</f>
        <v>20.52</v>
      </c>
      <c r="AD34" s="3">
        <f ca="1">IFERROR(__xludf.DUMMYFUNCTION("""COMPUTED_VALUE"""),56975321)</f>
        <v>56975321</v>
      </c>
      <c r="AE34" s="4">
        <f ca="1">IFERROR(__xludf.DUMMYFUNCTION("""COMPUTED_VALUE"""),42173.6666666666)</f>
        <v>42173.666666666599</v>
      </c>
      <c r="AF34" s="3">
        <f ca="1">IFERROR(__xludf.DUMMYFUNCTION("""COMPUTED_VALUE"""),75.11)</f>
        <v>75.11</v>
      </c>
      <c r="AG34" s="3">
        <f ca="1">IFERROR(__xludf.DUMMYFUNCTION("""COMPUTED_VALUE"""),76.28)</f>
        <v>76.28</v>
      </c>
      <c r="AH34" s="3">
        <f ca="1">IFERROR(__xludf.DUMMYFUNCTION("""COMPUTED_VALUE"""),75.08)</f>
        <v>75.08</v>
      </c>
      <c r="AI34" s="3">
        <f ca="1">IFERROR(__xludf.DUMMYFUNCTION("""COMPUTED_VALUE"""),76.03)</f>
        <v>76.03</v>
      </c>
      <c r="AJ34" s="3">
        <f ca="1">IFERROR(__xludf.DUMMYFUNCTION("""COMPUTED_VALUE"""),9511182)</f>
        <v>9511182</v>
      </c>
      <c r="AK34" s="4">
        <f ca="1">IFERROR(__xludf.DUMMYFUNCTION("""COMPUTED_VALUE"""),42173.6666666666)</f>
        <v>42173.666666666599</v>
      </c>
      <c r="AL34" s="3">
        <f ca="1">IFERROR(__xludf.DUMMYFUNCTION("""COMPUTED_VALUE"""),55.58)</f>
        <v>55.58</v>
      </c>
      <c r="AM34" s="3">
        <f ca="1">IFERROR(__xludf.DUMMYFUNCTION("""COMPUTED_VALUE"""),56.47)</f>
        <v>56.47</v>
      </c>
      <c r="AN34" s="3">
        <f ca="1">IFERROR(__xludf.DUMMYFUNCTION("""COMPUTED_VALUE"""),55.58)</f>
        <v>55.58</v>
      </c>
      <c r="AO34" s="3">
        <f ca="1">IFERROR(__xludf.DUMMYFUNCTION("""COMPUTED_VALUE"""),56.27)</f>
        <v>56.27</v>
      </c>
      <c r="AP34" s="3">
        <f ca="1">IFERROR(__xludf.DUMMYFUNCTION("""COMPUTED_VALUE"""),9470346)</f>
        <v>9470346</v>
      </c>
      <c r="AQ34" s="4">
        <f ca="1">IFERROR(__xludf.DUMMYFUNCTION("""COMPUTED_VALUE"""),42173.6666666666)</f>
        <v>42173.666666666599</v>
      </c>
      <c r="AR34" s="3">
        <f ca="1">IFERROR(__xludf.DUMMYFUNCTION("""COMPUTED_VALUE"""),50.54)</f>
        <v>50.54</v>
      </c>
      <c r="AS34" s="3">
        <f ca="1">IFERROR(__xludf.DUMMYFUNCTION("""COMPUTED_VALUE"""),50.91)</f>
        <v>50.91</v>
      </c>
      <c r="AT34" s="3">
        <f ca="1">IFERROR(__xludf.DUMMYFUNCTION("""COMPUTED_VALUE"""),50.51)</f>
        <v>50.51</v>
      </c>
      <c r="AU34" s="3">
        <f ca="1">IFERROR(__xludf.DUMMYFUNCTION("""COMPUTED_VALUE"""),50.78)</f>
        <v>50.78</v>
      </c>
      <c r="AV34" s="3">
        <f ca="1">IFERROR(__xludf.DUMMYFUNCTION("""COMPUTED_VALUE"""),3665612)</f>
        <v>3665612</v>
      </c>
      <c r="AW34" s="4">
        <f ca="1">IFERROR(__xludf.DUMMYFUNCTION("""COMPUTED_VALUE"""),42328.6666666666)</f>
        <v>42328.666666666599</v>
      </c>
      <c r="AX34" s="3">
        <f ca="1">IFERROR(__xludf.DUMMYFUNCTION("""COMPUTED_VALUE"""),30.71)</f>
        <v>30.71</v>
      </c>
      <c r="AY34" s="3">
        <f ca="1">IFERROR(__xludf.DUMMYFUNCTION("""COMPUTED_VALUE"""),30.77)</f>
        <v>30.77</v>
      </c>
      <c r="AZ34" s="3">
        <f ca="1">IFERROR(__xludf.DUMMYFUNCTION("""COMPUTED_VALUE"""),30.71)</f>
        <v>30.71</v>
      </c>
      <c r="BA34" s="3">
        <f ca="1">IFERROR(__xludf.DUMMYFUNCTION("""COMPUTED_VALUE"""),30.76)</f>
        <v>30.76</v>
      </c>
      <c r="BB34" s="3">
        <f ca="1">IFERROR(__xludf.DUMMYFUNCTION("""COMPUTED_VALUE"""),597)</f>
        <v>597</v>
      </c>
      <c r="BC34" s="4">
        <f ca="1">IFERROR(__xludf.DUMMYFUNCTION("""COMPUTED_VALUE"""),42173.6666666666)</f>
        <v>42173.666666666599</v>
      </c>
      <c r="BD34" s="3">
        <f ca="1">IFERROR(__xludf.DUMMYFUNCTION("""COMPUTED_VALUE"""),42.69)</f>
        <v>42.69</v>
      </c>
      <c r="BE34" s="3">
        <f ca="1">IFERROR(__xludf.DUMMYFUNCTION("""COMPUTED_VALUE"""),43.16)</f>
        <v>43.16</v>
      </c>
      <c r="BF34" s="3">
        <f ca="1">IFERROR(__xludf.DUMMYFUNCTION("""COMPUTED_VALUE"""),42.68)</f>
        <v>42.68</v>
      </c>
      <c r="BG34" s="3">
        <f ca="1">IFERROR(__xludf.DUMMYFUNCTION("""COMPUTED_VALUE"""),43.09)</f>
        <v>43.09</v>
      </c>
      <c r="BH34" s="3">
        <f ca="1">IFERROR(__xludf.DUMMYFUNCTION("""COMPUTED_VALUE"""),8963184)</f>
        <v>8963184</v>
      </c>
      <c r="BI34" s="4">
        <f ca="1">IFERROR(__xludf.DUMMYFUNCTION("""COMPUTED_VALUE"""),42173.6666666666)</f>
        <v>42173.666666666599</v>
      </c>
      <c r="BJ34" s="3">
        <f ca="1">IFERROR(__xludf.DUMMYFUNCTION("""COMPUTED_VALUE"""),43.08)</f>
        <v>43.08</v>
      </c>
      <c r="BK34" s="3">
        <f ca="1">IFERROR(__xludf.DUMMYFUNCTION("""COMPUTED_VALUE"""),43.71)</f>
        <v>43.71</v>
      </c>
      <c r="BL34" s="3">
        <f ca="1">IFERROR(__xludf.DUMMYFUNCTION("""COMPUTED_VALUE"""),43.08)</f>
        <v>43.08</v>
      </c>
      <c r="BM34" s="3">
        <f ca="1">IFERROR(__xludf.DUMMYFUNCTION("""COMPUTED_VALUE"""),43.6)</f>
        <v>43.6</v>
      </c>
      <c r="BN34" s="3">
        <f ca="1">IFERROR(__xludf.DUMMYFUNCTION("""COMPUTED_VALUE"""),20717048)</f>
        <v>20717048</v>
      </c>
    </row>
    <row r="35" spans="7:66" ht="15.75" customHeight="1" x14ac:dyDescent="0.15">
      <c r="G35" s="4">
        <f ca="1">IFERROR(__xludf.DUMMYFUNCTION("""COMPUTED_VALUE"""),42174.6666666666)</f>
        <v>42174.666666666599</v>
      </c>
      <c r="H35" s="3">
        <f ca="1">IFERROR(__xludf.DUMMYFUNCTION("""COMPUTED_VALUE"""),77.86)</f>
        <v>77.86</v>
      </c>
      <c r="I35" s="3">
        <f ca="1">IFERROR(__xludf.DUMMYFUNCTION("""COMPUTED_VALUE"""),77.93)</f>
        <v>77.930000000000007</v>
      </c>
      <c r="J35" s="3">
        <f ca="1">IFERROR(__xludf.DUMMYFUNCTION("""COMPUTED_VALUE"""),77.45)</f>
        <v>77.45</v>
      </c>
      <c r="K35" s="3">
        <f ca="1">IFERROR(__xludf.DUMMYFUNCTION("""COMPUTED_VALUE"""),77.45)</f>
        <v>77.45</v>
      </c>
      <c r="L35" s="3">
        <f ca="1">IFERROR(__xludf.DUMMYFUNCTION("""COMPUTED_VALUE"""),5983307)</f>
        <v>5983307</v>
      </c>
      <c r="M35" s="4">
        <f ca="1">IFERROR(__xludf.DUMMYFUNCTION("""COMPUTED_VALUE"""),42174.6666666666)</f>
        <v>42174.666666666599</v>
      </c>
      <c r="N35" s="3">
        <f ca="1">IFERROR(__xludf.DUMMYFUNCTION("""COMPUTED_VALUE"""),48.76)</f>
        <v>48.76</v>
      </c>
      <c r="O35" s="3">
        <f ca="1">IFERROR(__xludf.DUMMYFUNCTION("""COMPUTED_VALUE"""),48.91)</f>
        <v>48.91</v>
      </c>
      <c r="P35" s="3">
        <f ca="1">IFERROR(__xludf.DUMMYFUNCTION("""COMPUTED_VALUE"""),48.66)</f>
        <v>48.66</v>
      </c>
      <c r="Q35" s="3">
        <f ca="1">IFERROR(__xludf.DUMMYFUNCTION("""COMPUTED_VALUE"""),48.66)</f>
        <v>48.66</v>
      </c>
      <c r="R35" s="3">
        <f ca="1">IFERROR(__xludf.DUMMYFUNCTION("""COMPUTED_VALUE"""),8908167)</f>
        <v>8908167</v>
      </c>
      <c r="S35" s="4">
        <f ca="1">IFERROR(__xludf.DUMMYFUNCTION("""COMPUTED_VALUE"""),42174.6666666666)</f>
        <v>42174.666666666599</v>
      </c>
      <c r="T35" s="3">
        <f ca="1">IFERROR(__xludf.DUMMYFUNCTION("""COMPUTED_VALUE"""),76.29)</f>
        <v>76.290000000000006</v>
      </c>
      <c r="U35" s="3">
        <f ca="1">IFERROR(__xludf.DUMMYFUNCTION("""COMPUTED_VALUE"""),76.6)</f>
        <v>76.599999999999994</v>
      </c>
      <c r="V35" s="3">
        <f ca="1">IFERROR(__xludf.DUMMYFUNCTION("""COMPUTED_VALUE"""),75.88)</f>
        <v>75.88</v>
      </c>
      <c r="W35" s="3">
        <f ca="1">IFERROR(__xludf.DUMMYFUNCTION("""COMPUTED_VALUE"""),75.91)</f>
        <v>75.91</v>
      </c>
      <c r="X35" s="3">
        <f ca="1">IFERROR(__xludf.DUMMYFUNCTION("""COMPUTED_VALUE"""),17234878)</f>
        <v>17234878</v>
      </c>
      <c r="Y35" s="4">
        <f ca="1">IFERROR(__xludf.DUMMYFUNCTION("""COMPUTED_VALUE"""),42174.6666666666)</f>
        <v>42174.666666666599</v>
      </c>
      <c r="Z35" s="3">
        <f ca="1">IFERROR(__xludf.DUMMYFUNCTION("""COMPUTED_VALUE"""),20.37)</f>
        <v>20.37</v>
      </c>
      <c r="AA35" s="3">
        <f ca="1">IFERROR(__xludf.DUMMYFUNCTION("""COMPUTED_VALUE"""),20.4)</f>
        <v>20.399999999999999</v>
      </c>
      <c r="AB35" s="3">
        <f ca="1">IFERROR(__xludf.DUMMYFUNCTION("""COMPUTED_VALUE"""),20.09)</f>
        <v>20.09</v>
      </c>
      <c r="AC35" s="3">
        <f ca="1">IFERROR(__xludf.DUMMYFUNCTION("""COMPUTED_VALUE"""),20.09)</f>
        <v>20.09</v>
      </c>
      <c r="AD35" s="3">
        <f ca="1">IFERROR(__xludf.DUMMYFUNCTION("""COMPUTED_VALUE"""),38238364)</f>
        <v>38238364</v>
      </c>
      <c r="AE35" s="4">
        <f ca="1">IFERROR(__xludf.DUMMYFUNCTION("""COMPUTED_VALUE"""),42174.6666666666)</f>
        <v>42174.666666666599</v>
      </c>
      <c r="AF35" s="3">
        <f ca="1">IFERROR(__xludf.DUMMYFUNCTION("""COMPUTED_VALUE"""),75.84)</f>
        <v>75.84</v>
      </c>
      <c r="AG35" s="3">
        <f ca="1">IFERROR(__xludf.DUMMYFUNCTION("""COMPUTED_VALUE"""),76.01)</f>
        <v>76.010000000000005</v>
      </c>
      <c r="AH35" s="3">
        <f ca="1">IFERROR(__xludf.DUMMYFUNCTION("""COMPUTED_VALUE"""),75.66)</f>
        <v>75.66</v>
      </c>
      <c r="AI35" s="3">
        <f ca="1">IFERROR(__xludf.DUMMYFUNCTION("""COMPUTED_VALUE"""),75.71)</f>
        <v>75.709999999999994</v>
      </c>
      <c r="AJ35" s="3">
        <f ca="1">IFERROR(__xludf.DUMMYFUNCTION("""COMPUTED_VALUE"""),10327390)</f>
        <v>10327390</v>
      </c>
      <c r="AK35" s="4">
        <f ca="1">IFERROR(__xludf.DUMMYFUNCTION("""COMPUTED_VALUE"""),42174.6666666666)</f>
        <v>42174.666666666599</v>
      </c>
      <c r="AL35" s="3">
        <f ca="1">IFERROR(__xludf.DUMMYFUNCTION("""COMPUTED_VALUE"""),55.88)</f>
        <v>55.88</v>
      </c>
      <c r="AM35" s="3">
        <f ca="1">IFERROR(__xludf.DUMMYFUNCTION("""COMPUTED_VALUE"""),56.09)</f>
        <v>56.09</v>
      </c>
      <c r="AN35" s="3">
        <f ca="1">IFERROR(__xludf.DUMMYFUNCTION("""COMPUTED_VALUE"""),55.72)</f>
        <v>55.72</v>
      </c>
      <c r="AO35" s="3">
        <f ca="1">IFERROR(__xludf.DUMMYFUNCTION("""COMPUTED_VALUE"""),55.72)</f>
        <v>55.72</v>
      </c>
      <c r="AP35" s="3">
        <f ca="1">IFERROR(__xludf.DUMMYFUNCTION("""COMPUTED_VALUE"""),8899766)</f>
        <v>8899766</v>
      </c>
      <c r="AQ35" s="4">
        <f ca="1">IFERROR(__xludf.DUMMYFUNCTION("""COMPUTED_VALUE"""),42174.6666666666)</f>
        <v>42174.666666666599</v>
      </c>
      <c r="AR35" s="3">
        <f ca="1">IFERROR(__xludf.DUMMYFUNCTION("""COMPUTED_VALUE"""),50.47)</f>
        <v>50.47</v>
      </c>
      <c r="AS35" s="3">
        <f ca="1">IFERROR(__xludf.DUMMYFUNCTION("""COMPUTED_VALUE"""),50.64)</f>
        <v>50.64</v>
      </c>
      <c r="AT35" s="3">
        <f ca="1">IFERROR(__xludf.DUMMYFUNCTION("""COMPUTED_VALUE"""),50.21)</f>
        <v>50.21</v>
      </c>
      <c r="AU35" s="3">
        <f ca="1">IFERROR(__xludf.DUMMYFUNCTION("""COMPUTED_VALUE"""),50.21)</f>
        <v>50.21</v>
      </c>
      <c r="AV35" s="3">
        <f ca="1">IFERROR(__xludf.DUMMYFUNCTION("""COMPUTED_VALUE"""),3697537)</f>
        <v>3697537</v>
      </c>
      <c r="AW35" s="4">
        <f ca="1">IFERROR(__xludf.DUMMYFUNCTION("""COMPUTED_VALUE"""),42331.6666666666)</f>
        <v>42331.666666666599</v>
      </c>
      <c r="AX35" s="3">
        <f ca="1">IFERROR(__xludf.DUMMYFUNCTION("""COMPUTED_VALUE"""),30.97)</f>
        <v>30.97</v>
      </c>
      <c r="AY35" s="3">
        <f ca="1">IFERROR(__xludf.DUMMYFUNCTION("""COMPUTED_VALUE"""),31.01)</f>
        <v>31.01</v>
      </c>
      <c r="AZ35" s="3">
        <f ca="1">IFERROR(__xludf.DUMMYFUNCTION("""COMPUTED_VALUE"""),30.92)</f>
        <v>30.92</v>
      </c>
      <c r="BA35" s="3">
        <f ca="1">IFERROR(__xludf.DUMMYFUNCTION("""COMPUTED_VALUE"""),30.92)</f>
        <v>30.92</v>
      </c>
      <c r="BB35" s="3">
        <f ca="1">IFERROR(__xludf.DUMMYFUNCTION("""COMPUTED_VALUE"""),2392)</f>
        <v>2392</v>
      </c>
      <c r="BC35" s="4">
        <f ca="1">IFERROR(__xludf.DUMMYFUNCTION("""COMPUTED_VALUE"""),42174.6666666666)</f>
        <v>42174.666666666599</v>
      </c>
      <c r="BD35" s="3">
        <f ca="1">IFERROR(__xludf.DUMMYFUNCTION("""COMPUTED_VALUE"""),42.81)</f>
        <v>42.81</v>
      </c>
      <c r="BE35" s="3">
        <f ca="1">IFERROR(__xludf.DUMMYFUNCTION("""COMPUTED_VALUE"""),42.91)</f>
        <v>42.91</v>
      </c>
      <c r="BF35" s="3">
        <f ca="1">IFERROR(__xludf.DUMMYFUNCTION("""COMPUTED_VALUE"""),42.54)</f>
        <v>42.54</v>
      </c>
      <c r="BG35" s="3">
        <f ca="1">IFERROR(__xludf.DUMMYFUNCTION("""COMPUTED_VALUE"""),42.54)</f>
        <v>42.54</v>
      </c>
      <c r="BH35" s="3">
        <f ca="1">IFERROR(__xludf.DUMMYFUNCTION("""COMPUTED_VALUE"""),13434832)</f>
        <v>13434832</v>
      </c>
      <c r="BI35" s="4">
        <f ca="1">IFERROR(__xludf.DUMMYFUNCTION("""COMPUTED_VALUE"""),42174.6666666666)</f>
        <v>42174.666666666599</v>
      </c>
      <c r="BJ35" s="3">
        <f ca="1">IFERROR(__xludf.DUMMYFUNCTION("""COMPUTED_VALUE"""),43.29)</f>
        <v>43.29</v>
      </c>
      <c r="BK35" s="3">
        <f ca="1">IFERROR(__xludf.DUMMYFUNCTION("""COMPUTED_VALUE"""),43.32)</f>
        <v>43.32</v>
      </c>
      <c r="BL35" s="3">
        <f ca="1">IFERROR(__xludf.DUMMYFUNCTION("""COMPUTED_VALUE"""),42.77)</f>
        <v>42.77</v>
      </c>
      <c r="BM35" s="3">
        <f ca="1">IFERROR(__xludf.DUMMYFUNCTION("""COMPUTED_VALUE"""),42.79)</f>
        <v>42.79</v>
      </c>
      <c r="BN35" s="3">
        <f ca="1">IFERROR(__xludf.DUMMYFUNCTION("""COMPUTED_VALUE"""),13375489)</f>
        <v>13375489</v>
      </c>
    </row>
    <row r="36" spans="7:66" ht="15.75" customHeight="1" x14ac:dyDescent="0.15">
      <c r="G36" s="4">
        <f ca="1">IFERROR(__xludf.DUMMYFUNCTION("""COMPUTED_VALUE"""),42177.6666666666)</f>
        <v>42177.666666666599</v>
      </c>
      <c r="H36" s="3">
        <f ca="1">IFERROR(__xludf.DUMMYFUNCTION("""COMPUTED_VALUE"""),77.85)</f>
        <v>77.849999999999994</v>
      </c>
      <c r="I36" s="3">
        <f ca="1">IFERROR(__xludf.DUMMYFUNCTION("""COMPUTED_VALUE"""),78.16)</f>
        <v>78.16</v>
      </c>
      <c r="J36" s="3">
        <f ca="1">IFERROR(__xludf.DUMMYFUNCTION("""COMPUTED_VALUE"""),77.83)</f>
        <v>77.83</v>
      </c>
      <c r="K36" s="3">
        <f ca="1">IFERROR(__xludf.DUMMYFUNCTION("""COMPUTED_VALUE"""),77.88)</f>
        <v>77.88</v>
      </c>
      <c r="L36" s="3">
        <f ca="1">IFERROR(__xludf.DUMMYFUNCTION("""COMPUTED_VALUE"""),3905998)</f>
        <v>3905998</v>
      </c>
      <c r="M36" s="4">
        <f ca="1">IFERROR(__xludf.DUMMYFUNCTION("""COMPUTED_VALUE"""),42177.6666666666)</f>
        <v>42177.666666666599</v>
      </c>
      <c r="N36" s="3">
        <f ca="1">IFERROR(__xludf.DUMMYFUNCTION("""COMPUTED_VALUE"""),48.93)</f>
        <v>48.93</v>
      </c>
      <c r="O36" s="3">
        <f ca="1">IFERROR(__xludf.DUMMYFUNCTION("""COMPUTED_VALUE"""),49.05)</f>
        <v>49.05</v>
      </c>
      <c r="P36" s="3">
        <f ca="1">IFERROR(__xludf.DUMMYFUNCTION("""COMPUTED_VALUE"""),48.8)</f>
        <v>48.8</v>
      </c>
      <c r="Q36" s="3">
        <f ca="1">IFERROR(__xludf.DUMMYFUNCTION("""COMPUTED_VALUE"""),48.85)</f>
        <v>48.85</v>
      </c>
      <c r="R36" s="3">
        <f ca="1">IFERROR(__xludf.DUMMYFUNCTION("""COMPUTED_VALUE"""),4445930)</f>
        <v>4445930</v>
      </c>
      <c r="S36" s="4">
        <f ca="1">IFERROR(__xludf.DUMMYFUNCTION("""COMPUTED_VALUE"""),42177.6666666666)</f>
        <v>42177.666666666599</v>
      </c>
      <c r="T36" s="3">
        <f ca="1">IFERROR(__xludf.DUMMYFUNCTION("""COMPUTED_VALUE"""),76.6)</f>
        <v>76.599999999999994</v>
      </c>
      <c r="U36" s="3">
        <f ca="1">IFERROR(__xludf.DUMMYFUNCTION("""COMPUTED_VALUE"""),76.91)</f>
        <v>76.91</v>
      </c>
      <c r="V36" s="3">
        <f ca="1">IFERROR(__xludf.DUMMYFUNCTION("""COMPUTED_VALUE"""),76.26)</f>
        <v>76.260000000000005</v>
      </c>
      <c r="W36" s="3">
        <f ca="1">IFERROR(__xludf.DUMMYFUNCTION("""COMPUTED_VALUE"""),76.84)</f>
        <v>76.84</v>
      </c>
      <c r="X36" s="3">
        <f ca="1">IFERROR(__xludf.DUMMYFUNCTION("""COMPUTED_VALUE"""),10577416)</f>
        <v>10577416</v>
      </c>
      <c r="Y36" s="4">
        <f ca="1">IFERROR(__xludf.DUMMYFUNCTION("""COMPUTED_VALUE"""),42177.6666666666)</f>
        <v>42177.666666666599</v>
      </c>
      <c r="Z36" s="3">
        <f ca="1">IFERROR(__xludf.DUMMYFUNCTION("""COMPUTED_VALUE"""),20.38)</f>
        <v>20.38</v>
      </c>
      <c r="AA36" s="3">
        <f ca="1">IFERROR(__xludf.DUMMYFUNCTION("""COMPUTED_VALUE"""),20.48)</f>
        <v>20.48</v>
      </c>
      <c r="AB36" s="3">
        <f ca="1">IFERROR(__xludf.DUMMYFUNCTION("""COMPUTED_VALUE"""),20.37)</f>
        <v>20.37</v>
      </c>
      <c r="AC36" s="3">
        <f ca="1">IFERROR(__xludf.DUMMYFUNCTION("""COMPUTED_VALUE"""),20.4)</f>
        <v>20.399999999999999</v>
      </c>
      <c r="AD36" s="3">
        <f ca="1">IFERROR(__xludf.DUMMYFUNCTION("""COMPUTED_VALUE"""),33045060)</f>
        <v>33045060</v>
      </c>
      <c r="AE36" s="4">
        <f ca="1">IFERROR(__xludf.DUMMYFUNCTION("""COMPUTED_VALUE"""),42177.6666666666)</f>
        <v>42177.666666666599</v>
      </c>
      <c r="AF36" s="3">
        <f ca="1">IFERROR(__xludf.DUMMYFUNCTION("""COMPUTED_VALUE"""),76.27)</f>
        <v>76.27</v>
      </c>
      <c r="AG36" s="3">
        <f ca="1">IFERROR(__xludf.DUMMYFUNCTION("""COMPUTED_VALUE"""),76.66)</f>
        <v>76.66</v>
      </c>
      <c r="AH36" s="3">
        <f ca="1">IFERROR(__xludf.DUMMYFUNCTION("""COMPUTED_VALUE"""),76.21)</f>
        <v>76.209999999999994</v>
      </c>
      <c r="AI36" s="3">
        <f ca="1">IFERROR(__xludf.DUMMYFUNCTION("""COMPUTED_VALUE"""),76.3)</f>
        <v>76.3</v>
      </c>
      <c r="AJ36" s="3">
        <f ca="1">IFERROR(__xludf.DUMMYFUNCTION("""COMPUTED_VALUE"""),6635028)</f>
        <v>6635028</v>
      </c>
      <c r="AK36" s="4">
        <f ca="1">IFERROR(__xludf.DUMMYFUNCTION("""COMPUTED_VALUE"""),42177.6666666666)</f>
        <v>42177.666666666599</v>
      </c>
      <c r="AL36" s="3">
        <f ca="1">IFERROR(__xludf.DUMMYFUNCTION("""COMPUTED_VALUE"""),56.03)</f>
        <v>56.03</v>
      </c>
      <c r="AM36" s="3">
        <f ca="1">IFERROR(__xludf.DUMMYFUNCTION("""COMPUTED_VALUE"""),56.2)</f>
        <v>56.2</v>
      </c>
      <c r="AN36" s="3">
        <f ca="1">IFERROR(__xludf.DUMMYFUNCTION("""COMPUTED_VALUE"""),55.94)</f>
        <v>55.94</v>
      </c>
      <c r="AO36" s="3">
        <f ca="1">IFERROR(__xludf.DUMMYFUNCTION("""COMPUTED_VALUE"""),56.06)</f>
        <v>56.06</v>
      </c>
      <c r="AP36" s="3">
        <f ca="1">IFERROR(__xludf.DUMMYFUNCTION("""COMPUTED_VALUE"""),4913253)</f>
        <v>4913253</v>
      </c>
      <c r="AQ36" s="4">
        <f ca="1">IFERROR(__xludf.DUMMYFUNCTION("""COMPUTED_VALUE"""),42177.6666666666)</f>
        <v>42177.666666666599</v>
      </c>
      <c r="AR36" s="3">
        <f ca="1">IFERROR(__xludf.DUMMYFUNCTION("""COMPUTED_VALUE"""),50.48)</f>
        <v>50.48</v>
      </c>
      <c r="AS36" s="3">
        <f ca="1">IFERROR(__xludf.DUMMYFUNCTION("""COMPUTED_VALUE"""),50.48)</f>
        <v>50.48</v>
      </c>
      <c r="AT36" s="3">
        <f ca="1">IFERROR(__xludf.DUMMYFUNCTION("""COMPUTED_VALUE"""),50.25)</f>
        <v>50.25</v>
      </c>
      <c r="AU36" s="3">
        <f ca="1">IFERROR(__xludf.DUMMYFUNCTION("""COMPUTED_VALUE"""),50.4)</f>
        <v>50.4</v>
      </c>
      <c r="AV36" s="3">
        <f ca="1">IFERROR(__xludf.DUMMYFUNCTION("""COMPUTED_VALUE"""),1981282)</f>
        <v>1981282</v>
      </c>
      <c r="AW36" s="4">
        <f ca="1">IFERROR(__xludf.DUMMYFUNCTION("""COMPUTED_VALUE"""),42332.6666666666)</f>
        <v>42332.666666666599</v>
      </c>
      <c r="AX36" s="3">
        <f ca="1">IFERROR(__xludf.DUMMYFUNCTION("""COMPUTED_VALUE"""),31.02)</f>
        <v>31.02</v>
      </c>
      <c r="AY36" s="3">
        <f ca="1">IFERROR(__xludf.DUMMYFUNCTION("""COMPUTED_VALUE"""),31.02)</f>
        <v>31.02</v>
      </c>
      <c r="AZ36" s="3">
        <f ca="1">IFERROR(__xludf.DUMMYFUNCTION("""COMPUTED_VALUE"""),30.45)</f>
        <v>30.45</v>
      </c>
      <c r="BA36" s="3">
        <f ca="1">IFERROR(__xludf.DUMMYFUNCTION("""COMPUTED_VALUE"""),30.45)</f>
        <v>30.45</v>
      </c>
      <c r="BB36" s="3">
        <f ca="1">IFERROR(__xludf.DUMMYFUNCTION("""COMPUTED_VALUE"""),2524)</f>
        <v>2524</v>
      </c>
      <c r="BC36" s="4">
        <f ca="1">IFERROR(__xludf.DUMMYFUNCTION("""COMPUTED_VALUE"""),42177.6666666666)</f>
        <v>42177.666666666599</v>
      </c>
      <c r="BD36" s="3">
        <f ca="1">IFERROR(__xludf.DUMMYFUNCTION("""COMPUTED_VALUE"""),42.9)</f>
        <v>42.9</v>
      </c>
      <c r="BE36" s="3">
        <f ca="1">IFERROR(__xludf.DUMMYFUNCTION("""COMPUTED_VALUE"""),43.02)</f>
        <v>43.02</v>
      </c>
      <c r="BF36" s="3">
        <f ca="1">IFERROR(__xludf.DUMMYFUNCTION("""COMPUTED_VALUE"""),42.79)</f>
        <v>42.79</v>
      </c>
      <c r="BG36" s="3">
        <f ca="1">IFERROR(__xludf.DUMMYFUNCTION("""COMPUTED_VALUE"""),42.89)</f>
        <v>42.89</v>
      </c>
      <c r="BH36" s="3">
        <f ca="1">IFERROR(__xludf.DUMMYFUNCTION("""COMPUTED_VALUE"""),5437990)</f>
        <v>5437990</v>
      </c>
      <c r="BI36" s="4">
        <f ca="1">IFERROR(__xludf.DUMMYFUNCTION("""COMPUTED_VALUE"""),42177.6666666666)</f>
        <v>42177.666666666599</v>
      </c>
      <c r="BJ36" s="3">
        <f ca="1">IFERROR(__xludf.DUMMYFUNCTION("""COMPUTED_VALUE"""),42.86)</f>
        <v>42.86</v>
      </c>
      <c r="BK36" s="3">
        <f ca="1">IFERROR(__xludf.DUMMYFUNCTION("""COMPUTED_VALUE"""),42.96)</f>
        <v>42.96</v>
      </c>
      <c r="BL36" s="3">
        <f ca="1">IFERROR(__xludf.DUMMYFUNCTION("""COMPUTED_VALUE"""),42.63)</f>
        <v>42.63</v>
      </c>
      <c r="BM36" s="3">
        <f ca="1">IFERROR(__xludf.DUMMYFUNCTION("""COMPUTED_VALUE"""),42.73)</f>
        <v>42.73</v>
      </c>
      <c r="BN36" s="3">
        <f ca="1">IFERROR(__xludf.DUMMYFUNCTION("""COMPUTED_VALUE"""),10273804)</f>
        <v>10273804</v>
      </c>
    </row>
    <row r="37" spans="7:66" ht="15.75" customHeight="1" x14ac:dyDescent="0.15">
      <c r="G37" s="4">
        <f ca="1">IFERROR(__xludf.DUMMYFUNCTION("""COMPUTED_VALUE"""),42178.6666666666)</f>
        <v>42178.666666666599</v>
      </c>
      <c r="H37" s="3">
        <f ca="1">IFERROR(__xludf.DUMMYFUNCTION("""COMPUTED_VALUE"""),78.07)</f>
        <v>78.069999999999993</v>
      </c>
      <c r="I37" s="3">
        <f ca="1">IFERROR(__xludf.DUMMYFUNCTION("""COMPUTED_VALUE"""),78.25)</f>
        <v>78.25</v>
      </c>
      <c r="J37" s="3">
        <f ca="1">IFERROR(__xludf.DUMMYFUNCTION("""COMPUTED_VALUE"""),77.99)</f>
        <v>77.989999999999995</v>
      </c>
      <c r="K37" s="3">
        <f ca="1">IFERROR(__xludf.DUMMYFUNCTION("""COMPUTED_VALUE"""),78.19)</f>
        <v>78.19</v>
      </c>
      <c r="L37" s="3">
        <f ca="1">IFERROR(__xludf.DUMMYFUNCTION("""COMPUTED_VALUE"""),3511642)</f>
        <v>3511642</v>
      </c>
      <c r="M37" s="4">
        <f ca="1">IFERROR(__xludf.DUMMYFUNCTION("""COMPUTED_VALUE"""),42178.6666666666)</f>
        <v>42178.666666666599</v>
      </c>
      <c r="N37" s="3">
        <f ca="1">IFERROR(__xludf.DUMMYFUNCTION("""COMPUTED_VALUE"""),48.87)</f>
        <v>48.87</v>
      </c>
      <c r="O37" s="3">
        <f ca="1">IFERROR(__xludf.DUMMYFUNCTION("""COMPUTED_VALUE"""),48.88)</f>
        <v>48.88</v>
      </c>
      <c r="P37" s="3">
        <f ca="1">IFERROR(__xludf.DUMMYFUNCTION("""COMPUTED_VALUE"""),48.54)</f>
        <v>48.54</v>
      </c>
      <c r="Q37" s="3">
        <f ca="1">IFERROR(__xludf.DUMMYFUNCTION("""COMPUTED_VALUE"""),48.64)</f>
        <v>48.64</v>
      </c>
      <c r="R37" s="3">
        <f ca="1">IFERROR(__xludf.DUMMYFUNCTION("""COMPUTED_VALUE"""),5107522)</f>
        <v>5107522</v>
      </c>
      <c r="S37" s="4">
        <f ca="1">IFERROR(__xludf.DUMMYFUNCTION("""COMPUTED_VALUE"""),42178.6666666666)</f>
        <v>42178.666666666599</v>
      </c>
      <c r="T37" s="3">
        <f ca="1">IFERROR(__xludf.DUMMYFUNCTION("""COMPUTED_VALUE"""),76.73)</f>
        <v>76.73</v>
      </c>
      <c r="U37" s="3">
        <f ca="1">IFERROR(__xludf.DUMMYFUNCTION("""COMPUTED_VALUE"""),77.23)</f>
        <v>77.23</v>
      </c>
      <c r="V37" s="3">
        <f ca="1">IFERROR(__xludf.DUMMYFUNCTION("""COMPUTED_VALUE"""),76.65)</f>
        <v>76.650000000000006</v>
      </c>
      <c r="W37" s="3">
        <f ca="1">IFERROR(__xludf.DUMMYFUNCTION("""COMPUTED_VALUE"""),77.09)</f>
        <v>77.09</v>
      </c>
      <c r="X37" s="3">
        <f ca="1">IFERROR(__xludf.DUMMYFUNCTION("""COMPUTED_VALUE"""),7117715)</f>
        <v>7117715</v>
      </c>
      <c r="Y37" s="4">
        <f ca="1">IFERROR(__xludf.DUMMYFUNCTION("""COMPUTED_VALUE"""),42178.6666666666)</f>
        <v>42178.666666666599</v>
      </c>
      <c r="Z37" s="3">
        <f ca="1">IFERROR(__xludf.DUMMYFUNCTION("""COMPUTED_VALUE"""),20.46)</f>
        <v>20.46</v>
      </c>
      <c r="AA37" s="3">
        <f ca="1">IFERROR(__xludf.DUMMYFUNCTION("""COMPUTED_VALUE"""),20.5)</f>
        <v>20.5</v>
      </c>
      <c r="AB37" s="3">
        <f ca="1">IFERROR(__xludf.DUMMYFUNCTION("""COMPUTED_VALUE"""),20.41)</f>
        <v>20.41</v>
      </c>
      <c r="AC37" s="3">
        <f ca="1">IFERROR(__xludf.DUMMYFUNCTION("""COMPUTED_VALUE"""),20.44)</f>
        <v>20.440000000000001</v>
      </c>
      <c r="AD37" s="3">
        <f ca="1">IFERROR(__xludf.DUMMYFUNCTION("""COMPUTED_VALUE"""),27248017)</f>
        <v>27248017</v>
      </c>
      <c r="AE37" s="4">
        <f ca="1">IFERROR(__xludf.DUMMYFUNCTION("""COMPUTED_VALUE"""),42178.6666666666)</f>
        <v>42178.666666666599</v>
      </c>
      <c r="AF37" s="3">
        <f ca="1">IFERROR(__xludf.DUMMYFUNCTION("""COMPUTED_VALUE"""),76.41)</f>
        <v>76.41</v>
      </c>
      <c r="AG37" s="3">
        <f ca="1">IFERROR(__xludf.DUMMYFUNCTION("""COMPUTED_VALUE"""),76.65)</f>
        <v>76.650000000000006</v>
      </c>
      <c r="AH37" s="3">
        <f ca="1">IFERROR(__xludf.DUMMYFUNCTION("""COMPUTED_VALUE"""),76.18)</f>
        <v>76.180000000000007</v>
      </c>
      <c r="AI37" s="3">
        <f ca="1">IFERROR(__xludf.DUMMYFUNCTION("""COMPUTED_VALUE"""),76.45)</f>
        <v>76.45</v>
      </c>
      <c r="AJ37" s="3">
        <f ca="1">IFERROR(__xludf.DUMMYFUNCTION("""COMPUTED_VALUE"""),4631642)</f>
        <v>4631642</v>
      </c>
      <c r="AK37" s="4">
        <f ca="1">IFERROR(__xludf.DUMMYFUNCTION("""COMPUTED_VALUE"""),42178.6666666666)</f>
        <v>42178.666666666599</v>
      </c>
      <c r="AL37" s="3">
        <f ca="1">IFERROR(__xludf.DUMMYFUNCTION("""COMPUTED_VALUE"""),56.14)</f>
        <v>56.14</v>
      </c>
      <c r="AM37" s="3">
        <f ca="1">IFERROR(__xludf.DUMMYFUNCTION("""COMPUTED_VALUE"""),56.17)</f>
        <v>56.17</v>
      </c>
      <c r="AN37" s="3">
        <f ca="1">IFERROR(__xludf.DUMMYFUNCTION("""COMPUTED_VALUE"""),55.84)</f>
        <v>55.84</v>
      </c>
      <c r="AO37" s="3">
        <f ca="1">IFERROR(__xludf.DUMMYFUNCTION("""COMPUTED_VALUE"""),55.92)</f>
        <v>55.92</v>
      </c>
      <c r="AP37" s="3">
        <f ca="1">IFERROR(__xludf.DUMMYFUNCTION("""COMPUTED_VALUE"""),3837368)</f>
        <v>3837368</v>
      </c>
      <c r="AQ37" s="4">
        <f ca="1">IFERROR(__xludf.DUMMYFUNCTION("""COMPUTED_VALUE"""),42178.6666666666)</f>
        <v>42178.666666666599</v>
      </c>
      <c r="AR37" s="3">
        <f ca="1">IFERROR(__xludf.DUMMYFUNCTION("""COMPUTED_VALUE"""),50.42)</f>
        <v>50.42</v>
      </c>
      <c r="AS37" s="3">
        <f ca="1">IFERROR(__xludf.DUMMYFUNCTION("""COMPUTED_VALUE"""),50.48)</f>
        <v>50.48</v>
      </c>
      <c r="AT37" s="3">
        <f ca="1">IFERROR(__xludf.DUMMYFUNCTION("""COMPUTED_VALUE"""),50.16)</f>
        <v>50.16</v>
      </c>
      <c r="AU37" s="3">
        <f ca="1">IFERROR(__xludf.DUMMYFUNCTION("""COMPUTED_VALUE"""),50.26)</f>
        <v>50.26</v>
      </c>
      <c r="AV37" s="3">
        <f ca="1">IFERROR(__xludf.DUMMYFUNCTION("""COMPUTED_VALUE"""),2251578)</f>
        <v>2251578</v>
      </c>
      <c r="AW37" s="4">
        <f ca="1">IFERROR(__xludf.DUMMYFUNCTION("""COMPUTED_VALUE"""),42338.6666666666)</f>
        <v>42338.666666666599</v>
      </c>
      <c r="AX37" s="3">
        <f ca="1">IFERROR(__xludf.DUMMYFUNCTION("""COMPUTED_VALUE"""),31)</f>
        <v>31</v>
      </c>
      <c r="AY37" s="3">
        <f ca="1">IFERROR(__xludf.DUMMYFUNCTION("""COMPUTED_VALUE"""),31)</f>
        <v>31</v>
      </c>
      <c r="AZ37" s="3">
        <f ca="1">IFERROR(__xludf.DUMMYFUNCTION("""COMPUTED_VALUE"""),30.72)</f>
        <v>30.72</v>
      </c>
      <c r="BA37" s="3">
        <f ca="1">IFERROR(__xludf.DUMMYFUNCTION("""COMPUTED_VALUE"""),30.75)</f>
        <v>30.75</v>
      </c>
      <c r="BB37" s="3">
        <f ca="1">IFERROR(__xludf.DUMMYFUNCTION("""COMPUTED_VALUE"""),1627)</f>
        <v>1627</v>
      </c>
      <c r="BC37" s="4">
        <f ca="1">IFERROR(__xludf.DUMMYFUNCTION("""COMPUTED_VALUE"""),42178.6666666666)</f>
        <v>42178.666666666599</v>
      </c>
      <c r="BD37" s="3">
        <f ca="1">IFERROR(__xludf.DUMMYFUNCTION("""COMPUTED_VALUE"""),42.98)</f>
        <v>42.98</v>
      </c>
      <c r="BE37" s="3">
        <f ca="1">IFERROR(__xludf.DUMMYFUNCTION("""COMPUTED_VALUE"""),42.99)</f>
        <v>42.99</v>
      </c>
      <c r="BF37" s="3">
        <f ca="1">IFERROR(__xludf.DUMMYFUNCTION("""COMPUTED_VALUE"""),42.82)</f>
        <v>42.82</v>
      </c>
      <c r="BG37" s="3">
        <f ca="1">IFERROR(__xludf.DUMMYFUNCTION("""COMPUTED_VALUE"""),42.92)</f>
        <v>42.92</v>
      </c>
      <c r="BH37" s="3">
        <f ca="1">IFERROR(__xludf.DUMMYFUNCTION("""COMPUTED_VALUE"""),3993334)</f>
        <v>3993334</v>
      </c>
      <c r="BI37" s="4">
        <f ca="1">IFERROR(__xludf.DUMMYFUNCTION("""COMPUTED_VALUE"""),42178.6666666666)</f>
        <v>42178.666666666599</v>
      </c>
      <c r="BJ37" s="3">
        <f ca="1">IFERROR(__xludf.DUMMYFUNCTION("""COMPUTED_VALUE"""),42.57)</f>
        <v>42.57</v>
      </c>
      <c r="BK37" s="3">
        <f ca="1">IFERROR(__xludf.DUMMYFUNCTION("""COMPUTED_VALUE"""),42.66)</f>
        <v>42.66</v>
      </c>
      <c r="BL37" s="3">
        <f ca="1">IFERROR(__xludf.DUMMYFUNCTION("""COMPUTED_VALUE"""),42.09)</f>
        <v>42.09</v>
      </c>
      <c r="BM37" s="3">
        <f ca="1">IFERROR(__xludf.DUMMYFUNCTION("""COMPUTED_VALUE"""),42.15)</f>
        <v>42.15</v>
      </c>
      <c r="BN37" s="3">
        <f ca="1">IFERROR(__xludf.DUMMYFUNCTION("""COMPUTED_VALUE"""),16276894)</f>
        <v>16276894</v>
      </c>
    </row>
    <row r="38" spans="7:66" ht="15.75" customHeight="1" x14ac:dyDescent="0.15">
      <c r="G38" s="4">
        <f ca="1">IFERROR(__xludf.DUMMYFUNCTION("""COMPUTED_VALUE"""),42179.6666666666)</f>
        <v>42179.666666666599</v>
      </c>
      <c r="H38" s="3">
        <f ca="1">IFERROR(__xludf.DUMMYFUNCTION("""COMPUTED_VALUE"""),77.95)</f>
        <v>77.95</v>
      </c>
      <c r="I38" s="3">
        <f ca="1">IFERROR(__xludf.DUMMYFUNCTION("""COMPUTED_VALUE"""),78.31)</f>
        <v>78.31</v>
      </c>
      <c r="J38" s="3">
        <f ca="1">IFERROR(__xludf.DUMMYFUNCTION("""COMPUTED_VALUE"""),77.64)</f>
        <v>77.64</v>
      </c>
      <c r="K38" s="3">
        <f ca="1">IFERROR(__xludf.DUMMYFUNCTION("""COMPUTED_VALUE"""),77.65)</f>
        <v>77.650000000000006</v>
      </c>
      <c r="L38" s="3">
        <f ca="1">IFERROR(__xludf.DUMMYFUNCTION("""COMPUTED_VALUE"""),5986683)</f>
        <v>5986683</v>
      </c>
      <c r="M38" s="4">
        <f ca="1">IFERROR(__xludf.DUMMYFUNCTION("""COMPUTED_VALUE"""),42179.6666666666)</f>
        <v>42179.666666666599</v>
      </c>
      <c r="N38" s="3">
        <f ca="1">IFERROR(__xludf.DUMMYFUNCTION("""COMPUTED_VALUE"""),48.62)</f>
        <v>48.62</v>
      </c>
      <c r="O38" s="3">
        <f ca="1">IFERROR(__xludf.DUMMYFUNCTION("""COMPUTED_VALUE"""),48.7)</f>
        <v>48.7</v>
      </c>
      <c r="P38" s="3">
        <f ca="1">IFERROR(__xludf.DUMMYFUNCTION("""COMPUTED_VALUE"""),48.42)</f>
        <v>48.42</v>
      </c>
      <c r="Q38" s="3">
        <f ca="1">IFERROR(__xludf.DUMMYFUNCTION("""COMPUTED_VALUE"""),48.42)</f>
        <v>48.42</v>
      </c>
      <c r="R38" s="3">
        <f ca="1">IFERROR(__xludf.DUMMYFUNCTION("""COMPUTED_VALUE"""),6765086)</f>
        <v>6765086</v>
      </c>
      <c r="S38" s="4">
        <f ca="1">IFERROR(__xludf.DUMMYFUNCTION("""COMPUTED_VALUE"""),42179.6666666666)</f>
        <v>42179.666666666599</v>
      </c>
      <c r="T38" s="3">
        <f ca="1">IFERROR(__xludf.DUMMYFUNCTION("""COMPUTED_VALUE"""),76.92)</f>
        <v>76.92</v>
      </c>
      <c r="U38" s="3">
        <f ca="1">IFERROR(__xludf.DUMMYFUNCTION("""COMPUTED_VALUE"""),77.36)</f>
        <v>77.36</v>
      </c>
      <c r="V38" s="3">
        <f ca="1">IFERROR(__xludf.DUMMYFUNCTION("""COMPUTED_VALUE"""),76.58)</f>
        <v>76.58</v>
      </c>
      <c r="W38" s="3">
        <f ca="1">IFERROR(__xludf.DUMMYFUNCTION("""COMPUTED_VALUE"""),76.61)</f>
        <v>76.61</v>
      </c>
      <c r="X38" s="3">
        <f ca="1">IFERROR(__xludf.DUMMYFUNCTION("""COMPUTED_VALUE"""),6798255)</f>
        <v>6798255</v>
      </c>
      <c r="Y38" s="4">
        <f ca="1">IFERROR(__xludf.DUMMYFUNCTION("""COMPUTED_VALUE"""),42179.6666666666)</f>
        <v>42179.666666666599</v>
      </c>
      <c r="Z38" s="3">
        <f ca="1">IFERROR(__xludf.DUMMYFUNCTION("""COMPUTED_VALUE"""),20.41)</f>
        <v>20.41</v>
      </c>
      <c r="AA38" s="3">
        <f ca="1">IFERROR(__xludf.DUMMYFUNCTION("""COMPUTED_VALUE"""),20.44)</f>
        <v>20.440000000000001</v>
      </c>
      <c r="AB38" s="3">
        <f ca="1">IFERROR(__xludf.DUMMYFUNCTION("""COMPUTED_VALUE"""),20.27)</f>
        <v>20.27</v>
      </c>
      <c r="AC38" s="3">
        <f ca="1">IFERROR(__xludf.DUMMYFUNCTION("""COMPUTED_VALUE"""),20.27)</f>
        <v>20.27</v>
      </c>
      <c r="AD38" s="3">
        <f ca="1">IFERROR(__xludf.DUMMYFUNCTION("""COMPUTED_VALUE"""),21560633)</f>
        <v>21560633</v>
      </c>
      <c r="AE38" s="4">
        <f ca="1">IFERROR(__xludf.DUMMYFUNCTION("""COMPUTED_VALUE"""),42179.6666666666)</f>
        <v>42179.666666666599</v>
      </c>
      <c r="AF38" s="3">
        <f ca="1">IFERROR(__xludf.DUMMYFUNCTION("""COMPUTED_VALUE"""),76.35)</f>
        <v>76.349999999999994</v>
      </c>
      <c r="AG38" s="3">
        <f ca="1">IFERROR(__xludf.DUMMYFUNCTION("""COMPUTED_VALUE"""),76.42)</f>
        <v>76.42</v>
      </c>
      <c r="AH38" s="3">
        <f ca="1">IFERROR(__xludf.DUMMYFUNCTION("""COMPUTED_VALUE"""),75.68)</f>
        <v>75.680000000000007</v>
      </c>
      <c r="AI38" s="3">
        <f ca="1">IFERROR(__xludf.DUMMYFUNCTION("""COMPUTED_VALUE"""),75.68)</f>
        <v>75.680000000000007</v>
      </c>
      <c r="AJ38" s="3">
        <f ca="1">IFERROR(__xludf.DUMMYFUNCTION("""COMPUTED_VALUE"""),7294405)</f>
        <v>7294405</v>
      </c>
      <c r="AK38" s="4">
        <f ca="1">IFERROR(__xludf.DUMMYFUNCTION("""COMPUTED_VALUE"""),42179.6666666666)</f>
        <v>42179.666666666599</v>
      </c>
      <c r="AL38" s="3">
        <f ca="1">IFERROR(__xludf.DUMMYFUNCTION("""COMPUTED_VALUE"""),55.8)</f>
        <v>55.8</v>
      </c>
      <c r="AM38" s="3">
        <f ca="1">IFERROR(__xludf.DUMMYFUNCTION("""COMPUTED_VALUE"""),55.89)</f>
        <v>55.89</v>
      </c>
      <c r="AN38" s="3">
        <f ca="1">IFERROR(__xludf.DUMMYFUNCTION("""COMPUTED_VALUE"""),55.39)</f>
        <v>55.39</v>
      </c>
      <c r="AO38" s="3">
        <f ca="1">IFERROR(__xludf.DUMMYFUNCTION("""COMPUTED_VALUE"""),55.4)</f>
        <v>55.4</v>
      </c>
      <c r="AP38" s="3">
        <f ca="1">IFERROR(__xludf.DUMMYFUNCTION("""COMPUTED_VALUE"""),5976608)</f>
        <v>5976608</v>
      </c>
      <c r="AQ38" s="4">
        <f ca="1">IFERROR(__xludf.DUMMYFUNCTION("""COMPUTED_VALUE"""),42179.6666666666)</f>
        <v>42179.666666666599</v>
      </c>
      <c r="AR38" s="3">
        <f ca="1">IFERROR(__xludf.DUMMYFUNCTION("""COMPUTED_VALUE"""),50.15)</f>
        <v>50.15</v>
      </c>
      <c r="AS38" s="3">
        <f ca="1">IFERROR(__xludf.DUMMYFUNCTION("""COMPUTED_VALUE"""),50.18)</f>
        <v>50.18</v>
      </c>
      <c r="AT38" s="3">
        <f ca="1">IFERROR(__xludf.DUMMYFUNCTION("""COMPUTED_VALUE"""),49.61)</f>
        <v>49.61</v>
      </c>
      <c r="AU38" s="3">
        <f ca="1">IFERROR(__xludf.DUMMYFUNCTION("""COMPUTED_VALUE"""),49.62)</f>
        <v>49.62</v>
      </c>
      <c r="AV38" s="3">
        <f ca="1">IFERROR(__xludf.DUMMYFUNCTION("""COMPUTED_VALUE"""),3141321)</f>
        <v>3141321</v>
      </c>
      <c r="AW38" s="4">
        <f ca="1">IFERROR(__xludf.DUMMYFUNCTION("""COMPUTED_VALUE"""),42339.6666666666)</f>
        <v>42339.666666666599</v>
      </c>
      <c r="AX38" s="3">
        <f ca="1">IFERROR(__xludf.DUMMYFUNCTION("""COMPUTED_VALUE"""),30.98)</f>
        <v>30.98</v>
      </c>
      <c r="AY38" s="3">
        <f ca="1">IFERROR(__xludf.DUMMYFUNCTION("""COMPUTED_VALUE"""),31.26)</f>
        <v>31.26</v>
      </c>
      <c r="AZ38" s="3">
        <f ca="1">IFERROR(__xludf.DUMMYFUNCTION("""COMPUTED_VALUE"""),30.98)</f>
        <v>30.98</v>
      </c>
      <c r="BA38" s="3">
        <f ca="1">IFERROR(__xludf.DUMMYFUNCTION("""COMPUTED_VALUE"""),31.26)</f>
        <v>31.26</v>
      </c>
      <c r="BB38" s="3">
        <f ca="1">IFERROR(__xludf.DUMMYFUNCTION("""COMPUTED_VALUE"""),5557)</f>
        <v>5557</v>
      </c>
      <c r="BC38" s="4">
        <f ca="1">IFERROR(__xludf.DUMMYFUNCTION("""COMPUTED_VALUE"""),42179.6666666666)</f>
        <v>42179.666666666599</v>
      </c>
      <c r="BD38" s="3">
        <f ca="1">IFERROR(__xludf.DUMMYFUNCTION("""COMPUTED_VALUE"""),42.82)</f>
        <v>42.82</v>
      </c>
      <c r="BE38" s="3">
        <f ca="1">IFERROR(__xludf.DUMMYFUNCTION("""COMPUTED_VALUE"""),43.07)</f>
        <v>43.07</v>
      </c>
      <c r="BF38" s="3">
        <f ca="1">IFERROR(__xludf.DUMMYFUNCTION("""COMPUTED_VALUE"""),42.72)</f>
        <v>42.72</v>
      </c>
      <c r="BG38" s="3">
        <f ca="1">IFERROR(__xludf.DUMMYFUNCTION("""COMPUTED_VALUE"""),42.72)</f>
        <v>42.72</v>
      </c>
      <c r="BH38" s="3">
        <f ca="1">IFERROR(__xludf.DUMMYFUNCTION("""COMPUTED_VALUE"""),4846785)</f>
        <v>4846785</v>
      </c>
      <c r="BI38" s="4">
        <f ca="1">IFERROR(__xludf.DUMMYFUNCTION("""COMPUTED_VALUE"""),42179.6666666666)</f>
        <v>42179.666666666599</v>
      </c>
      <c r="BJ38" s="3">
        <f ca="1">IFERROR(__xludf.DUMMYFUNCTION("""COMPUTED_VALUE"""),42.2)</f>
        <v>42.2</v>
      </c>
      <c r="BK38" s="3">
        <f ca="1">IFERROR(__xludf.DUMMYFUNCTION("""COMPUTED_VALUE"""),42.29)</f>
        <v>42.29</v>
      </c>
      <c r="BL38" s="3">
        <f ca="1">IFERROR(__xludf.DUMMYFUNCTION("""COMPUTED_VALUE"""),41.8)</f>
        <v>41.8</v>
      </c>
      <c r="BM38" s="3">
        <f ca="1">IFERROR(__xludf.DUMMYFUNCTION("""COMPUTED_VALUE"""),41.82)</f>
        <v>41.82</v>
      </c>
      <c r="BN38" s="3">
        <f ca="1">IFERROR(__xludf.DUMMYFUNCTION("""COMPUTED_VALUE"""),12229870)</f>
        <v>12229870</v>
      </c>
    </row>
    <row r="39" spans="7:66" ht="15.75" customHeight="1" x14ac:dyDescent="0.15">
      <c r="G39" s="4">
        <f ca="1">IFERROR(__xludf.DUMMYFUNCTION("""COMPUTED_VALUE"""),42180.6666666666)</f>
        <v>42180.666666666599</v>
      </c>
      <c r="H39" s="3">
        <f ca="1">IFERROR(__xludf.DUMMYFUNCTION("""COMPUTED_VALUE"""),77.79)</f>
        <v>77.790000000000006</v>
      </c>
      <c r="I39" s="3">
        <f ca="1">IFERROR(__xludf.DUMMYFUNCTION("""COMPUTED_VALUE"""),78.03)</f>
        <v>78.03</v>
      </c>
      <c r="J39" s="3">
        <f ca="1">IFERROR(__xludf.DUMMYFUNCTION("""COMPUTED_VALUE"""),77.54)</f>
        <v>77.540000000000006</v>
      </c>
      <c r="K39" s="3">
        <f ca="1">IFERROR(__xludf.DUMMYFUNCTION("""COMPUTED_VALUE"""),77.59)</f>
        <v>77.59</v>
      </c>
      <c r="L39" s="3">
        <f ca="1">IFERROR(__xludf.DUMMYFUNCTION("""COMPUTED_VALUE"""),4429652)</f>
        <v>4429652</v>
      </c>
      <c r="M39" s="4">
        <f ca="1">IFERROR(__xludf.DUMMYFUNCTION("""COMPUTED_VALUE"""),42180.6666666666)</f>
        <v>42180.666666666599</v>
      </c>
      <c r="N39" s="3">
        <f ca="1">IFERROR(__xludf.DUMMYFUNCTION("""COMPUTED_VALUE"""),48.61)</f>
        <v>48.61</v>
      </c>
      <c r="O39" s="3">
        <f ca="1">IFERROR(__xludf.DUMMYFUNCTION("""COMPUTED_VALUE"""),48.61)</f>
        <v>48.61</v>
      </c>
      <c r="P39" s="3">
        <f ca="1">IFERROR(__xludf.DUMMYFUNCTION("""COMPUTED_VALUE"""),48.33)</f>
        <v>48.33</v>
      </c>
      <c r="Q39" s="3">
        <f ca="1">IFERROR(__xludf.DUMMYFUNCTION("""COMPUTED_VALUE"""),48.33)</f>
        <v>48.33</v>
      </c>
      <c r="R39" s="3">
        <f ca="1">IFERROR(__xludf.DUMMYFUNCTION("""COMPUTED_VALUE"""),6443662)</f>
        <v>6443662</v>
      </c>
      <c r="S39" s="4">
        <f ca="1">IFERROR(__xludf.DUMMYFUNCTION("""COMPUTED_VALUE"""),42180.6666666666)</f>
        <v>42180.666666666599</v>
      </c>
      <c r="T39" s="3">
        <f ca="1">IFERROR(__xludf.DUMMYFUNCTION("""COMPUTED_VALUE"""),76.59)</f>
        <v>76.59</v>
      </c>
      <c r="U39" s="3">
        <f ca="1">IFERROR(__xludf.DUMMYFUNCTION("""COMPUTED_VALUE"""),76.68)</f>
        <v>76.680000000000007</v>
      </c>
      <c r="V39" s="3">
        <f ca="1">IFERROR(__xludf.DUMMYFUNCTION("""COMPUTED_VALUE"""),75.81)</f>
        <v>75.81</v>
      </c>
      <c r="W39" s="3">
        <f ca="1">IFERROR(__xludf.DUMMYFUNCTION("""COMPUTED_VALUE"""),75.83)</f>
        <v>75.83</v>
      </c>
      <c r="X39" s="3">
        <f ca="1">IFERROR(__xludf.DUMMYFUNCTION("""COMPUTED_VALUE"""),8685674)</f>
        <v>8685674</v>
      </c>
      <c r="Y39" s="4">
        <f ca="1">IFERROR(__xludf.DUMMYFUNCTION("""COMPUTED_VALUE"""),42180.6666666666)</f>
        <v>42180.666666666599</v>
      </c>
      <c r="Z39" s="3">
        <f ca="1">IFERROR(__xludf.DUMMYFUNCTION("""COMPUTED_VALUE"""),20.33)</f>
        <v>20.329999999999998</v>
      </c>
      <c r="AA39" s="3">
        <f ca="1">IFERROR(__xludf.DUMMYFUNCTION("""COMPUTED_VALUE"""),20.33)</f>
        <v>20.329999999999998</v>
      </c>
      <c r="AB39" s="3">
        <f ca="1">IFERROR(__xludf.DUMMYFUNCTION("""COMPUTED_VALUE"""),20.13)</f>
        <v>20.13</v>
      </c>
      <c r="AC39" s="3">
        <f ca="1">IFERROR(__xludf.DUMMYFUNCTION("""COMPUTED_VALUE"""),20.15)</f>
        <v>20.149999999999999</v>
      </c>
      <c r="AD39" s="3">
        <f ca="1">IFERROR(__xludf.DUMMYFUNCTION("""COMPUTED_VALUE"""),35508962)</f>
        <v>35508962</v>
      </c>
      <c r="AE39" s="4">
        <f ca="1">IFERROR(__xludf.DUMMYFUNCTION("""COMPUTED_VALUE"""),42180.6666666666)</f>
        <v>42180.666666666599</v>
      </c>
      <c r="AF39" s="3">
        <f ca="1">IFERROR(__xludf.DUMMYFUNCTION("""COMPUTED_VALUE"""),75.91)</f>
        <v>75.91</v>
      </c>
      <c r="AG39" s="3">
        <f ca="1">IFERROR(__xludf.DUMMYFUNCTION("""COMPUTED_VALUE"""),76.46)</f>
        <v>76.459999999999994</v>
      </c>
      <c r="AH39" s="3">
        <f ca="1">IFERROR(__xludf.DUMMYFUNCTION("""COMPUTED_VALUE"""),75.71)</f>
        <v>75.709999999999994</v>
      </c>
      <c r="AI39" s="3">
        <f ca="1">IFERROR(__xludf.DUMMYFUNCTION("""COMPUTED_VALUE"""),76.1)</f>
        <v>76.099999999999994</v>
      </c>
      <c r="AJ39" s="3">
        <f ca="1">IFERROR(__xludf.DUMMYFUNCTION("""COMPUTED_VALUE"""),9232471)</f>
        <v>9232471</v>
      </c>
      <c r="AK39" s="4">
        <f ca="1">IFERROR(__xludf.DUMMYFUNCTION("""COMPUTED_VALUE"""),42180.6666666666)</f>
        <v>42180.666666666599</v>
      </c>
      <c r="AL39" s="3">
        <f ca="1">IFERROR(__xludf.DUMMYFUNCTION("""COMPUTED_VALUE"""),55.35)</f>
        <v>55.35</v>
      </c>
      <c r="AM39" s="3">
        <f ca="1">IFERROR(__xludf.DUMMYFUNCTION("""COMPUTED_VALUE"""),55.57)</f>
        <v>55.57</v>
      </c>
      <c r="AN39" s="3">
        <f ca="1">IFERROR(__xludf.DUMMYFUNCTION("""COMPUTED_VALUE"""),54.97)</f>
        <v>54.97</v>
      </c>
      <c r="AO39" s="3">
        <f ca="1">IFERROR(__xludf.DUMMYFUNCTION("""COMPUTED_VALUE"""),54.97)</f>
        <v>54.97</v>
      </c>
      <c r="AP39" s="3">
        <f ca="1">IFERROR(__xludf.DUMMYFUNCTION("""COMPUTED_VALUE"""),8323286)</f>
        <v>8323286</v>
      </c>
      <c r="AQ39" s="4">
        <f ca="1">IFERROR(__xludf.DUMMYFUNCTION("""COMPUTED_VALUE"""),42180.6666666666)</f>
        <v>42180.666666666599</v>
      </c>
      <c r="AR39" s="3">
        <f ca="1">IFERROR(__xludf.DUMMYFUNCTION("""COMPUTED_VALUE"""),49.64)</f>
        <v>49.64</v>
      </c>
      <c r="AS39" s="3">
        <f ca="1">IFERROR(__xludf.DUMMYFUNCTION("""COMPUTED_VALUE"""),49.82)</f>
        <v>49.82</v>
      </c>
      <c r="AT39" s="3">
        <f ca="1">IFERROR(__xludf.DUMMYFUNCTION("""COMPUTED_VALUE"""),49.43)</f>
        <v>49.43</v>
      </c>
      <c r="AU39" s="3">
        <f ca="1">IFERROR(__xludf.DUMMYFUNCTION("""COMPUTED_VALUE"""),49.58)</f>
        <v>49.58</v>
      </c>
      <c r="AV39" s="3">
        <f ca="1">IFERROR(__xludf.DUMMYFUNCTION("""COMPUTED_VALUE"""),2448051)</f>
        <v>2448051</v>
      </c>
      <c r="AW39" s="4">
        <f ca="1">IFERROR(__xludf.DUMMYFUNCTION("""COMPUTED_VALUE"""),42340.6666666666)</f>
        <v>42340.666666666599</v>
      </c>
      <c r="AX39" s="3">
        <f ca="1">IFERROR(__xludf.DUMMYFUNCTION("""COMPUTED_VALUE"""),31.11)</f>
        <v>31.11</v>
      </c>
      <c r="AY39" s="3">
        <f ca="1">IFERROR(__xludf.DUMMYFUNCTION("""COMPUTED_VALUE"""),31.22)</f>
        <v>31.22</v>
      </c>
      <c r="AZ39" s="3">
        <f ca="1">IFERROR(__xludf.DUMMYFUNCTION("""COMPUTED_VALUE"""),30.62)</f>
        <v>30.62</v>
      </c>
      <c r="BA39" s="3">
        <f ca="1">IFERROR(__xludf.DUMMYFUNCTION("""COMPUTED_VALUE"""),30.62)</f>
        <v>30.62</v>
      </c>
      <c r="BB39" s="3">
        <f ca="1">IFERROR(__xludf.DUMMYFUNCTION("""COMPUTED_VALUE"""),4397)</f>
        <v>4397</v>
      </c>
      <c r="BC39" s="4">
        <f ca="1">IFERROR(__xludf.DUMMYFUNCTION("""COMPUTED_VALUE"""),42180.6666666666)</f>
        <v>42180.666666666599</v>
      </c>
      <c r="BD39" s="3">
        <f ca="1">IFERROR(__xludf.DUMMYFUNCTION("""COMPUTED_VALUE"""),42.95)</f>
        <v>42.95</v>
      </c>
      <c r="BE39" s="3">
        <f ca="1">IFERROR(__xludf.DUMMYFUNCTION("""COMPUTED_VALUE"""),42.98)</f>
        <v>42.98</v>
      </c>
      <c r="BF39" s="3">
        <f ca="1">IFERROR(__xludf.DUMMYFUNCTION("""COMPUTED_VALUE"""),42.61)</f>
        <v>42.61</v>
      </c>
      <c r="BG39" s="3">
        <f ca="1">IFERROR(__xludf.DUMMYFUNCTION("""COMPUTED_VALUE"""),42.62)</f>
        <v>42.62</v>
      </c>
      <c r="BH39" s="3">
        <f ca="1">IFERROR(__xludf.DUMMYFUNCTION("""COMPUTED_VALUE"""),4913848)</f>
        <v>4913848</v>
      </c>
      <c r="BI39" s="4">
        <f ca="1">IFERROR(__xludf.DUMMYFUNCTION("""COMPUTED_VALUE"""),42180.6666666666)</f>
        <v>42180.666666666599</v>
      </c>
      <c r="BJ39" s="3">
        <f ca="1">IFERROR(__xludf.DUMMYFUNCTION("""COMPUTED_VALUE"""),41.85)</f>
        <v>41.85</v>
      </c>
      <c r="BK39" s="3">
        <f ca="1">IFERROR(__xludf.DUMMYFUNCTION("""COMPUTED_VALUE"""),41.95)</f>
        <v>41.95</v>
      </c>
      <c r="BL39" s="3">
        <f ca="1">IFERROR(__xludf.DUMMYFUNCTION("""COMPUTED_VALUE"""),41.53)</f>
        <v>41.53</v>
      </c>
      <c r="BM39" s="3">
        <f ca="1">IFERROR(__xludf.DUMMYFUNCTION("""COMPUTED_VALUE"""),41.54)</f>
        <v>41.54</v>
      </c>
      <c r="BN39" s="3">
        <f ca="1">IFERROR(__xludf.DUMMYFUNCTION("""COMPUTED_VALUE"""),11687278)</f>
        <v>11687278</v>
      </c>
    </row>
    <row r="40" spans="7:66" ht="13" x14ac:dyDescent="0.15">
      <c r="G40" s="4">
        <f ca="1">IFERROR(__xludf.DUMMYFUNCTION("""COMPUTED_VALUE"""),42181.6666666666)</f>
        <v>42181.666666666599</v>
      </c>
      <c r="H40" s="3">
        <f ca="1">IFERROR(__xludf.DUMMYFUNCTION("""COMPUTED_VALUE"""),77.91)</f>
        <v>77.91</v>
      </c>
      <c r="I40" s="3">
        <f ca="1">IFERROR(__xludf.DUMMYFUNCTION("""COMPUTED_VALUE"""),78.14)</f>
        <v>78.14</v>
      </c>
      <c r="J40" s="3">
        <f ca="1">IFERROR(__xludf.DUMMYFUNCTION("""COMPUTED_VALUE"""),77.64)</f>
        <v>77.64</v>
      </c>
      <c r="K40" s="3">
        <f ca="1">IFERROR(__xludf.DUMMYFUNCTION("""COMPUTED_VALUE"""),77.9)</f>
        <v>77.900000000000006</v>
      </c>
      <c r="L40" s="3">
        <f ca="1">IFERROR(__xludf.DUMMYFUNCTION("""COMPUTED_VALUE"""),8308634)</f>
        <v>8308634</v>
      </c>
      <c r="M40" s="4">
        <f ca="1">IFERROR(__xludf.DUMMYFUNCTION("""COMPUTED_VALUE"""),42181.6666666666)</f>
        <v>42181.666666666599</v>
      </c>
      <c r="N40" s="3">
        <f ca="1">IFERROR(__xludf.DUMMYFUNCTION("""COMPUTED_VALUE"""),48.4)</f>
        <v>48.4</v>
      </c>
      <c r="O40" s="3">
        <f ca="1">IFERROR(__xludf.DUMMYFUNCTION("""COMPUTED_VALUE"""),48.6)</f>
        <v>48.6</v>
      </c>
      <c r="P40" s="3">
        <f ca="1">IFERROR(__xludf.DUMMYFUNCTION("""COMPUTED_VALUE"""),48.34)</f>
        <v>48.34</v>
      </c>
      <c r="Q40" s="3">
        <f ca="1">IFERROR(__xludf.DUMMYFUNCTION("""COMPUTED_VALUE"""),48.43)</f>
        <v>48.43</v>
      </c>
      <c r="R40" s="3">
        <f ca="1">IFERROR(__xludf.DUMMYFUNCTION("""COMPUTED_VALUE"""),4608042)</f>
        <v>4608042</v>
      </c>
      <c r="S40" s="4">
        <f ca="1">IFERROR(__xludf.DUMMYFUNCTION("""COMPUTED_VALUE"""),42181.6666666666)</f>
        <v>42181.666666666599</v>
      </c>
      <c r="T40" s="3">
        <f ca="1">IFERROR(__xludf.DUMMYFUNCTION("""COMPUTED_VALUE"""),75.76)</f>
        <v>75.760000000000005</v>
      </c>
      <c r="U40" s="3">
        <f ca="1">IFERROR(__xludf.DUMMYFUNCTION("""COMPUTED_VALUE"""),76.1)</f>
        <v>76.099999999999994</v>
      </c>
      <c r="V40" s="3">
        <f ca="1">IFERROR(__xludf.DUMMYFUNCTION("""COMPUTED_VALUE"""),75.34)</f>
        <v>75.34</v>
      </c>
      <c r="W40" s="3">
        <f ca="1">IFERROR(__xludf.DUMMYFUNCTION("""COMPUTED_VALUE"""),76.08)</f>
        <v>76.08</v>
      </c>
      <c r="X40" s="3">
        <f ca="1">IFERROR(__xludf.DUMMYFUNCTION("""COMPUTED_VALUE"""),11772332)</f>
        <v>11772332</v>
      </c>
      <c r="Y40" s="4">
        <f ca="1">IFERROR(__xludf.DUMMYFUNCTION("""COMPUTED_VALUE"""),42181.6666666666)</f>
        <v>42181.666666666599</v>
      </c>
      <c r="Z40" s="3">
        <f ca="1">IFERROR(__xludf.DUMMYFUNCTION("""COMPUTED_VALUE"""),20.24)</f>
        <v>20.239999999999998</v>
      </c>
      <c r="AA40" s="3">
        <f ca="1">IFERROR(__xludf.DUMMYFUNCTION("""COMPUTED_VALUE"""),20.27)</f>
        <v>20.27</v>
      </c>
      <c r="AB40" s="3">
        <f ca="1">IFERROR(__xludf.DUMMYFUNCTION("""COMPUTED_VALUE"""),20.16)</f>
        <v>20.16</v>
      </c>
      <c r="AC40" s="3">
        <f ca="1">IFERROR(__xludf.DUMMYFUNCTION("""COMPUTED_VALUE"""),20.21)</f>
        <v>20.21</v>
      </c>
      <c r="AD40" s="3">
        <f ca="1">IFERROR(__xludf.DUMMYFUNCTION("""COMPUTED_VALUE"""),24969296)</f>
        <v>24969296</v>
      </c>
      <c r="AE40" s="4">
        <f ca="1">IFERROR(__xludf.DUMMYFUNCTION("""COMPUTED_VALUE"""),42181.6666666666)</f>
        <v>42181.666666666599</v>
      </c>
      <c r="AF40" s="3">
        <f ca="1">IFERROR(__xludf.DUMMYFUNCTION("""COMPUTED_VALUE"""),76.21)</f>
        <v>76.209999999999994</v>
      </c>
      <c r="AG40" s="3">
        <f ca="1">IFERROR(__xludf.DUMMYFUNCTION("""COMPUTED_VALUE"""),76.5)</f>
        <v>76.5</v>
      </c>
      <c r="AH40" s="3">
        <f ca="1">IFERROR(__xludf.DUMMYFUNCTION("""COMPUTED_VALUE"""),75.72)</f>
        <v>75.72</v>
      </c>
      <c r="AI40" s="3">
        <f ca="1">IFERROR(__xludf.DUMMYFUNCTION("""COMPUTED_VALUE"""),75.99)</f>
        <v>75.989999999999995</v>
      </c>
      <c r="AJ40" s="3">
        <f ca="1">IFERROR(__xludf.DUMMYFUNCTION("""COMPUTED_VALUE"""),6147481)</f>
        <v>6147481</v>
      </c>
      <c r="AK40" s="4">
        <f ca="1">IFERROR(__xludf.DUMMYFUNCTION("""COMPUTED_VALUE"""),42181.6666666666)</f>
        <v>42181.666666666599</v>
      </c>
      <c r="AL40" s="3">
        <f ca="1">IFERROR(__xludf.DUMMYFUNCTION("""COMPUTED_VALUE"""),55.13)</f>
        <v>55.13</v>
      </c>
      <c r="AM40" s="3">
        <f ca="1">IFERROR(__xludf.DUMMYFUNCTION("""COMPUTED_VALUE"""),55.24)</f>
        <v>55.24</v>
      </c>
      <c r="AN40" s="3">
        <f ca="1">IFERROR(__xludf.DUMMYFUNCTION("""COMPUTED_VALUE"""),54.95)</f>
        <v>54.95</v>
      </c>
      <c r="AO40" s="3">
        <f ca="1">IFERROR(__xludf.DUMMYFUNCTION("""COMPUTED_VALUE"""),55.07)</f>
        <v>55.07</v>
      </c>
      <c r="AP40" s="3">
        <f ca="1">IFERROR(__xludf.DUMMYFUNCTION("""COMPUTED_VALUE"""),6424779)</f>
        <v>6424779</v>
      </c>
      <c r="AQ40" s="4">
        <f ca="1">IFERROR(__xludf.DUMMYFUNCTION("""COMPUTED_VALUE"""),42181.6666666666)</f>
        <v>42181.666666666599</v>
      </c>
      <c r="AR40" s="3">
        <f ca="1">IFERROR(__xludf.DUMMYFUNCTION("""COMPUTED_VALUE"""),49.68)</f>
        <v>49.68</v>
      </c>
      <c r="AS40" s="3">
        <f ca="1">IFERROR(__xludf.DUMMYFUNCTION("""COMPUTED_VALUE"""),49.77)</f>
        <v>49.77</v>
      </c>
      <c r="AT40" s="3">
        <f ca="1">IFERROR(__xludf.DUMMYFUNCTION("""COMPUTED_VALUE"""),49.32)</f>
        <v>49.32</v>
      </c>
      <c r="AU40" s="3">
        <f ca="1">IFERROR(__xludf.DUMMYFUNCTION("""COMPUTED_VALUE"""),49.39)</f>
        <v>49.39</v>
      </c>
      <c r="AV40" s="3">
        <f ca="1">IFERROR(__xludf.DUMMYFUNCTION("""COMPUTED_VALUE"""),2906020)</f>
        <v>2906020</v>
      </c>
      <c r="AW40" s="4">
        <f ca="1">IFERROR(__xludf.DUMMYFUNCTION("""COMPUTED_VALUE"""),42341.6666666666)</f>
        <v>42341.666666666599</v>
      </c>
      <c r="AX40" s="3">
        <f ca="1">IFERROR(__xludf.DUMMYFUNCTION("""COMPUTED_VALUE"""),30.37)</f>
        <v>30.37</v>
      </c>
      <c r="AY40" s="3">
        <f ca="1">IFERROR(__xludf.DUMMYFUNCTION("""COMPUTED_VALUE"""),30.37)</f>
        <v>30.37</v>
      </c>
      <c r="AZ40" s="3">
        <f ca="1">IFERROR(__xludf.DUMMYFUNCTION("""COMPUTED_VALUE"""),30.01)</f>
        <v>30.01</v>
      </c>
      <c r="BA40" s="3">
        <f ca="1">IFERROR(__xludf.DUMMYFUNCTION("""COMPUTED_VALUE"""),30.01)</f>
        <v>30.01</v>
      </c>
      <c r="BB40" s="3">
        <f ca="1">IFERROR(__xludf.DUMMYFUNCTION("""COMPUTED_VALUE"""),776)</f>
        <v>776</v>
      </c>
      <c r="BC40" s="4">
        <f ca="1">IFERROR(__xludf.DUMMYFUNCTION("""COMPUTED_VALUE"""),42181.6666666666)</f>
        <v>42181.666666666599</v>
      </c>
      <c r="BD40" s="3">
        <f ca="1">IFERROR(__xludf.DUMMYFUNCTION("""COMPUTED_VALUE"""),42.59)</f>
        <v>42.59</v>
      </c>
      <c r="BE40" s="3">
        <f ca="1">IFERROR(__xludf.DUMMYFUNCTION("""COMPUTED_VALUE"""),42.64)</f>
        <v>42.64</v>
      </c>
      <c r="BF40" s="3">
        <f ca="1">IFERROR(__xludf.DUMMYFUNCTION("""COMPUTED_VALUE"""),42.14)</f>
        <v>42.14</v>
      </c>
      <c r="BG40" s="3">
        <f ca="1">IFERROR(__xludf.DUMMYFUNCTION("""COMPUTED_VALUE"""),42.26)</f>
        <v>42.26</v>
      </c>
      <c r="BH40" s="3">
        <f ca="1">IFERROR(__xludf.DUMMYFUNCTION("""COMPUTED_VALUE"""),10174298)</f>
        <v>10174298</v>
      </c>
      <c r="BI40" s="4">
        <f ca="1">IFERROR(__xludf.DUMMYFUNCTION("""COMPUTED_VALUE"""),42181.6666666666)</f>
        <v>42181.666666666599</v>
      </c>
      <c r="BJ40" s="3">
        <f ca="1">IFERROR(__xludf.DUMMYFUNCTION("""COMPUTED_VALUE"""),41.45)</f>
        <v>41.45</v>
      </c>
      <c r="BK40" s="3">
        <f ca="1">IFERROR(__xludf.DUMMYFUNCTION("""COMPUTED_VALUE"""),41.86)</f>
        <v>41.86</v>
      </c>
      <c r="BL40" s="3">
        <f ca="1">IFERROR(__xludf.DUMMYFUNCTION("""COMPUTED_VALUE"""),41.31)</f>
        <v>41.31</v>
      </c>
      <c r="BM40" s="3">
        <f ca="1">IFERROR(__xludf.DUMMYFUNCTION("""COMPUTED_VALUE"""),41.79)</f>
        <v>41.79</v>
      </c>
      <c r="BN40" s="3">
        <f ca="1">IFERROR(__xludf.DUMMYFUNCTION("""COMPUTED_VALUE"""),8770711)</f>
        <v>8770711</v>
      </c>
    </row>
    <row r="41" spans="7:66" ht="13" x14ac:dyDescent="0.15">
      <c r="G41" s="4">
        <f ca="1">IFERROR(__xludf.DUMMYFUNCTION("""COMPUTED_VALUE"""),42184.6666666666)</f>
        <v>42184.666666666599</v>
      </c>
      <c r="H41" s="3">
        <f ca="1">IFERROR(__xludf.DUMMYFUNCTION("""COMPUTED_VALUE"""),77.21)</f>
        <v>77.209999999999994</v>
      </c>
      <c r="I41" s="3">
        <f ca="1">IFERROR(__xludf.DUMMYFUNCTION("""COMPUTED_VALUE"""),77.56)</f>
        <v>77.56</v>
      </c>
      <c r="J41" s="3">
        <f ca="1">IFERROR(__xludf.DUMMYFUNCTION("""COMPUTED_VALUE"""),76.08)</f>
        <v>76.08</v>
      </c>
      <c r="K41" s="3">
        <f ca="1">IFERROR(__xludf.DUMMYFUNCTION("""COMPUTED_VALUE"""),76.14)</f>
        <v>76.14</v>
      </c>
      <c r="L41" s="3">
        <f ca="1">IFERROR(__xludf.DUMMYFUNCTION("""COMPUTED_VALUE"""),8979817)</f>
        <v>8979817</v>
      </c>
      <c r="M41" s="4">
        <f ca="1">IFERROR(__xludf.DUMMYFUNCTION("""COMPUTED_VALUE"""),42184.6666666666)</f>
        <v>42184.666666666599</v>
      </c>
      <c r="N41" s="3">
        <f ca="1">IFERROR(__xludf.DUMMYFUNCTION("""COMPUTED_VALUE"""),48.18)</f>
        <v>48.18</v>
      </c>
      <c r="O41" s="3">
        <f ca="1">IFERROR(__xludf.DUMMYFUNCTION("""COMPUTED_VALUE"""),48.27)</f>
        <v>48.27</v>
      </c>
      <c r="P41" s="3">
        <f ca="1">IFERROR(__xludf.DUMMYFUNCTION("""COMPUTED_VALUE"""),47.66)</f>
        <v>47.66</v>
      </c>
      <c r="Q41" s="3">
        <f ca="1">IFERROR(__xludf.DUMMYFUNCTION("""COMPUTED_VALUE"""),47.68)</f>
        <v>47.68</v>
      </c>
      <c r="R41" s="3">
        <f ca="1">IFERROR(__xludf.DUMMYFUNCTION("""COMPUTED_VALUE"""),8106247)</f>
        <v>8106247</v>
      </c>
      <c r="S41" s="4">
        <f ca="1">IFERROR(__xludf.DUMMYFUNCTION("""COMPUTED_VALUE"""),42184.6666666666)</f>
        <v>42184.666666666599</v>
      </c>
      <c r="T41" s="3">
        <f ca="1">IFERROR(__xludf.DUMMYFUNCTION("""COMPUTED_VALUE"""),75.12)</f>
        <v>75.12</v>
      </c>
      <c r="U41" s="3">
        <f ca="1">IFERROR(__xludf.DUMMYFUNCTION("""COMPUTED_VALUE"""),75.6)</f>
        <v>75.599999999999994</v>
      </c>
      <c r="V41" s="3">
        <f ca="1">IFERROR(__xludf.DUMMYFUNCTION("""COMPUTED_VALUE"""),74.58)</f>
        <v>74.58</v>
      </c>
      <c r="W41" s="3">
        <f ca="1">IFERROR(__xludf.DUMMYFUNCTION("""COMPUTED_VALUE"""),74.64)</f>
        <v>74.64</v>
      </c>
      <c r="X41" s="3">
        <f ca="1">IFERROR(__xludf.DUMMYFUNCTION("""COMPUTED_VALUE"""),13897203)</f>
        <v>13897203</v>
      </c>
      <c r="Y41" s="4">
        <f ca="1">IFERROR(__xludf.DUMMYFUNCTION("""COMPUTED_VALUE"""),42184.6666666666)</f>
        <v>42184.666666666599</v>
      </c>
      <c r="Z41" s="3">
        <f ca="1">IFERROR(__xludf.DUMMYFUNCTION("""COMPUTED_VALUE"""),19.99)</f>
        <v>19.989999999999998</v>
      </c>
      <c r="AA41" s="3">
        <f ca="1">IFERROR(__xludf.DUMMYFUNCTION("""COMPUTED_VALUE"""),20.08)</f>
        <v>20.079999999999998</v>
      </c>
      <c r="AB41" s="3">
        <f ca="1">IFERROR(__xludf.DUMMYFUNCTION("""COMPUTED_VALUE"""),19.72)</f>
        <v>19.72</v>
      </c>
      <c r="AC41" s="3">
        <f ca="1">IFERROR(__xludf.DUMMYFUNCTION("""COMPUTED_VALUE"""),19.72)</f>
        <v>19.72</v>
      </c>
      <c r="AD41" s="3">
        <f ca="1">IFERROR(__xludf.DUMMYFUNCTION("""COMPUTED_VALUE"""),42983257)</f>
        <v>42983257</v>
      </c>
      <c r="AE41" s="4">
        <f ca="1">IFERROR(__xludf.DUMMYFUNCTION("""COMPUTED_VALUE"""),42184.6666666666)</f>
        <v>42184.666666666599</v>
      </c>
      <c r="AF41" s="3">
        <f ca="1">IFERROR(__xludf.DUMMYFUNCTION("""COMPUTED_VALUE"""),75.33)</f>
        <v>75.33</v>
      </c>
      <c r="AG41" s="3">
        <f ca="1">IFERROR(__xludf.DUMMYFUNCTION("""COMPUTED_VALUE"""),75.72)</f>
        <v>75.72</v>
      </c>
      <c r="AH41" s="3">
        <f ca="1">IFERROR(__xludf.DUMMYFUNCTION("""COMPUTED_VALUE"""),74.09)</f>
        <v>74.09</v>
      </c>
      <c r="AI41" s="3">
        <f ca="1">IFERROR(__xludf.DUMMYFUNCTION("""COMPUTED_VALUE"""),74.13)</f>
        <v>74.13</v>
      </c>
      <c r="AJ41" s="3">
        <f ca="1">IFERROR(__xludf.DUMMYFUNCTION("""COMPUTED_VALUE"""),13675872)</f>
        <v>13675872</v>
      </c>
      <c r="AK41" s="4">
        <f ca="1">IFERROR(__xludf.DUMMYFUNCTION("""COMPUTED_VALUE"""),42184.6666666666)</f>
        <v>42184.666666666599</v>
      </c>
      <c r="AL41" s="3">
        <f ca="1">IFERROR(__xludf.DUMMYFUNCTION("""COMPUTED_VALUE"""),54.63)</f>
        <v>54.63</v>
      </c>
      <c r="AM41" s="3">
        <f ca="1">IFERROR(__xludf.DUMMYFUNCTION("""COMPUTED_VALUE"""),54.84)</f>
        <v>54.84</v>
      </c>
      <c r="AN41" s="3">
        <f ca="1">IFERROR(__xludf.DUMMYFUNCTION("""COMPUTED_VALUE"""),54)</f>
        <v>54</v>
      </c>
      <c r="AO41" s="3">
        <f ca="1">IFERROR(__xludf.DUMMYFUNCTION("""COMPUTED_VALUE"""),54.03)</f>
        <v>54.03</v>
      </c>
      <c r="AP41" s="3">
        <f ca="1">IFERROR(__xludf.DUMMYFUNCTION("""COMPUTED_VALUE"""),13132849)</f>
        <v>13132849</v>
      </c>
      <c r="AQ41" s="4">
        <f ca="1">IFERROR(__xludf.DUMMYFUNCTION("""COMPUTED_VALUE"""),42184.6666666666)</f>
        <v>42184.666666666599</v>
      </c>
      <c r="AR41" s="3">
        <f ca="1">IFERROR(__xludf.DUMMYFUNCTION("""COMPUTED_VALUE"""),49.01)</f>
        <v>49.01</v>
      </c>
      <c r="AS41" s="3">
        <f ca="1">IFERROR(__xludf.DUMMYFUNCTION("""COMPUTED_VALUE"""),49.17)</f>
        <v>49.17</v>
      </c>
      <c r="AT41" s="3">
        <f ca="1">IFERROR(__xludf.DUMMYFUNCTION("""COMPUTED_VALUE"""),48.19)</f>
        <v>48.19</v>
      </c>
      <c r="AU41" s="3">
        <f ca="1">IFERROR(__xludf.DUMMYFUNCTION("""COMPUTED_VALUE"""),48.24)</f>
        <v>48.24</v>
      </c>
      <c r="AV41" s="3">
        <f ca="1">IFERROR(__xludf.DUMMYFUNCTION("""COMPUTED_VALUE"""),6202663)</f>
        <v>6202663</v>
      </c>
      <c r="AW41" s="4">
        <f ca="1">IFERROR(__xludf.DUMMYFUNCTION("""COMPUTED_VALUE"""),42342.6666666666)</f>
        <v>42342.666666666599</v>
      </c>
      <c r="AX41" s="3">
        <f ca="1">IFERROR(__xludf.DUMMYFUNCTION("""COMPUTED_VALUE"""),30.31)</f>
        <v>30.31</v>
      </c>
      <c r="AY41" s="3">
        <f ca="1">IFERROR(__xludf.DUMMYFUNCTION("""COMPUTED_VALUE"""),30.83)</f>
        <v>30.83</v>
      </c>
      <c r="AZ41" s="3">
        <f ca="1">IFERROR(__xludf.DUMMYFUNCTION("""COMPUTED_VALUE"""),30.31)</f>
        <v>30.31</v>
      </c>
      <c r="BA41" s="3">
        <f ca="1">IFERROR(__xludf.DUMMYFUNCTION("""COMPUTED_VALUE"""),30.62)</f>
        <v>30.62</v>
      </c>
      <c r="BB41" s="3">
        <f ca="1">IFERROR(__xludf.DUMMYFUNCTION("""COMPUTED_VALUE"""),4378)</f>
        <v>4378</v>
      </c>
      <c r="BC41" s="4">
        <f ca="1">IFERROR(__xludf.DUMMYFUNCTION("""COMPUTED_VALUE"""),42184.6666666666)</f>
        <v>42184.666666666599</v>
      </c>
      <c r="BD41" s="3">
        <f ca="1">IFERROR(__xludf.DUMMYFUNCTION("""COMPUTED_VALUE"""),41.81)</f>
        <v>41.81</v>
      </c>
      <c r="BE41" s="3">
        <f ca="1">IFERROR(__xludf.DUMMYFUNCTION("""COMPUTED_VALUE"""),42.06)</f>
        <v>42.06</v>
      </c>
      <c r="BF41" s="3">
        <f ca="1">IFERROR(__xludf.DUMMYFUNCTION("""COMPUTED_VALUE"""),41.35)</f>
        <v>41.35</v>
      </c>
      <c r="BG41" s="3">
        <f ca="1">IFERROR(__xludf.DUMMYFUNCTION("""COMPUTED_VALUE"""),41.36)</f>
        <v>41.36</v>
      </c>
      <c r="BH41" s="3">
        <f ca="1">IFERROR(__xludf.DUMMYFUNCTION("""COMPUTED_VALUE"""),13107438)</f>
        <v>13107438</v>
      </c>
      <c r="BI41" s="4">
        <f ca="1">IFERROR(__xludf.DUMMYFUNCTION("""COMPUTED_VALUE"""),42184.6666666666)</f>
        <v>42184.666666666599</v>
      </c>
      <c r="BJ41" s="3">
        <f ca="1">IFERROR(__xludf.DUMMYFUNCTION("""COMPUTED_VALUE"""),41.72)</f>
        <v>41.72</v>
      </c>
      <c r="BK41" s="3">
        <f ca="1">IFERROR(__xludf.DUMMYFUNCTION("""COMPUTED_VALUE"""),42.26)</f>
        <v>42.26</v>
      </c>
      <c r="BL41" s="3">
        <f ca="1">IFERROR(__xludf.DUMMYFUNCTION("""COMPUTED_VALUE"""),41.54)</f>
        <v>41.54</v>
      </c>
      <c r="BM41" s="3">
        <f ca="1">IFERROR(__xludf.DUMMYFUNCTION("""COMPUTED_VALUE"""),41.57)</f>
        <v>41.57</v>
      </c>
      <c r="BN41" s="3">
        <f ca="1">IFERROR(__xludf.DUMMYFUNCTION("""COMPUTED_VALUE"""),16171494)</f>
        <v>16171494</v>
      </c>
    </row>
    <row r="42" spans="7:66" ht="13" x14ac:dyDescent="0.15">
      <c r="G42" s="4">
        <f ca="1">IFERROR(__xludf.DUMMYFUNCTION("""COMPUTED_VALUE"""),42185.6666666666)</f>
        <v>42185.666666666599</v>
      </c>
      <c r="H42" s="3">
        <f ca="1">IFERROR(__xludf.DUMMYFUNCTION("""COMPUTED_VALUE"""),76.91)</f>
        <v>76.91</v>
      </c>
      <c r="I42" s="3">
        <f ca="1">IFERROR(__xludf.DUMMYFUNCTION("""COMPUTED_VALUE"""),76.92)</f>
        <v>76.92</v>
      </c>
      <c r="J42" s="3">
        <f ca="1">IFERROR(__xludf.DUMMYFUNCTION("""COMPUTED_VALUE"""),76.16)</f>
        <v>76.16</v>
      </c>
      <c r="K42" s="3">
        <f ca="1">IFERROR(__xludf.DUMMYFUNCTION("""COMPUTED_VALUE"""),76.48)</f>
        <v>76.48</v>
      </c>
      <c r="L42" s="3">
        <f ca="1">IFERROR(__xludf.DUMMYFUNCTION("""COMPUTED_VALUE"""),7237296)</f>
        <v>7237296</v>
      </c>
      <c r="M42" s="4">
        <f ca="1">IFERROR(__xludf.DUMMYFUNCTION("""COMPUTED_VALUE"""),42185.6666666666)</f>
        <v>42185.666666666599</v>
      </c>
      <c r="N42" s="3">
        <f ca="1">IFERROR(__xludf.DUMMYFUNCTION("""COMPUTED_VALUE"""),48.18)</f>
        <v>48.18</v>
      </c>
      <c r="O42" s="3">
        <f ca="1">IFERROR(__xludf.DUMMYFUNCTION("""COMPUTED_VALUE"""),48.18)</f>
        <v>48.18</v>
      </c>
      <c r="P42" s="3">
        <f ca="1">IFERROR(__xludf.DUMMYFUNCTION("""COMPUTED_VALUE"""),47.59)</f>
        <v>47.59</v>
      </c>
      <c r="Q42" s="3">
        <f ca="1">IFERROR(__xludf.DUMMYFUNCTION("""COMPUTED_VALUE"""),47.6)</f>
        <v>47.6</v>
      </c>
      <c r="R42" s="3">
        <f ca="1">IFERROR(__xludf.DUMMYFUNCTION("""COMPUTED_VALUE"""),10039870)</f>
        <v>10039870</v>
      </c>
      <c r="S42" s="4">
        <f ca="1">IFERROR(__xludf.DUMMYFUNCTION("""COMPUTED_VALUE"""),42185.6666666666)</f>
        <v>42185.666666666599</v>
      </c>
      <c r="T42" s="3">
        <f ca="1">IFERROR(__xludf.DUMMYFUNCTION("""COMPUTED_VALUE"""),75.33)</f>
        <v>75.33</v>
      </c>
      <c r="U42" s="3">
        <f ca="1">IFERROR(__xludf.DUMMYFUNCTION("""COMPUTED_VALUE"""),75.45)</f>
        <v>75.45</v>
      </c>
      <c r="V42" s="3">
        <f ca="1">IFERROR(__xludf.DUMMYFUNCTION("""COMPUTED_VALUE"""),74.68)</f>
        <v>74.680000000000007</v>
      </c>
      <c r="W42" s="3">
        <f ca="1">IFERROR(__xludf.DUMMYFUNCTION("""COMPUTED_VALUE"""),75.16)</f>
        <v>75.16</v>
      </c>
      <c r="X42" s="3">
        <f ca="1">IFERROR(__xludf.DUMMYFUNCTION("""COMPUTED_VALUE"""),15170577)</f>
        <v>15170577</v>
      </c>
      <c r="Y42" s="4">
        <f ca="1">IFERROR(__xludf.DUMMYFUNCTION("""COMPUTED_VALUE"""),42185.6666666666)</f>
        <v>42185.666666666599</v>
      </c>
      <c r="Z42" s="3">
        <f ca="1">IFERROR(__xludf.DUMMYFUNCTION("""COMPUTED_VALUE"""),19.92)</f>
        <v>19.920000000000002</v>
      </c>
      <c r="AA42" s="3">
        <f ca="1">IFERROR(__xludf.DUMMYFUNCTION("""COMPUTED_VALUE"""),19.97)</f>
        <v>19.97</v>
      </c>
      <c r="AB42" s="3">
        <f ca="1">IFERROR(__xludf.DUMMYFUNCTION("""COMPUTED_VALUE"""),19.73)</f>
        <v>19.73</v>
      </c>
      <c r="AC42" s="3">
        <f ca="1">IFERROR(__xludf.DUMMYFUNCTION("""COMPUTED_VALUE"""),19.8)</f>
        <v>19.8</v>
      </c>
      <c r="AD42" s="3">
        <f ca="1">IFERROR(__xludf.DUMMYFUNCTION("""COMPUTED_VALUE"""),62862124)</f>
        <v>62862124</v>
      </c>
      <c r="AE42" s="4">
        <f ca="1">IFERROR(__xludf.DUMMYFUNCTION("""COMPUTED_VALUE"""),42185.6666666666)</f>
        <v>42185.666666666599</v>
      </c>
      <c r="AF42" s="3">
        <f ca="1">IFERROR(__xludf.DUMMYFUNCTION("""COMPUTED_VALUE"""),74.93)</f>
        <v>74.930000000000007</v>
      </c>
      <c r="AG42" s="3">
        <f ca="1">IFERROR(__xludf.DUMMYFUNCTION("""COMPUTED_VALUE"""),74.95)</f>
        <v>74.95</v>
      </c>
      <c r="AH42" s="3">
        <f ca="1">IFERROR(__xludf.DUMMYFUNCTION("""COMPUTED_VALUE"""),74.15)</f>
        <v>74.150000000000006</v>
      </c>
      <c r="AI42" s="3">
        <f ca="1">IFERROR(__xludf.DUMMYFUNCTION("""COMPUTED_VALUE"""),74.39)</f>
        <v>74.39</v>
      </c>
      <c r="AJ42" s="3">
        <f ca="1">IFERROR(__xludf.DUMMYFUNCTION("""COMPUTED_VALUE"""),8722219)</f>
        <v>8722219</v>
      </c>
      <c r="AK42" s="4">
        <f ca="1">IFERROR(__xludf.DUMMYFUNCTION("""COMPUTED_VALUE"""),42185.6666666666)</f>
        <v>42185.666666666599</v>
      </c>
      <c r="AL42" s="3">
        <f ca="1">IFERROR(__xludf.DUMMYFUNCTION("""COMPUTED_VALUE"""),54.57)</f>
        <v>54.57</v>
      </c>
      <c r="AM42" s="3">
        <f ca="1">IFERROR(__xludf.DUMMYFUNCTION("""COMPUTED_VALUE"""),54.57)</f>
        <v>54.57</v>
      </c>
      <c r="AN42" s="3">
        <f ca="1">IFERROR(__xludf.DUMMYFUNCTION("""COMPUTED_VALUE"""),53.97)</f>
        <v>53.97</v>
      </c>
      <c r="AO42" s="3">
        <f ca="1">IFERROR(__xludf.DUMMYFUNCTION("""COMPUTED_VALUE"""),54.06)</f>
        <v>54.06</v>
      </c>
      <c r="AP42" s="3">
        <f ca="1">IFERROR(__xludf.DUMMYFUNCTION("""COMPUTED_VALUE"""),12494934)</f>
        <v>12494934</v>
      </c>
      <c r="AQ42" s="4">
        <f ca="1">IFERROR(__xludf.DUMMYFUNCTION("""COMPUTED_VALUE"""),42185.6666666666)</f>
        <v>42185.666666666599</v>
      </c>
      <c r="AR42" s="3">
        <f ca="1">IFERROR(__xludf.DUMMYFUNCTION("""COMPUTED_VALUE"""),48.66)</f>
        <v>48.66</v>
      </c>
      <c r="AS42" s="3">
        <f ca="1">IFERROR(__xludf.DUMMYFUNCTION("""COMPUTED_VALUE"""),48.8)</f>
        <v>48.8</v>
      </c>
      <c r="AT42" s="3">
        <f ca="1">IFERROR(__xludf.DUMMYFUNCTION("""COMPUTED_VALUE"""),48.28)</f>
        <v>48.28</v>
      </c>
      <c r="AU42" s="3">
        <f ca="1">IFERROR(__xludf.DUMMYFUNCTION("""COMPUTED_VALUE"""),48.39)</f>
        <v>48.39</v>
      </c>
      <c r="AV42" s="3">
        <f ca="1">IFERROR(__xludf.DUMMYFUNCTION("""COMPUTED_VALUE"""),6299199)</f>
        <v>6299199</v>
      </c>
      <c r="AW42" s="4">
        <f ca="1">IFERROR(__xludf.DUMMYFUNCTION("""COMPUTED_VALUE"""),42346.6666666666)</f>
        <v>42346.666666666599</v>
      </c>
      <c r="AX42" s="3">
        <f ca="1">IFERROR(__xludf.DUMMYFUNCTION("""COMPUTED_VALUE"""),30.28)</f>
        <v>30.28</v>
      </c>
      <c r="AY42" s="3">
        <f ca="1">IFERROR(__xludf.DUMMYFUNCTION("""COMPUTED_VALUE"""),30.76)</f>
        <v>30.76</v>
      </c>
      <c r="AZ42" s="3">
        <f ca="1">IFERROR(__xludf.DUMMYFUNCTION("""COMPUTED_VALUE"""),29.92)</f>
        <v>29.92</v>
      </c>
      <c r="BA42" s="3">
        <f ca="1">IFERROR(__xludf.DUMMYFUNCTION("""COMPUTED_VALUE"""),30.72)</f>
        <v>30.72</v>
      </c>
      <c r="BB42" s="3">
        <f ca="1">IFERROR(__xludf.DUMMYFUNCTION("""COMPUTED_VALUE"""),4645)</f>
        <v>4645</v>
      </c>
      <c r="BC42" s="4">
        <f ca="1">IFERROR(__xludf.DUMMYFUNCTION("""COMPUTED_VALUE"""),42185.6666666666)</f>
        <v>42185.666666666599</v>
      </c>
      <c r="BD42" s="3">
        <f ca="1">IFERROR(__xludf.DUMMYFUNCTION("""COMPUTED_VALUE"""),41.67)</f>
        <v>41.67</v>
      </c>
      <c r="BE42" s="3">
        <f ca="1">IFERROR(__xludf.DUMMYFUNCTION("""COMPUTED_VALUE"""),41.69)</f>
        <v>41.69</v>
      </c>
      <c r="BF42" s="3">
        <f ca="1">IFERROR(__xludf.DUMMYFUNCTION("""COMPUTED_VALUE"""),41.29)</f>
        <v>41.29</v>
      </c>
      <c r="BG42" s="3">
        <f ca="1">IFERROR(__xludf.DUMMYFUNCTION("""COMPUTED_VALUE"""),41.4)</f>
        <v>41.4</v>
      </c>
      <c r="BH42" s="3">
        <f ca="1">IFERROR(__xludf.DUMMYFUNCTION("""COMPUTED_VALUE"""),11382948)</f>
        <v>11382948</v>
      </c>
      <c r="BI42" s="4">
        <f ca="1">IFERROR(__xludf.DUMMYFUNCTION("""COMPUTED_VALUE"""),42185.6666666666)</f>
        <v>42185.666666666599</v>
      </c>
      <c r="BJ42" s="3">
        <f ca="1">IFERROR(__xludf.DUMMYFUNCTION("""COMPUTED_VALUE"""),41.77)</f>
        <v>41.77</v>
      </c>
      <c r="BK42" s="3">
        <f ca="1">IFERROR(__xludf.DUMMYFUNCTION("""COMPUTED_VALUE"""),41.81)</f>
        <v>41.81</v>
      </c>
      <c r="BL42" s="3">
        <f ca="1">IFERROR(__xludf.DUMMYFUNCTION("""COMPUTED_VALUE"""),41.37)</f>
        <v>41.37</v>
      </c>
      <c r="BM42" s="3">
        <f ca="1">IFERROR(__xludf.DUMMYFUNCTION("""COMPUTED_VALUE"""),41.46)</f>
        <v>41.46</v>
      </c>
      <c r="BN42" s="3">
        <f ca="1">IFERROR(__xludf.DUMMYFUNCTION("""COMPUTED_VALUE"""),11108737)</f>
        <v>11108737</v>
      </c>
    </row>
    <row r="43" spans="7:66" ht="13" x14ac:dyDescent="0.15">
      <c r="G43" s="4">
        <f ca="1">IFERROR(__xludf.DUMMYFUNCTION("""COMPUTED_VALUE"""),42186.6666666666)</f>
        <v>42186.666666666599</v>
      </c>
      <c r="H43" s="3">
        <f ca="1">IFERROR(__xludf.DUMMYFUNCTION("""COMPUTED_VALUE"""),77.13)</f>
        <v>77.13</v>
      </c>
      <c r="I43" s="3">
        <f ca="1">IFERROR(__xludf.DUMMYFUNCTION("""COMPUTED_VALUE"""),77.37)</f>
        <v>77.37</v>
      </c>
      <c r="J43" s="3">
        <f ca="1">IFERROR(__xludf.DUMMYFUNCTION("""COMPUTED_VALUE"""),76.96)</f>
        <v>76.959999999999994</v>
      </c>
      <c r="K43" s="3">
        <f ca="1">IFERROR(__xludf.DUMMYFUNCTION("""COMPUTED_VALUE"""),77.35)</f>
        <v>77.349999999999994</v>
      </c>
      <c r="L43" s="3">
        <f ca="1">IFERROR(__xludf.DUMMYFUNCTION("""COMPUTED_VALUE"""),6022567)</f>
        <v>6022567</v>
      </c>
      <c r="M43" s="4">
        <f ca="1">IFERROR(__xludf.DUMMYFUNCTION("""COMPUTED_VALUE"""),42186.6666666666)</f>
        <v>42186.666666666599</v>
      </c>
      <c r="N43" s="3">
        <f ca="1">IFERROR(__xludf.DUMMYFUNCTION("""COMPUTED_VALUE"""),47.92)</f>
        <v>47.92</v>
      </c>
      <c r="O43" s="3">
        <f ca="1">IFERROR(__xludf.DUMMYFUNCTION("""COMPUTED_VALUE"""),48.21)</f>
        <v>48.21</v>
      </c>
      <c r="P43" s="3">
        <f ca="1">IFERROR(__xludf.DUMMYFUNCTION("""COMPUTED_VALUE"""),47.72)</f>
        <v>47.72</v>
      </c>
      <c r="Q43" s="3">
        <f ca="1">IFERROR(__xludf.DUMMYFUNCTION("""COMPUTED_VALUE"""),48.21)</f>
        <v>48.21</v>
      </c>
      <c r="R43" s="3">
        <f ca="1">IFERROR(__xludf.DUMMYFUNCTION("""COMPUTED_VALUE"""),6859599)</f>
        <v>6859599</v>
      </c>
      <c r="S43" s="4">
        <f ca="1">IFERROR(__xludf.DUMMYFUNCTION("""COMPUTED_VALUE"""),42186.6666666666)</f>
        <v>42186.666666666599</v>
      </c>
      <c r="T43" s="3">
        <f ca="1">IFERROR(__xludf.DUMMYFUNCTION("""COMPUTED_VALUE"""),75.31)</f>
        <v>75.31</v>
      </c>
      <c r="U43" s="3">
        <f ca="1">IFERROR(__xludf.DUMMYFUNCTION("""COMPUTED_VALUE"""),75.34)</f>
        <v>75.34</v>
      </c>
      <c r="V43" s="3">
        <f ca="1">IFERROR(__xludf.DUMMYFUNCTION("""COMPUTED_VALUE"""),73.9)</f>
        <v>73.900000000000006</v>
      </c>
      <c r="W43" s="3">
        <f ca="1">IFERROR(__xludf.DUMMYFUNCTION("""COMPUTED_VALUE"""),74.2)</f>
        <v>74.2</v>
      </c>
      <c r="X43" s="3">
        <f ca="1">IFERROR(__xludf.DUMMYFUNCTION("""COMPUTED_VALUE"""),13910120)</f>
        <v>13910120</v>
      </c>
      <c r="Y43" s="4">
        <f ca="1">IFERROR(__xludf.DUMMYFUNCTION("""COMPUTED_VALUE"""),42186.6666666666)</f>
        <v>42186.666666666599</v>
      </c>
      <c r="Z43" s="3">
        <f ca="1">IFERROR(__xludf.DUMMYFUNCTION("""COMPUTED_VALUE"""),20.11)</f>
        <v>20.11</v>
      </c>
      <c r="AA43" s="3">
        <f ca="1">IFERROR(__xludf.DUMMYFUNCTION("""COMPUTED_VALUE"""),20.15)</f>
        <v>20.149999999999999</v>
      </c>
      <c r="AB43" s="3">
        <f ca="1">IFERROR(__xludf.DUMMYFUNCTION("""COMPUTED_VALUE"""),19.98)</f>
        <v>19.98</v>
      </c>
      <c r="AC43" s="3">
        <f ca="1">IFERROR(__xludf.DUMMYFUNCTION("""COMPUTED_VALUE"""),20.1)</f>
        <v>20.100000000000001</v>
      </c>
      <c r="AD43" s="3">
        <f ca="1">IFERROR(__xludf.DUMMYFUNCTION("""COMPUTED_VALUE"""),42546763)</f>
        <v>42546763</v>
      </c>
      <c r="AE43" s="4">
        <f ca="1">IFERROR(__xludf.DUMMYFUNCTION("""COMPUTED_VALUE"""),42186.6666666666)</f>
        <v>42186.666666666599</v>
      </c>
      <c r="AF43" s="3">
        <f ca="1">IFERROR(__xludf.DUMMYFUNCTION("""COMPUTED_VALUE"""),75.16)</f>
        <v>75.16</v>
      </c>
      <c r="AG43" s="3">
        <f ca="1">IFERROR(__xludf.DUMMYFUNCTION("""COMPUTED_VALUE"""),75.26)</f>
        <v>75.260000000000005</v>
      </c>
      <c r="AH43" s="3">
        <f ca="1">IFERROR(__xludf.DUMMYFUNCTION("""COMPUTED_VALUE"""),74.75)</f>
        <v>74.75</v>
      </c>
      <c r="AI43" s="3">
        <f ca="1">IFERROR(__xludf.DUMMYFUNCTION("""COMPUTED_VALUE"""),75.19)</f>
        <v>75.19</v>
      </c>
      <c r="AJ43" s="3">
        <f ca="1">IFERROR(__xludf.DUMMYFUNCTION("""COMPUTED_VALUE"""),7756536)</f>
        <v>7756536</v>
      </c>
      <c r="AK43" s="4">
        <f ca="1">IFERROR(__xludf.DUMMYFUNCTION("""COMPUTED_VALUE"""),42186.6666666666)</f>
        <v>42186.666666666599</v>
      </c>
      <c r="AL43" s="3">
        <f ca="1">IFERROR(__xludf.DUMMYFUNCTION("""COMPUTED_VALUE"""),54.6)</f>
        <v>54.6</v>
      </c>
      <c r="AM43" s="3">
        <f ca="1">IFERROR(__xludf.DUMMYFUNCTION("""COMPUTED_VALUE"""),54.7)</f>
        <v>54.7</v>
      </c>
      <c r="AN43" s="3">
        <f ca="1">IFERROR(__xludf.DUMMYFUNCTION("""COMPUTED_VALUE"""),54.06)</f>
        <v>54.06</v>
      </c>
      <c r="AO43" s="3">
        <f ca="1">IFERROR(__xludf.DUMMYFUNCTION("""COMPUTED_VALUE"""),54.33)</f>
        <v>54.33</v>
      </c>
      <c r="AP43" s="3">
        <f ca="1">IFERROR(__xludf.DUMMYFUNCTION("""COMPUTED_VALUE"""),10981592)</f>
        <v>10981592</v>
      </c>
      <c r="AQ43" s="4">
        <f ca="1">IFERROR(__xludf.DUMMYFUNCTION("""COMPUTED_VALUE"""),42186.6666666666)</f>
        <v>42186.666666666599</v>
      </c>
      <c r="AR43" s="3">
        <f ca="1">IFERROR(__xludf.DUMMYFUNCTION("""COMPUTED_VALUE"""),48.87)</f>
        <v>48.87</v>
      </c>
      <c r="AS43" s="3">
        <f ca="1">IFERROR(__xludf.DUMMYFUNCTION("""COMPUTED_VALUE"""),48.89)</f>
        <v>48.89</v>
      </c>
      <c r="AT43" s="3">
        <f ca="1">IFERROR(__xludf.DUMMYFUNCTION("""COMPUTED_VALUE"""),48.53)</f>
        <v>48.53</v>
      </c>
      <c r="AU43" s="3">
        <f ca="1">IFERROR(__xludf.DUMMYFUNCTION("""COMPUTED_VALUE"""),48.66)</f>
        <v>48.66</v>
      </c>
      <c r="AV43" s="3">
        <f ca="1">IFERROR(__xludf.DUMMYFUNCTION("""COMPUTED_VALUE"""),5416286)</f>
        <v>5416286</v>
      </c>
      <c r="AW43" s="4">
        <f ca="1">IFERROR(__xludf.DUMMYFUNCTION("""COMPUTED_VALUE"""),42347.6666666666)</f>
        <v>42347.666666666599</v>
      </c>
      <c r="AX43" s="3">
        <f ca="1">IFERROR(__xludf.DUMMYFUNCTION("""COMPUTED_VALUE"""),30.51)</f>
        <v>30.51</v>
      </c>
      <c r="AY43" s="3">
        <f ca="1">IFERROR(__xludf.DUMMYFUNCTION("""COMPUTED_VALUE"""),30.55)</f>
        <v>30.55</v>
      </c>
      <c r="AZ43" s="3">
        <f ca="1">IFERROR(__xludf.DUMMYFUNCTION("""COMPUTED_VALUE"""),30.51)</f>
        <v>30.51</v>
      </c>
      <c r="BA43" s="3">
        <f ca="1">IFERROR(__xludf.DUMMYFUNCTION("""COMPUTED_VALUE"""),30.55)</f>
        <v>30.55</v>
      </c>
      <c r="BB43" s="3">
        <f ca="1">IFERROR(__xludf.DUMMYFUNCTION("""COMPUTED_VALUE"""),643)</f>
        <v>643</v>
      </c>
      <c r="BC43" s="4">
        <f ca="1">IFERROR(__xludf.DUMMYFUNCTION("""COMPUTED_VALUE"""),42186.6666666666)</f>
        <v>42186.666666666599</v>
      </c>
      <c r="BD43" s="3">
        <f ca="1">IFERROR(__xludf.DUMMYFUNCTION("""COMPUTED_VALUE"""),41.77)</f>
        <v>41.77</v>
      </c>
      <c r="BE43" s="3">
        <f ca="1">IFERROR(__xludf.DUMMYFUNCTION("""COMPUTED_VALUE"""),41.86)</f>
        <v>41.86</v>
      </c>
      <c r="BF43" s="3">
        <f ca="1">IFERROR(__xludf.DUMMYFUNCTION("""COMPUTED_VALUE"""),41.5)</f>
        <v>41.5</v>
      </c>
      <c r="BG43" s="3">
        <f ca="1">IFERROR(__xludf.DUMMYFUNCTION("""COMPUTED_VALUE"""),41.68)</f>
        <v>41.68</v>
      </c>
      <c r="BH43" s="3">
        <f ca="1">IFERROR(__xludf.DUMMYFUNCTION("""COMPUTED_VALUE"""),8149497)</f>
        <v>8149497</v>
      </c>
      <c r="BI43" s="4">
        <f ca="1">IFERROR(__xludf.DUMMYFUNCTION("""COMPUTED_VALUE"""),42186.6666666666)</f>
        <v>42186.666666666599</v>
      </c>
      <c r="BJ43" s="3">
        <f ca="1">IFERROR(__xludf.DUMMYFUNCTION("""COMPUTED_VALUE"""),41.51)</f>
        <v>41.51</v>
      </c>
      <c r="BK43" s="3">
        <f ca="1">IFERROR(__xludf.DUMMYFUNCTION("""COMPUTED_VALUE"""),41.72)</f>
        <v>41.72</v>
      </c>
      <c r="BL43" s="3">
        <f ca="1">IFERROR(__xludf.DUMMYFUNCTION("""COMPUTED_VALUE"""),41.4)</f>
        <v>41.4</v>
      </c>
      <c r="BM43" s="3">
        <f ca="1">IFERROR(__xludf.DUMMYFUNCTION("""COMPUTED_VALUE"""),41.71)</f>
        <v>41.71</v>
      </c>
      <c r="BN43" s="3">
        <f ca="1">IFERROR(__xludf.DUMMYFUNCTION("""COMPUTED_VALUE"""),11251781)</f>
        <v>11251781</v>
      </c>
    </row>
    <row r="44" spans="7:66" ht="13" x14ac:dyDescent="0.15">
      <c r="G44" s="4">
        <f ca="1">IFERROR(__xludf.DUMMYFUNCTION("""COMPUTED_VALUE"""),42187.6666666666)</f>
        <v>42187.666666666599</v>
      </c>
      <c r="H44" s="3">
        <f ca="1">IFERROR(__xludf.DUMMYFUNCTION("""COMPUTED_VALUE"""),77.58)</f>
        <v>77.58</v>
      </c>
      <c r="I44" s="3">
        <f ca="1">IFERROR(__xludf.DUMMYFUNCTION("""COMPUTED_VALUE"""),77.82)</f>
        <v>77.819999999999993</v>
      </c>
      <c r="J44" s="3">
        <f ca="1">IFERROR(__xludf.DUMMYFUNCTION("""COMPUTED_VALUE"""),76.97)</f>
        <v>76.97</v>
      </c>
      <c r="K44" s="3">
        <f ca="1">IFERROR(__xludf.DUMMYFUNCTION("""COMPUTED_VALUE"""),77.2)</f>
        <v>77.2</v>
      </c>
      <c r="L44" s="3">
        <f ca="1">IFERROR(__xludf.DUMMYFUNCTION("""COMPUTED_VALUE"""),6258889)</f>
        <v>6258889</v>
      </c>
      <c r="M44" s="4">
        <f ca="1">IFERROR(__xludf.DUMMYFUNCTION("""COMPUTED_VALUE"""),42187.6666666666)</f>
        <v>42187.666666666599</v>
      </c>
      <c r="N44" s="3">
        <f ca="1">IFERROR(__xludf.DUMMYFUNCTION("""COMPUTED_VALUE"""),48.24)</f>
        <v>48.24</v>
      </c>
      <c r="O44" s="3">
        <f ca="1">IFERROR(__xludf.DUMMYFUNCTION("""COMPUTED_VALUE"""),48.43)</f>
        <v>48.43</v>
      </c>
      <c r="P44" s="3">
        <f ca="1">IFERROR(__xludf.DUMMYFUNCTION("""COMPUTED_VALUE"""),48.03)</f>
        <v>48.03</v>
      </c>
      <c r="Q44" s="3">
        <f ca="1">IFERROR(__xludf.DUMMYFUNCTION("""COMPUTED_VALUE"""),48.17)</f>
        <v>48.17</v>
      </c>
      <c r="R44" s="3">
        <f ca="1">IFERROR(__xludf.DUMMYFUNCTION("""COMPUTED_VALUE"""),6956570)</f>
        <v>6956570</v>
      </c>
      <c r="S44" s="4">
        <f ca="1">IFERROR(__xludf.DUMMYFUNCTION("""COMPUTED_VALUE"""),42187.6666666666)</f>
        <v>42187.666666666599</v>
      </c>
      <c r="T44" s="3">
        <f ca="1">IFERROR(__xludf.DUMMYFUNCTION("""COMPUTED_VALUE"""),74.4)</f>
        <v>74.400000000000006</v>
      </c>
      <c r="U44" s="3">
        <f ca="1">IFERROR(__xludf.DUMMYFUNCTION("""COMPUTED_VALUE"""),74.93)</f>
        <v>74.930000000000007</v>
      </c>
      <c r="V44" s="3">
        <f ca="1">IFERROR(__xludf.DUMMYFUNCTION("""COMPUTED_VALUE"""),74.34)</f>
        <v>74.34</v>
      </c>
      <c r="W44" s="3">
        <f ca="1">IFERROR(__xludf.DUMMYFUNCTION("""COMPUTED_VALUE"""),74.53)</f>
        <v>74.53</v>
      </c>
      <c r="X44" s="3">
        <f ca="1">IFERROR(__xludf.DUMMYFUNCTION("""COMPUTED_VALUE"""),9700239)</f>
        <v>9700239</v>
      </c>
      <c r="Y44" s="4">
        <f ca="1">IFERROR(__xludf.DUMMYFUNCTION("""COMPUTED_VALUE"""),42187.6666666666)</f>
        <v>42187.666666666599</v>
      </c>
      <c r="Z44" s="3">
        <f ca="1">IFERROR(__xludf.DUMMYFUNCTION("""COMPUTED_VALUE"""),20.09)</f>
        <v>20.09</v>
      </c>
      <c r="AA44" s="3">
        <f ca="1">IFERROR(__xludf.DUMMYFUNCTION("""COMPUTED_VALUE"""),20.14)</f>
        <v>20.14</v>
      </c>
      <c r="AB44" s="3">
        <f ca="1">IFERROR(__xludf.DUMMYFUNCTION("""COMPUTED_VALUE"""),19.93)</f>
        <v>19.93</v>
      </c>
      <c r="AC44" s="3">
        <f ca="1">IFERROR(__xludf.DUMMYFUNCTION("""COMPUTED_VALUE"""),20.01)</f>
        <v>20.010000000000002</v>
      </c>
      <c r="AD44" s="3">
        <f ca="1">IFERROR(__xludf.DUMMYFUNCTION("""COMPUTED_VALUE"""),19562536)</f>
        <v>19562536</v>
      </c>
      <c r="AE44" s="4">
        <f ca="1">IFERROR(__xludf.DUMMYFUNCTION("""COMPUTED_VALUE"""),42187.6666666666)</f>
        <v>42187.666666666599</v>
      </c>
      <c r="AF44" s="3">
        <f ca="1">IFERROR(__xludf.DUMMYFUNCTION("""COMPUTED_VALUE"""),75.36)</f>
        <v>75.36</v>
      </c>
      <c r="AG44" s="3">
        <f ca="1">IFERROR(__xludf.DUMMYFUNCTION("""COMPUTED_VALUE"""),75.41)</f>
        <v>75.41</v>
      </c>
      <c r="AH44" s="3">
        <f ca="1">IFERROR(__xludf.DUMMYFUNCTION("""COMPUTED_VALUE"""),74.69)</f>
        <v>74.69</v>
      </c>
      <c r="AI44" s="3">
        <f ca="1">IFERROR(__xludf.DUMMYFUNCTION("""COMPUTED_VALUE"""),74.84)</f>
        <v>74.84</v>
      </c>
      <c r="AJ44" s="3">
        <f ca="1">IFERROR(__xludf.DUMMYFUNCTION("""COMPUTED_VALUE"""),5678771)</f>
        <v>5678771</v>
      </c>
      <c r="AK44" s="4">
        <f ca="1">IFERROR(__xludf.DUMMYFUNCTION("""COMPUTED_VALUE"""),42187.6666666666)</f>
        <v>42187.666666666599</v>
      </c>
      <c r="AL44" s="3">
        <f ca="1">IFERROR(__xludf.DUMMYFUNCTION("""COMPUTED_VALUE"""),54.48)</f>
        <v>54.48</v>
      </c>
      <c r="AM44" s="3">
        <f ca="1">IFERROR(__xludf.DUMMYFUNCTION("""COMPUTED_VALUE"""),54.52)</f>
        <v>54.52</v>
      </c>
      <c r="AN44" s="3">
        <f ca="1">IFERROR(__xludf.DUMMYFUNCTION("""COMPUTED_VALUE"""),54.13)</f>
        <v>54.13</v>
      </c>
      <c r="AO44" s="3">
        <f ca="1">IFERROR(__xludf.DUMMYFUNCTION("""COMPUTED_VALUE"""),54.23)</f>
        <v>54.23</v>
      </c>
      <c r="AP44" s="3">
        <f ca="1">IFERROR(__xludf.DUMMYFUNCTION("""COMPUTED_VALUE"""),10477834)</f>
        <v>10477834</v>
      </c>
      <c r="AQ44" s="4">
        <f ca="1">IFERROR(__xludf.DUMMYFUNCTION("""COMPUTED_VALUE"""),42187.6666666666)</f>
        <v>42187.666666666599</v>
      </c>
      <c r="AR44" s="3">
        <f ca="1">IFERROR(__xludf.DUMMYFUNCTION("""COMPUTED_VALUE"""),48.73)</f>
        <v>48.73</v>
      </c>
      <c r="AS44" s="3">
        <f ca="1">IFERROR(__xludf.DUMMYFUNCTION("""COMPUTED_VALUE"""),48.84)</f>
        <v>48.84</v>
      </c>
      <c r="AT44" s="3">
        <f ca="1">IFERROR(__xludf.DUMMYFUNCTION("""COMPUTED_VALUE"""),48.33)</f>
        <v>48.33</v>
      </c>
      <c r="AU44" s="3">
        <f ca="1">IFERROR(__xludf.DUMMYFUNCTION("""COMPUTED_VALUE"""),48.51)</f>
        <v>48.51</v>
      </c>
      <c r="AV44" s="3">
        <f ca="1">IFERROR(__xludf.DUMMYFUNCTION("""COMPUTED_VALUE"""),5138327)</f>
        <v>5138327</v>
      </c>
      <c r="AW44" s="4">
        <f ca="1">IFERROR(__xludf.DUMMYFUNCTION("""COMPUTED_VALUE"""),42348.6666666666)</f>
        <v>42348.666666666599</v>
      </c>
      <c r="AX44" s="3">
        <f ca="1">IFERROR(__xludf.DUMMYFUNCTION("""COMPUTED_VALUE"""),30.3)</f>
        <v>30.3</v>
      </c>
      <c r="AY44" s="3">
        <f ca="1">IFERROR(__xludf.DUMMYFUNCTION("""COMPUTED_VALUE"""),30.3)</f>
        <v>30.3</v>
      </c>
      <c r="AZ44" s="3">
        <f ca="1">IFERROR(__xludf.DUMMYFUNCTION("""COMPUTED_VALUE"""),30.3)</f>
        <v>30.3</v>
      </c>
      <c r="BA44" s="3">
        <f ca="1">IFERROR(__xludf.DUMMYFUNCTION("""COMPUTED_VALUE"""),30.3)</f>
        <v>30.3</v>
      </c>
      <c r="BB44" s="3">
        <f ca="1">IFERROR(__xludf.DUMMYFUNCTION("""COMPUTED_VALUE"""),660)</f>
        <v>660</v>
      </c>
      <c r="BC44" s="4">
        <f ca="1">IFERROR(__xludf.DUMMYFUNCTION("""COMPUTED_VALUE"""),42187.6666666666)</f>
        <v>42187.666666666599</v>
      </c>
      <c r="BD44" s="3">
        <f ca="1">IFERROR(__xludf.DUMMYFUNCTION("""COMPUTED_VALUE"""),41.8)</f>
        <v>41.8</v>
      </c>
      <c r="BE44" s="3">
        <f ca="1">IFERROR(__xludf.DUMMYFUNCTION("""COMPUTED_VALUE"""),41.88)</f>
        <v>41.88</v>
      </c>
      <c r="BF44" s="3">
        <f ca="1">IFERROR(__xludf.DUMMYFUNCTION("""COMPUTED_VALUE"""),41.58)</f>
        <v>41.58</v>
      </c>
      <c r="BG44" s="3">
        <f ca="1">IFERROR(__xludf.DUMMYFUNCTION("""COMPUTED_VALUE"""),41.74)</f>
        <v>41.74</v>
      </c>
      <c r="BH44" s="3">
        <f ca="1">IFERROR(__xludf.DUMMYFUNCTION("""COMPUTED_VALUE"""),5160664)</f>
        <v>5160664</v>
      </c>
      <c r="BI44" s="4">
        <f ca="1">IFERROR(__xludf.DUMMYFUNCTION("""COMPUTED_VALUE"""),42187.6666666666)</f>
        <v>42187.666666666599</v>
      </c>
      <c r="BJ44" s="3">
        <f ca="1">IFERROR(__xludf.DUMMYFUNCTION("""COMPUTED_VALUE"""),41.99)</f>
        <v>41.99</v>
      </c>
      <c r="BK44" s="3">
        <f ca="1">IFERROR(__xludf.DUMMYFUNCTION("""COMPUTED_VALUE"""),42.36)</f>
        <v>42.36</v>
      </c>
      <c r="BL44" s="3">
        <f ca="1">IFERROR(__xludf.DUMMYFUNCTION("""COMPUTED_VALUE"""),41.9)</f>
        <v>41.9</v>
      </c>
      <c r="BM44" s="3">
        <f ca="1">IFERROR(__xludf.DUMMYFUNCTION("""COMPUTED_VALUE"""),42.23)</f>
        <v>42.23</v>
      </c>
      <c r="BN44" s="3">
        <f ca="1">IFERROR(__xludf.DUMMYFUNCTION("""COMPUTED_VALUE"""),9575445)</f>
        <v>9575445</v>
      </c>
    </row>
    <row r="45" spans="7:66" ht="13" x14ac:dyDescent="0.15">
      <c r="G45" s="4">
        <f ca="1">IFERROR(__xludf.DUMMYFUNCTION("""COMPUTED_VALUE"""),42191.6666666666)</f>
        <v>42191.666666666599</v>
      </c>
      <c r="H45" s="3">
        <f ca="1">IFERROR(__xludf.DUMMYFUNCTION("""COMPUTED_VALUE"""),76.67)</f>
        <v>76.67</v>
      </c>
      <c r="I45" s="3">
        <f ca="1">IFERROR(__xludf.DUMMYFUNCTION("""COMPUTED_VALUE"""),77.57)</f>
        <v>77.569999999999993</v>
      </c>
      <c r="J45" s="3">
        <f ca="1">IFERROR(__xludf.DUMMYFUNCTION("""COMPUTED_VALUE"""),76.5)</f>
        <v>76.5</v>
      </c>
      <c r="K45" s="3">
        <f ca="1">IFERROR(__xludf.DUMMYFUNCTION("""COMPUTED_VALUE"""),77.05)</f>
        <v>77.05</v>
      </c>
      <c r="L45" s="3">
        <f ca="1">IFERROR(__xludf.DUMMYFUNCTION("""COMPUTED_VALUE"""),4049663)</f>
        <v>4049663</v>
      </c>
      <c r="M45" s="4">
        <f ca="1">IFERROR(__xludf.DUMMYFUNCTION("""COMPUTED_VALUE"""),42191.6666666666)</f>
        <v>42191.666666666599</v>
      </c>
      <c r="N45" s="3">
        <f ca="1">IFERROR(__xludf.DUMMYFUNCTION("""COMPUTED_VALUE"""),47.85)</f>
        <v>47.85</v>
      </c>
      <c r="O45" s="3">
        <f ca="1">IFERROR(__xludf.DUMMYFUNCTION("""COMPUTED_VALUE"""),48.31)</f>
        <v>48.31</v>
      </c>
      <c r="P45" s="3">
        <f ca="1">IFERROR(__xludf.DUMMYFUNCTION("""COMPUTED_VALUE"""),47.8)</f>
        <v>47.8</v>
      </c>
      <c r="Q45" s="3">
        <f ca="1">IFERROR(__xludf.DUMMYFUNCTION("""COMPUTED_VALUE"""),48.13)</f>
        <v>48.13</v>
      </c>
      <c r="R45" s="3">
        <f ca="1">IFERROR(__xludf.DUMMYFUNCTION("""COMPUTED_VALUE"""),8740692)</f>
        <v>8740692</v>
      </c>
      <c r="S45" s="4">
        <f ca="1">IFERROR(__xludf.DUMMYFUNCTION("""COMPUTED_VALUE"""),42191.6666666666)</f>
        <v>42191.666666666599</v>
      </c>
      <c r="T45" s="3">
        <f ca="1">IFERROR(__xludf.DUMMYFUNCTION("""COMPUTED_VALUE"""),73.55)</f>
        <v>73.55</v>
      </c>
      <c r="U45" s="3">
        <f ca="1">IFERROR(__xludf.DUMMYFUNCTION("""COMPUTED_VALUE"""),74.26)</f>
        <v>74.260000000000005</v>
      </c>
      <c r="V45" s="3">
        <f ca="1">IFERROR(__xludf.DUMMYFUNCTION("""COMPUTED_VALUE"""),73.24)</f>
        <v>73.239999999999995</v>
      </c>
      <c r="W45" s="3">
        <f ca="1">IFERROR(__xludf.DUMMYFUNCTION("""COMPUTED_VALUE"""),73.55)</f>
        <v>73.55</v>
      </c>
      <c r="X45" s="3">
        <f ca="1">IFERROR(__xludf.DUMMYFUNCTION("""COMPUTED_VALUE"""),13509147)</f>
        <v>13509147</v>
      </c>
      <c r="Y45" s="4">
        <f ca="1">IFERROR(__xludf.DUMMYFUNCTION("""COMPUTED_VALUE"""),42191.6666666666)</f>
        <v>42191.666666666599</v>
      </c>
      <c r="Z45" s="3">
        <f ca="1">IFERROR(__xludf.DUMMYFUNCTION("""COMPUTED_VALUE"""),19.78)</f>
        <v>19.78</v>
      </c>
      <c r="AA45" s="3">
        <f ca="1">IFERROR(__xludf.DUMMYFUNCTION("""COMPUTED_VALUE"""),19.98)</f>
        <v>19.98</v>
      </c>
      <c r="AB45" s="3">
        <f ca="1">IFERROR(__xludf.DUMMYFUNCTION("""COMPUTED_VALUE"""),19.76)</f>
        <v>19.760000000000002</v>
      </c>
      <c r="AC45" s="3">
        <f ca="1">IFERROR(__xludf.DUMMYFUNCTION("""COMPUTED_VALUE"""),19.93)</f>
        <v>19.93</v>
      </c>
      <c r="AD45" s="3">
        <f ca="1">IFERROR(__xludf.DUMMYFUNCTION("""COMPUTED_VALUE"""),26989358)</f>
        <v>26989358</v>
      </c>
      <c r="AE45" s="4">
        <f ca="1">IFERROR(__xludf.DUMMYFUNCTION("""COMPUTED_VALUE"""),42191.6666666666)</f>
        <v>42191.666666666599</v>
      </c>
      <c r="AF45" s="3">
        <f ca="1">IFERROR(__xludf.DUMMYFUNCTION("""COMPUTED_VALUE"""),74.14)</f>
        <v>74.14</v>
      </c>
      <c r="AG45" s="3">
        <f ca="1">IFERROR(__xludf.DUMMYFUNCTION("""COMPUTED_VALUE"""),75.28)</f>
        <v>75.28</v>
      </c>
      <c r="AH45" s="3">
        <f ca="1">IFERROR(__xludf.DUMMYFUNCTION("""COMPUTED_VALUE"""),74.14)</f>
        <v>74.14</v>
      </c>
      <c r="AI45" s="3">
        <f ca="1">IFERROR(__xludf.DUMMYFUNCTION("""COMPUTED_VALUE"""),74.81)</f>
        <v>74.81</v>
      </c>
      <c r="AJ45" s="3">
        <f ca="1">IFERROR(__xludf.DUMMYFUNCTION("""COMPUTED_VALUE"""),9352585)</f>
        <v>9352585</v>
      </c>
      <c r="AK45" s="4">
        <f ca="1">IFERROR(__xludf.DUMMYFUNCTION("""COMPUTED_VALUE"""),42191.6666666666)</f>
        <v>42191.666666666599</v>
      </c>
      <c r="AL45" s="3">
        <f ca="1">IFERROR(__xludf.DUMMYFUNCTION("""COMPUTED_VALUE"""),53.86)</f>
        <v>53.86</v>
      </c>
      <c r="AM45" s="3">
        <f ca="1">IFERROR(__xludf.DUMMYFUNCTION("""COMPUTED_VALUE"""),54.38)</f>
        <v>54.38</v>
      </c>
      <c r="AN45" s="3">
        <f ca="1">IFERROR(__xludf.DUMMYFUNCTION("""COMPUTED_VALUE"""),53.77)</f>
        <v>53.77</v>
      </c>
      <c r="AO45" s="3">
        <f ca="1">IFERROR(__xludf.DUMMYFUNCTION("""COMPUTED_VALUE"""),54.02)</f>
        <v>54.02</v>
      </c>
      <c r="AP45" s="3">
        <f ca="1">IFERROR(__xludf.DUMMYFUNCTION("""COMPUTED_VALUE"""),10782511)</f>
        <v>10782511</v>
      </c>
      <c r="AQ45" s="4">
        <f ca="1">IFERROR(__xludf.DUMMYFUNCTION("""COMPUTED_VALUE"""),42191.6666666666)</f>
        <v>42191.666666666599</v>
      </c>
      <c r="AR45" s="3">
        <f ca="1">IFERROR(__xludf.DUMMYFUNCTION("""COMPUTED_VALUE"""),48.11)</f>
        <v>48.11</v>
      </c>
      <c r="AS45" s="3">
        <f ca="1">IFERROR(__xludf.DUMMYFUNCTION("""COMPUTED_VALUE"""),48.57)</f>
        <v>48.57</v>
      </c>
      <c r="AT45" s="3">
        <f ca="1">IFERROR(__xludf.DUMMYFUNCTION("""COMPUTED_VALUE"""),47.84)</f>
        <v>47.84</v>
      </c>
      <c r="AU45" s="3">
        <f ca="1">IFERROR(__xludf.DUMMYFUNCTION("""COMPUTED_VALUE"""),48.11)</f>
        <v>48.11</v>
      </c>
      <c r="AV45" s="3">
        <f ca="1">IFERROR(__xludf.DUMMYFUNCTION("""COMPUTED_VALUE"""),6435337)</f>
        <v>6435337</v>
      </c>
      <c r="AW45" s="4">
        <f ca="1">IFERROR(__xludf.DUMMYFUNCTION("""COMPUTED_VALUE"""),42349.6666666666)</f>
        <v>42349.666666666599</v>
      </c>
      <c r="AX45" s="3">
        <f ca="1">IFERROR(__xludf.DUMMYFUNCTION("""COMPUTED_VALUE"""),30.18)</f>
        <v>30.18</v>
      </c>
      <c r="AY45" s="3">
        <f ca="1">IFERROR(__xludf.DUMMYFUNCTION("""COMPUTED_VALUE"""),30.18)</f>
        <v>30.18</v>
      </c>
      <c r="AZ45" s="3">
        <f ca="1">IFERROR(__xludf.DUMMYFUNCTION("""COMPUTED_VALUE"""),30.14)</f>
        <v>30.14</v>
      </c>
      <c r="BA45" s="3">
        <f ca="1">IFERROR(__xludf.DUMMYFUNCTION("""COMPUTED_VALUE"""),30.14)</f>
        <v>30.14</v>
      </c>
      <c r="BB45" s="3">
        <f ca="1">IFERROR(__xludf.DUMMYFUNCTION("""COMPUTED_VALUE"""),330)</f>
        <v>330</v>
      </c>
      <c r="BC45" s="4">
        <f ca="1">IFERROR(__xludf.DUMMYFUNCTION("""COMPUTED_VALUE"""),42191.6666666666)</f>
        <v>42191.666666666599</v>
      </c>
      <c r="BD45" s="3">
        <f ca="1">IFERROR(__xludf.DUMMYFUNCTION("""COMPUTED_VALUE"""),41.45)</f>
        <v>41.45</v>
      </c>
      <c r="BE45" s="3">
        <f ca="1">IFERROR(__xludf.DUMMYFUNCTION("""COMPUTED_VALUE"""),41.76)</f>
        <v>41.76</v>
      </c>
      <c r="BF45" s="3">
        <f ca="1">IFERROR(__xludf.DUMMYFUNCTION("""COMPUTED_VALUE"""),41.34)</f>
        <v>41.34</v>
      </c>
      <c r="BG45" s="3">
        <f ca="1">IFERROR(__xludf.DUMMYFUNCTION("""COMPUTED_VALUE"""),41.57)</f>
        <v>41.57</v>
      </c>
      <c r="BH45" s="3">
        <f ca="1">IFERROR(__xludf.DUMMYFUNCTION("""COMPUTED_VALUE"""),7509025)</f>
        <v>7509025</v>
      </c>
      <c r="BI45" s="4">
        <f ca="1">IFERROR(__xludf.DUMMYFUNCTION("""COMPUTED_VALUE"""),42191.6666666666)</f>
        <v>42191.666666666599</v>
      </c>
      <c r="BJ45" s="3">
        <f ca="1">IFERROR(__xludf.DUMMYFUNCTION("""COMPUTED_VALUE"""),42.17)</f>
        <v>42.17</v>
      </c>
      <c r="BK45" s="3">
        <f ca="1">IFERROR(__xludf.DUMMYFUNCTION("""COMPUTED_VALUE"""),42.51)</f>
        <v>42.51</v>
      </c>
      <c r="BL45" s="3">
        <f ca="1">IFERROR(__xludf.DUMMYFUNCTION("""COMPUTED_VALUE"""),42.02)</f>
        <v>42.02</v>
      </c>
      <c r="BM45" s="3">
        <f ca="1">IFERROR(__xludf.DUMMYFUNCTION("""COMPUTED_VALUE"""),42.4)</f>
        <v>42.4</v>
      </c>
      <c r="BN45" s="3">
        <f ca="1">IFERROR(__xludf.DUMMYFUNCTION("""COMPUTED_VALUE"""),13998153)</f>
        <v>13998153</v>
      </c>
    </row>
    <row r="46" spans="7:66" ht="13" x14ac:dyDescent="0.15">
      <c r="G46" s="4">
        <f ca="1">IFERROR(__xludf.DUMMYFUNCTION("""COMPUTED_VALUE"""),42192.6666666666)</f>
        <v>42192.666666666599</v>
      </c>
      <c r="H46" s="3">
        <f ca="1">IFERROR(__xludf.DUMMYFUNCTION("""COMPUTED_VALUE"""),77.13)</f>
        <v>77.13</v>
      </c>
      <c r="I46" s="3">
        <f ca="1">IFERROR(__xludf.DUMMYFUNCTION("""COMPUTED_VALUE"""),77.73)</f>
        <v>77.73</v>
      </c>
      <c r="J46" s="3">
        <f ca="1">IFERROR(__xludf.DUMMYFUNCTION("""COMPUTED_VALUE"""),76.2)</f>
        <v>76.2</v>
      </c>
      <c r="K46" s="3">
        <f ca="1">IFERROR(__xludf.DUMMYFUNCTION("""COMPUTED_VALUE"""),77.72)</f>
        <v>77.72</v>
      </c>
      <c r="L46" s="3">
        <f ca="1">IFERROR(__xludf.DUMMYFUNCTION("""COMPUTED_VALUE"""),6961719)</f>
        <v>6961719</v>
      </c>
      <c r="M46" s="4">
        <f ca="1">IFERROR(__xludf.DUMMYFUNCTION("""COMPUTED_VALUE"""),42192.6666666666)</f>
        <v>42192.666666666599</v>
      </c>
      <c r="N46" s="3">
        <f ca="1">IFERROR(__xludf.DUMMYFUNCTION("""COMPUTED_VALUE"""),48.26)</f>
        <v>48.26</v>
      </c>
      <c r="O46" s="3">
        <f ca="1">IFERROR(__xludf.DUMMYFUNCTION("""COMPUTED_VALUE"""),49.16)</f>
        <v>49.16</v>
      </c>
      <c r="P46" s="3">
        <f ca="1">IFERROR(__xludf.DUMMYFUNCTION("""COMPUTED_VALUE"""),48.1)</f>
        <v>48.1</v>
      </c>
      <c r="Q46" s="3">
        <f ca="1">IFERROR(__xludf.DUMMYFUNCTION("""COMPUTED_VALUE"""),49.12)</f>
        <v>49.12</v>
      </c>
      <c r="R46" s="3">
        <f ca="1">IFERROR(__xludf.DUMMYFUNCTION("""COMPUTED_VALUE"""),17427002)</f>
        <v>17427002</v>
      </c>
      <c r="S46" s="4">
        <f ca="1">IFERROR(__xludf.DUMMYFUNCTION("""COMPUTED_VALUE"""),42192.6666666666)</f>
        <v>42192.666666666599</v>
      </c>
      <c r="T46" s="3">
        <f ca="1">IFERROR(__xludf.DUMMYFUNCTION("""COMPUTED_VALUE"""),73.26)</f>
        <v>73.260000000000005</v>
      </c>
      <c r="U46" s="3">
        <f ca="1">IFERROR(__xludf.DUMMYFUNCTION("""COMPUTED_VALUE"""),74.48)</f>
        <v>74.48</v>
      </c>
      <c r="V46" s="3">
        <f ca="1">IFERROR(__xludf.DUMMYFUNCTION("""COMPUTED_VALUE"""),72.43)</f>
        <v>72.430000000000007</v>
      </c>
      <c r="W46" s="3">
        <f ca="1">IFERROR(__xludf.DUMMYFUNCTION("""COMPUTED_VALUE"""),74.22)</f>
        <v>74.22</v>
      </c>
      <c r="X46" s="3">
        <f ca="1">IFERROR(__xludf.DUMMYFUNCTION("""COMPUTED_VALUE"""),20686087)</f>
        <v>20686087</v>
      </c>
      <c r="Y46" s="4">
        <f ca="1">IFERROR(__xludf.DUMMYFUNCTION("""COMPUTED_VALUE"""),42192.6666666666)</f>
        <v>42192.666666666599</v>
      </c>
      <c r="Z46" s="3">
        <f ca="1">IFERROR(__xludf.DUMMYFUNCTION("""COMPUTED_VALUE"""),19.9)</f>
        <v>19.899999999999999</v>
      </c>
      <c r="AA46" s="3">
        <f ca="1">IFERROR(__xludf.DUMMYFUNCTION("""COMPUTED_VALUE"""),19.98)</f>
        <v>19.98</v>
      </c>
      <c r="AB46" s="3">
        <f ca="1">IFERROR(__xludf.DUMMYFUNCTION("""COMPUTED_VALUE"""),19.59)</f>
        <v>19.59</v>
      </c>
      <c r="AC46" s="3">
        <f ca="1">IFERROR(__xludf.DUMMYFUNCTION("""COMPUTED_VALUE"""),19.97)</f>
        <v>19.97</v>
      </c>
      <c r="AD46" s="3">
        <f ca="1">IFERROR(__xludf.DUMMYFUNCTION("""COMPUTED_VALUE"""),51240855)</f>
        <v>51240855</v>
      </c>
      <c r="AE46" s="4">
        <f ca="1">IFERROR(__xludf.DUMMYFUNCTION("""COMPUTED_VALUE"""),42192.6666666666)</f>
        <v>42192.666666666599</v>
      </c>
      <c r="AF46" s="3">
        <f ca="1">IFERROR(__xludf.DUMMYFUNCTION("""COMPUTED_VALUE"""),74.91)</f>
        <v>74.91</v>
      </c>
      <c r="AG46" s="3">
        <f ca="1">IFERROR(__xludf.DUMMYFUNCTION("""COMPUTED_VALUE"""),75.17)</f>
        <v>75.17</v>
      </c>
      <c r="AH46" s="3">
        <f ca="1">IFERROR(__xludf.DUMMYFUNCTION("""COMPUTED_VALUE"""),73.89)</f>
        <v>73.89</v>
      </c>
      <c r="AI46" s="3">
        <f ca="1">IFERROR(__xludf.DUMMYFUNCTION("""COMPUTED_VALUE"""),75.17)</f>
        <v>75.17</v>
      </c>
      <c r="AJ46" s="3">
        <f ca="1">IFERROR(__xludf.DUMMYFUNCTION("""COMPUTED_VALUE"""),10653269)</f>
        <v>10653269</v>
      </c>
      <c r="AK46" s="4">
        <f ca="1">IFERROR(__xludf.DUMMYFUNCTION("""COMPUTED_VALUE"""),42192.6666666666)</f>
        <v>42192.666666666599</v>
      </c>
      <c r="AL46" s="3">
        <f ca="1">IFERROR(__xludf.DUMMYFUNCTION("""COMPUTED_VALUE"""),53.94)</f>
        <v>53.94</v>
      </c>
      <c r="AM46" s="3">
        <f ca="1">IFERROR(__xludf.DUMMYFUNCTION("""COMPUTED_VALUE"""),54.49)</f>
        <v>54.49</v>
      </c>
      <c r="AN46" s="3">
        <f ca="1">IFERROR(__xludf.DUMMYFUNCTION("""COMPUTED_VALUE"""),53.45)</f>
        <v>53.45</v>
      </c>
      <c r="AO46" s="3">
        <f ca="1">IFERROR(__xludf.DUMMYFUNCTION("""COMPUTED_VALUE"""),54.46)</f>
        <v>54.46</v>
      </c>
      <c r="AP46" s="3">
        <f ca="1">IFERROR(__xludf.DUMMYFUNCTION("""COMPUTED_VALUE"""),16635985)</f>
        <v>16635985</v>
      </c>
      <c r="AQ46" s="4">
        <f ca="1">IFERROR(__xludf.DUMMYFUNCTION("""COMPUTED_VALUE"""),42192.6666666666)</f>
        <v>42192.666666666599</v>
      </c>
      <c r="AR46" s="3">
        <f ca="1">IFERROR(__xludf.DUMMYFUNCTION("""COMPUTED_VALUE"""),48)</f>
        <v>48</v>
      </c>
      <c r="AS46" s="3">
        <f ca="1">IFERROR(__xludf.DUMMYFUNCTION("""COMPUTED_VALUE"""),48.11)</f>
        <v>48.11</v>
      </c>
      <c r="AT46" s="3">
        <f ca="1">IFERROR(__xludf.DUMMYFUNCTION("""COMPUTED_VALUE"""),47.13)</f>
        <v>47.13</v>
      </c>
      <c r="AU46" s="3">
        <f ca="1">IFERROR(__xludf.DUMMYFUNCTION("""COMPUTED_VALUE"""),47.95)</f>
        <v>47.95</v>
      </c>
      <c r="AV46" s="3">
        <f ca="1">IFERROR(__xludf.DUMMYFUNCTION("""COMPUTED_VALUE"""),6859147)</f>
        <v>6859147</v>
      </c>
      <c r="AW46" s="4">
        <f ca="1">IFERROR(__xludf.DUMMYFUNCTION("""COMPUTED_VALUE"""),42352.6666666666)</f>
        <v>42352.666666666599</v>
      </c>
      <c r="AX46" s="3">
        <f ca="1">IFERROR(__xludf.DUMMYFUNCTION("""COMPUTED_VALUE"""),30.1)</f>
        <v>30.1</v>
      </c>
      <c r="AY46" s="3">
        <f ca="1">IFERROR(__xludf.DUMMYFUNCTION("""COMPUTED_VALUE"""),30.27)</f>
        <v>30.27</v>
      </c>
      <c r="AZ46" s="3">
        <f ca="1">IFERROR(__xludf.DUMMYFUNCTION("""COMPUTED_VALUE"""),30.09)</f>
        <v>30.09</v>
      </c>
      <c r="BA46" s="3">
        <f ca="1">IFERROR(__xludf.DUMMYFUNCTION("""COMPUTED_VALUE"""),30.23)</f>
        <v>30.23</v>
      </c>
      <c r="BB46" s="3">
        <f ca="1">IFERROR(__xludf.DUMMYFUNCTION("""COMPUTED_VALUE"""),628)</f>
        <v>628</v>
      </c>
      <c r="BC46" s="4">
        <f ca="1">IFERROR(__xludf.DUMMYFUNCTION("""COMPUTED_VALUE"""),42192.6666666666)</f>
        <v>42192.666666666599</v>
      </c>
      <c r="BD46" s="3">
        <f ca="1">IFERROR(__xludf.DUMMYFUNCTION("""COMPUTED_VALUE"""),41.65)</f>
        <v>41.65</v>
      </c>
      <c r="BE46" s="3">
        <f ca="1">IFERROR(__xludf.DUMMYFUNCTION("""COMPUTED_VALUE"""),41.69)</f>
        <v>41.69</v>
      </c>
      <c r="BF46" s="3">
        <f ca="1">IFERROR(__xludf.DUMMYFUNCTION("""COMPUTED_VALUE"""),40.85)</f>
        <v>40.85</v>
      </c>
      <c r="BG46" s="3">
        <f ca="1">IFERROR(__xludf.DUMMYFUNCTION("""COMPUTED_VALUE"""),41.63)</f>
        <v>41.63</v>
      </c>
      <c r="BH46" s="3">
        <f ca="1">IFERROR(__xludf.DUMMYFUNCTION("""COMPUTED_VALUE"""),19659913)</f>
        <v>19659913</v>
      </c>
      <c r="BI46" s="4">
        <f ca="1">IFERROR(__xludf.DUMMYFUNCTION("""COMPUTED_VALUE"""),42192.6666666666)</f>
        <v>42192.666666666599</v>
      </c>
      <c r="BJ46" s="3">
        <f ca="1">IFERROR(__xludf.DUMMYFUNCTION("""COMPUTED_VALUE"""),42.54)</f>
        <v>42.54</v>
      </c>
      <c r="BK46" s="3">
        <f ca="1">IFERROR(__xludf.DUMMYFUNCTION("""COMPUTED_VALUE"""),43.62)</f>
        <v>43.62</v>
      </c>
      <c r="BL46" s="3">
        <f ca="1">IFERROR(__xludf.DUMMYFUNCTION("""COMPUTED_VALUE"""),42.54)</f>
        <v>42.54</v>
      </c>
      <c r="BM46" s="3">
        <f ca="1">IFERROR(__xludf.DUMMYFUNCTION("""COMPUTED_VALUE"""),43.45)</f>
        <v>43.45</v>
      </c>
      <c r="BN46" s="3">
        <f ca="1">IFERROR(__xludf.DUMMYFUNCTION("""COMPUTED_VALUE"""),26118315)</f>
        <v>26118315</v>
      </c>
    </row>
    <row r="47" spans="7:66" ht="13" x14ac:dyDescent="0.15">
      <c r="G47" s="4">
        <f ca="1">IFERROR(__xludf.DUMMYFUNCTION("""COMPUTED_VALUE"""),42193.6666666666)</f>
        <v>42193.666666666599</v>
      </c>
      <c r="H47" s="3">
        <f ca="1">IFERROR(__xludf.DUMMYFUNCTION("""COMPUTED_VALUE"""),77.1)</f>
        <v>77.099999999999994</v>
      </c>
      <c r="I47" s="3">
        <f ca="1">IFERROR(__xludf.DUMMYFUNCTION("""COMPUTED_VALUE"""),77.29)</f>
        <v>77.290000000000006</v>
      </c>
      <c r="J47" s="3">
        <f ca="1">IFERROR(__xludf.DUMMYFUNCTION("""COMPUTED_VALUE"""),76.14)</f>
        <v>76.14</v>
      </c>
      <c r="K47" s="3">
        <f ca="1">IFERROR(__xludf.DUMMYFUNCTION("""COMPUTED_VALUE"""),76.24)</f>
        <v>76.239999999999995</v>
      </c>
      <c r="L47" s="3">
        <f ca="1">IFERROR(__xludf.DUMMYFUNCTION("""COMPUTED_VALUE"""),6825260)</f>
        <v>6825260</v>
      </c>
      <c r="M47" s="4">
        <f ca="1">IFERROR(__xludf.DUMMYFUNCTION("""COMPUTED_VALUE"""),42193.6666666666)</f>
        <v>42193.666666666599</v>
      </c>
      <c r="N47" s="3">
        <f ca="1">IFERROR(__xludf.DUMMYFUNCTION("""COMPUTED_VALUE"""),48.7)</f>
        <v>48.7</v>
      </c>
      <c r="O47" s="3">
        <f ca="1">IFERROR(__xludf.DUMMYFUNCTION("""COMPUTED_VALUE"""),48.93)</f>
        <v>48.93</v>
      </c>
      <c r="P47" s="3">
        <f ca="1">IFERROR(__xludf.DUMMYFUNCTION("""COMPUTED_VALUE"""),48.54)</f>
        <v>48.54</v>
      </c>
      <c r="Q47" s="3">
        <f ca="1">IFERROR(__xludf.DUMMYFUNCTION("""COMPUTED_VALUE"""),48.57)</f>
        <v>48.57</v>
      </c>
      <c r="R47" s="3">
        <f ca="1">IFERROR(__xludf.DUMMYFUNCTION("""COMPUTED_VALUE"""),11754345)</f>
        <v>11754345</v>
      </c>
      <c r="S47" s="4">
        <f ca="1">IFERROR(__xludf.DUMMYFUNCTION("""COMPUTED_VALUE"""),42193.6666666666)</f>
        <v>42193.666666666599</v>
      </c>
      <c r="T47" s="3">
        <f ca="1">IFERROR(__xludf.DUMMYFUNCTION("""COMPUTED_VALUE"""),73.71)</f>
        <v>73.709999999999994</v>
      </c>
      <c r="U47" s="3">
        <f ca="1">IFERROR(__xludf.DUMMYFUNCTION("""COMPUTED_VALUE"""),74.22)</f>
        <v>74.22</v>
      </c>
      <c r="V47" s="3">
        <f ca="1">IFERROR(__xludf.DUMMYFUNCTION("""COMPUTED_VALUE"""),72.42)</f>
        <v>72.42</v>
      </c>
      <c r="W47" s="3">
        <f ca="1">IFERROR(__xludf.DUMMYFUNCTION("""COMPUTED_VALUE"""),72.72)</f>
        <v>72.72</v>
      </c>
      <c r="X47" s="3">
        <f ca="1">IFERROR(__xludf.DUMMYFUNCTION("""COMPUTED_VALUE"""),16521292)</f>
        <v>16521292</v>
      </c>
      <c r="Y47" s="4">
        <f ca="1">IFERROR(__xludf.DUMMYFUNCTION("""COMPUTED_VALUE"""),42193.6666666666)</f>
        <v>42193.666666666599</v>
      </c>
      <c r="Z47" s="3">
        <f ca="1">IFERROR(__xludf.DUMMYFUNCTION("""COMPUTED_VALUE"""),19.7)</f>
        <v>19.7</v>
      </c>
      <c r="AA47" s="3">
        <f ca="1">IFERROR(__xludf.DUMMYFUNCTION("""COMPUTED_VALUE"""),19.83)</f>
        <v>19.829999999999998</v>
      </c>
      <c r="AB47" s="3">
        <f ca="1">IFERROR(__xludf.DUMMYFUNCTION("""COMPUTED_VALUE"""),19.59)</f>
        <v>19.59</v>
      </c>
      <c r="AC47" s="3">
        <f ca="1">IFERROR(__xludf.DUMMYFUNCTION("""COMPUTED_VALUE"""),19.62)</f>
        <v>19.62</v>
      </c>
      <c r="AD47" s="3">
        <f ca="1">IFERROR(__xludf.DUMMYFUNCTION("""COMPUTED_VALUE"""),46132714)</f>
        <v>46132714</v>
      </c>
      <c r="AE47" s="4">
        <f ca="1">IFERROR(__xludf.DUMMYFUNCTION("""COMPUTED_VALUE"""),42193.6666666666)</f>
        <v>42193.666666666599</v>
      </c>
      <c r="AF47" s="3">
        <f ca="1">IFERROR(__xludf.DUMMYFUNCTION("""COMPUTED_VALUE"""),74.57)</f>
        <v>74.569999999999993</v>
      </c>
      <c r="AG47" s="3">
        <f ca="1">IFERROR(__xludf.DUMMYFUNCTION("""COMPUTED_VALUE"""),74.8)</f>
        <v>74.8</v>
      </c>
      <c r="AH47" s="3">
        <f ca="1">IFERROR(__xludf.DUMMYFUNCTION("""COMPUTED_VALUE"""),73.86)</f>
        <v>73.86</v>
      </c>
      <c r="AI47" s="3">
        <f ca="1">IFERROR(__xludf.DUMMYFUNCTION("""COMPUTED_VALUE"""),73.88)</f>
        <v>73.88</v>
      </c>
      <c r="AJ47" s="3">
        <f ca="1">IFERROR(__xludf.DUMMYFUNCTION("""COMPUTED_VALUE"""),13074865)</f>
        <v>13074865</v>
      </c>
      <c r="AK47" s="4">
        <f ca="1">IFERROR(__xludf.DUMMYFUNCTION("""COMPUTED_VALUE"""),42193.6666666666)</f>
        <v>42193.666666666599</v>
      </c>
      <c r="AL47" s="3">
        <f ca="1">IFERROR(__xludf.DUMMYFUNCTION("""COMPUTED_VALUE"""),53.92)</f>
        <v>53.92</v>
      </c>
      <c r="AM47" s="3">
        <f ca="1">IFERROR(__xludf.DUMMYFUNCTION("""COMPUTED_VALUE"""),54.08)</f>
        <v>54.08</v>
      </c>
      <c r="AN47" s="3">
        <f ca="1">IFERROR(__xludf.DUMMYFUNCTION("""COMPUTED_VALUE"""),53.35)</f>
        <v>53.35</v>
      </c>
      <c r="AO47" s="3">
        <f ca="1">IFERROR(__xludf.DUMMYFUNCTION("""COMPUTED_VALUE"""),53.48)</f>
        <v>53.48</v>
      </c>
      <c r="AP47" s="3">
        <f ca="1">IFERROR(__xludf.DUMMYFUNCTION("""COMPUTED_VALUE"""),12608911)</f>
        <v>12608911</v>
      </c>
      <c r="AQ47" s="4">
        <f ca="1">IFERROR(__xludf.DUMMYFUNCTION("""COMPUTED_VALUE"""),42193.6666666666)</f>
        <v>42193.666666666599</v>
      </c>
      <c r="AR47" s="3">
        <f ca="1">IFERROR(__xludf.DUMMYFUNCTION("""COMPUTED_VALUE"""),47.55)</f>
        <v>47.55</v>
      </c>
      <c r="AS47" s="3">
        <f ca="1">IFERROR(__xludf.DUMMYFUNCTION("""COMPUTED_VALUE"""),47.69)</f>
        <v>47.69</v>
      </c>
      <c r="AT47" s="3">
        <f ca="1">IFERROR(__xludf.DUMMYFUNCTION("""COMPUTED_VALUE"""),46.86)</f>
        <v>46.86</v>
      </c>
      <c r="AU47" s="3">
        <f ca="1">IFERROR(__xludf.DUMMYFUNCTION("""COMPUTED_VALUE"""),46.9)</f>
        <v>46.9</v>
      </c>
      <c r="AV47" s="3">
        <f ca="1">IFERROR(__xludf.DUMMYFUNCTION("""COMPUTED_VALUE"""),7490816)</f>
        <v>7490816</v>
      </c>
      <c r="AW47" s="4">
        <f ca="1">IFERROR(__xludf.DUMMYFUNCTION("""COMPUTED_VALUE"""),42353.6666666666)</f>
        <v>42353.666666666599</v>
      </c>
      <c r="AX47" s="3">
        <f ca="1">IFERROR(__xludf.DUMMYFUNCTION("""COMPUTED_VALUE"""),30.72)</f>
        <v>30.72</v>
      </c>
      <c r="AY47" s="3">
        <f ca="1">IFERROR(__xludf.DUMMYFUNCTION("""COMPUTED_VALUE"""),30.79)</f>
        <v>30.79</v>
      </c>
      <c r="AZ47" s="3">
        <f ca="1">IFERROR(__xludf.DUMMYFUNCTION("""COMPUTED_VALUE"""),30.58)</f>
        <v>30.58</v>
      </c>
      <c r="BA47" s="3">
        <f ca="1">IFERROR(__xludf.DUMMYFUNCTION("""COMPUTED_VALUE"""),30.58)</f>
        <v>30.58</v>
      </c>
      <c r="BB47" s="3">
        <f ca="1">IFERROR(__xludf.DUMMYFUNCTION("""COMPUTED_VALUE"""),4147)</f>
        <v>4147</v>
      </c>
      <c r="BC47" s="4">
        <f ca="1">IFERROR(__xludf.DUMMYFUNCTION("""COMPUTED_VALUE"""),42193.6666666666)</f>
        <v>42193.666666666599</v>
      </c>
      <c r="BD47" s="3">
        <f ca="1">IFERROR(__xludf.DUMMYFUNCTION("""COMPUTED_VALUE"""),41.29)</f>
        <v>41.29</v>
      </c>
      <c r="BE47" s="3">
        <f ca="1">IFERROR(__xludf.DUMMYFUNCTION("""COMPUTED_VALUE"""),41.38)</f>
        <v>41.38</v>
      </c>
      <c r="BF47" s="3">
        <f ca="1">IFERROR(__xludf.DUMMYFUNCTION("""COMPUTED_VALUE"""),40.93)</f>
        <v>40.93</v>
      </c>
      <c r="BG47" s="3">
        <f ca="1">IFERROR(__xludf.DUMMYFUNCTION("""COMPUTED_VALUE"""),40.95)</f>
        <v>40.950000000000003</v>
      </c>
      <c r="BH47" s="3">
        <f ca="1">IFERROR(__xludf.DUMMYFUNCTION("""COMPUTED_VALUE"""),16160046)</f>
        <v>16160046</v>
      </c>
      <c r="BI47" s="4">
        <f ca="1">IFERROR(__xludf.DUMMYFUNCTION("""COMPUTED_VALUE"""),42193.6666666666)</f>
        <v>42193.666666666599</v>
      </c>
      <c r="BJ47" s="3">
        <f ca="1">IFERROR(__xludf.DUMMYFUNCTION("""COMPUTED_VALUE"""),43.3)</f>
        <v>43.3</v>
      </c>
      <c r="BK47" s="3">
        <f ca="1">IFERROR(__xludf.DUMMYFUNCTION("""COMPUTED_VALUE"""),43.57)</f>
        <v>43.57</v>
      </c>
      <c r="BL47" s="3">
        <f ca="1">IFERROR(__xludf.DUMMYFUNCTION("""COMPUTED_VALUE"""),43.14)</f>
        <v>43.14</v>
      </c>
      <c r="BM47" s="3">
        <f ca="1">IFERROR(__xludf.DUMMYFUNCTION("""COMPUTED_VALUE"""),43.22)</f>
        <v>43.22</v>
      </c>
      <c r="BN47" s="3">
        <f ca="1">IFERROR(__xludf.DUMMYFUNCTION("""COMPUTED_VALUE"""),15496809)</f>
        <v>15496809</v>
      </c>
    </row>
    <row r="48" spans="7:66" ht="13" x14ac:dyDescent="0.15">
      <c r="G48" s="4">
        <f ca="1">IFERROR(__xludf.DUMMYFUNCTION("""COMPUTED_VALUE"""),42194.6666666666)</f>
        <v>42194.666666666599</v>
      </c>
      <c r="H48" s="3">
        <f ca="1">IFERROR(__xludf.DUMMYFUNCTION("""COMPUTED_VALUE"""),77)</f>
        <v>77</v>
      </c>
      <c r="I48" s="3">
        <f ca="1">IFERROR(__xludf.DUMMYFUNCTION("""COMPUTED_VALUE"""),77.35)</f>
        <v>77.349999999999994</v>
      </c>
      <c r="J48" s="3">
        <f ca="1">IFERROR(__xludf.DUMMYFUNCTION("""COMPUTED_VALUE"""),76.49)</f>
        <v>76.489999999999995</v>
      </c>
      <c r="K48" s="3">
        <f ca="1">IFERROR(__xludf.DUMMYFUNCTION("""COMPUTED_VALUE"""),76.56)</f>
        <v>76.56</v>
      </c>
      <c r="L48" s="3">
        <f ca="1">IFERROR(__xludf.DUMMYFUNCTION("""COMPUTED_VALUE"""),5927672)</f>
        <v>5927672</v>
      </c>
      <c r="M48" s="4">
        <f ca="1">IFERROR(__xludf.DUMMYFUNCTION("""COMPUTED_VALUE"""),42194.6666666666)</f>
        <v>42194.666666666599</v>
      </c>
      <c r="N48" s="3">
        <f ca="1">IFERROR(__xludf.DUMMYFUNCTION("""COMPUTED_VALUE"""),49.16)</f>
        <v>49.16</v>
      </c>
      <c r="O48" s="3">
        <f ca="1">IFERROR(__xludf.DUMMYFUNCTION("""COMPUTED_VALUE"""),49.25)</f>
        <v>49.25</v>
      </c>
      <c r="P48" s="3">
        <f ca="1">IFERROR(__xludf.DUMMYFUNCTION("""COMPUTED_VALUE"""),48.61)</f>
        <v>48.61</v>
      </c>
      <c r="Q48" s="3">
        <f ca="1">IFERROR(__xludf.DUMMYFUNCTION("""COMPUTED_VALUE"""),48.61)</f>
        <v>48.61</v>
      </c>
      <c r="R48" s="3">
        <f ca="1">IFERROR(__xludf.DUMMYFUNCTION("""COMPUTED_VALUE"""),8359924)</f>
        <v>8359924</v>
      </c>
      <c r="S48" s="4">
        <f ca="1">IFERROR(__xludf.DUMMYFUNCTION("""COMPUTED_VALUE"""),42194.6666666666)</f>
        <v>42194.666666666599</v>
      </c>
      <c r="T48" s="3">
        <f ca="1">IFERROR(__xludf.DUMMYFUNCTION("""COMPUTED_VALUE"""),73.72)</f>
        <v>73.72</v>
      </c>
      <c r="U48" s="3">
        <f ca="1">IFERROR(__xludf.DUMMYFUNCTION("""COMPUTED_VALUE"""),74.03)</f>
        <v>74.03</v>
      </c>
      <c r="V48" s="3">
        <f ca="1">IFERROR(__xludf.DUMMYFUNCTION("""COMPUTED_VALUE"""),73.09)</f>
        <v>73.09</v>
      </c>
      <c r="W48" s="3">
        <f ca="1">IFERROR(__xludf.DUMMYFUNCTION("""COMPUTED_VALUE"""),73.09)</f>
        <v>73.09</v>
      </c>
      <c r="X48" s="3">
        <f ca="1">IFERROR(__xludf.DUMMYFUNCTION("""COMPUTED_VALUE"""),11956038)</f>
        <v>11956038</v>
      </c>
      <c r="Y48" s="4">
        <f ca="1">IFERROR(__xludf.DUMMYFUNCTION("""COMPUTED_VALUE"""),42194.6666666666)</f>
        <v>42194.666666666599</v>
      </c>
      <c r="Z48" s="3">
        <f ca="1">IFERROR(__xludf.DUMMYFUNCTION("""COMPUTED_VALUE"""),19.9)</f>
        <v>19.899999999999999</v>
      </c>
      <c r="AA48" s="3">
        <f ca="1">IFERROR(__xludf.DUMMYFUNCTION("""COMPUTED_VALUE"""),19.93)</f>
        <v>19.93</v>
      </c>
      <c r="AB48" s="3">
        <f ca="1">IFERROR(__xludf.DUMMYFUNCTION("""COMPUTED_VALUE"""),19.73)</f>
        <v>19.73</v>
      </c>
      <c r="AC48" s="3">
        <f ca="1">IFERROR(__xludf.DUMMYFUNCTION("""COMPUTED_VALUE"""),19.77)</f>
        <v>19.77</v>
      </c>
      <c r="AD48" s="3">
        <f ca="1">IFERROR(__xludf.DUMMYFUNCTION("""COMPUTED_VALUE"""),25375007)</f>
        <v>25375007</v>
      </c>
      <c r="AE48" s="4">
        <f ca="1">IFERROR(__xludf.DUMMYFUNCTION("""COMPUTED_VALUE"""),42194.6666666666)</f>
        <v>42194.666666666599</v>
      </c>
      <c r="AF48" s="3">
        <f ca="1">IFERROR(__xludf.DUMMYFUNCTION("""COMPUTED_VALUE"""),74.68)</f>
        <v>74.680000000000007</v>
      </c>
      <c r="AG48" s="3">
        <f ca="1">IFERROR(__xludf.DUMMYFUNCTION("""COMPUTED_VALUE"""),74.87)</f>
        <v>74.87</v>
      </c>
      <c r="AH48" s="3">
        <f ca="1">IFERROR(__xludf.DUMMYFUNCTION("""COMPUTED_VALUE"""),74.24)</f>
        <v>74.239999999999995</v>
      </c>
      <c r="AI48" s="3">
        <f ca="1">IFERROR(__xludf.DUMMYFUNCTION("""COMPUTED_VALUE"""),74.28)</f>
        <v>74.28</v>
      </c>
      <c r="AJ48" s="3">
        <f ca="1">IFERROR(__xludf.DUMMYFUNCTION("""COMPUTED_VALUE"""),6654595)</f>
        <v>6654595</v>
      </c>
      <c r="AK48" s="4">
        <f ca="1">IFERROR(__xludf.DUMMYFUNCTION("""COMPUTED_VALUE"""),42194.6666666666)</f>
        <v>42194.666666666599</v>
      </c>
      <c r="AL48" s="3">
        <f ca="1">IFERROR(__xludf.DUMMYFUNCTION("""COMPUTED_VALUE"""),54.01)</f>
        <v>54.01</v>
      </c>
      <c r="AM48" s="3">
        <f ca="1">IFERROR(__xludf.DUMMYFUNCTION("""COMPUTED_VALUE"""),54.26)</f>
        <v>54.26</v>
      </c>
      <c r="AN48" s="3">
        <f ca="1">IFERROR(__xludf.DUMMYFUNCTION("""COMPUTED_VALUE"""),53.61)</f>
        <v>53.61</v>
      </c>
      <c r="AO48" s="3">
        <f ca="1">IFERROR(__xludf.DUMMYFUNCTION("""COMPUTED_VALUE"""),53.61)</f>
        <v>53.61</v>
      </c>
      <c r="AP48" s="3">
        <f ca="1">IFERROR(__xludf.DUMMYFUNCTION("""COMPUTED_VALUE"""),8918189)</f>
        <v>8918189</v>
      </c>
      <c r="AQ48" s="4">
        <f ca="1">IFERROR(__xludf.DUMMYFUNCTION("""COMPUTED_VALUE"""),42194.6666666666)</f>
        <v>42194.666666666599</v>
      </c>
      <c r="AR48" s="3">
        <f ca="1">IFERROR(__xludf.DUMMYFUNCTION("""COMPUTED_VALUE"""),47.59)</f>
        <v>47.59</v>
      </c>
      <c r="AS48" s="3">
        <f ca="1">IFERROR(__xludf.DUMMYFUNCTION("""COMPUTED_VALUE"""),47.65)</f>
        <v>47.65</v>
      </c>
      <c r="AT48" s="3">
        <f ca="1">IFERROR(__xludf.DUMMYFUNCTION("""COMPUTED_VALUE"""),47.03)</f>
        <v>47.03</v>
      </c>
      <c r="AU48" s="3">
        <f ca="1">IFERROR(__xludf.DUMMYFUNCTION("""COMPUTED_VALUE"""),47.04)</f>
        <v>47.04</v>
      </c>
      <c r="AV48" s="3">
        <f ca="1">IFERROR(__xludf.DUMMYFUNCTION("""COMPUTED_VALUE"""),4903810)</f>
        <v>4903810</v>
      </c>
      <c r="AW48" s="4">
        <f ca="1">IFERROR(__xludf.DUMMYFUNCTION("""COMPUTED_VALUE"""),42354.6666666666)</f>
        <v>42354.666666666599</v>
      </c>
      <c r="AX48" s="3">
        <f ca="1">IFERROR(__xludf.DUMMYFUNCTION("""COMPUTED_VALUE"""),30.86)</f>
        <v>30.86</v>
      </c>
      <c r="AY48" s="3">
        <f ca="1">IFERROR(__xludf.DUMMYFUNCTION("""COMPUTED_VALUE"""),31.13)</f>
        <v>31.13</v>
      </c>
      <c r="AZ48" s="3">
        <f ca="1">IFERROR(__xludf.DUMMYFUNCTION("""COMPUTED_VALUE"""),30.86)</f>
        <v>30.86</v>
      </c>
      <c r="BA48" s="3">
        <f ca="1">IFERROR(__xludf.DUMMYFUNCTION("""COMPUTED_VALUE"""),31.13)</f>
        <v>31.13</v>
      </c>
      <c r="BB48" s="3">
        <f ca="1">IFERROR(__xludf.DUMMYFUNCTION("""COMPUTED_VALUE"""),1618)</f>
        <v>1618</v>
      </c>
      <c r="BC48" s="4">
        <f ca="1">IFERROR(__xludf.DUMMYFUNCTION("""COMPUTED_VALUE"""),42194.6666666666)</f>
        <v>42194.666666666599</v>
      </c>
      <c r="BD48" s="3">
        <f ca="1">IFERROR(__xludf.DUMMYFUNCTION("""COMPUTED_VALUE"""),41.42)</f>
        <v>41.42</v>
      </c>
      <c r="BE48" s="3">
        <f ca="1">IFERROR(__xludf.DUMMYFUNCTION("""COMPUTED_VALUE"""),41.53)</f>
        <v>41.53</v>
      </c>
      <c r="BF48" s="3">
        <f ca="1">IFERROR(__xludf.DUMMYFUNCTION("""COMPUTED_VALUE"""),40.79)</f>
        <v>40.79</v>
      </c>
      <c r="BG48" s="3">
        <f ca="1">IFERROR(__xludf.DUMMYFUNCTION("""COMPUTED_VALUE"""),40.79)</f>
        <v>40.79</v>
      </c>
      <c r="BH48" s="3">
        <f ca="1">IFERROR(__xludf.DUMMYFUNCTION("""COMPUTED_VALUE"""),8993801)</f>
        <v>8993801</v>
      </c>
      <c r="BI48" s="4">
        <f ca="1">IFERROR(__xludf.DUMMYFUNCTION("""COMPUTED_VALUE"""),42194.6666666666)</f>
        <v>42194.666666666599</v>
      </c>
      <c r="BJ48" s="3">
        <f ca="1">IFERROR(__xludf.DUMMYFUNCTION("""COMPUTED_VALUE"""),43.35)</f>
        <v>43.35</v>
      </c>
      <c r="BK48" s="3">
        <f ca="1">IFERROR(__xludf.DUMMYFUNCTION("""COMPUTED_VALUE"""),43.45)</f>
        <v>43.45</v>
      </c>
      <c r="BL48" s="3">
        <f ca="1">IFERROR(__xludf.DUMMYFUNCTION("""COMPUTED_VALUE"""),42.6)</f>
        <v>42.6</v>
      </c>
      <c r="BM48" s="3">
        <f ca="1">IFERROR(__xludf.DUMMYFUNCTION("""COMPUTED_VALUE"""),42.74)</f>
        <v>42.74</v>
      </c>
      <c r="BN48" s="3">
        <f ca="1">IFERROR(__xludf.DUMMYFUNCTION("""COMPUTED_VALUE"""),15575996)</f>
        <v>15575996</v>
      </c>
    </row>
    <row r="49" spans="7:66" ht="13" x14ac:dyDescent="0.15">
      <c r="G49" s="4">
        <f ca="1">IFERROR(__xludf.DUMMYFUNCTION("""COMPUTED_VALUE"""),42195.6666666666)</f>
        <v>42195.666666666599</v>
      </c>
      <c r="H49" s="3">
        <f ca="1">IFERROR(__xludf.DUMMYFUNCTION("""COMPUTED_VALUE"""),77.32)</f>
        <v>77.319999999999993</v>
      </c>
      <c r="I49" s="3">
        <f ca="1">IFERROR(__xludf.DUMMYFUNCTION("""COMPUTED_VALUE"""),77.83)</f>
        <v>77.83</v>
      </c>
      <c r="J49" s="3">
        <f ca="1">IFERROR(__xludf.DUMMYFUNCTION("""COMPUTED_VALUE"""),77.13)</f>
        <v>77.13</v>
      </c>
      <c r="K49" s="3">
        <f ca="1">IFERROR(__xludf.DUMMYFUNCTION("""COMPUTED_VALUE"""),77.67)</f>
        <v>77.67</v>
      </c>
      <c r="L49" s="3">
        <f ca="1">IFERROR(__xludf.DUMMYFUNCTION("""COMPUTED_VALUE"""),4658306)</f>
        <v>4658306</v>
      </c>
      <c r="M49" s="4">
        <f ca="1">IFERROR(__xludf.DUMMYFUNCTION("""COMPUTED_VALUE"""),42195.6666666666)</f>
        <v>42195.666666666599</v>
      </c>
      <c r="N49" s="3">
        <f ca="1">IFERROR(__xludf.DUMMYFUNCTION("""COMPUTED_VALUE"""),49.06)</f>
        <v>49.06</v>
      </c>
      <c r="O49" s="3">
        <f ca="1">IFERROR(__xludf.DUMMYFUNCTION("""COMPUTED_VALUE"""),49.3)</f>
        <v>49.3</v>
      </c>
      <c r="P49" s="3">
        <f ca="1">IFERROR(__xludf.DUMMYFUNCTION("""COMPUTED_VALUE"""),49.01)</f>
        <v>49.01</v>
      </c>
      <c r="Q49" s="3">
        <f ca="1">IFERROR(__xludf.DUMMYFUNCTION("""COMPUTED_VALUE"""),49.18)</f>
        <v>49.18</v>
      </c>
      <c r="R49" s="3">
        <f ca="1">IFERROR(__xludf.DUMMYFUNCTION("""COMPUTED_VALUE"""),7782475)</f>
        <v>7782475</v>
      </c>
      <c r="S49" s="4">
        <f ca="1">IFERROR(__xludf.DUMMYFUNCTION("""COMPUTED_VALUE"""),42195.6666666666)</f>
        <v>42195.666666666599</v>
      </c>
      <c r="T49" s="3">
        <f ca="1">IFERROR(__xludf.DUMMYFUNCTION("""COMPUTED_VALUE"""),73.53)</f>
        <v>73.53</v>
      </c>
      <c r="U49" s="3">
        <f ca="1">IFERROR(__xludf.DUMMYFUNCTION("""COMPUTED_VALUE"""),73.99)</f>
        <v>73.989999999999995</v>
      </c>
      <c r="V49" s="3">
        <f ca="1">IFERROR(__xludf.DUMMYFUNCTION("""COMPUTED_VALUE"""),73.13)</f>
        <v>73.13</v>
      </c>
      <c r="W49" s="3">
        <f ca="1">IFERROR(__xludf.DUMMYFUNCTION("""COMPUTED_VALUE"""),73.49)</f>
        <v>73.489999999999995</v>
      </c>
      <c r="X49" s="3">
        <f ca="1">IFERROR(__xludf.DUMMYFUNCTION("""COMPUTED_VALUE"""),13250366)</f>
        <v>13250366</v>
      </c>
      <c r="Y49" s="4">
        <f ca="1">IFERROR(__xludf.DUMMYFUNCTION("""COMPUTED_VALUE"""),42195.6666666666)</f>
        <v>42195.666666666599</v>
      </c>
      <c r="Z49" s="3">
        <f ca="1">IFERROR(__xludf.DUMMYFUNCTION("""COMPUTED_VALUE"""),20.05)</f>
        <v>20.05</v>
      </c>
      <c r="AA49" s="3">
        <f ca="1">IFERROR(__xludf.DUMMYFUNCTION("""COMPUTED_VALUE"""),20.06)</f>
        <v>20.059999999999999</v>
      </c>
      <c r="AB49" s="3">
        <f ca="1">IFERROR(__xludf.DUMMYFUNCTION("""COMPUTED_VALUE"""),19.92)</f>
        <v>19.920000000000002</v>
      </c>
      <c r="AC49" s="3">
        <f ca="1">IFERROR(__xludf.DUMMYFUNCTION("""COMPUTED_VALUE"""),20.01)</f>
        <v>20.010000000000002</v>
      </c>
      <c r="AD49" s="3">
        <f ca="1">IFERROR(__xludf.DUMMYFUNCTION("""COMPUTED_VALUE"""),29342483)</f>
        <v>29342483</v>
      </c>
      <c r="AE49" s="4">
        <f ca="1">IFERROR(__xludf.DUMMYFUNCTION("""COMPUTED_VALUE"""),42195.6666666666)</f>
        <v>42195.666666666599</v>
      </c>
      <c r="AF49" s="3">
        <f ca="1">IFERROR(__xludf.DUMMYFUNCTION("""COMPUTED_VALUE"""),75.21)</f>
        <v>75.209999999999994</v>
      </c>
      <c r="AG49" s="3">
        <f ca="1">IFERROR(__xludf.DUMMYFUNCTION("""COMPUTED_VALUE"""),75.37)</f>
        <v>75.37</v>
      </c>
      <c r="AH49" s="3">
        <f ca="1">IFERROR(__xludf.DUMMYFUNCTION("""COMPUTED_VALUE"""),74.78)</f>
        <v>74.78</v>
      </c>
      <c r="AI49" s="3">
        <f ca="1">IFERROR(__xludf.DUMMYFUNCTION("""COMPUTED_VALUE"""),75.28)</f>
        <v>75.28</v>
      </c>
      <c r="AJ49" s="3">
        <f ca="1">IFERROR(__xludf.DUMMYFUNCTION("""COMPUTED_VALUE"""),8059479)</f>
        <v>8059479</v>
      </c>
      <c r="AK49" s="4">
        <f ca="1">IFERROR(__xludf.DUMMYFUNCTION("""COMPUTED_VALUE"""),42195.6666666666)</f>
        <v>42195.666666666599</v>
      </c>
      <c r="AL49" s="3">
        <f ca="1">IFERROR(__xludf.DUMMYFUNCTION("""COMPUTED_VALUE"""),54.14)</f>
        <v>54.14</v>
      </c>
      <c r="AM49" s="3">
        <f ca="1">IFERROR(__xludf.DUMMYFUNCTION("""COMPUTED_VALUE"""),54.37)</f>
        <v>54.37</v>
      </c>
      <c r="AN49" s="3">
        <f ca="1">IFERROR(__xludf.DUMMYFUNCTION("""COMPUTED_VALUE"""),53.96)</f>
        <v>53.96</v>
      </c>
      <c r="AO49" s="3">
        <f ca="1">IFERROR(__xludf.DUMMYFUNCTION("""COMPUTED_VALUE"""),54.17)</f>
        <v>54.17</v>
      </c>
      <c r="AP49" s="3">
        <f ca="1">IFERROR(__xludf.DUMMYFUNCTION("""COMPUTED_VALUE"""),8348005)</f>
        <v>8348005</v>
      </c>
      <c r="AQ49" s="4">
        <f ca="1">IFERROR(__xludf.DUMMYFUNCTION("""COMPUTED_VALUE"""),42195.6666666666)</f>
        <v>42195.666666666599</v>
      </c>
      <c r="AR49" s="3">
        <f ca="1">IFERROR(__xludf.DUMMYFUNCTION("""COMPUTED_VALUE"""),47.57)</f>
        <v>47.57</v>
      </c>
      <c r="AS49" s="3">
        <f ca="1">IFERROR(__xludf.DUMMYFUNCTION("""COMPUTED_VALUE"""),47.8)</f>
        <v>47.8</v>
      </c>
      <c r="AT49" s="3">
        <f ca="1">IFERROR(__xludf.DUMMYFUNCTION("""COMPUTED_VALUE"""),47.45)</f>
        <v>47.45</v>
      </c>
      <c r="AU49" s="3">
        <f ca="1">IFERROR(__xludf.DUMMYFUNCTION("""COMPUTED_VALUE"""),47.7)</f>
        <v>47.7</v>
      </c>
      <c r="AV49" s="3">
        <f ca="1">IFERROR(__xludf.DUMMYFUNCTION("""COMPUTED_VALUE"""),3804160)</f>
        <v>3804160</v>
      </c>
      <c r="AW49" s="4">
        <f ca="1">IFERROR(__xludf.DUMMYFUNCTION("""COMPUTED_VALUE"""),42355.6666666666)</f>
        <v>42355.666666666599</v>
      </c>
      <c r="AX49" s="3">
        <f ca="1">IFERROR(__xludf.DUMMYFUNCTION("""COMPUTED_VALUE"""),31.46)</f>
        <v>31.46</v>
      </c>
      <c r="AY49" s="3">
        <f ca="1">IFERROR(__xludf.DUMMYFUNCTION("""COMPUTED_VALUE"""),31.46)</f>
        <v>31.46</v>
      </c>
      <c r="AZ49" s="3">
        <f ca="1">IFERROR(__xludf.DUMMYFUNCTION("""COMPUTED_VALUE"""),31.06)</f>
        <v>31.06</v>
      </c>
      <c r="BA49" s="3">
        <f ca="1">IFERROR(__xludf.DUMMYFUNCTION("""COMPUTED_VALUE"""),31.09)</f>
        <v>31.09</v>
      </c>
      <c r="BB49" s="3">
        <f ca="1">IFERROR(__xludf.DUMMYFUNCTION("""COMPUTED_VALUE"""),2420)</f>
        <v>2420</v>
      </c>
      <c r="BC49" s="4">
        <f ca="1">IFERROR(__xludf.DUMMYFUNCTION("""COMPUTED_VALUE"""),42195.6666666666)</f>
        <v>42195.666666666599</v>
      </c>
      <c r="BD49" s="3">
        <f ca="1">IFERROR(__xludf.DUMMYFUNCTION("""COMPUTED_VALUE"""),41.31)</f>
        <v>41.31</v>
      </c>
      <c r="BE49" s="3">
        <f ca="1">IFERROR(__xludf.DUMMYFUNCTION("""COMPUTED_VALUE"""),41.58)</f>
        <v>41.58</v>
      </c>
      <c r="BF49" s="3">
        <f ca="1">IFERROR(__xludf.DUMMYFUNCTION("""COMPUTED_VALUE"""),41.21)</f>
        <v>41.21</v>
      </c>
      <c r="BG49" s="3">
        <f ca="1">IFERROR(__xludf.DUMMYFUNCTION("""COMPUTED_VALUE"""),41.44)</f>
        <v>41.44</v>
      </c>
      <c r="BH49" s="3">
        <f ca="1">IFERROR(__xludf.DUMMYFUNCTION("""COMPUTED_VALUE"""),6748349)</f>
        <v>6748349</v>
      </c>
      <c r="BI49" s="4">
        <f ca="1">IFERROR(__xludf.DUMMYFUNCTION("""COMPUTED_VALUE"""),42195.6666666666)</f>
        <v>42195.666666666599</v>
      </c>
      <c r="BJ49" s="3">
        <f ca="1">IFERROR(__xludf.DUMMYFUNCTION("""COMPUTED_VALUE"""),42.76)</f>
        <v>42.76</v>
      </c>
      <c r="BK49" s="3">
        <f ca="1">IFERROR(__xludf.DUMMYFUNCTION("""COMPUTED_VALUE"""),43.28)</f>
        <v>43.28</v>
      </c>
      <c r="BL49" s="3">
        <f ca="1">IFERROR(__xludf.DUMMYFUNCTION("""COMPUTED_VALUE"""),42.62)</f>
        <v>42.62</v>
      </c>
      <c r="BM49" s="3">
        <f ca="1">IFERROR(__xludf.DUMMYFUNCTION("""COMPUTED_VALUE"""),42.97)</f>
        <v>42.97</v>
      </c>
      <c r="BN49" s="3">
        <f ca="1">IFERROR(__xludf.DUMMYFUNCTION("""COMPUTED_VALUE"""),12405102)</f>
        <v>12405102</v>
      </c>
    </row>
    <row r="50" spans="7:66" ht="13" x14ac:dyDescent="0.15">
      <c r="G50" s="4">
        <f ca="1">IFERROR(__xludf.DUMMYFUNCTION("""COMPUTED_VALUE"""),42198.6666666666)</f>
        <v>42198.666666666599</v>
      </c>
      <c r="H50" s="3">
        <f ca="1">IFERROR(__xludf.DUMMYFUNCTION("""COMPUTED_VALUE"""),78.22)</f>
        <v>78.22</v>
      </c>
      <c r="I50" s="3">
        <f ca="1">IFERROR(__xludf.DUMMYFUNCTION("""COMPUTED_VALUE"""),78.84)</f>
        <v>78.84</v>
      </c>
      <c r="J50" s="3">
        <f ca="1">IFERROR(__xludf.DUMMYFUNCTION("""COMPUTED_VALUE"""),78.22)</f>
        <v>78.22</v>
      </c>
      <c r="K50" s="3">
        <f ca="1">IFERROR(__xludf.DUMMYFUNCTION("""COMPUTED_VALUE"""),78.79)</f>
        <v>78.790000000000006</v>
      </c>
      <c r="L50" s="3">
        <f ca="1">IFERROR(__xludf.DUMMYFUNCTION("""COMPUTED_VALUE"""),6064712)</f>
        <v>6064712</v>
      </c>
      <c r="M50" s="4">
        <f ca="1">IFERROR(__xludf.DUMMYFUNCTION("""COMPUTED_VALUE"""),42198.6666666666)</f>
        <v>42198.666666666599</v>
      </c>
      <c r="N50" s="3">
        <f ca="1">IFERROR(__xludf.DUMMYFUNCTION("""COMPUTED_VALUE"""),49.41)</f>
        <v>49.41</v>
      </c>
      <c r="O50" s="3">
        <f ca="1">IFERROR(__xludf.DUMMYFUNCTION("""COMPUTED_VALUE"""),49.66)</f>
        <v>49.66</v>
      </c>
      <c r="P50" s="3">
        <f ca="1">IFERROR(__xludf.DUMMYFUNCTION("""COMPUTED_VALUE"""),49.41)</f>
        <v>49.41</v>
      </c>
      <c r="Q50" s="3">
        <f ca="1">IFERROR(__xludf.DUMMYFUNCTION("""COMPUTED_VALUE"""),49.64)</f>
        <v>49.64</v>
      </c>
      <c r="R50" s="3">
        <f ca="1">IFERROR(__xludf.DUMMYFUNCTION("""COMPUTED_VALUE"""),7031821)</f>
        <v>7031821</v>
      </c>
      <c r="S50" s="4">
        <f ca="1">IFERROR(__xludf.DUMMYFUNCTION("""COMPUTED_VALUE"""),42198.6666666666)</f>
        <v>42198.666666666599</v>
      </c>
      <c r="T50" s="3">
        <f ca="1">IFERROR(__xludf.DUMMYFUNCTION("""COMPUTED_VALUE"""),73.74)</f>
        <v>73.739999999999995</v>
      </c>
      <c r="U50" s="3">
        <f ca="1">IFERROR(__xludf.DUMMYFUNCTION("""COMPUTED_VALUE"""),74.19)</f>
        <v>74.19</v>
      </c>
      <c r="V50" s="3">
        <f ca="1">IFERROR(__xludf.DUMMYFUNCTION("""COMPUTED_VALUE"""),73.54)</f>
        <v>73.540000000000006</v>
      </c>
      <c r="W50" s="3">
        <f ca="1">IFERROR(__xludf.DUMMYFUNCTION("""COMPUTED_VALUE"""),74.01)</f>
        <v>74.010000000000005</v>
      </c>
      <c r="X50" s="3">
        <f ca="1">IFERROR(__xludf.DUMMYFUNCTION("""COMPUTED_VALUE"""),14358752)</f>
        <v>14358752</v>
      </c>
      <c r="Y50" s="4">
        <f ca="1">IFERROR(__xludf.DUMMYFUNCTION("""COMPUTED_VALUE"""),42198.6666666666)</f>
        <v>42198.666666666599</v>
      </c>
      <c r="Z50" s="3">
        <f ca="1">IFERROR(__xludf.DUMMYFUNCTION("""COMPUTED_VALUE"""),20.18)</f>
        <v>20.18</v>
      </c>
      <c r="AA50" s="3">
        <f ca="1">IFERROR(__xludf.DUMMYFUNCTION("""COMPUTED_VALUE"""),20.25)</f>
        <v>20.25</v>
      </c>
      <c r="AB50" s="3">
        <f ca="1">IFERROR(__xludf.DUMMYFUNCTION("""COMPUTED_VALUE"""),20.14)</f>
        <v>20.14</v>
      </c>
      <c r="AC50" s="3">
        <f ca="1">IFERROR(__xludf.DUMMYFUNCTION("""COMPUTED_VALUE"""),20.25)</f>
        <v>20.25</v>
      </c>
      <c r="AD50" s="3">
        <f ca="1">IFERROR(__xludf.DUMMYFUNCTION("""COMPUTED_VALUE"""),33461568)</f>
        <v>33461568</v>
      </c>
      <c r="AE50" s="4">
        <f ca="1">IFERROR(__xludf.DUMMYFUNCTION("""COMPUTED_VALUE"""),42198.6666666666)</f>
        <v>42198.666666666599</v>
      </c>
      <c r="AF50" s="3">
        <f ca="1">IFERROR(__xludf.DUMMYFUNCTION("""COMPUTED_VALUE"""),75.82)</f>
        <v>75.819999999999993</v>
      </c>
      <c r="AG50" s="3">
        <f ca="1">IFERROR(__xludf.DUMMYFUNCTION("""COMPUTED_VALUE"""),76.08)</f>
        <v>76.08</v>
      </c>
      <c r="AH50" s="3">
        <f ca="1">IFERROR(__xludf.DUMMYFUNCTION("""COMPUTED_VALUE"""),75.61)</f>
        <v>75.61</v>
      </c>
      <c r="AI50" s="3">
        <f ca="1">IFERROR(__xludf.DUMMYFUNCTION("""COMPUTED_VALUE"""),75.92)</f>
        <v>75.92</v>
      </c>
      <c r="AJ50" s="3">
        <f ca="1">IFERROR(__xludf.DUMMYFUNCTION("""COMPUTED_VALUE"""),7815118)</f>
        <v>7815118</v>
      </c>
      <c r="AK50" s="4">
        <f ca="1">IFERROR(__xludf.DUMMYFUNCTION("""COMPUTED_VALUE"""),42198.6666666666)</f>
        <v>42198.666666666599</v>
      </c>
      <c r="AL50" s="3">
        <f ca="1">IFERROR(__xludf.DUMMYFUNCTION("""COMPUTED_VALUE"""),54.53)</f>
        <v>54.53</v>
      </c>
      <c r="AM50" s="3">
        <f ca="1">IFERROR(__xludf.DUMMYFUNCTION("""COMPUTED_VALUE"""),54.8)</f>
        <v>54.8</v>
      </c>
      <c r="AN50" s="3">
        <f ca="1">IFERROR(__xludf.DUMMYFUNCTION("""COMPUTED_VALUE"""),54.53)</f>
        <v>54.53</v>
      </c>
      <c r="AO50" s="3">
        <f ca="1">IFERROR(__xludf.DUMMYFUNCTION("""COMPUTED_VALUE"""),54.77)</f>
        <v>54.77</v>
      </c>
      <c r="AP50" s="3">
        <f ca="1">IFERROR(__xludf.DUMMYFUNCTION("""COMPUTED_VALUE"""),6754573)</f>
        <v>6754573</v>
      </c>
      <c r="AQ50" s="4">
        <f ca="1">IFERROR(__xludf.DUMMYFUNCTION("""COMPUTED_VALUE"""),42198.6666666666)</f>
        <v>42198.666666666599</v>
      </c>
      <c r="AR50" s="3">
        <f ca="1">IFERROR(__xludf.DUMMYFUNCTION("""COMPUTED_VALUE"""),48)</f>
        <v>48</v>
      </c>
      <c r="AS50" s="3">
        <f ca="1">IFERROR(__xludf.DUMMYFUNCTION("""COMPUTED_VALUE"""),48.27)</f>
        <v>48.27</v>
      </c>
      <c r="AT50" s="3">
        <f ca="1">IFERROR(__xludf.DUMMYFUNCTION("""COMPUTED_VALUE"""),47.92)</f>
        <v>47.92</v>
      </c>
      <c r="AU50" s="3">
        <f ca="1">IFERROR(__xludf.DUMMYFUNCTION("""COMPUTED_VALUE"""),48.22)</f>
        <v>48.22</v>
      </c>
      <c r="AV50" s="3">
        <f ca="1">IFERROR(__xludf.DUMMYFUNCTION("""COMPUTED_VALUE"""),2899932)</f>
        <v>2899932</v>
      </c>
      <c r="AW50" s="4">
        <f ca="1">IFERROR(__xludf.DUMMYFUNCTION("""COMPUTED_VALUE"""),42356.6666666666)</f>
        <v>42356.666666666599</v>
      </c>
      <c r="AX50" s="3">
        <f ca="1">IFERROR(__xludf.DUMMYFUNCTION("""COMPUTED_VALUE"""),30.56)</f>
        <v>30.56</v>
      </c>
      <c r="AY50" s="3">
        <f ca="1">IFERROR(__xludf.DUMMYFUNCTION("""COMPUTED_VALUE"""),30.59)</f>
        <v>30.59</v>
      </c>
      <c r="AZ50" s="3">
        <f ca="1">IFERROR(__xludf.DUMMYFUNCTION("""COMPUTED_VALUE"""),30.35)</f>
        <v>30.35</v>
      </c>
      <c r="BA50" s="3">
        <f ca="1">IFERROR(__xludf.DUMMYFUNCTION("""COMPUTED_VALUE"""),30.35)</f>
        <v>30.35</v>
      </c>
      <c r="BB50" s="3">
        <f ca="1">IFERROR(__xludf.DUMMYFUNCTION("""COMPUTED_VALUE"""),1372)</f>
        <v>1372</v>
      </c>
      <c r="BC50" s="4">
        <f ca="1">IFERROR(__xludf.DUMMYFUNCTION("""COMPUTED_VALUE"""),42198.6666666666)</f>
        <v>42198.666666666599</v>
      </c>
      <c r="BD50" s="3">
        <f ca="1">IFERROR(__xludf.DUMMYFUNCTION("""COMPUTED_VALUE"""),41.7)</f>
        <v>41.7</v>
      </c>
      <c r="BE50" s="3">
        <f ca="1">IFERROR(__xludf.DUMMYFUNCTION("""COMPUTED_VALUE"""),42.1)</f>
        <v>42.1</v>
      </c>
      <c r="BF50" s="3">
        <f ca="1">IFERROR(__xludf.DUMMYFUNCTION("""COMPUTED_VALUE"""),41.69)</f>
        <v>41.69</v>
      </c>
      <c r="BG50" s="3">
        <f ca="1">IFERROR(__xludf.DUMMYFUNCTION("""COMPUTED_VALUE"""),42.07)</f>
        <v>42.07</v>
      </c>
      <c r="BH50" s="3">
        <f ca="1">IFERROR(__xludf.DUMMYFUNCTION("""COMPUTED_VALUE"""),7071532)</f>
        <v>7071532</v>
      </c>
      <c r="BI50" s="4">
        <f ca="1">IFERROR(__xludf.DUMMYFUNCTION("""COMPUTED_VALUE"""),42198.6666666666)</f>
        <v>42198.666666666599</v>
      </c>
      <c r="BJ50" s="3">
        <f ca="1">IFERROR(__xludf.DUMMYFUNCTION("""COMPUTED_VALUE"""),43.09)</f>
        <v>43.09</v>
      </c>
      <c r="BK50" s="3">
        <f ca="1">IFERROR(__xludf.DUMMYFUNCTION("""COMPUTED_VALUE"""),43.27)</f>
        <v>43.27</v>
      </c>
      <c r="BL50" s="3">
        <f ca="1">IFERROR(__xludf.DUMMYFUNCTION("""COMPUTED_VALUE"""),42.73)</f>
        <v>42.73</v>
      </c>
      <c r="BM50" s="3">
        <f ca="1">IFERROR(__xludf.DUMMYFUNCTION("""COMPUTED_VALUE"""),42.99)</f>
        <v>42.99</v>
      </c>
      <c r="BN50" s="3">
        <f ca="1">IFERROR(__xludf.DUMMYFUNCTION("""COMPUTED_VALUE"""),8584709)</f>
        <v>8584709</v>
      </c>
    </row>
    <row r="51" spans="7:66" ht="13" x14ac:dyDescent="0.15">
      <c r="G51" s="4">
        <f ca="1">IFERROR(__xludf.DUMMYFUNCTION("""COMPUTED_VALUE"""),42199.6666666666)</f>
        <v>42199.666666666599</v>
      </c>
      <c r="H51" s="3">
        <f ca="1">IFERROR(__xludf.DUMMYFUNCTION("""COMPUTED_VALUE"""),78.97)</f>
        <v>78.97</v>
      </c>
      <c r="I51" s="3">
        <f ca="1">IFERROR(__xludf.DUMMYFUNCTION("""COMPUTED_VALUE"""),79.03)</f>
        <v>79.03</v>
      </c>
      <c r="J51" s="3">
        <f ca="1">IFERROR(__xludf.DUMMYFUNCTION("""COMPUTED_VALUE"""),78.72)</f>
        <v>78.72</v>
      </c>
      <c r="K51" s="3">
        <f ca="1">IFERROR(__xludf.DUMMYFUNCTION("""COMPUTED_VALUE"""),78.89)</f>
        <v>78.89</v>
      </c>
      <c r="L51" s="3">
        <f ca="1">IFERROR(__xludf.DUMMYFUNCTION("""COMPUTED_VALUE"""),3751024)</f>
        <v>3751024</v>
      </c>
      <c r="M51" s="4">
        <f ca="1">IFERROR(__xludf.DUMMYFUNCTION("""COMPUTED_VALUE"""),42199.6666666666)</f>
        <v>42199.666666666599</v>
      </c>
      <c r="N51" s="3">
        <f ca="1">IFERROR(__xludf.DUMMYFUNCTION("""COMPUTED_VALUE"""),49.65)</f>
        <v>49.65</v>
      </c>
      <c r="O51" s="3">
        <f ca="1">IFERROR(__xludf.DUMMYFUNCTION("""COMPUTED_VALUE"""),49.74)</f>
        <v>49.74</v>
      </c>
      <c r="P51" s="3">
        <f ca="1">IFERROR(__xludf.DUMMYFUNCTION("""COMPUTED_VALUE"""),49.56)</f>
        <v>49.56</v>
      </c>
      <c r="Q51" s="3">
        <f ca="1">IFERROR(__xludf.DUMMYFUNCTION("""COMPUTED_VALUE"""),49.72)</f>
        <v>49.72</v>
      </c>
      <c r="R51" s="3">
        <f ca="1">IFERROR(__xludf.DUMMYFUNCTION("""COMPUTED_VALUE"""),6858313)</f>
        <v>6858313</v>
      </c>
      <c r="S51" s="4">
        <f ca="1">IFERROR(__xludf.DUMMYFUNCTION("""COMPUTED_VALUE"""),42199.6666666666)</f>
        <v>42199.666666666599</v>
      </c>
      <c r="T51" s="3">
        <f ca="1">IFERROR(__xludf.DUMMYFUNCTION("""COMPUTED_VALUE"""),73.8)</f>
        <v>73.8</v>
      </c>
      <c r="U51" s="3">
        <f ca="1">IFERROR(__xludf.DUMMYFUNCTION("""COMPUTED_VALUE"""),74.84)</f>
        <v>74.84</v>
      </c>
      <c r="V51" s="3">
        <f ca="1">IFERROR(__xludf.DUMMYFUNCTION("""COMPUTED_VALUE"""),73.77)</f>
        <v>73.77</v>
      </c>
      <c r="W51" s="3">
        <f ca="1">IFERROR(__xludf.DUMMYFUNCTION("""COMPUTED_VALUE"""),74.54)</f>
        <v>74.540000000000006</v>
      </c>
      <c r="X51" s="3">
        <f ca="1">IFERROR(__xludf.DUMMYFUNCTION("""COMPUTED_VALUE"""),12654247)</f>
        <v>12654247</v>
      </c>
      <c r="Y51" s="4">
        <f ca="1">IFERROR(__xludf.DUMMYFUNCTION("""COMPUTED_VALUE"""),42199.6666666666)</f>
        <v>42199.666666666599</v>
      </c>
      <c r="Z51" s="3">
        <f ca="1">IFERROR(__xludf.DUMMYFUNCTION("""COMPUTED_VALUE"""),20.19)</f>
        <v>20.190000000000001</v>
      </c>
      <c r="AA51" s="3">
        <f ca="1">IFERROR(__xludf.DUMMYFUNCTION("""COMPUTED_VALUE"""),20.34)</f>
        <v>20.34</v>
      </c>
      <c r="AB51" s="3">
        <f ca="1">IFERROR(__xludf.DUMMYFUNCTION("""COMPUTED_VALUE"""),20.15)</f>
        <v>20.149999999999999</v>
      </c>
      <c r="AC51" s="3">
        <f ca="1">IFERROR(__xludf.DUMMYFUNCTION("""COMPUTED_VALUE"""),20.3)</f>
        <v>20.3</v>
      </c>
      <c r="AD51" s="3">
        <f ca="1">IFERROR(__xludf.DUMMYFUNCTION("""COMPUTED_VALUE"""),22495511)</f>
        <v>22495511</v>
      </c>
      <c r="AE51" s="4">
        <f ca="1">IFERROR(__xludf.DUMMYFUNCTION("""COMPUTED_VALUE"""),42199.6666666666)</f>
        <v>42199.666666666599</v>
      </c>
      <c r="AF51" s="3">
        <f ca="1">IFERROR(__xludf.DUMMYFUNCTION("""COMPUTED_VALUE"""),75.96)</f>
        <v>75.959999999999994</v>
      </c>
      <c r="AG51" s="3">
        <f ca="1">IFERROR(__xludf.DUMMYFUNCTION("""COMPUTED_VALUE"""),76.78)</f>
        <v>76.78</v>
      </c>
      <c r="AH51" s="3">
        <f ca="1">IFERROR(__xludf.DUMMYFUNCTION("""COMPUTED_VALUE"""),75.79)</f>
        <v>75.790000000000006</v>
      </c>
      <c r="AI51" s="3">
        <f ca="1">IFERROR(__xludf.DUMMYFUNCTION("""COMPUTED_VALUE"""),76.68)</f>
        <v>76.680000000000007</v>
      </c>
      <c r="AJ51" s="3">
        <f ca="1">IFERROR(__xludf.DUMMYFUNCTION("""COMPUTED_VALUE"""),5831836)</f>
        <v>5831836</v>
      </c>
      <c r="AK51" s="4">
        <f ca="1">IFERROR(__xludf.DUMMYFUNCTION("""COMPUTED_VALUE"""),42199.6666666666)</f>
        <v>42199.666666666599</v>
      </c>
      <c r="AL51" s="3">
        <f ca="1">IFERROR(__xludf.DUMMYFUNCTION("""COMPUTED_VALUE"""),54.71)</f>
        <v>54.71</v>
      </c>
      <c r="AM51" s="3">
        <f ca="1">IFERROR(__xludf.DUMMYFUNCTION("""COMPUTED_VALUE"""),55.01)</f>
        <v>55.01</v>
      </c>
      <c r="AN51" s="3">
        <f ca="1">IFERROR(__xludf.DUMMYFUNCTION("""COMPUTED_VALUE"""),54.61)</f>
        <v>54.61</v>
      </c>
      <c r="AO51" s="3">
        <f ca="1">IFERROR(__xludf.DUMMYFUNCTION("""COMPUTED_VALUE"""),54.92)</f>
        <v>54.92</v>
      </c>
      <c r="AP51" s="3">
        <f ca="1">IFERROR(__xludf.DUMMYFUNCTION("""COMPUTED_VALUE"""),9130440)</f>
        <v>9130440</v>
      </c>
      <c r="AQ51" s="4">
        <f ca="1">IFERROR(__xludf.DUMMYFUNCTION("""COMPUTED_VALUE"""),42199.6666666666)</f>
        <v>42199.666666666599</v>
      </c>
      <c r="AR51" s="3">
        <f ca="1">IFERROR(__xludf.DUMMYFUNCTION("""COMPUTED_VALUE"""),48.08)</f>
        <v>48.08</v>
      </c>
      <c r="AS51" s="3">
        <f ca="1">IFERROR(__xludf.DUMMYFUNCTION("""COMPUTED_VALUE"""),48.59)</f>
        <v>48.59</v>
      </c>
      <c r="AT51" s="3">
        <f ca="1">IFERROR(__xludf.DUMMYFUNCTION("""COMPUTED_VALUE"""),48.08)</f>
        <v>48.08</v>
      </c>
      <c r="AU51" s="3">
        <f ca="1">IFERROR(__xludf.DUMMYFUNCTION("""COMPUTED_VALUE"""),48.49)</f>
        <v>48.49</v>
      </c>
      <c r="AV51" s="3">
        <f ca="1">IFERROR(__xludf.DUMMYFUNCTION("""COMPUTED_VALUE"""),2444527)</f>
        <v>2444527</v>
      </c>
      <c r="AW51" s="4">
        <f ca="1">IFERROR(__xludf.DUMMYFUNCTION("""COMPUTED_VALUE"""),42359.6666666666)</f>
        <v>42359.666666666599</v>
      </c>
      <c r="AX51" s="3">
        <f ca="1">IFERROR(__xludf.DUMMYFUNCTION("""COMPUTED_VALUE"""),30.46)</f>
        <v>30.46</v>
      </c>
      <c r="AY51" s="3">
        <f ca="1">IFERROR(__xludf.DUMMYFUNCTION("""COMPUTED_VALUE"""),30.46)</f>
        <v>30.46</v>
      </c>
      <c r="AZ51" s="3">
        <f ca="1">IFERROR(__xludf.DUMMYFUNCTION("""COMPUTED_VALUE"""),30.4)</f>
        <v>30.4</v>
      </c>
      <c r="BA51" s="3">
        <f ca="1">IFERROR(__xludf.DUMMYFUNCTION("""COMPUTED_VALUE"""),30.4)</f>
        <v>30.4</v>
      </c>
      <c r="BB51" s="3">
        <f ca="1">IFERROR(__xludf.DUMMYFUNCTION("""COMPUTED_VALUE"""),485)</f>
        <v>485</v>
      </c>
      <c r="BC51" s="4">
        <f ca="1">IFERROR(__xludf.DUMMYFUNCTION("""COMPUTED_VALUE"""),42199.6666666666)</f>
        <v>42199.666666666599</v>
      </c>
      <c r="BD51" s="3">
        <f ca="1">IFERROR(__xludf.DUMMYFUNCTION("""COMPUTED_VALUE"""),42.08)</f>
        <v>42.08</v>
      </c>
      <c r="BE51" s="3">
        <f ca="1">IFERROR(__xludf.DUMMYFUNCTION("""COMPUTED_VALUE"""),42.34)</f>
        <v>42.34</v>
      </c>
      <c r="BF51" s="3">
        <f ca="1">IFERROR(__xludf.DUMMYFUNCTION("""COMPUTED_VALUE"""),42.06)</f>
        <v>42.06</v>
      </c>
      <c r="BG51" s="3">
        <f ca="1">IFERROR(__xludf.DUMMYFUNCTION("""COMPUTED_VALUE"""),42.23)</f>
        <v>42.23</v>
      </c>
      <c r="BH51" s="3">
        <f ca="1">IFERROR(__xludf.DUMMYFUNCTION("""COMPUTED_VALUE"""),6126352)</f>
        <v>6126352</v>
      </c>
      <c r="BI51" s="4">
        <f ca="1">IFERROR(__xludf.DUMMYFUNCTION("""COMPUTED_VALUE"""),42199.6666666666)</f>
        <v>42199.666666666599</v>
      </c>
      <c r="BJ51" s="3">
        <f ca="1">IFERROR(__xludf.DUMMYFUNCTION("""COMPUTED_VALUE"""),42.94)</f>
        <v>42.94</v>
      </c>
      <c r="BK51" s="3">
        <f ca="1">IFERROR(__xludf.DUMMYFUNCTION("""COMPUTED_VALUE"""),43.23)</f>
        <v>43.23</v>
      </c>
      <c r="BL51" s="3">
        <f ca="1">IFERROR(__xludf.DUMMYFUNCTION("""COMPUTED_VALUE"""),42.8)</f>
        <v>42.8</v>
      </c>
      <c r="BM51" s="3">
        <f ca="1">IFERROR(__xludf.DUMMYFUNCTION("""COMPUTED_VALUE"""),42.93)</f>
        <v>42.93</v>
      </c>
      <c r="BN51" s="3">
        <f ca="1">IFERROR(__xludf.DUMMYFUNCTION("""COMPUTED_VALUE"""),6821231)</f>
        <v>6821231</v>
      </c>
    </row>
    <row r="52" spans="7:66" ht="13" x14ac:dyDescent="0.15">
      <c r="G52" s="4">
        <f ca="1">IFERROR(__xludf.DUMMYFUNCTION("""COMPUTED_VALUE"""),42200.6666666666)</f>
        <v>42200.666666666599</v>
      </c>
      <c r="H52" s="3">
        <f ca="1">IFERROR(__xludf.DUMMYFUNCTION("""COMPUTED_VALUE"""),78.93)</f>
        <v>78.930000000000007</v>
      </c>
      <c r="I52" s="3">
        <f ca="1">IFERROR(__xludf.DUMMYFUNCTION("""COMPUTED_VALUE"""),79.01)</f>
        <v>79.010000000000005</v>
      </c>
      <c r="J52" s="3">
        <f ca="1">IFERROR(__xludf.DUMMYFUNCTION("""COMPUTED_VALUE"""),78.63)</f>
        <v>78.63</v>
      </c>
      <c r="K52" s="3">
        <f ca="1">IFERROR(__xludf.DUMMYFUNCTION("""COMPUTED_VALUE"""),78.81)</f>
        <v>78.81</v>
      </c>
      <c r="L52" s="3">
        <f ca="1">IFERROR(__xludf.DUMMYFUNCTION("""COMPUTED_VALUE"""),2714320)</f>
        <v>2714320</v>
      </c>
      <c r="M52" s="4">
        <f ca="1">IFERROR(__xludf.DUMMYFUNCTION("""COMPUTED_VALUE"""),42200.6666666666)</f>
        <v>42200.666666666599</v>
      </c>
      <c r="N52" s="3">
        <f ca="1">IFERROR(__xludf.DUMMYFUNCTION("""COMPUTED_VALUE"""),49.71)</f>
        <v>49.71</v>
      </c>
      <c r="O52" s="3">
        <f ca="1">IFERROR(__xludf.DUMMYFUNCTION("""COMPUTED_VALUE"""),49.73)</f>
        <v>49.73</v>
      </c>
      <c r="P52" s="3">
        <f ca="1">IFERROR(__xludf.DUMMYFUNCTION("""COMPUTED_VALUE"""),49.49)</f>
        <v>49.49</v>
      </c>
      <c r="Q52" s="3">
        <f ca="1">IFERROR(__xludf.DUMMYFUNCTION("""COMPUTED_VALUE"""),49.59)</f>
        <v>49.59</v>
      </c>
      <c r="R52" s="3">
        <f ca="1">IFERROR(__xludf.DUMMYFUNCTION("""COMPUTED_VALUE"""),5980479)</f>
        <v>5980479</v>
      </c>
      <c r="S52" s="4">
        <f ca="1">IFERROR(__xludf.DUMMYFUNCTION("""COMPUTED_VALUE"""),42200.6666666666)</f>
        <v>42200.666666666599</v>
      </c>
      <c r="T52" s="3">
        <f ca="1">IFERROR(__xludf.DUMMYFUNCTION("""COMPUTED_VALUE"""),74.16)</f>
        <v>74.16</v>
      </c>
      <c r="U52" s="3">
        <f ca="1">IFERROR(__xludf.DUMMYFUNCTION("""COMPUTED_VALUE"""),74.53)</f>
        <v>74.53</v>
      </c>
      <c r="V52" s="3">
        <f ca="1">IFERROR(__xludf.DUMMYFUNCTION("""COMPUTED_VALUE"""),72.97)</f>
        <v>72.97</v>
      </c>
      <c r="W52" s="3">
        <f ca="1">IFERROR(__xludf.DUMMYFUNCTION("""COMPUTED_VALUE"""),73.23)</f>
        <v>73.23</v>
      </c>
      <c r="X52" s="3">
        <f ca="1">IFERROR(__xludf.DUMMYFUNCTION("""COMPUTED_VALUE"""),12708285)</f>
        <v>12708285</v>
      </c>
      <c r="Y52" s="4">
        <f ca="1">IFERROR(__xludf.DUMMYFUNCTION("""COMPUTED_VALUE"""),42200.6666666666)</f>
        <v>42200.666666666599</v>
      </c>
      <c r="Z52" s="3">
        <f ca="1">IFERROR(__xludf.DUMMYFUNCTION("""COMPUTED_VALUE"""),20.4)</f>
        <v>20.399999999999999</v>
      </c>
      <c r="AA52" s="3">
        <f ca="1">IFERROR(__xludf.DUMMYFUNCTION("""COMPUTED_VALUE"""),20.5)</f>
        <v>20.5</v>
      </c>
      <c r="AB52" s="3">
        <f ca="1">IFERROR(__xludf.DUMMYFUNCTION("""COMPUTED_VALUE"""),20.33)</f>
        <v>20.329999999999998</v>
      </c>
      <c r="AC52" s="3">
        <f ca="1">IFERROR(__xludf.DUMMYFUNCTION("""COMPUTED_VALUE"""),20.47)</f>
        <v>20.47</v>
      </c>
      <c r="AD52" s="3">
        <f ca="1">IFERROR(__xludf.DUMMYFUNCTION("""COMPUTED_VALUE"""),50496282)</f>
        <v>50496282</v>
      </c>
      <c r="AE52" s="4">
        <f ca="1">IFERROR(__xludf.DUMMYFUNCTION("""COMPUTED_VALUE"""),42200.6666666666)</f>
        <v>42200.666666666599</v>
      </c>
      <c r="AF52" s="3">
        <f ca="1">IFERROR(__xludf.DUMMYFUNCTION("""COMPUTED_VALUE"""),76.92)</f>
        <v>76.92</v>
      </c>
      <c r="AG52" s="3">
        <f ca="1">IFERROR(__xludf.DUMMYFUNCTION("""COMPUTED_VALUE"""),77.26)</f>
        <v>77.260000000000005</v>
      </c>
      <c r="AH52" s="3">
        <f ca="1">IFERROR(__xludf.DUMMYFUNCTION("""COMPUTED_VALUE"""),76.56)</f>
        <v>76.56</v>
      </c>
      <c r="AI52" s="3">
        <f ca="1">IFERROR(__xludf.DUMMYFUNCTION("""COMPUTED_VALUE"""),76.78)</f>
        <v>76.78</v>
      </c>
      <c r="AJ52" s="3">
        <f ca="1">IFERROR(__xludf.DUMMYFUNCTION("""COMPUTED_VALUE"""),6994934)</f>
        <v>6994934</v>
      </c>
      <c r="AK52" s="4">
        <f ca="1">IFERROR(__xludf.DUMMYFUNCTION("""COMPUTED_VALUE"""),42200.6666666666)</f>
        <v>42200.666666666599</v>
      </c>
      <c r="AL52" s="3">
        <f ca="1">IFERROR(__xludf.DUMMYFUNCTION("""COMPUTED_VALUE"""),54.93)</f>
        <v>54.93</v>
      </c>
      <c r="AM52" s="3">
        <f ca="1">IFERROR(__xludf.DUMMYFUNCTION("""COMPUTED_VALUE"""),54.94)</f>
        <v>54.94</v>
      </c>
      <c r="AN52" s="3">
        <f ca="1">IFERROR(__xludf.DUMMYFUNCTION("""COMPUTED_VALUE"""),54.58)</f>
        <v>54.58</v>
      </c>
      <c r="AO52" s="3">
        <f ca="1">IFERROR(__xludf.DUMMYFUNCTION("""COMPUTED_VALUE"""),54.69)</f>
        <v>54.69</v>
      </c>
      <c r="AP52" s="3">
        <f ca="1">IFERROR(__xludf.DUMMYFUNCTION("""COMPUTED_VALUE"""),7249235)</f>
        <v>7249235</v>
      </c>
      <c r="AQ52" s="4">
        <f ca="1">IFERROR(__xludf.DUMMYFUNCTION("""COMPUTED_VALUE"""),42200.6666666666)</f>
        <v>42200.666666666599</v>
      </c>
      <c r="AR52" s="3">
        <f ca="1">IFERROR(__xludf.DUMMYFUNCTION("""COMPUTED_VALUE"""),48.5)</f>
        <v>48.5</v>
      </c>
      <c r="AS52" s="3">
        <f ca="1">IFERROR(__xludf.DUMMYFUNCTION("""COMPUTED_VALUE"""),48.52)</f>
        <v>48.52</v>
      </c>
      <c r="AT52" s="3">
        <f ca="1">IFERROR(__xludf.DUMMYFUNCTION("""COMPUTED_VALUE"""),47.99)</f>
        <v>47.99</v>
      </c>
      <c r="AU52" s="3">
        <f ca="1">IFERROR(__xludf.DUMMYFUNCTION("""COMPUTED_VALUE"""),48.11)</f>
        <v>48.11</v>
      </c>
      <c r="AV52" s="3">
        <f ca="1">IFERROR(__xludf.DUMMYFUNCTION("""COMPUTED_VALUE"""),3065938)</f>
        <v>3065938</v>
      </c>
      <c r="AW52" s="4">
        <f ca="1">IFERROR(__xludf.DUMMYFUNCTION("""COMPUTED_VALUE"""),42360.6666666666)</f>
        <v>42360.666666666599</v>
      </c>
      <c r="AX52" s="3">
        <f ca="1">IFERROR(__xludf.DUMMYFUNCTION("""COMPUTED_VALUE"""),30.68)</f>
        <v>30.68</v>
      </c>
      <c r="AY52" s="3">
        <f ca="1">IFERROR(__xludf.DUMMYFUNCTION("""COMPUTED_VALUE"""),30.68)</f>
        <v>30.68</v>
      </c>
      <c r="AZ52" s="3">
        <f ca="1">IFERROR(__xludf.DUMMYFUNCTION("""COMPUTED_VALUE"""),30.68)</f>
        <v>30.68</v>
      </c>
      <c r="BA52" s="3">
        <f ca="1">IFERROR(__xludf.DUMMYFUNCTION("""COMPUTED_VALUE"""),30.68)</f>
        <v>30.68</v>
      </c>
      <c r="BB52" s="3">
        <f ca="1">IFERROR(__xludf.DUMMYFUNCTION("""COMPUTED_VALUE"""),201)</f>
        <v>201</v>
      </c>
      <c r="BC52" s="4">
        <f ca="1">IFERROR(__xludf.DUMMYFUNCTION("""COMPUTED_VALUE"""),42200.6666666666)</f>
        <v>42200.666666666599</v>
      </c>
      <c r="BD52" s="3">
        <f ca="1">IFERROR(__xludf.DUMMYFUNCTION("""COMPUTED_VALUE"""),42.21)</f>
        <v>42.21</v>
      </c>
      <c r="BE52" s="3">
        <f ca="1">IFERROR(__xludf.DUMMYFUNCTION("""COMPUTED_VALUE"""),42.37)</f>
        <v>42.37</v>
      </c>
      <c r="BF52" s="3">
        <f ca="1">IFERROR(__xludf.DUMMYFUNCTION("""COMPUTED_VALUE"""),42.12)</f>
        <v>42.12</v>
      </c>
      <c r="BG52" s="3">
        <f ca="1">IFERROR(__xludf.DUMMYFUNCTION("""COMPUTED_VALUE"""),42.24)</f>
        <v>42.24</v>
      </c>
      <c r="BH52" s="3">
        <f ca="1">IFERROR(__xludf.DUMMYFUNCTION("""COMPUTED_VALUE"""),6538481)</f>
        <v>6538481</v>
      </c>
      <c r="BI52" s="4">
        <f ca="1">IFERROR(__xludf.DUMMYFUNCTION("""COMPUTED_VALUE"""),42200.6666666666)</f>
        <v>42200.666666666599</v>
      </c>
      <c r="BJ52" s="3">
        <f ca="1">IFERROR(__xludf.DUMMYFUNCTION("""COMPUTED_VALUE"""),42.88)</f>
        <v>42.88</v>
      </c>
      <c r="BK52" s="3">
        <f ca="1">IFERROR(__xludf.DUMMYFUNCTION("""COMPUTED_VALUE"""),43.15)</f>
        <v>43.15</v>
      </c>
      <c r="BL52" s="3">
        <f ca="1">IFERROR(__xludf.DUMMYFUNCTION("""COMPUTED_VALUE"""),42.7)</f>
        <v>42.7</v>
      </c>
      <c r="BM52" s="3">
        <f ca="1">IFERROR(__xludf.DUMMYFUNCTION("""COMPUTED_VALUE"""),43.14)</f>
        <v>43.14</v>
      </c>
      <c r="BN52" s="3">
        <f ca="1">IFERROR(__xludf.DUMMYFUNCTION("""COMPUTED_VALUE"""),9900796)</f>
        <v>9900796</v>
      </c>
    </row>
    <row r="53" spans="7:66" ht="13" x14ac:dyDescent="0.15">
      <c r="G53" s="4">
        <f ca="1">IFERROR(__xludf.DUMMYFUNCTION("""COMPUTED_VALUE"""),42201.6666666666)</f>
        <v>42201.666666666599</v>
      </c>
      <c r="H53" s="3">
        <f ca="1">IFERROR(__xludf.DUMMYFUNCTION("""COMPUTED_VALUE"""),79.36)</f>
        <v>79.36</v>
      </c>
      <c r="I53" s="3">
        <f ca="1">IFERROR(__xludf.DUMMYFUNCTION("""COMPUTED_VALUE"""),79.38)</f>
        <v>79.38</v>
      </c>
      <c r="J53" s="3">
        <f ca="1">IFERROR(__xludf.DUMMYFUNCTION("""COMPUTED_VALUE"""),78.9)</f>
        <v>78.900000000000006</v>
      </c>
      <c r="K53" s="3">
        <f ca="1">IFERROR(__xludf.DUMMYFUNCTION("""COMPUTED_VALUE"""),79.29)</f>
        <v>79.290000000000006</v>
      </c>
      <c r="L53" s="3">
        <f ca="1">IFERROR(__xludf.DUMMYFUNCTION("""COMPUTED_VALUE"""),3277435)</f>
        <v>3277435</v>
      </c>
      <c r="M53" s="4">
        <f ca="1">IFERROR(__xludf.DUMMYFUNCTION("""COMPUTED_VALUE"""),42201.6666666666)</f>
        <v>42201.666666666599</v>
      </c>
      <c r="N53" s="3">
        <f ca="1">IFERROR(__xludf.DUMMYFUNCTION("""COMPUTED_VALUE"""),49.84)</f>
        <v>49.84</v>
      </c>
      <c r="O53" s="3">
        <f ca="1">IFERROR(__xludf.DUMMYFUNCTION("""COMPUTED_VALUE"""),50.17)</f>
        <v>50.17</v>
      </c>
      <c r="P53" s="3">
        <f ca="1">IFERROR(__xludf.DUMMYFUNCTION("""COMPUTED_VALUE"""),49.78)</f>
        <v>49.78</v>
      </c>
      <c r="Q53" s="3">
        <f ca="1">IFERROR(__xludf.DUMMYFUNCTION("""COMPUTED_VALUE"""),50.1)</f>
        <v>50.1</v>
      </c>
      <c r="R53" s="3">
        <f ca="1">IFERROR(__xludf.DUMMYFUNCTION("""COMPUTED_VALUE"""),4451157)</f>
        <v>4451157</v>
      </c>
      <c r="S53" s="4">
        <f ca="1">IFERROR(__xludf.DUMMYFUNCTION("""COMPUTED_VALUE"""),42201.6666666666)</f>
        <v>42201.666666666599</v>
      </c>
      <c r="T53" s="3">
        <f ca="1">IFERROR(__xludf.DUMMYFUNCTION("""COMPUTED_VALUE"""),73.65)</f>
        <v>73.650000000000006</v>
      </c>
      <c r="U53" s="3">
        <f ca="1">IFERROR(__xludf.DUMMYFUNCTION("""COMPUTED_VALUE"""),73.87)</f>
        <v>73.87</v>
      </c>
      <c r="V53" s="3">
        <f ca="1">IFERROR(__xludf.DUMMYFUNCTION("""COMPUTED_VALUE"""),73.19)</f>
        <v>73.19</v>
      </c>
      <c r="W53" s="3">
        <f ca="1">IFERROR(__xludf.DUMMYFUNCTION("""COMPUTED_VALUE"""),73.33)</f>
        <v>73.33</v>
      </c>
      <c r="X53" s="3">
        <f ca="1">IFERROR(__xludf.DUMMYFUNCTION("""COMPUTED_VALUE"""),7860701)</f>
        <v>7860701</v>
      </c>
      <c r="Y53" s="4">
        <f ca="1">IFERROR(__xludf.DUMMYFUNCTION("""COMPUTED_VALUE"""),42201.6666666666)</f>
        <v>42201.666666666599</v>
      </c>
      <c r="Z53" s="3">
        <f ca="1">IFERROR(__xludf.DUMMYFUNCTION("""COMPUTED_VALUE"""),20.63)</f>
        <v>20.63</v>
      </c>
      <c r="AA53" s="3">
        <f ca="1">IFERROR(__xludf.DUMMYFUNCTION("""COMPUTED_VALUE"""),20.67)</f>
        <v>20.67</v>
      </c>
      <c r="AB53" s="3">
        <f ca="1">IFERROR(__xludf.DUMMYFUNCTION("""COMPUTED_VALUE"""),20.6)</f>
        <v>20.6</v>
      </c>
      <c r="AC53" s="3">
        <f ca="1">IFERROR(__xludf.DUMMYFUNCTION("""COMPUTED_VALUE"""),20.67)</f>
        <v>20.67</v>
      </c>
      <c r="AD53" s="3">
        <f ca="1">IFERROR(__xludf.DUMMYFUNCTION("""COMPUTED_VALUE"""),32316333)</f>
        <v>32316333</v>
      </c>
      <c r="AE53" s="4">
        <f ca="1">IFERROR(__xludf.DUMMYFUNCTION("""COMPUTED_VALUE"""),42201.6666666666)</f>
        <v>42201.666666666599</v>
      </c>
      <c r="AF53" s="3">
        <f ca="1">IFERROR(__xludf.DUMMYFUNCTION("""COMPUTED_VALUE"""),77.06)</f>
        <v>77.06</v>
      </c>
      <c r="AG53" s="3">
        <f ca="1">IFERROR(__xludf.DUMMYFUNCTION("""COMPUTED_VALUE"""),77.25)</f>
        <v>77.25</v>
      </c>
      <c r="AH53" s="3">
        <f ca="1">IFERROR(__xludf.DUMMYFUNCTION("""COMPUTED_VALUE"""),76.84)</f>
        <v>76.84</v>
      </c>
      <c r="AI53" s="3">
        <f ca="1">IFERROR(__xludf.DUMMYFUNCTION("""COMPUTED_VALUE"""),77.14)</f>
        <v>77.14</v>
      </c>
      <c r="AJ53" s="3">
        <f ca="1">IFERROR(__xludf.DUMMYFUNCTION("""COMPUTED_VALUE"""),5109242)</f>
        <v>5109242</v>
      </c>
      <c r="AK53" s="4">
        <f ca="1">IFERROR(__xludf.DUMMYFUNCTION("""COMPUTED_VALUE"""),42201.6666666666)</f>
        <v>42201.666666666599</v>
      </c>
      <c r="AL53" s="3">
        <f ca="1">IFERROR(__xludf.DUMMYFUNCTION("""COMPUTED_VALUE"""),55)</f>
        <v>55</v>
      </c>
      <c r="AM53" s="3">
        <f ca="1">IFERROR(__xludf.DUMMYFUNCTION("""COMPUTED_VALUE"""),55.11)</f>
        <v>55.11</v>
      </c>
      <c r="AN53" s="3">
        <f ca="1">IFERROR(__xludf.DUMMYFUNCTION("""COMPUTED_VALUE"""),54.84)</f>
        <v>54.84</v>
      </c>
      <c r="AO53" s="3">
        <f ca="1">IFERROR(__xludf.DUMMYFUNCTION("""COMPUTED_VALUE"""),54.94)</f>
        <v>54.94</v>
      </c>
      <c r="AP53" s="3">
        <f ca="1">IFERROR(__xludf.DUMMYFUNCTION("""COMPUTED_VALUE"""),8273040)</f>
        <v>8273040</v>
      </c>
      <c r="AQ53" s="4">
        <f ca="1">IFERROR(__xludf.DUMMYFUNCTION("""COMPUTED_VALUE"""),42201.6666666666)</f>
        <v>42201.666666666599</v>
      </c>
      <c r="AR53" s="3">
        <f ca="1">IFERROR(__xludf.DUMMYFUNCTION("""COMPUTED_VALUE"""),47.99)</f>
        <v>47.99</v>
      </c>
      <c r="AS53" s="3">
        <f ca="1">IFERROR(__xludf.DUMMYFUNCTION("""COMPUTED_VALUE"""),48.14)</f>
        <v>48.14</v>
      </c>
      <c r="AT53" s="3">
        <f ca="1">IFERROR(__xludf.DUMMYFUNCTION("""COMPUTED_VALUE"""),47.83)</f>
        <v>47.83</v>
      </c>
      <c r="AU53" s="3">
        <f ca="1">IFERROR(__xludf.DUMMYFUNCTION("""COMPUTED_VALUE"""),47.99)</f>
        <v>47.99</v>
      </c>
      <c r="AV53" s="3">
        <f ca="1">IFERROR(__xludf.DUMMYFUNCTION("""COMPUTED_VALUE"""),4581718)</f>
        <v>4581718</v>
      </c>
      <c r="AW53" s="4">
        <f ca="1">IFERROR(__xludf.DUMMYFUNCTION("""COMPUTED_VALUE"""),42361.6666666666)</f>
        <v>42361.666666666599</v>
      </c>
      <c r="AX53" s="3">
        <f ca="1">IFERROR(__xludf.DUMMYFUNCTION("""COMPUTED_VALUE"""),30.75)</f>
        <v>30.75</v>
      </c>
      <c r="AY53" s="3">
        <f ca="1">IFERROR(__xludf.DUMMYFUNCTION("""COMPUTED_VALUE"""),30.98)</f>
        <v>30.98</v>
      </c>
      <c r="AZ53" s="3">
        <f ca="1">IFERROR(__xludf.DUMMYFUNCTION("""COMPUTED_VALUE"""),30.75)</f>
        <v>30.75</v>
      </c>
      <c r="BA53" s="3">
        <f ca="1">IFERROR(__xludf.DUMMYFUNCTION("""COMPUTED_VALUE"""),30.98)</f>
        <v>30.98</v>
      </c>
      <c r="BB53" s="3">
        <f ca="1">IFERROR(__xludf.DUMMYFUNCTION("""COMPUTED_VALUE"""),4493)</f>
        <v>4493</v>
      </c>
      <c r="BC53" s="4">
        <f ca="1">IFERROR(__xludf.DUMMYFUNCTION("""COMPUTED_VALUE"""),42201.6666666666)</f>
        <v>42201.666666666599</v>
      </c>
      <c r="BD53" s="3">
        <f ca="1">IFERROR(__xludf.DUMMYFUNCTION("""COMPUTED_VALUE"""),42.57)</f>
        <v>42.57</v>
      </c>
      <c r="BE53" s="3">
        <f ca="1">IFERROR(__xludf.DUMMYFUNCTION("""COMPUTED_VALUE"""),42.8)</f>
        <v>42.8</v>
      </c>
      <c r="BF53" s="3">
        <f ca="1">IFERROR(__xludf.DUMMYFUNCTION("""COMPUTED_VALUE"""),42.49)</f>
        <v>42.49</v>
      </c>
      <c r="BG53" s="3">
        <f ca="1">IFERROR(__xludf.DUMMYFUNCTION("""COMPUTED_VALUE"""),42.78)</f>
        <v>42.78</v>
      </c>
      <c r="BH53" s="3">
        <f ca="1">IFERROR(__xludf.DUMMYFUNCTION("""COMPUTED_VALUE"""),5206622)</f>
        <v>5206622</v>
      </c>
      <c r="BI53" s="4">
        <f ca="1">IFERROR(__xludf.DUMMYFUNCTION("""COMPUTED_VALUE"""),42201.6666666666)</f>
        <v>42201.666666666599</v>
      </c>
      <c r="BJ53" s="3">
        <f ca="1">IFERROR(__xludf.DUMMYFUNCTION("""COMPUTED_VALUE"""),43.14)</f>
        <v>43.14</v>
      </c>
      <c r="BK53" s="3">
        <f ca="1">IFERROR(__xludf.DUMMYFUNCTION("""COMPUTED_VALUE"""),43.85)</f>
        <v>43.85</v>
      </c>
      <c r="BL53" s="3">
        <f ca="1">IFERROR(__xludf.DUMMYFUNCTION("""COMPUTED_VALUE"""),43.08)</f>
        <v>43.08</v>
      </c>
      <c r="BM53" s="3">
        <f ca="1">IFERROR(__xludf.DUMMYFUNCTION("""COMPUTED_VALUE"""),43.78)</f>
        <v>43.78</v>
      </c>
      <c r="BN53" s="3">
        <f ca="1">IFERROR(__xludf.DUMMYFUNCTION("""COMPUTED_VALUE"""),12592698)</f>
        <v>12592698</v>
      </c>
    </row>
    <row r="54" spans="7:66" ht="13" x14ac:dyDescent="0.15">
      <c r="G54" s="4">
        <f ca="1">IFERROR(__xludf.DUMMYFUNCTION("""COMPUTED_VALUE"""),42202.6666666666)</f>
        <v>42202.666666666599</v>
      </c>
      <c r="H54" s="3">
        <f ca="1">IFERROR(__xludf.DUMMYFUNCTION("""COMPUTED_VALUE"""),79.41)</f>
        <v>79.41</v>
      </c>
      <c r="I54" s="3">
        <f ca="1">IFERROR(__xludf.DUMMYFUNCTION("""COMPUTED_VALUE"""),79.42)</f>
        <v>79.42</v>
      </c>
      <c r="J54" s="3">
        <f ca="1">IFERROR(__xludf.DUMMYFUNCTION("""COMPUTED_VALUE"""),78.89)</f>
        <v>78.89</v>
      </c>
      <c r="K54" s="3">
        <f ca="1">IFERROR(__xludf.DUMMYFUNCTION("""COMPUTED_VALUE"""),79.15)</f>
        <v>79.150000000000006</v>
      </c>
      <c r="L54" s="3">
        <f ca="1">IFERROR(__xludf.DUMMYFUNCTION("""COMPUTED_VALUE"""),3244752)</f>
        <v>3244752</v>
      </c>
      <c r="M54" s="4">
        <f ca="1">IFERROR(__xludf.DUMMYFUNCTION("""COMPUTED_VALUE"""),42202.6666666666)</f>
        <v>42202.666666666599</v>
      </c>
      <c r="N54" s="3">
        <f ca="1">IFERROR(__xludf.DUMMYFUNCTION("""COMPUTED_VALUE"""),49.98)</f>
        <v>49.98</v>
      </c>
      <c r="O54" s="3">
        <f ca="1">IFERROR(__xludf.DUMMYFUNCTION("""COMPUTED_VALUE"""),50.08)</f>
        <v>50.08</v>
      </c>
      <c r="P54" s="3">
        <f ca="1">IFERROR(__xludf.DUMMYFUNCTION("""COMPUTED_VALUE"""),49.78)</f>
        <v>49.78</v>
      </c>
      <c r="Q54" s="3">
        <f ca="1">IFERROR(__xludf.DUMMYFUNCTION("""COMPUTED_VALUE"""),50.07)</f>
        <v>50.07</v>
      </c>
      <c r="R54" s="3">
        <f ca="1">IFERROR(__xludf.DUMMYFUNCTION("""COMPUTED_VALUE"""),4874380)</f>
        <v>4874380</v>
      </c>
      <c r="S54" s="4">
        <f ca="1">IFERROR(__xludf.DUMMYFUNCTION("""COMPUTED_VALUE"""),42202.6666666666)</f>
        <v>42202.666666666599</v>
      </c>
      <c r="T54" s="3">
        <f ca="1">IFERROR(__xludf.DUMMYFUNCTION("""COMPUTED_VALUE"""),73.26)</f>
        <v>73.260000000000005</v>
      </c>
      <c r="U54" s="3">
        <f ca="1">IFERROR(__xludf.DUMMYFUNCTION("""COMPUTED_VALUE"""),73.33)</f>
        <v>73.33</v>
      </c>
      <c r="V54" s="3">
        <f ca="1">IFERROR(__xludf.DUMMYFUNCTION("""COMPUTED_VALUE"""),72.2)</f>
        <v>72.2</v>
      </c>
      <c r="W54" s="3">
        <f ca="1">IFERROR(__xludf.DUMMYFUNCTION("""COMPUTED_VALUE"""),72.44)</f>
        <v>72.44</v>
      </c>
      <c r="X54" s="3">
        <f ca="1">IFERROR(__xludf.DUMMYFUNCTION("""COMPUTED_VALUE"""),14096029)</f>
        <v>14096029</v>
      </c>
      <c r="Y54" s="4">
        <f ca="1">IFERROR(__xludf.DUMMYFUNCTION("""COMPUTED_VALUE"""),42202.6666666666)</f>
        <v>42202.666666666599</v>
      </c>
      <c r="Z54" s="3">
        <f ca="1">IFERROR(__xludf.DUMMYFUNCTION("""COMPUTED_VALUE"""),20.66)</f>
        <v>20.66</v>
      </c>
      <c r="AA54" s="3">
        <f ca="1">IFERROR(__xludf.DUMMYFUNCTION("""COMPUTED_VALUE"""),20.68)</f>
        <v>20.68</v>
      </c>
      <c r="AB54" s="3">
        <f ca="1">IFERROR(__xludf.DUMMYFUNCTION("""COMPUTED_VALUE"""),20.53)</f>
        <v>20.53</v>
      </c>
      <c r="AC54" s="3">
        <f ca="1">IFERROR(__xludf.DUMMYFUNCTION("""COMPUTED_VALUE"""),20.62)</f>
        <v>20.62</v>
      </c>
      <c r="AD54" s="3">
        <f ca="1">IFERROR(__xludf.DUMMYFUNCTION("""COMPUTED_VALUE"""),18104610)</f>
        <v>18104610</v>
      </c>
      <c r="AE54" s="4">
        <f ca="1">IFERROR(__xludf.DUMMYFUNCTION("""COMPUTED_VALUE"""),42202.6666666666)</f>
        <v>42202.666666666599</v>
      </c>
      <c r="AF54" s="3">
        <f ca="1">IFERROR(__xludf.DUMMYFUNCTION("""COMPUTED_VALUE"""),77.05)</f>
        <v>77.05</v>
      </c>
      <c r="AG54" s="3">
        <f ca="1">IFERROR(__xludf.DUMMYFUNCTION("""COMPUTED_VALUE"""),77.07)</f>
        <v>77.069999999999993</v>
      </c>
      <c r="AH54" s="3">
        <f ca="1">IFERROR(__xludf.DUMMYFUNCTION("""COMPUTED_VALUE"""),76.66)</f>
        <v>76.66</v>
      </c>
      <c r="AI54" s="3">
        <f ca="1">IFERROR(__xludf.DUMMYFUNCTION("""COMPUTED_VALUE"""),76.97)</f>
        <v>76.97</v>
      </c>
      <c r="AJ54" s="3">
        <f ca="1">IFERROR(__xludf.DUMMYFUNCTION("""COMPUTED_VALUE"""),3877857)</f>
        <v>3877857</v>
      </c>
      <c r="AK54" s="4">
        <f ca="1">IFERROR(__xludf.DUMMYFUNCTION("""COMPUTED_VALUE"""),42202.6666666666)</f>
        <v>42202.666666666599</v>
      </c>
      <c r="AL54" s="3">
        <f ca="1">IFERROR(__xludf.DUMMYFUNCTION("""COMPUTED_VALUE"""),55.03)</f>
        <v>55.03</v>
      </c>
      <c r="AM54" s="3">
        <f ca="1">IFERROR(__xludf.DUMMYFUNCTION("""COMPUTED_VALUE"""),55.15)</f>
        <v>55.15</v>
      </c>
      <c r="AN54" s="3">
        <f ca="1">IFERROR(__xludf.DUMMYFUNCTION("""COMPUTED_VALUE"""),54.78)</f>
        <v>54.78</v>
      </c>
      <c r="AO54" s="3">
        <f ca="1">IFERROR(__xludf.DUMMYFUNCTION("""COMPUTED_VALUE"""),54.92)</f>
        <v>54.92</v>
      </c>
      <c r="AP54" s="3">
        <f ca="1">IFERROR(__xludf.DUMMYFUNCTION("""COMPUTED_VALUE"""),5506049)</f>
        <v>5506049</v>
      </c>
      <c r="AQ54" s="4">
        <f ca="1">IFERROR(__xludf.DUMMYFUNCTION("""COMPUTED_VALUE"""),42202.6666666666)</f>
        <v>42202.666666666599</v>
      </c>
      <c r="AR54" s="3">
        <f ca="1">IFERROR(__xludf.DUMMYFUNCTION("""COMPUTED_VALUE"""),47.84)</f>
        <v>47.84</v>
      </c>
      <c r="AS54" s="3">
        <f ca="1">IFERROR(__xludf.DUMMYFUNCTION("""COMPUTED_VALUE"""),47.97)</f>
        <v>47.97</v>
      </c>
      <c r="AT54" s="3">
        <f ca="1">IFERROR(__xludf.DUMMYFUNCTION("""COMPUTED_VALUE"""),47.41)</f>
        <v>47.41</v>
      </c>
      <c r="AU54" s="3">
        <f ca="1">IFERROR(__xludf.DUMMYFUNCTION("""COMPUTED_VALUE"""),47.66)</f>
        <v>47.66</v>
      </c>
      <c r="AV54" s="3">
        <f ca="1">IFERROR(__xludf.DUMMYFUNCTION("""COMPUTED_VALUE"""),7248481)</f>
        <v>7248481</v>
      </c>
      <c r="AW54" s="4">
        <f ca="1">IFERROR(__xludf.DUMMYFUNCTION("""COMPUTED_VALUE"""),42362.6666666666)</f>
        <v>42362.666666666599</v>
      </c>
      <c r="AX54" s="3">
        <f ca="1">IFERROR(__xludf.DUMMYFUNCTION("""COMPUTED_VALUE"""),30.86)</f>
        <v>30.86</v>
      </c>
      <c r="AY54" s="3">
        <f ca="1">IFERROR(__xludf.DUMMYFUNCTION("""COMPUTED_VALUE"""),31.01)</f>
        <v>31.01</v>
      </c>
      <c r="AZ54" s="3">
        <f ca="1">IFERROR(__xludf.DUMMYFUNCTION("""COMPUTED_VALUE"""),30.86)</f>
        <v>30.86</v>
      </c>
      <c r="BA54" s="3">
        <f ca="1">IFERROR(__xludf.DUMMYFUNCTION("""COMPUTED_VALUE"""),31.01)</f>
        <v>31.01</v>
      </c>
      <c r="BB54" s="3">
        <f ca="1">IFERROR(__xludf.DUMMYFUNCTION("""COMPUTED_VALUE"""),330)</f>
        <v>330</v>
      </c>
      <c r="BC54" s="4">
        <f ca="1">IFERROR(__xludf.DUMMYFUNCTION("""COMPUTED_VALUE"""),42202.6666666666)</f>
        <v>42202.666666666599</v>
      </c>
      <c r="BD54" s="3">
        <f ca="1">IFERROR(__xludf.DUMMYFUNCTION("""COMPUTED_VALUE"""),43.15)</f>
        <v>43.15</v>
      </c>
      <c r="BE54" s="3">
        <f ca="1">IFERROR(__xludf.DUMMYFUNCTION("""COMPUTED_VALUE"""),43.44)</f>
        <v>43.44</v>
      </c>
      <c r="BF54" s="3">
        <f ca="1">IFERROR(__xludf.DUMMYFUNCTION("""COMPUTED_VALUE"""),43.09)</f>
        <v>43.09</v>
      </c>
      <c r="BG54" s="3">
        <f ca="1">IFERROR(__xludf.DUMMYFUNCTION("""COMPUTED_VALUE"""),43.44)</f>
        <v>43.44</v>
      </c>
      <c r="BH54" s="3">
        <f ca="1">IFERROR(__xludf.DUMMYFUNCTION("""COMPUTED_VALUE"""),7775002)</f>
        <v>7775002</v>
      </c>
      <c r="BI54" s="4">
        <f ca="1">IFERROR(__xludf.DUMMYFUNCTION("""COMPUTED_VALUE"""),42202.6666666666)</f>
        <v>42202.666666666599</v>
      </c>
      <c r="BJ54" s="3">
        <f ca="1">IFERROR(__xludf.DUMMYFUNCTION("""COMPUTED_VALUE"""),43.78)</f>
        <v>43.78</v>
      </c>
      <c r="BK54" s="3">
        <f ca="1">IFERROR(__xludf.DUMMYFUNCTION("""COMPUTED_VALUE"""),43.84)</f>
        <v>43.84</v>
      </c>
      <c r="BL54" s="3">
        <f ca="1">IFERROR(__xludf.DUMMYFUNCTION("""COMPUTED_VALUE"""),43.33)</f>
        <v>43.33</v>
      </c>
      <c r="BM54" s="3">
        <f ca="1">IFERROR(__xludf.DUMMYFUNCTION("""COMPUTED_VALUE"""),43.35)</f>
        <v>43.35</v>
      </c>
      <c r="BN54" s="3">
        <f ca="1">IFERROR(__xludf.DUMMYFUNCTION("""COMPUTED_VALUE"""),10492258)</f>
        <v>10492258</v>
      </c>
    </row>
    <row r="55" spans="7:66" ht="13" x14ac:dyDescent="0.15">
      <c r="G55" s="4">
        <f ca="1">IFERROR(__xludf.DUMMYFUNCTION("""COMPUTED_VALUE"""),42205.6666666666)</f>
        <v>42205.666666666599</v>
      </c>
      <c r="H55" s="3">
        <f ca="1">IFERROR(__xludf.DUMMYFUNCTION("""COMPUTED_VALUE"""),79.56)</f>
        <v>79.56</v>
      </c>
      <c r="I55" s="3">
        <f ca="1">IFERROR(__xludf.DUMMYFUNCTION("""COMPUTED_VALUE"""),79.56)</f>
        <v>79.56</v>
      </c>
      <c r="J55" s="3">
        <f ca="1">IFERROR(__xludf.DUMMYFUNCTION("""COMPUTED_VALUE"""),79.07)</f>
        <v>79.069999999999993</v>
      </c>
      <c r="K55" s="3">
        <f ca="1">IFERROR(__xludf.DUMMYFUNCTION("""COMPUTED_VALUE"""),79.19)</f>
        <v>79.19</v>
      </c>
      <c r="L55" s="3">
        <f ca="1">IFERROR(__xludf.DUMMYFUNCTION("""COMPUTED_VALUE"""),2554701)</f>
        <v>2554701</v>
      </c>
      <c r="M55" s="4">
        <f ca="1">IFERROR(__xludf.DUMMYFUNCTION("""COMPUTED_VALUE"""),42205.6666666666)</f>
        <v>42205.666666666599</v>
      </c>
      <c r="N55" s="3">
        <f ca="1">IFERROR(__xludf.DUMMYFUNCTION("""COMPUTED_VALUE"""),50.1)</f>
        <v>50.1</v>
      </c>
      <c r="O55" s="3">
        <f ca="1">IFERROR(__xludf.DUMMYFUNCTION("""COMPUTED_VALUE"""),50.22)</f>
        <v>50.22</v>
      </c>
      <c r="P55" s="3">
        <f ca="1">IFERROR(__xludf.DUMMYFUNCTION("""COMPUTED_VALUE"""),49.96)</f>
        <v>49.96</v>
      </c>
      <c r="Q55" s="3">
        <f ca="1">IFERROR(__xludf.DUMMYFUNCTION("""COMPUTED_VALUE"""),50.16)</f>
        <v>50.16</v>
      </c>
      <c r="R55" s="3">
        <f ca="1">IFERROR(__xludf.DUMMYFUNCTION("""COMPUTED_VALUE"""),6345397)</f>
        <v>6345397</v>
      </c>
      <c r="S55" s="4">
        <f ca="1">IFERROR(__xludf.DUMMYFUNCTION("""COMPUTED_VALUE"""),42205.6666666666)</f>
        <v>42205.666666666599</v>
      </c>
      <c r="T55" s="3">
        <f ca="1">IFERROR(__xludf.DUMMYFUNCTION("""COMPUTED_VALUE"""),72.57)</f>
        <v>72.569999999999993</v>
      </c>
      <c r="U55" s="3">
        <f ca="1">IFERROR(__xludf.DUMMYFUNCTION("""COMPUTED_VALUE"""),72.58)</f>
        <v>72.58</v>
      </c>
      <c r="V55" s="3">
        <f ca="1">IFERROR(__xludf.DUMMYFUNCTION("""COMPUTED_VALUE"""),71.39)</f>
        <v>71.39</v>
      </c>
      <c r="W55" s="3">
        <f ca="1">IFERROR(__xludf.DUMMYFUNCTION("""COMPUTED_VALUE"""),71.48)</f>
        <v>71.48</v>
      </c>
      <c r="X55" s="3">
        <f ca="1">IFERROR(__xludf.DUMMYFUNCTION("""COMPUTED_VALUE"""),13833374)</f>
        <v>13833374</v>
      </c>
      <c r="Y55" s="4">
        <f ca="1">IFERROR(__xludf.DUMMYFUNCTION("""COMPUTED_VALUE"""),42205.6666666666)</f>
        <v>42205.666666666599</v>
      </c>
      <c r="Z55" s="3">
        <f ca="1">IFERROR(__xludf.DUMMYFUNCTION("""COMPUTED_VALUE"""),20.67)</f>
        <v>20.67</v>
      </c>
      <c r="AA55" s="3">
        <f ca="1">IFERROR(__xludf.DUMMYFUNCTION("""COMPUTED_VALUE"""),20.71)</f>
        <v>20.71</v>
      </c>
      <c r="AB55" s="3">
        <f ca="1">IFERROR(__xludf.DUMMYFUNCTION("""COMPUTED_VALUE"""),20.59)</f>
        <v>20.59</v>
      </c>
      <c r="AC55" s="3">
        <f ca="1">IFERROR(__xludf.DUMMYFUNCTION("""COMPUTED_VALUE"""),20.64)</f>
        <v>20.64</v>
      </c>
      <c r="AD55" s="3">
        <f ca="1">IFERROR(__xludf.DUMMYFUNCTION("""COMPUTED_VALUE"""),20596334)</f>
        <v>20596334</v>
      </c>
      <c r="AE55" s="4">
        <f ca="1">IFERROR(__xludf.DUMMYFUNCTION("""COMPUTED_VALUE"""),42205.6666666666)</f>
        <v>42205.666666666599</v>
      </c>
      <c r="AF55" s="3">
        <f ca="1">IFERROR(__xludf.DUMMYFUNCTION("""COMPUTED_VALUE"""),77.07)</f>
        <v>77.069999999999993</v>
      </c>
      <c r="AG55" s="3">
        <f ca="1">IFERROR(__xludf.DUMMYFUNCTION("""COMPUTED_VALUE"""),77.4)</f>
        <v>77.400000000000006</v>
      </c>
      <c r="AH55" s="3">
        <f ca="1">IFERROR(__xludf.DUMMYFUNCTION("""COMPUTED_VALUE"""),76.99)</f>
        <v>76.989999999999995</v>
      </c>
      <c r="AI55" s="3">
        <f ca="1">IFERROR(__xludf.DUMMYFUNCTION("""COMPUTED_VALUE"""),77.22)</f>
        <v>77.22</v>
      </c>
      <c r="AJ55" s="3">
        <f ca="1">IFERROR(__xludf.DUMMYFUNCTION("""COMPUTED_VALUE"""),3874760)</f>
        <v>3874760</v>
      </c>
      <c r="AK55" s="4">
        <f ca="1">IFERROR(__xludf.DUMMYFUNCTION("""COMPUTED_VALUE"""),42205.6666666666)</f>
        <v>42205.666666666599</v>
      </c>
      <c r="AL55" s="3">
        <f ca="1">IFERROR(__xludf.DUMMYFUNCTION("""COMPUTED_VALUE"""),54.92)</f>
        <v>54.92</v>
      </c>
      <c r="AM55" s="3">
        <f ca="1">IFERROR(__xludf.DUMMYFUNCTION("""COMPUTED_VALUE"""),55.05)</f>
        <v>55.05</v>
      </c>
      <c r="AN55" s="3">
        <f ca="1">IFERROR(__xludf.DUMMYFUNCTION("""COMPUTED_VALUE"""),54.84)</f>
        <v>54.84</v>
      </c>
      <c r="AO55" s="3">
        <f ca="1">IFERROR(__xludf.DUMMYFUNCTION("""COMPUTED_VALUE"""),54.93)</f>
        <v>54.93</v>
      </c>
      <c r="AP55" s="3">
        <f ca="1">IFERROR(__xludf.DUMMYFUNCTION("""COMPUTED_VALUE"""),5163093)</f>
        <v>5163093</v>
      </c>
      <c r="AQ55" s="4">
        <f ca="1">IFERROR(__xludf.DUMMYFUNCTION("""COMPUTED_VALUE"""),42205.6666666666)</f>
        <v>42205.666666666599</v>
      </c>
      <c r="AR55" s="3">
        <f ca="1">IFERROR(__xludf.DUMMYFUNCTION("""COMPUTED_VALUE"""),47.67)</f>
        <v>47.67</v>
      </c>
      <c r="AS55" s="3">
        <f ca="1">IFERROR(__xludf.DUMMYFUNCTION("""COMPUTED_VALUE"""),47.67)</f>
        <v>47.67</v>
      </c>
      <c r="AT55" s="3">
        <f ca="1">IFERROR(__xludf.DUMMYFUNCTION("""COMPUTED_VALUE"""),47.17)</f>
        <v>47.17</v>
      </c>
      <c r="AU55" s="3">
        <f ca="1">IFERROR(__xludf.DUMMYFUNCTION("""COMPUTED_VALUE"""),47.26)</f>
        <v>47.26</v>
      </c>
      <c r="AV55" s="3">
        <f ca="1">IFERROR(__xludf.DUMMYFUNCTION("""COMPUTED_VALUE"""),4447721)</f>
        <v>4447721</v>
      </c>
      <c r="AW55" s="4">
        <f ca="1">IFERROR(__xludf.DUMMYFUNCTION("""COMPUTED_VALUE"""),42366.6666666666)</f>
        <v>42366.666666666599</v>
      </c>
      <c r="AX55" s="3">
        <f ca="1">IFERROR(__xludf.DUMMYFUNCTION("""COMPUTED_VALUE"""),31.03)</f>
        <v>31.03</v>
      </c>
      <c r="AY55" s="3">
        <f ca="1">IFERROR(__xludf.DUMMYFUNCTION("""COMPUTED_VALUE"""),31.03)</f>
        <v>31.03</v>
      </c>
      <c r="AZ55" s="3">
        <f ca="1">IFERROR(__xludf.DUMMYFUNCTION("""COMPUTED_VALUE"""),30.92)</f>
        <v>30.92</v>
      </c>
      <c r="BA55" s="3">
        <f ca="1">IFERROR(__xludf.DUMMYFUNCTION("""COMPUTED_VALUE"""),30.93)</f>
        <v>30.93</v>
      </c>
      <c r="BB55" s="3">
        <f ca="1">IFERROR(__xludf.DUMMYFUNCTION("""COMPUTED_VALUE"""),2126)</f>
        <v>2126</v>
      </c>
      <c r="BC55" s="4">
        <f ca="1">IFERROR(__xludf.DUMMYFUNCTION("""COMPUTED_VALUE"""),42205.6666666666)</f>
        <v>42205.666666666599</v>
      </c>
      <c r="BD55" s="3">
        <f ca="1">IFERROR(__xludf.DUMMYFUNCTION("""COMPUTED_VALUE"""),43.59)</f>
        <v>43.59</v>
      </c>
      <c r="BE55" s="3">
        <f ca="1">IFERROR(__xludf.DUMMYFUNCTION("""COMPUTED_VALUE"""),43.81)</f>
        <v>43.81</v>
      </c>
      <c r="BF55" s="3">
        <f ca="1">IFERROR(__xludf.DUMMYFUNCTION("""COMPUTED_VALUE"""),43.44)</f>
        <v>43.44</v>
      </c>
      <c r="BG55" s="3">
        <f ca="1">IFERROR(__xludf.DUMMYFUNCTION("""COMPUTED_VALUE"""),43.67)</f>
        <v>43.67</v>
      </c>
      <c r="BH55" s="3">
        <f ca="1">IFERROR(__xludf.DUMMYFUNCTION("""COMPUTED_VALUE"""),9309458)</f>
        <v>9309458</v>
      </c>
      <c r="BI55" s="4">
        <f ca="1">IFERROR(__xludf.DUMMYFUNCTION("""COMPUTED_VALUE"""),42205.6666666666)</f>
        <v>42205.666666666599</v>
      </c>
      <c r="BJ55" s="3">
        <f ca="1">IFERROR(__xludf.DUMMYFUNCTION("""COMPUTED_VALUE"""),43.17)</f>
        <v>43.17</v>
      </c>
      <c r="BK55" s="3">
        <f ca="1">IFERROR(__xludf.DUMMYFUNCTION("""COMPUTED_VALUE"""),43.37)</f>
        <v>43.37</v>
      </c>
      <c r="BL55" s="3">
        <f ca="1">IFERROR(__xludf.DUMMYFUNCTION("""COMPUTED_VALUE"""),42.91)</f>
        <v>42.91</v>
      </c>
      <c r="BM55" s="3">
        <f ca="1">IFERROR(__xludf.DUMMYFUNCTION("""COMPUTED_VALUE"""),43.13)</f>
        <v>43.13</v>
      </c>
      <c r="BN55" s="3">
        <f ca="1">IFERROR(__xludf.DUMMYFUNCTION("""COMPUTED_VALUE"""),9812517)</f>
        <v>9812517</v>
      </c>
    </row>
    <row r="56" spans="7:66" ht="13" x14ac:dyDescent="0.15">
      <c r="G56" s="4">
        <f ca="1">IFERROR(__xludf.DUMMYFUNCTION("""COMPUTED_VALUE"""),42206.6666666666)</f>
        <v>42206.666666666599</v>
      </c>
      <c r="H56" s="3">
        <f ca="1">IFERROR(__xludf.DUMMYFUNCTION("""COMPUTED_VALUE"""),79.57)</f>
        <v>79.569999999999993</v>
      </c>
      <c r="I56" s="3">
        <f ca="1">IFERROR(__xludf.DUMMYFUNCTION("""COMPUTED_VALUE"""),79.57)</f>
        <v>79.569999999999993</v>
      </c>
      <c r="J56" s="3">
        <f ca="1">IFERROR(__xludf.DUMMYFUNCTION("""COMPUTED_VALUE"""),78.72)</f>
        <v>78.72</v>
      </c>
      <c r="K56" s="3">
        <f ca="1">IFERROR(__xludf.DUMMYFUNCTION("""COMPUTED_VALUE"""),78.94)</f>
        <v>78.94</v>
      </c>
      <c r="L56" s="3">
        <f ca="1">IFERROR(__xludf.DUMMYFUNCTION("""COMPUTED_VALUE"""),2676886)</f>
        <v>2676886</v>
      </c>
      <c r="M56" s="4">
        <f ca="1">IFERROR(__xludf.DUMMYFUNCTION("""COMPUTED_VALUE"""),42206.6666666666)</f>
        <v>42206.666666666599</v>
      </c>
      <c r="N56" s="3">
        <f ca="1">IFERROR(__xludf.DUMMYFUNCTION("""COMPUTED_VALUE"""),50.04)</f>
        <v>50.04</v>
      </c>
      <c r="O56" s="3">
        <f ca="1">IFERROR(__xludf.DUMMYFUNCTION("""COMPUTED_VALUE"""),50.19)</f>
        <v>50.19</v>
      </c>
      <c r="P56" s="3">
        <f ca="1">IFERROR(__xludf.DUMMYFUNCTION("""COMPUTED_VALUE"""),49.9)</f>
        <v>49.9</v>
      </c>
      <c r="Q56" s="3">
        <f ca="1">IFERROR(__xludf.DUMMYFUNCTION("""COMPUTED_VALUE"""),50.04)</f>
        <v>50.04</v>
      </c>
      <c r="R56" s="3">
        <f ca="1">IFERROR(__xludf.DUMMYFUNCTION("""COMPUTED_VALUE"""),6146042)</f>
        <v>6146042</v>
      </c>
      <c r="S56" s="4">
        <f ca="1">IFERROR(__xludf.DUMMYFUNCTION("""COMPUTED_VALUE"""),42206.6666666666)</f>
        <v>42206.666666666599</v>
      </c>
      <c r="T56" s="3">
        <f ca="1">IFERROR(__xludf.DUMMYFUNCTION("""COMPUTED_VALUE"""),71.65)</f>
        <v>71.650000000000006</v>
      </c>
      <c r="U56" s="3">
        <f ca="1">IFERROR(__xludf.DUMMYFUNCTION("""COMPUTED_VALUE"""),72.22)</f>
        <v>72.22</v>
      </c>
      <c r="V56" s="3">
        <f ca="1">IFERROR(__xludf.DUMMYFUNCTION("""COMPUTED_VALUE"""),71.29)</f>
        <v>71.290000000000006</v>
      </c>
      <c r="W56" s="3">
        <f ca="1">IFERROR(__xludf.DUMMYFUNCTION("""COMPUTED_VALUE"""),71.51)</f>
        <v>71.510000000000005</v>
      </c>
      <c r="X56" s="3">
        <f ca="1">IFERROR(__xludf.DUMMYFUNCTION("""COMPUTED_VALUE"""),10619013)</f>
        <v>10619013</v>
      </c>
      <c r="Y56" s="4">
        <f ca="1">IFERROR(__xludf.DUMMYFUNCTION("""COMPUTED_VALUE"""),42206.6666666666)</f>
        <v>42206.666666666599</v>
      </c>
      <c r="Z56" s="3">
        <f ca="1">IFERROR(__xludf.DUMMYFUNCTION("""COMPUTED_VALUE"""),20.65)</f>
        <v>20.65</v>
      </c>
      <c r="AA56" s="3">
        <f ca="1">IFERROR(__xludf.DUMMYFUNCTION("""COMPUTED_VALUE"""),20.73)</f>
        <v>20.73</v>
      </c>
      <c r="AB56" s="3">
        <f ca="1">IFERROR(__xludf.DUMMYFUNCTION("""COMPUTED_VALUE"""),20.57)</f>
        <v>20.57</v>
      </c>
      <c r="AC56" s="3">
        <f ca="1">IFERROR(__xludf.DUMMYFUNCTION("""COMPUTED_VALUE"""),20.62)</f>
        <v>20.62</v>
      </c>
      <c r="AD56" s="3">
        <f ca="1">IFERROR(__xludf.DUMMYFUNCTION("""COMPUTED_VALUE"""),19813295)</f>
        <v>19813295</v>
      </c>
      <c r="AE56" s="4">
        <f ca="1">IFERROR(__xludf.DUMMYFUNCTION("""COMPUTED_VALUE"""),42206.6666666666)</f>
        <v>42206.666666666599</v>
      </c>
      <c r="AF56" s="3">
        <f ca="1">IFERROR(__xludf.DUMMYFUNCTION("""COMPUTED_VALUE"""),77.19)</f>
        <v>77.19</v>
      </c>
      <c r="AG56" s="3">
        <f ca="1">IFERROR(__xludf.DUMMYFUNCTION("""COMPUTED_VALUE"""),77.39)</f>
        <v>77.39</v>
      </c>
      <c r="AH56" s="3">
        <f ca="1">IFERROR(__xludf.DUMMYFUNCTION("""COMPUTED_VALUE"""),76.53)</f>
        <v>76.53</v>
      </c>
      <c r="AI56" s="3">
        <f ca="1">IFERROR(__xludf.DUMMYFUNCTION("""COMPUTED_VALUE"""),76.88)</f>
        <v>76.88</v>
      </c>
      <c r="AJ56" s="3">
        <f ca="1">IFERROR(__xludf.DUMMYFUNCTION("""COMPUTED_VALUE"""),8140190)</f>
        <v>8140190</v>
      </c>
      <c r="AK56" s="4">
        <f ca="1">IFERROR(__xludf.DUMMYFUNCTION("""COMPUTED_VALUE"""),42206.6666666666)</f>
        <v>42206.666666666599</v>
      </c>
      <c r="AL56" s="3">
        <f ca="1">IFERROR(__xludf.DUMMYFUNCTION("""COMPUTED_VALUE"""),54.52)</f>
        <v>54.52</v>
      </c>
      <c r="AM56" s="3">
        <f ca="1">IFERROR(__xludf.DUMMYFUNCTION("""COMPUTED_VALUE"""),54.71)</f>
        <v>54.71</v>
      </c>
      <c r="AN56" s="3">
        <f ca="1">IFERROR(__xludf.DUMMYFUNCTION("""COMPUTED_VALUE"""),54.28)</f>
        <v>54.28</v>
      </c>
      <c r="AO56" s="3">
        <f ca="1">IFERROR(__xludf.DUMMYFUNCTION("""COMPUTED_VALUE"""),54.34)</f>
        <v>54.34</v>
      </c>
      <c r="AP56" s="3">
        <f ca="1">IFERROR(__xludf.DUMMYFUNCTION("""COMPUTED_VALUE"""),7287449)</f>
        <v>7287449</v>
      </c>
      <c r="AQ56" s="4">
        <f ca="1">IFERROR(__xludf.DUMMYFUNCTION("""COMPUTED_VALUE"""),42206.6666666666)</f>
        <v>42206.666666666599</v>
      </c>
      <c r="AR56" s="3">
        <f ca="1">IFERROR(__xludf.DUMMYFUNCTION("""COMPUTED_VALUE"""),47.22)</f>
        <v>47.22</v>
      </c>
      <c r="AS56" s="3">
        <f ca="1">IFERROR(__xludf.DUMMYFUNCTION("""COMPUTED_VALUE"""),47.6)</f>
        <v>47.6</v>
      </c>
      <c r="AT56" s="3">
        <f ca="1">IFERROR(__xludf.DUMMYFUNCTION("""COMPUTED_VALUE"""),46.83)</f>
        <v>46.83</v>
      </c>
      <c r="AU56" s="3">
        <f ca="1">IFERROR(__xludf.DUMMYFUNCTION("""COMPUTED_VALUE"""),46.97)</f>
        <v>46.97</v>
      </c>
      <c r="AV56" s="3">
        <f ca="1">IFERROR(__xludf.DUMMYFUNCTION("""COMPUTED_VALUE"""),3459342)</f>
        <v>3459342</v>
      </c>
      <c r="AW56" s="4">
        <f ca="1">IFERROR(__xludf.DUMMYFUNCTION("""COMPUTED_VALUE"""),42367.6666666666)</f>
        <v>42367.666666666599</v>
      </c>
      <c r="AX56" s="3">
        <f ca="1">IFERROR(__xludf.DUMMYFUNCTION("""COMPUTED_VALUE"""),31.25)</f>
        <v>31.25</v>
      </c>
      <c r="AY56" s="3">
        <f ca="1">IFERROR(__xludf.DUMMYFUNCTION("""COMPUTED_VALUE"""),31.49)</f>
        <v>31.49</v>
      </c>
      <c r="AZ56" s="3">
        <f ca="1">IFERROR(__xludf.DUMMYFUNCTION("""COMPUTED_VALUE"""),31.25)</f>
        <v>31.25</v>
      </c>
      <c r="BA56" s="3">
        <f ca="1">IFERROR(__xludf.DUMMYFUNCTION("""COMPUTED_VALUE"""),31.44)</f>
        <v>31.44</v>
      </c>
      <c r="BB56" s="3">
        <f ca="1">IFERROR(__xludf.DUMMYFUNCTION("""COMPUTED_VALUE"""),3457)</f>
        <v>3457</v>
      </c>
      <c r="BC56" s="4">
        <f ca="1">IFERROR(__xludf.DUMMYFUNCTION("""COMPUTED_VALUE"""),42206.6666666666)</f>
        <v>42206.666666666599</v>
      </c>
      <c r="BD56" s="3">
        <f ca="1">IFERROR(__xludf.DUMMYFUNCTION("""COMPUTED_VALUE"""),43.45)</f>
        <v>43.45</v>
      </c>
      <c r="BE56" s="3">
        <f ca="1">IFERROR(__xludf.DUMMYFUNCTION("""COMPUTED_VALUE"""),43.61)</f>
        <v>43.61</v>
      </c>
      <c r="BF56" s="3">
        <f ca="1">IFERROR(__xludf.DUMMYFUNCTION("""COMPUTED_VALUE"""),43.34)</f>
        <v>43.34</v>
      </c>
      <c r="BG56" s="3">
        <f ca="1">IFERROR(__xludf.DUMMYFUNCTION("""COMPUTED_VALUE"""),43.38)</f>
        <v>43.38</v>
      </c>
      <c r="BH56" s="3">
        <f ca="1">IFERROR(__xludf.DUMMYFUNCTION("""COMPUTED_VALUE"""),5975225)</f>
        <v>5975225</v>
      </c>
      <c r="BI56" s="4">
        <f ca="1">IFERROR(__xludf.DUMMYFUNCTION("""COMPUTED_VALUE"""),42206.6666666666)</f>
        <v>42206.666666666599</v>
      </c>
      <c r="BJ56" s="3">
        <f ca="1">IFERROR(__xludf.DUMMYFUNCTION("""COMPUTED_VALUE"""),43.05)</f>
        <v>43.05</v>
      </c>
      <c r="BK56" s="3">
        <f ca="1">IFERROR(__xludf.DUMMYFUNCTION("""COMPUTED_VALUE"""),43.15)</f>
        <v>43.15</v>
      </c>
      <c r="BL56" s="3">
        <f ca="1">IFERROR(__xludf.DUMMYFUNCTION("""COMPUTED_VALUE"""),42.56)</f>
        <v>42.56</v>
      </c>
      <c r="BM56" s="3">
        <f ca="1">IFERROR(__xludf.DUMMYFUNCTION("""COMPUTED_VALUE"""),42.74)</f>
        <v>42.74</v>
      </c>
      <c r="BN56" s="3">
        <f ca="1">IFERROR(__xludf.DUMMYFUNCTION("""COMPUTED_VALUE"""),10284757)</f>
        <v>10284757</v>
      </c>
    </row>
    <row r="57" spans="7:66" ht="13" x14ac:dyDescent="0.15">
      <c r="G57" s="4">
        <f ca="1">IFERROR(__xludf.DUMMYFUNCTION("""COMPUTED_VALUE"""),42207.6666666666)</f>
        <v>42207.666666666599</v>
      </c>
      <c r="H57" s="3">
        <f ca="1">IFERROR(__xludf.DUMMYFUNCTION("""COMPUTED_VALUE"""),78.93)</f>
        <v>78.930000000000007</v>
      </c>
      <c r="I57" s="3">
        <f ca="1">IFERROR(__xludf.DUMMYFUNCTION("""COMPUTED_VALUE"""),79.45)</f>
        <v>79.45</v>
      </c>
      <c r="J57" s="3">
        <f ca="1">IFERROR(__xludf.DUMMYFUNCTION("""COMPUTED_VALUE"""),78.83)</f>
        <v>78.83</v>
      </c>
      <c r="K57" s="3">
        <f ca="1">IFERROR(__xludf.DUMMYFUNCTION("""COMPUTED_VALUE"""),79.32)</f>
        <v>79.319999999999993</v>
      </c>
      <c r="L57" s="3">
        <f ca="1">IFERROR(__xludf.DUMMYFUNCTION("""COMPUTED_VALUE"""),3209736)</f>
        <v>3209736</v>
      </c>
      <c r="M57" s="4">
        <f ca="1">IFERROR(__xludf.DUMMYFUNCTION("""COMPUTED_VALUE"""),42207.6666666666)</f>
        <v>42207.666666666599</v>
      </c>
      <c r="N57" s="3">
        <f ca="1">IFERROR(__xludf.DUMMYFUNCTION("""COMPUTED_VALUE"""),50.04)</f>
        <v>50.04</v>
      </c>
      <c r="O57" s="3">
        <f ca="1">IFERROR(__xludf.DUMMYFUNCTION("""COMPUTED_VALUE"""),50.33)</f>
        <v>50.33</v>
      </c>
      <c r="P57" s="3">
        <f ca="1">IFERROR(__xludf.DUMMYFUNCTION("""COMPUTED_VALUE"""),50.01)</f>
        <v>50.01</v>
      </c>
      <c r="Q57" s="3">
        <f ca="1">IFERROR(__xludf.DUMMYFUNCTION("""COMPUTED_VALUE"""),50.15)</f>
        <v>50.15</v>
      </c>
      <c r="R57" s="3">
        <f ca="1">IFERROR(__xludf.DUMMYFUNCTION("""COMPUTED_VALUE"""),6107881)</f>
        <v>6107881</v>
      </c>
      <c r="S57" s="4">
        <f ca="1">IFERROR(__xludf.DUMMYFUNCTION("""COMPUTED_VALUE"""),42207.6666666666)</f>
        <v>42207.666666666599</v>
      </c>
      <c r="T57" s="3">
        <f ca="1">IFERROR(__xludf.DUMMYFUNCTION("""COMPUTED_VALUE"""),71.22)</f>
        <v>71.22</v>
      </c>
      <c r="U57" s="3">
        <f ca="1">IFERROR(__xludf.DUMMYFUNCTION("""COMPUTED_VALUE"""),71.65)</f>
        <v>71.650000000000006</v>
      </c>
      <c r="V57" s="3">
        <f ca="1">IFERROR(__xludf.DUMMYFUNCTION("""COMPUTED_VALUE"""),70.78)</f>
        <v>70.78</v>
      </c>
      <c r="W57" s="3">
        <f ca="1">IFERROR(__xludf.DUMMYFUNCTION("""COMPUTED_VALUE"""),70.93)</f>
        <v>70.930000000000007</v>
      </c>
      <c r="X57" s="3">
        <f ca="1">IFERROR(__xludf.DUMMYFUNCTION("""COMPUTED_VALUE"""),15209285)</f>
        <v>15209285</v>
      </c>
      <c r="Y57" s="4">
        <f ca="1">IFERROR(__xludf.DUMMYFUNCTION("""COMPUTED_VALUE"""),42207.6666666666)</f>
        <v>42207.666666666599</v>
      </c>
      <c r="Z57" s="3">
        <f ca="1">IFERROR(__xludf.DUMMYFUNCTION("""COMPUTED_VALUE"""),20.63)</f>
        <v>20.63</v>
      </c>
      <c r="AA57" s="3">
        <f ca="1">IFERROR(__xludf.DUMMYFUNCTION("""COMPUTED_VALUE"""),20.8)</f>
        <v>20.8</v>
      </c>
      <c r="AB57" s="3">
        <f ca="1">IFERROR(__xludf.DUMMYFUNCTION("""COMPUTED_VALUE"""),20.6)</f>
        <v>20.6</v>
      </c>
      <c r="AC57" s="3">
        <f ca="1">IFERROR(__xludf.DUMMYFUNCTION("""COMPUTED_VALUE"""),20.77)</f>
        <v>20.77</v>
      </c>
      <c r="AD57" s="3">
        <f ca="1">IFERROR(__xludf.DUMMYFUNCTION("""COMPUTED_VALUE"""),29617459)</f>
        <v>29617459</v>
      </c>
      <c r="AE57" s="4">
        <f ca="1">IFERROR(__xludf.DUMMYFUNCTION("""COMPUTED_VALUE"""),42207.6666666666)</f>
        <v>42207.666666666599</v>
      </c>
      <c r="AF57" s="3">
        <f ca="1">IFERROR(__xludf.DUMMYFUNCTION("""COMPUTED_VALUE"""),76.67)</f>
        <v>76.67</v>
      </c>
      <c r="AG57" s="3">
        <f ca="1">IFERROR(__xludf.DUMMYFUNCTION("""COMPUTED_VALUE"""),77.12)</f>
        <v>77.12</v>
      </c>
      <c r="AH57" s="3">
        <f ca="1">IFERROR(__xludf.DUMMYFUNCTION("""COMPUTED_VALUE"""),76.55)</f>
        <v>76.55</v>
      </c>
      <c r="AI57" s="3">
        <f ca="1">IFERROR(__xludf.DUMMYFUNCTION("""COMPUTED_VALUE"""),77.05)</f>
        <v>77.05</v>
      </c>
      <c r="AJ57" s="3">
        <f ca="1">IFERROR(__xludf.DUMMYFUNCTION("""COMPUTED_VALUE"""),5765359)</f>
        <v>5765359</v>
      </c>
      <c r="AK57" s="4">
        <f ca="1">IFERROR(__xludf.DUMMYFUNCTION("""COMPUTED_VALUE"""),42207.6666666666)</f>
        <v>42207.666666666599</v>
      </c>
      <c r="AL57" s="3">
        <f ca="1">IFERROR(__xludf.DUMMYFUNCTION("""COMPUTED_VALUE"""),54.25)</f>
        <v>54.25</v>
      </c>
      <c r="AM57" s="3">
        <f ca="1">IFERROR(__xludf.DUMMYFUNCTION("""COMPUTED_VALUE"""),54.52)</f>
        <v>54.52</v>
      </c>
      <c r="AN57" s="3">
        <f ca="1">IFERROR(__xludf.DUMMYFUNCTION("""COMPUTED_VALUE"""),53.96)</f>
        <v>53.96</v>
      </c>
      <c r="AO57" s="3">
        <f ca="1">IFERROR(__xludf.DUMMYFUNCTION("""COMPUTED_VALUE"""),54.1)</f>
        <v>54.1</v>
      </c>
      <c r="AP57" s="3">
        <f ca="1">IFERROR(__xludf.DUMMYFUNCTION("""COMPUTED_VALUE"""),7549157)</f>
        <v>7549157</v>
      </c>
      <c r="AQ57" s="4">
        <f ca="1">IFERROR(__xludf.DUMMYFUNCTION("""COMPUTED_VALUE"""),42207.6666666666)</f>
        <v>42207.666666666599</v>
      </c>
      <c r="AR57" s="3">
        <f ca="1">IFERROR(__xludf.DUMMYFUNCTION("""COMPUTED_VALUE"""),46.87)</f>
        <v>46.87</v>
      </c>
      <c r="AS57" s="3">
        <f ca="1">IFERROR(__xludf.DUMMYFUNCTION("""COMPUTED_VALUE"""),47.01)</f>
        <v>47.01</v>
      </c>
      <c r="AT57" s="3">
        <f ca="1">IFERROR(__xludf.DUMMYFUNCTION("""COMPUTED_VALUE"""),46.66)</f>
        <v>46.66</v>
      </c>
      <c r="AU57" s="3">
        <f ca="1">IFERROR(__xludf.DUMMYFUNCTION("""COMPUTED_VALUE"""),46.77)</f>
        <v>46.77</v>
      </c>
      <c r="AV57" s="3">
        <f ca="1">IFERROR(__xludf.DUMMYFUNCTION("""COMPUTED_VALUE"""),5892544)</f>
        <v>5892544</v>
      </c>
      <c r="AW57" s="4">
        <f ca="1">IFERROR(__xludf.DUMMYFUNCTION("""COMPUTED_VALUE"""),42368.6666666666)</f>
        <v>42368.666666666599</v>
      </c>
      <c r="AX57" s="3">
        <f ca="1">IFERROR(__xludf.DUMMYFUNCTION("""COMPUTED_VALUE"""),31.57)</f>
        <v>31.57</v>
      </c>
      <c r="AY57" s="3">
        <f ca="1">IFERROR(__xludf.DUMMYFUNCTION("""COMPUTED_VALUE"""),31.59)</f>
        <v>31.59</v>
      </c>
      <c r="AZ57" s="3">
        <f ca="1">IFERROR(__xludf.DUMMYFUNCTION("""COMPUTED_VALUE"""),31.44)</f>
        <v>31.44</v>
      </c>
      <c r="BA57" s="3">
        <f ca="1">IFERROR(__xludf.DUMMYFUNCTION("""COMPUTED_VALUE"""),31.44)</f>
        <v>31.44</v>
      </c>
      <c r="BB57" s="3">
        <f ca="1">IFERROR(__xludf.DUMMYFUNCTION("""COMPUTED_VALUE"""),2037)</f>
        <v>2037</v>
      </c>
      <c r="BC57" s="4">
        <f ca="1">IFERROR(__xludf.DUMMYFUNCTION("""COMPUTED_VALUE"""),42207.6666666666)</f>
        <v>42207.666666666599</v>
      </c>
      <c r="BD57" s="3">
        <f ca="1">IFERROR(__xludf.DUMMYFUNCTION("""COMPUTED_VALUE"""),42.53)</f>
        <v>42.53</v>
      </c>
      <c r="BE57" s="3">
        <f ca="1">IFERROR(__xludf.DUMMYFUNCTION("""COMPUTED_VALUE"""),42.89)</f>
        <v>42.89</v>
      </c>
      <c r="BF57" s="3">
        <f ca="1">IFERROR(__xludf.DUMMYFUNCTION("""COMPUTED_VALUE"""),42.5)</f>
        <v>42.5</v>
      </c>
      <c r="BG57" s="3">
        <f ca="1">IFERROR(__xludf.DUMMYFUNCTION("""COMPUTED_VALUE"""),42.68)</f>
        <v>42.68</v>
      </c>
      <c r="BH57" s="3">
        <f ca="1">IFERROR(__xludf.DUMMYFUNCTION("""COMPUTED_VALUE"""),8591254)</f>
        <v>8591254</v>
      </c>
      <c r="BI57" s="4">
        <f ca="1">IFERROR(__xludf.DUMMYFUNCTION("""COMPUTED_VALUE"""),42207.6666666666)</f>
        <v>42207.666666666599</v>
      </c>
      <c r="BJ57" s="3">
        <f ca="1">IFERROR(__xludf.DUMMYFUNCTION("""COMPUTED_VALUE"""),42.81)</f>
        <v>42.81</v>
      </c>
      <c r="BK57" s="3">
        <f ca="1">IFERROR(__xludf.DUMMYFUNCTION("""COMPUTED_VALUE"""),43.15)</f>
        <v>43.15</v>
      </c>
      <c r="BL57" s="3">
        <f ca="1">IFERROR(__xludf.DUMMYFUNCTION("""COMPUTED_VALUE"""),42.7)</f>
        <v>42.7</v>
      </c>
      <c r="BM57" s="3">
        <f ca="1">IFERROR(__xludf.DUMMYFUNCTION("""COMPUTED_VALUE"""),42.93)</f>
        <v>42.93</v>
      </c>
      <c r="BN57" s="3">
        <f ca="1">IFERROR(__xludf.DUMMYFUNCTION("""COMPUTED_VALUE"""),8252158)</f>
        <v>8252158</v>
      </c>
    </row>
    <row r="58" spans="7:66" ht="13" x14ac:dyDescent="0.15">
      <c r="G58" s="4">
        <f ca="1">IFERROR(__xludf.DUMMYFUNCTION("""COMPUTED_VALUE"""),42208.6666666666)</f>
        <v>42208.666666666599</v>
      </c>
      <c r="H58" s="3">
        <f ca="1">IFERROR(__xludf.DUMMYFUNCTION("""COMPUTED_VALUE"""),79.48)</f>
        <v>79.48</v>
      </c>
      <c r="I58" s="3">
        <f ca="1">IFERROR(__xludf.DUMMYFUNCTION("""COMPUTED_VALUE"""),79.63)</f>
        <v>79.63</v>
      </c>
      <c r="J58" s="3">
        <f ca="1">IFERROR(__xludf.DUMMYFUNCTION("""COMPUTED_VALUE"""),78.67)</f>
        <v>78.67</v>
      </c>
      <c r="K58" s="3">
        <f ca="1">IFERROR(__xludf.DUMMYFUNCTION("""COMPUTED_VALUE"""),78.85)</f>
        <v>78.849999999999994</v>
      </c>
      <c r="L58" s="3">
        <f ca="1">IFERROR(__xludf.DUMMYFUNCTION("""COMPUTED_VALUE"""),3760993)</f>
        <v>3760993</v>
      </c>
      <c r="M58" s="4">
        <f ca="1">IFERROR(__xludf.DUMMYFUNCTION("""COMPUTED_VALUE"""),42208.6666666666)</f>
        <v>42208.666666666599</v>
      </c>
      <c r="N58" s="3">
        <f ca="1">IFERROR(__xludf.DUMMYFUNCTION("""COMPUTED_VALUE"""),50.26)</f>
        <v>50.26</v>
      </c>
      <c r="O58" s="3">
        <f ca="1">IFERROR(__xludf.DUMMYFUNCTION("""COMPUTED_VALUE"""),50.26)</f>
        <v>50.26</v>
      </c>
      <c r="P58" s="3">
        <f ca="1">IFERROR(__xludf.DUMMYFUNCTION("""COMPUTED_VALUE"""),49.89)</f>
        <v>49.89</v>
      </c>
      <c r="Q58" s="3">
        <f ca="1">IFERROR(__xludf.DUMMYFUNCTION("""COMPUTED_VALUE"""),49.96)</f>
        <v>49.96</v>
      </c>
      <c r="R58" s="3">
        <f ca="1">IFERROR(__xludf.DUMMYFUNCTION("""COMPUTED_VALUE"""),4535057)</f>
        <v>4535057</v>
      </c>
      <c r="S58" s="4">
        <f ca="1">IFERROR(__xludf.DUMMYFUNCTION("""COMPUTED_VALUE"""),42208.6666666666)</f>
        <v>42208.666666666599</v>
      </c>
      <c r="T58" s="3">
        <f ca="1">IFERROR(__xludf.DUMMYFUNCTION("""COMPUTED_VALUE"""),71)</f>
        <v>71</v>
      </c>
      <c r="U58" s="3">
        <f ca="1">IFERROR(__xludf.DUMMYFUNCTION("""COMPUTED_VALUE"""),71.45)</f>
        <v>71.45</v>
      </c>
      <c r="V58" s="3">
        <f ca="1">IFERROR(__xludf.DUMMYFUNCTION("""COMPUTED_VALUE"""),70.33)</f>
        <v>70.33</v>
      </c>
      <c r="W58" s="3">
        <f ca="1">IFERROR(__xludf.DUMMYFUNCTION("""COMPUTED_VALUE"""),70.87)</f>
        <v>70.87</v>
      </c>
      <c r="X58" s="3">
        <f ca="1">IFERROR(__xludf.DUMMYFUNCTION("""COMPUTED_VALUE"""),11284564)</f>
        <v>11284564</v>
      </c>
      <c r="Y58" s="4">
        <f ca="1">IFERROR(__xludf.DUMMYFUNCTION("""COMPUTED_VALUE"""),42208.6666666666)</f>
        <v>42208.666666666599</v>
      </c>
      <c r="Z58" s="3">
        <f ca="1">IFERROR(__xludf.DUMMYFUNCTION("""COMPUTED_VALUE"""),20.79)</f>
        <v>20.79</v>
      </c>
      <c r="AA58" s="3">
        <f ca="1">IFERROR(__xludf.DUMMYFUNCTION("""COMPUTED_VALUE"""),20.8)</f>
        <v>20.8</v>
      </c>
      <c r="AB58" s="3">
        <f ca="1">IFERROR(__xludf.DUMMYFUNCTION("""COMPUTED_VALUE"""),20.55)</f>
        <v>20.55</v>
      </c>
      <c r="AC58" s="3">
        <f ca="1">IFERROR(__xludf.DUMMYFUNCTION("""COMPUTED_VALUE"""),20.59)</f>
        <v>20.59</v>
      </c>
      <c r="AD58" s="3">
        <f ca="1">IFERROR(__xludf.DUMMYFUNCTION("""COMPUTED_VALUE"""),29700822)</f>
        <v>29700822</v>
      </c>
      <c r="AE58" s="4">
        <f ca="1">IFERROR(__xludf.DUMMYFUNCTION("""COMPUTED_VALUE"""),42208.6666666666)</f>
        <v>42208.666666666599</v>
      </c>
      <c r="AF58" s="3">
        <f ca="1">IFERROR(__xludf.DUMMYFUNCTION("""COMPUTED_VALUE"""),77.19)</f>
        <v>77.19</v>
      </c>
      <c r="AG58" s="3">
        <f ca="1">IFERROR(__xludf.DUMMYFUNCTION("""COMPUTED_VALUE"""),77.35)</f>
        <v>77.349999999999994</v>
      </c>
      <c r="AH58" s="3">
        <f ca="1">IFERROR(__xludf.DUMMYFUNCTION("""COMPUTED_VALUE"""),76.63)</f>
        <v>76.63</v>
      </c>
      <c r="AI58" s="3">
        <f ca="1">IFERROR(__xludf.DUMMYFUNCTION("""COMPUTED_VALUE"""),76.77)</f>
        <v>76.77</v>
      </c>
      <c r="AJ58" s="3">
        <f ca="1">IFERROR(__xludf.DUMMYFUNCTION("""COMPUTED_VALUE"""),5677435)</f>
        <v>5677435</v>
      </c>
      <c r="AK58" s="4">
        <f ca="1">IFERROR(__xludf.DUMMYFUNCTION("""COMPUTED_VALUE"""),42208.6666666666)</f>
        <v>42208.666666666599</v>
      </c>
      <c r="AL58" s="3">
        <f ca="1">IFERROR(__xludf.DUMMYFUNCTION("""COMPUTED_VALUE"""),53.91)</f>
        <v>53.91</v>
      </c>
      <c r="AM58" s="3">
        <f ca="1">IFERROR(__xludf.DUMMYFUNCTION("""COMPUTED_VALUE"""),54.2)</f>
        <v>54.2</v>
      </c>
      <c r="AN58" s="3">
        <f ca="1">IFERROR(__xludf.DUMMYFUNCTION("""COMPUTED_VALUE"""),53.47)</f>
        <v>53.47</v>
      </c>
      <c r="AO58" s="3">
        <f ca="1">IFERROR(__xludf.DUMMYFUNCTION("""COMPUTED_VALUE"""),53.6)</f>
        <v>53.6</v>
      </c>
      <c r="AP58" s="3">
        <f ca="1">IFERROR(__xludf.DUMMYFUNCTION("""COMPUTED_VALUE"""),11547981)</f>
        <v>11547981</v>
      </c>
      <c r="AQ58" s="4">
        <f ca="1">IFERROR(__xludf.DUMMYFUNCTION("""COMPUTED_VALUE"""),42208.6666666666)</f>
        <v>42208.666666666599</v>
      </c>
      <c r="AR58" s="3">
        <f ca="1">IFERROR(__xludf.DUMMYFUNCTION("""COMPUTED_VALUE"""),46.88)</f>
        <v>46.88</v>
      </c>
      <c r="AS58" s="3">
        <f ca="1">IFERROR(__xludf.DUMMYFUNCTION("""COMPUTED_VALUE"""),47)</f>
        <v>47</v>
      </c>
      <c r="AT58" s="3">
        <f ca="1">IFERROR(__xludf.DUMMYFUNCTION("""COMPUTED_VALUE"""),45.97)</f>
        <v>45.97</v>
      </c>
      <c r="AU58" s="3">
        <f ca="1">IFERROR(__xludf.DUMMYFUNCTION("""COMPUTED_VALUE"""),46.09)</f>
        <v>46.09</v>
      </c>
      <c r="AV58" s="3">
        <f ca="1">IFERROR(__xludf.DUMMYFUNCTION("""COMPUTED_VALUE"""),4857571)</f>
        <v>4857571</v>
      </c>
      <c r="AW58" s="4">
        <f ca="1">IFERROR(__xludf.DUMMYFUNCTION("""COMPUTED_VALUE"""),42369.6666666666)</f>
        <v>42369.666666666599</v>
      </c>
      <c r="AX58" s="3">
        <f ca="1">IFERROR(__xludf.DUMMYFUNCTION("""COMPUTED_VALUE"""),31.32)</f>
        <v>31.32</v>
      </c>
      <c r="AY58" s="3">
        <f ca="1">IFERROR(__xludf.DUMMYFUNCTION("""COMPUTED_VALUE"""),31.39)</f>
        <v>31.39</v>
      </c>
      <c r="AZ58" s="3">
        <f ca="1">IFERROR(__xludf.DUMMYFUNCTION("""COMPUTED_VALUE"""),31.18)</f>
        <v>31.18</v>
      </c>
      <c r="BA58" s="3">
        <f ca="1">IFERROR(__xludf.DUMMYFUNCTION("""COMPUTED_VALUE"""),31.18)</f>
        <v>31.18</v>
      </c>
      <c r="BB58" s="3">
        <f ca="1">IFERROR(__xludf.DUMMYFUNCTION("""COMPUTED_VALUE"""),36795)</f>
        <v>36795</v>
      </c>
      <c r="BC58" s="4">
        <f ca="1">IFERROR(__xludf.DUMMYFUNCTION("""COMPUTED_VALUE"""),42208.6666666666)</f>
        <v>42208.666666666599</v>
      </c>
      <c r="BD58" s="3">
        <f ca="1">IFERROR(__xludf.DUMMYFUNCTION("""COMPUTED_VALUE"""),42.8)</f>
        <v>42.8</v>
      </c>
      <c r="BE58" s="3">
        <f ca="1">IFERROR(__xludf.DUMMYFUNCTION("""COMPUTED_VALUE"""),42.97)</f>
        <v>42.97</v>
      </c>
      <c r="BF58" s="3">
        <f ca="1">IFERROR(__xludf.DUMMYFUNCTION("""COMPUTED_VALUE"""),42.49)</f>
        <v>42.49</v>
      </c>
      <c r="BG58" s="3">
        <f ca="1">IFERROR(__xludf.DUMMYFUNCTION("""COMPUTED_VALUE"""),42.59)</f>
        <v>42.59</v>
      </c>
      <c r="BH58" s="3">
        <f ca="1">IFERROR(__xludf.DUMMYFUNCTION("""COMPUTED_VALUE"""),6322622)</f>
        <v>6322622</v>
      </c>
      <c r="BI58" s="4">
        <f ca="1">IFERROR(__xludf.DUMMYFUNCTION("""COMPUTED_VALUE"""),42208.6666666666)</f>
        <v>42208.666666666599</v>
      </c>
      <c r="BJ58" s="3">
        <f ca="1">IFERROR(__xludf.DUMMYFUNCTION("""COMPUTED_VALUE"""),42.89)</f>
        <v>42.89</v>
      </c>
      <c r="BK58" s="3">
        <f ca="1">IFERROR(__xludf.DUMMYFUNCTION("""COMPUTED_VALUE"""),42.92)</f>
        <v>42.92</v>
      </c>
      <c r="BL58" s="3">
        <f ca="1">IFERROR(__xludf.DUMMYFUNCTION("""COMPUTED_VALUE"""),42.08)</f>
        <v>42.08</v>
      </c>
      <c r="BM58" s="3">
        <f ca="1">IFERROR(__xludf.DUMMYFUNCTION("""COMPUTED_VALUE"""),42.29)</f>
        <v>42.29</v>
      </c>
      <c r="BN58" s="3">
        <f ca="1">IFERROR(__xludf.DUMMYFUNCTION("""COMPUTED_VALUE"""),13947266)</f>
        <v>13947266</v>
      </c>
    </row>
    <row r="59" spans="7:66" ht="13" x14ac:dyDescent="0.15">
      <c r="G59" s="4">
        <f ca="1">IFERROR(__xludf.DUMMYFUNCTION("""COMPUTED_VALUE"""),42209.6666666666)</f>
        <v>42209.666666666599</v>
      </c>
      <c r="H59" s="3">
        <f ca="1">IFERROR(__xludf.DUMMYFUNCTION("""COMPUTED_VALUE"""),80.4)</f>
        <v>80.400000000000006</v>
      </c>
      <c r="I59" s="3">
        <f ca="1">IFERROR(__xludf.DUMMYFUNCTION("""COMPUTED_VALUE"""),80.4)</f>
        <v>80.400000000000006</v>
      </c>
      <c r="J59" s="3">
        <f ca="1">IFERROR(__xludf.DUMMYFUNCTION("""COMPUTED_VALUE"""),78.71)</f>
        <v>78.709999999999994</v>
      </c>
      <c r="K59" s="3">
        <f ca="1">IFERROR(__xludf.DUMMYFUNCTION("""COMPUTED_VALUE"""),78.85)</f>
        <v>78.849999999999994</v>
      </c>
      <c r="L59" s="3">
        <f ca="1">IFERROR(__xludf.DUMMYFUNCTION("""COMPUTED_VALUE"""),5169588)</f>
        <v>5169588</v>
      </c>
      <c r="M59" s="4">
        <f ca="1">IFERROR(__xludf.DUMMYFUNCTION("""COMPUTED_VALUE"""),42209.6666666666)</f>
        <v>42209.666666666599</v>
      </c>
      <c r="N59" s="3">
        <f ca="1">IFERROR(__xludf.DUMMYFUNCTION("""COMPUTED_VALUE"""),50.08)</f>
        <v>50.08</v>
      </c>
      <c r="O59" s="3">
        <f ca="1">IFERROR(__xludf.DUMMYFUNCTION("""COMPUTED_VALUE"""),50.08)</f>
        <v>50.08</v>
      </c>
      <c r="P59" s="3">
        <f ca="1">IFERROR(__xludf.DUMMYFUNCTION("""COMPUTED_VALUE"""),49.62)</f>
        <v>49.62</v>
      </c>
      <c r="Q59" s="3">
        <f ca="1">IFERROR(__xludf.DUMMYFUNCTION("""COMPUTED_VALUE"""),49.68)</f>
        <v>49.68</v>
      </c>
      <c r="R59" s="3">
        <f ca="1">IFERROR(__xludf.DUMMYFUNCTION("""COMPUTED_VALUE"""),9950133)</f>
        <v>9950133</v>
      </c>
      <c r="S59" s="4">
        <f ca="1">IFERROR(__xludf.DUMMYFUNCTION("""COMPUTED_VALUE"""),42209.6666666666)</f>
        <v>42209.666666666599</v>
      </c>
      <c r="T59" s="3">
        <f ca="1">IFERROR(__xludf.DUMMYFUNCTION("""COMPUTED_VALUE"""),70.87)</f>
        <v>70.87</v>
      </c>
      <c r="U59" s="3">
        <f ca="1">IFERROR(__xludf.DUMMYFUNCTION("""COMPUTED_VALUE"""),70.9)</f>
        <v>70.900000000000006</v>
      </c>
      <c r="V59" s="3">
        <f ca="1">IFERROR(__xludf.DUMMYFUNCTION("""COMPUTED_VALUE"""),69.25)</f>
        <v>69.25</v>
      </c>
      <c r="W59" s="3">
        <f ca="1">IFERROR(__xludf.DUMMYFUNCTION("""COMPUTED_VALUE"""),69.51)</f>
        <v>69.510000000000005</v>
      </c>
      <c r="X59" s="3">
        <f ca="1">IFERROR(__xludf.DUMMYFUNCTION("""COMPUTED_VALUE"""),12554077)</f>
        <v>12554077</v>
      </c>
      <c r="Y59" s="4">
        <f ca="1">IFERROR(__xludf.DUMMYFUNCTION("""COMPUTED_VALUE"""),42209.6666666666)</f>
        <v>42209.666666666599</v>
      </c>
      <c r="Z59" s="3">
        <f ca="1">IFERROR(__xludf.DUMMYFUNCTION("""COMPUTED_VALUE"""),20.57)</f>
        <v>20.57</v>
      </c>
      <c r="AA59" s="3">
        <f ca="1">IFERROR(__xludf.DUMMYFUNCTION("""COMPUTED_VALUE"""),20.59)</f>
        <v>20.59</v>
      </c>
      <c r="AB59" s="3">
        <f ca="1">IFERROR(__xludf.DUMMYFUNCTION("""COMPUTED_VALUE"""),20.37)</f>
        <v>20.37</v>
      </c>
      <c r="AC59" s="3">
        <f ca="1">IFERROR(__xludf.DUMMYFUNCTION("""COMPUTED_VALUE"""),20.4)</f>
        <v>20.399999999999999</v>
      </c>
      <c r="AD59" s="3">
        <f ca="1">IFERROR(__xludf.DUMMYFUNCTION("""COMPUTED_VALUE"""),26116669)</f>
        <v>26116669</v>
      </c>
      <c r="AE59" s="4">
        <f ca="1">IFERROR(__xludf.DUMMYFUNCTION("""COMPUTED_VALUE"""),42209.6666666666)</f>
        <v>42209.666666666599</v>
      </c>
      <c r="AF59" s="3">
        <f ca="1">IFERROR(__xludf.DUMMYFUNCTION("""COMPUTED_VALUE"""),76)</f>
        <v>76</v>
      </c>
      <c r="AG59" s="3">
        <f ca="1">IFERROR(__xludf.DUMMYFUNCTION("""COMPUTED_VALUE"""),76.05)</f>
        <v>76.05</v>
      </c>
      <c r="AH59" s="3">
        <f ca="1">IFERROR(__xludf.DUMMYFUNCTION("""COMPUTED_VALUE"""),74.71)</f>
        <v>74.709999999999994</v>
      </c>
      <c r="AI59" s="3">
        <f ca="1">IFERROR(__xludf.DUMMYFUNCTION("""COMPUTED_VALUE"""),74.85)</f>
        <v>74.849999999999994</v>
      </c>
      <c r="AJ59" s="3">
        <f ca="1">IFERROR(__xludf.DUMMYFUNCTION("""COMPUTED_VALUE"""),13229714)</f>
        <v>13229714</v>
      </c>
      <c r="AK59" s="4">
        <f ca="1">IFERROR(__xludf.DUMMYFUNCTION("""COMPUTED_VALUE"""),42209.6666666666)</f>
        <v>42209.666666666599</v>
      </c>
      <c r="AL59" s="3">
        <f ca="1">IFERROR(__xludf.DUMMYFUNCTION("""COMPUTED_VALUE"""),53.58)</f>
        <v>53.58</v>
      </c>
      <c r="AM59" s="3">
        <f ca="1">IFERROR(__xludf.DUMMYFUNCTION("""COMPUTED_VALUE"""),53.62)</f>
        <v>53.62</v>
      </c>
      <c r="AN59" s="3">
        <f ca="1">IFERROR(__xludf.DUMMYFUNCTION("""COMPUTED_VALUE"""),52.81)</f>
        <v>52.81</v>
      </c>
      <c r="AO59" s="3">
        <f ca="1">IFERROR(__xludf.DUMMYFUNCTION("""COMPUTED_VALUE"""),52.9)</f>
        <v>52.9</v>
      </c>
      <c r="AP59" s="3">
        <f ca="1">IFERROR(__xludf.DUMMYFUNCTION("""COMPUTED_VALUE"""),10889114)</f>
        <v>10889114</v>
      </c>
      <c r="AQ59" s="4">
        <f ca="1">IFERROR(__xludf.DUMMYFUNCTION("""COMPUTED_VALUE"""),42209.6666666666)</f>
        <v>42209.666666666599</v>
      </c>
      <c r="AR59" s="3">
        <f ca="1">IFERROR(__xludf.DUMMYFUNCTION("""COMPUTED_VALUE"""),46.08)</f>
        <v>46.08</v>
      </c>
      <c r="AS59" s="3">
        <f ca="1">IFERROR(__xludf.DUMMYFUNCTION("""COMPUTED_VALUE"""),46.1)</f>
        <v>46.1</v>
      </c>
      <c r="AT59" s="3">
        <f ca="1">IFERROR(__xludf.DUMMYFUNCTION("""COMPUTED_VALUE"""),44.79)</f>
        <v>44.79</v>
      </c>
      <c r="AU59" s="3">
        <f ca="1">IFERROR(__xludf.DUMMYFUNCTION("""COMPUTED_VALUE"""),45.08)</f>
        <v>45.08</v>
      </c>
      <c r="AV59" s="3">
        <f ca="1">IFERROR(__xludf.DUMMYFUNCTION("""COMPUTED_VALUE"""),7262228)</f>
        <v>7262228</v>
      </c>
      <c r="AW59" s="4">
        <f ca="1">IFERROR(__xludf.DUMMYFUNCTION("""COMPUTED_VALUE"""),42373.6666666666)</f>
        <v>42373.666666666599</v>
      </c>
      <c r="AX59" s="3">
        <f ca="1">IFERROR(__xludf.DUMMYFUNCTION("""COMPUTED_VALUE"""),30.98)</f>
        <v>30.98</v>
      </c>
      <c r="AY59" s="3">
        <f ca="1">IFERROR(__xludf.DUMMYFUNCTION("""COMPUTED_VALUE"""),30.98)</f>
        <v>30.98</v>
      </c>
      <c r="AZ59" s="3">
        <f ca="1">IFERROR(__xludf.DUMMYFUNCTION("""COMPUTED_VALUE"""),30.36)</f>
        <v>30.36</v>
      </c>
      <c r="BA59" s="3">
        <f ca="1">IFERROR(__xludf.DUMMYFUNCTION("""COMPUTED_VALUE"""),30.46)</f>
        <v>30.46</v>
      </c>
      <c r="BB59" s="3">
        <f ca="1">IFERROR(__xludf.DUMMYFUNCTION("""COMPUTED_VALUE"""),1937)</f>
        <v>1937</v>
      </c>
      <c r="BC59" s="4">
        <f ca="1">IFERROR(__xludf.DUMMYFUNCTION("""COMPUTED_VALUE"""),42209.6666666666)</f>
        <v>42209.666666666599</v>
      </c>
      <c r="BD59" s="3">
        <f ca="1">IFERROR(__xludf.DUMMYFUNCTION("""COMPUTED_VALUE"""),42.8)</f>
        <v>42.8</v>
      </c>
      <c r="BE59" s="3">
        <f ca="1">IFERROR(__xludf.DUMMYFUNCTION("""COMPUTED_VALUE"""),42.86)</f>
        <v>42.86</v>
      </c>
      <c r="BF59" s="3">
        <f ca="1">IFERROR(__xludf.DUMMYFUNCTION("""COMPUTED_VALUE"""),42.33)</f>
        <v>42.33</v>
      </c>
      <c r="BG59" s="3">
        <f ca="1">IFERROR(__xludf.DUMMYFUNCTION("""COMPUTED_VALUE"""),42.36)</f>
        <v>42.36</v>
      </c>
      <c r="BH59" s="3">
        <f ca="1">IFERROR(__xludf.DUMMYFUNCTION("""COMPUTED_VALUE"""),9746087)</f>
        <v>9746087</v>
      </c>
      <c r="BI59" s="4">
        <f ca="1">IFERROR(__xludf.DUMMYFUNCTION("""COMPUTED_VALUE"""),42209.6666666666)</f>
        <v>42209.666666666599</v>
      </c>
      <c r="BJ59" s="3">
        <f ca="1">IFERROR(__xludf.DUMMYFUNCTION("""COMPUTED_VALUE"""),42.31)</f>
        <v>42.31</v>
      </c>
      <c r="BK59" s="3">
        <f ca="1">IFERROR(__xludf.DUMMYFUNCTION("""COMPUTED_VALUE"""),42.48)</f>
        <v>42.48</v>
      </c>
      <c r="BL59" s="3">
        <f ca="1">IFERROR(__xludf.DUMMYFUNCTION("""COMPUTED_VALUE"""),42.18)</f>
        <v>42.18</v>
      </c>
      <c r="BM59" s="3">
        <f ca="1">IFERROR(__xludf.DUMMYFUNCTION("""COMPUTED_VALUE"""),42.33)</f>
        <v>42.33</v>
      </c>
      <c r="BN59" s="3">
        <f ca="1">IFERROR(__xludf.DUMMYFUNCTION("""COMPUTED_VALUE"""),8589088)</f>
        <v>8589088</v>
      </c>
    </row>
    <row r="60" spans="7:66" ht="13" x14ac:dyDescent="0.15">
      <c r="G60" s="4">
        <f ca="1">IFERROR(__xludf.DUMMYFUNCTION("""COMPUTED_VALUE"""),42212.6666666666)</f>
        <v>42212.666666666599</v>
      </c>
      <c r="H60" s="3">
        <f ca="1">IFERROR(__xludf.DUMMYFUNCTION("""COMPUTED_VALUE"""),78.55)</f>
        <v>78.55</v>
      </c>
      <c r="I60" s="3">
        <f ca="1">IFERROR(__xludf.DUMMYFUNCTION("""COMPUTED_VALUE"""),78.9)</f>
        <v>78.900000000000006</v>
      </c>
      <c r="J60" s="3">
        <f ca="1">IFERROR(__xludf.DUMMYFUNCTION("""COMPUTED_VALUE"""),78.05)</f>
        <v>78.05</v>
      </c>
      <c r="K60" s="3">
        <f ca="1">IFERROR(__xludf.DUMMYFUNCTION("""COMPUTED_VALUE"""),78.26)</f>
        <v>78.260000000000005</v>
      </c>
      <c r="L60" s="3">
        <f ca="1">IFERROR(__xludf.DUMMYFUNCTION("""COMPUTED_VALUE"""),5552323)</f>
        <v>5552323</v>
      </c>
      <c r="M60" s="4">
        <f ca="1">IFERROR(__xludf.DUMMYFUNCTION("""COMPUTED_VALUE"""),42212.6666666666)</f>
        <v>42212.666666666599</v>
      </c>
      <c r="N60" s="3">
        <f ca="1">IFERROR(__xludf.DUMMYFUNCTION("""COMPUTED_VALUE"""),49.48)</f>
        <v>49.48</v>
      </c>
      <c r="O60" s="3">
        <f ca="1">IFERROR(__xludf.DUMMYFUNCTION("""COMPUTED_VALUE"""),49.73)</f>
        <v>49.73</v>
      </c>
      <c r="P60" s="3">
        <f ca="1">IFERROR(__xludf.DUMMYFUNCTION("""COMPUTED_VALUE"""),49.33)</f>
        <v>49.33</v>
      </c>
      <c r="Q60" s="3">
        <f ca="1">IFERROR(__xludf.DUMMYFUNCTION("""COMPUTED_VALUE"""),49.65)</f>
        <v>49.65</v>
      </c>
      <c r="R60" s="3">
        <f ca="1">IFERROR(__xludf.DUMMYFUNCTION("""COMPUTED_VALUE"""),9567088)</f>
        <v>9567088</v>
      </c>
      <c r="S60" s="4">
        <f ca="1">IFERROR(__xludf.DUMMYFUNCTION("""COMPUTED_VALUE"""),42212.6666666666)</f>
        <v>42212.666666666599</v>
      </c>
      <c r="T60" s="3">
        <f ca="1">IFERROR(__xludf.DUMMYFUNCTION("""COMPUTED_VALUE"""),68.62)</f>
        <v>68.62</v>
      </c>
      <c r="U60" s="3">
        <f ca="1">IFERROR(__xludf.DUMMYFUNCTION("""COMPUTED_VALUE"""),69.32)</f>
        <v>69.319999999999993</v>
      </c>
      <c r="V60" s="3">
        <f ca="1">IFERROR(__xludf.DUMMYFUNCTION("""COMPUTED_VALUE"""),68.21)</f>
        <v>68.209999999999994</v>
      </c>
      <c r="W60" s="3">
        <f ca="1">IFERROR(__xludf.DUMMYFUNCTION("""COMPUTED_VALUE"""),68.51)</f>
        <v>68.510000000000005</v>
      </c>
      <c r="X60" s="3">
        <f ca="1">IFERROR(__xludf.DUMMYFUNCTION("""COMPUTED_VALUE"""),17196710)</f>
        <v>17196710</v>
      </c>
      <c r="Y60" s="4">
        <f ca="1">IFERROR(__xludf.DUMMYFUNCTION("""COMPUTED_VALUE"""),42212.6666666666)</f>
        <v>42212.666666666599</v>
      </c>
      <c r="Z60" s="3">
        <f ca="1">IFERROR(__xludf.DUMMYFUNCTION("""COMPUTED_VALUE"""),20.26)</f>
        <v>20.260000000000002</v>
      </c>
      <c r="AA60" s="3">
        <f ca="1">IFERROR(__xludf.DUMMYFUNCTION("""COMPUTED_VALUE"""),20.31)</f>
        <v>20.309999999999999</v>
      </c>
      <c r="AB60" s="3">
        <f ca="1">IFERROR(__xludf.DUMMYFUNCTION("""COMPUTED_VALUE"""),20.18)</f>
        <v>20.18</v>
      </c>
      <c r="AC60" s="3">
        <f ca="1">IFERROR(__xludf.DUMMYFUNCTION("""COMPUTED_VALUE"""),20.25)</f>
        <v>20.25</v>
      </c>
      <c r="AD60" s="3">
        <f ca="1">IFERROR(__xludf.DUMMYFUNCTION("""COMPUTED_VALUE"""),28273752)</f>
        <v>28273752</v>
      </c>
      <c r="AE60" s="4">
        <f ca="1">IFERROR(__xludf.DUMMYFUNCTION("""COMPUTED_VALUE"""),42212.6666666666)</f>
        <v>42212.666666666599</v>
      </c>
      <c r="AF60" s="3">
        <f ca="1">IFERROR(__xludf.DUMMYFUNCTION("""COMPUTED_VALUE"""),74.67)</f>
        <v>74.67</v>
      </c>
      <c r="AG60" s="3">
        <f ca="1">IFERROR(__xludf.DUMMYFUNCTION("""COMPUTED_VALUE"""),74.93)</f>
        <v>74.930000000000007</v>
      </c>
      <c r="AH60" s="3">
        <f ca="1">IFERROR(__xludf.DUMMYFUNCTION("""COMPUTED_VALUE"""),74.39)</f>
        <v>74.39</v>
      </c>
      <c r="AI60" s="3">
        <f ca="1">IFERROR(__xludf.DUMMYFUNCTION("""COMPUTED_VALUE"""),74.78)</f>
        <v>74.78</v>
      </c>
      <c r="AJ60" s="3">
        <f ca="1">IFERROR(__xludf.DUMMYFUNCTION("""COMPUTED_VALUE"""),11036985)</f>
        <v>11036985</v>
      </c>
      <c r="AK60" s="4">
        <f ca="1">IFERROR(__xludf.DUMMYFUNCTION("""COMPUTED_VALUE"""),42212.6666666666)</f>
        <v>42212.666666666599</v>
      </c>
      <c r="AL60" s="3">
        <f ca="1">IFERROR(__xludf.DUMMYFUNCTION("""COMPUTED_VALUE"""),52.54)</f>
        <v>52.54</v>
      </c>
      <c r="AM60" s="3">
        <f ca="1">IFERROR(__xludf.DUMMYFUNCTION("""COMPUTED_VALUE"""),52.8)</f>
        <v>52.8</v>
      </c>
      <c r="AN60" s="3">
        <f ca="1">IFERROR(__xludf.DUMMYFUNCTION("""COMPUTED_VALUE"""),52.46)</f>
        <v>52.46</v>
      </c>
      <c r="AO60" s="3">
        <f ca="1">IFERROR(__xludf.DUMMYFUNCTION("""COMPUTED_VALUE"""),52.64)</f>
        <v>52.64</v>
      </c>
      <c r="AP60" s="3">
        <f ca="1">IFERROR(__xludf.DUMMYFUNCTION("""COMPUTED_VALUE"""),11680663)</f>
        <v>11680663</v>
      </c>
      <c r="AQ60" s="4">
        <f ca="1">IFERROR(__xludf.DUMMYFUNCTION("""COMPUTED_VALUE"""),42212.6666666666)</f>
        <v>42212.666666666599</v>
      </c>
      <c r="AR60" s="3">
        <f ca="1">IFERROR(__xludf.DUMMYFUNCTION("""COMPUTED_VALUE"""),44.61)</f>
        <v>44.61</v>
      </c>
      <c r="AS60" s="3">
        <f ca="1">IFERROR(__xludf.DUMMYFUNCTION("""COMPUTED_VALUE"""),45.12)</f>
        <v>45.12</v>
      </c>
      <c r="AT60" s="3">
        <f ca="1">IFERROR(__xludf.DUMMYFUNCTION("""COMPUTED_VALUE"""),44.47)</f>
        <v>44.47</v>
      </c>
      <c r="AU60" s="3">
        <f ca="1">IFERROR(__xludf.DUMMYFUNCTION("""COMPUTED_VALUE"""),44.58)</f>
        <v>44.58</v>
      </c>
      <c r="AV60" s="3">
        <f ca="1">IFERROR(__xludf.DUMMYFUNCTION("""COMPUTED_VALUE"""),9276929)</f>
        <v>9276929</v>
      </c>
      <c r="AW60" s="4">
        <f ca="1">IFERROR(__xludf.DUMMYFUNCTION("""COMPUTED_VALUE"""),42374.6666666666)</f>
        <v>42374.666666666599</v>
      </c>
      <c r="AX60" s="3">
        <f ca="1">IFERROR(__xludf.DUMMYFUNCTION("""COMPUTED_VALUE"""),30.93)</f>
        <v>30.93</v>
      </c>
      <c r="AY60" s="3">
        <f ca="1">IFERROR(__xludf.DUMMYFUNCTION("""COMPUTED_VALUE"""),31.38)</f>
        <v>31.38</v>
      </c>
      <c r="AZ60" s="3">
        <f ca="1">IFERROR(__xludf.DUMMYFUNCTION("""COMPUTED_VALUE"""),30.93)</f>
        <v>30.93</v>
      </c>
      <c r="BA60" s="3">
        <f ca="1">IFERROR(__xludf.DUMMYFUNCTION("""COMPUTED_VALUE"""),31.38)</f>
        <v>31.38</v>
      </c>
      <c r="BB60" s="3">
        <f ca="1">IFERROR(__xludf.DUMMYFUNCTION("""COMPUTED_VALUE"""),1518)</f>
        <v>1518</v>
      </c>
      <c r="BC60" s="4">
        <f ca="1">IFERROR(__xludf.DUMMYFUNCTION("""COMPUTED_VALUE"""),42212.6666666666)</f>
        <v>42212.666666666599</v>
      </c>
      <c r="BD60" s="3">
        <f ca="1">IFERROR(__xludf.DUMMYFUNCTION("""COMPUTED_VALUE"""),42.02)</f>
        <v>42.02</v>
      </c>
      <c r="BE60" s="3">
        <f ca="1">IFERROR(__xludf.DUMMYFUNCTION("""COMPUTED_VALUE"""),42.29)</f>
        <v>42.29</v>
      </c>
      <c r="BF60" s="3">
        <f ca="1">IFERROR(__xludf.DUMMYFUNCTION("""COMPUTED_VALUE"""),41.92)</f>
        <v>41.92</v>
      </c>
      <c r="BG60" s="3">
        <f ca="1">IFERROR(__xludf.DUMMYFUNCTION("""COMPUTED_VALUE"""),41.98)</f>
        <v>41.98</v>
      </c>
      <c r="BH60" s="3">
        <f ca="1">IFERROR(__xludf.DUMMYFUNCTION("""COMPUTED_VALUE"""),8653585)</f>
        <v>8653585</v>
      </c>
      <c r="BI60" s="4">
        <f ca="1">IFERROR(__xludf.DUMMYFUNCTION("""COMPUTED_VALUE"""),42212.6666666666)</f>
        <v>42212.666666666599</v>
      </c>
      <c r="BJ60" s="3">
        <f ca="1">IFERROR(__xludf.DUMMYFUNCTION("""COMPUTED_VALUE"""),42.33)</f>
        <v>42.33</v>
      </c>
      <c r="BK60" s="3">
        <f ca="1">IFERROR(__xludf.DUMMYFUNCTION("""COMPUTED_VALUE"""),43.06)</f>
        <v>43.06</v>
      </c>
      <c r="BL60" s="3">
        <f ca="1">IFERROR(__xludf.DUMMYFUNCTION("""COMPUTED_VALUE"""),42.21)</f>
        <v>42.21</v>
      </c>
      <c r="BM60" s="3">
        <f ca="1">IFERROR(__xludf.DUMMYFUNCTION("""COMPUTED_VALUE"""),42.87)</f>
        <v>42.87</v>
      </c>
      <c r="BN60" s="3">
        <f ca="1">IFERROR(__xludf.DUMMYFUNCTION("""COMPUTED_VALUE"""),11952839)</f>
        <v>11952839</v>
      </c>
    </row>
    <row r="61" spans="7:66" ht="13" x14ac:dyDescent="0.15">
      <c r="G61" s="4">
        <f ca="1">IFERROR(__xludf.DUMMYFUNCTION("""COMPUTED_VALUE"""),42213.6666666666)</f>
        <v>42213.666666666599</v>
      </c>
      <c r="H61" s="3">
        <f ca="1">IFERROR(__xludf.DUMMYFUNCTION("""COMPUTED_VALUE"""),78.03)</f>
        <v>78.03</v>
      </c>
      <c r="I61" s="3">
        <f ca="1">IFERROR(__xludf.DUMMYFUNCTION("""COMPUTED_VALUE"""),79.03)</f>
        <v>79.03</v>
      </c>
      <c r="J61" s="3">
        <f ca="1">IFERROR(__xludf.DUMMYFUNCTION("""COMPUTED_VALUE"""),78.03)</f>
        <v>78.03</v>
      </c>
      <c r="K61" s="3">
        <f ca="1">IFERROR(__xludf.DUMMYFUNCTION("""COMPUTED_VALUE"""),78.87)</f>
        <v>78.87</v>
      </c>
      <c r="L61" s="3">
        <f ca="1">IFERROR(__xludf.DUMMYFUNCTION("""COMPUTED_VALUE"""),5448454)</f>
        <v>5448454</v>
      </c>
      <c r="M61" s="4">
        <f ca="1">IFERROR(__xludf.DUMMYFUNCTION("""COMPUTED_VALUE"""),42213.6666666666)</f>
        <v>42213.666666666599</v>
      </c>
      <c r="N61" s="3">
        <f ca="1">IFERROR(__xludf.DUMMYFUNCTION("""COMPUTED_VALUE"""),49.87)</f>
        <v>49.87</v>
      </c>
      <c r="O61" s="3">
        <f ca="1">IFERROR(__xludf.DUMMYFUNCTION("""COMPUTED_VALUE"""),50.22)</f>
        <v>50.22</v>
      </c>
      <c r="P61" s="3">
        <f ca="1">IFERROR(__xludf.DUMMYFUNCTION("""COMPUTED_VALUE"""),49.73)</f>
        <v>49.73</v>
      </c>
      <c r="Q61" s="3">
        <f ca="1">IFERROR(__xludf.DUMMYFUNCTION("""COMPUTED_VALUE"""),50.21)</f>
        <v>50.21</v>
      </c>
      <c r="R61" s="3">
        <f ca="1">IFERROR(__xludf.DUMMYFUNCTION("""COMPUTED_VALUE"""),8765751)</f>
        <v>8765751</v>
      </c>
      <c r="S61" s="4">
        <f ca="1">IFERROR(__xludf.DUMMYFUNCTION("""COMPUTED_VALUE"""),42213.6666666666)</f>
        <v>42213.666666666599</v>
      </c>
      <c r="T61" s="3">
        <f ca="1">IFERROR(__xludf.DUMMYFUNCTION("""COMPUTED_VALUE"""),68.61)</f>
        <v>68.61</v>
      </c>
      <c r="U61" s="3">
        <f ca="1">IFERROR(__xludf.DUMMYFUNCTION("""COMPUTED_VALUE"""),70.85)</f>
        <v>70.849999999999994</v>
      </c>
      <c r="V61" s="3">
        <f ca="1">IFERROR(__xludf.DUMMYFUNCTION("""COMPUTED_VALUE"""),68.56)</f>
        <v>68.56</v>
      </c>
      <c r="W61" s="3">
        <f ca="1">IFERROR(__xludf.DUMMYFUNCTION("""COMPUTED_VALUE"""),70.47)</f>
        <v>70.47</v>
      </c>
      <c r="X61" s="3">
        <f ca="1">IFERROR(__xludf.DUMMYFUNCTION("""COMPUTED_VALUE"""),18938605)</f>
        <v>18938605</v>
      </c>
      <c r="Y61" s="4">
        <f ca="1">IFERROR(__xludf.DUMMYFUNCTION("""COMPUTED_VALUE"""),42213.6666666666)</f>
        <v>42213.666666666599</v>
      </c>
      <c r="Z61" s="3">
        <f ca="1">IFERROR(__xludf.DUMMYFUNCTION("""COMPUTED_VALUE"""),20.41)</f>
        <v>20.41</v>
      </c>
      <c r="AA61" s="3">
        <f ca="1">IFERROR(__xludf.DUMMYFUNCTION("""COMPUTED_VALUE"""),20.41)</f>
        <v>20.41</v>
      </c>
      <c r="AB61" s="3">
        <f ca="1">IFERROR(__xludf.DUMMYFUNCTION("""COMPUTED_VALUE"""),20.2)</f>
        <v>20.2</v>
      </c>
      <c r="AC61" s="3">
        <f ca="1">IFERROR(__xludf.DUMMYFUNCTION("""COMPUTED_VALUE"""),20.33)</f>
        <v>20.329999999999998</v>
      </c>
      <c r="AD61" s="3">
        <f ca="1">IFERROR(__xludf.DUMMYFUNCTION("""COMPUTED_VALUE"""),24108226)</f>
        <v>24108226</v>
      </c>
      <c r="AE61" s="4">
        <f ca="1">IFERROR(__xludf.DUMMYFUNCTION("""COMPUTED_VALUE"""),42213.6666666666)</f>
        <v>42213.666666666599</v>
      </c>
      <c r="AF61" s="3">
        <f ca="1">IFERROR(__xludf.DUMMYFUNCTION("""COMPUTED_VALUE"""),75.2)</f>
        <v>75.2</v>
      </c>
      <c r="AG61" s="3">
        <f ca="1">IFERROR(__xludf.DUMMYFUNCTION("""COMPUTED_VALUE"""),76.15)</f>
        <v>76.150000000000006</v>
      </c>
      <c r="AH61" s="3">
        <f ca="1">IFERROR(__xludf.DUMMYFUNCTION("""COMPUTED_VALUE"""),74.82)</f>
        <v>74.819999999999993</v>
      </c>
      <c r="AI61" s="3">
        <f ca="1">IFERROR(__xludf.DUMMYFUNCTION("""COMPUTED_VALUE"""),76.13)</f>
        <v>76.13</v>
      </c>
      <c r="AJ61" s="3">
        <f ca="1">IFERROR(__xludf.DUMMYFUNCTION("""COMPUTED_VALUE"""),11445082)</f>
        <v>11445082</v>
      </c>
      <c r="AK61" s="4">
        <f ca="1">IFERROR(__xludf.DUMMYFUNCTION("""COMPUTED_VALUE"""),42213.6666666666)</f>
        <v>42213.666666666599</v>
      </c>
      <c r="AL61" s="3">
        <f ca="1">IFERROR(__xludf.DUMMYFUNCTION("""COMPUTED_VALUE"""),52.84)</f>
        <v>52.84</v>
      </c>
      <c r="AM61" s="3">
        <f ca="1">IFERROR(__xludf.DUMMYFUNCTION("""COMPUTED_VALUE"""),53.74)</f>
        <v>53.74</v>
      </c>
      <c r="AN61" s="3">
        <f ca="1">IFERROR(__xludf.DUMMYFUNCTION("""COMPUTED_VALUE"""),52.84)</f>
        <v>52.84</v>
      </c>
      <c r="AO61" s="3">
        <f ca="1">IFERROR(__xludf.DUMMYFUNCTION("""COMPUTED_VALUE"""),53.66)</f>
        <v>53.66</v>
      </c>
      <c r="AP61" s="3">
        <f ca="1">IFERROR(__xludf.DUMMYFUNCTION("""COMPUTED_VALUE"""),15470321)</f>
        <v>15470321</v>
      </c>
      <c r="AQ61" s="4">
        <f ca="1">IFERROR(__xludf.DUMMYFUNCTION("""COMPUTED_VALUE"""),42213.6666666666)</f>
        <v>42213.666666666599</v>
      </c>
      <c r="AR61" s="3">
        <f ca="1">IFERROR(__xludf.DUMMYFUNCTION("""COMPUTED_VALUE"""),44.65)</f>
        <v>44.65</v>
      </c>
      <c r="AS61" s="3">
        <f ca="1">IFERROR(__xludf.DUMMYFUNCTION("""COMPUTED_VALUE"""),45.63)</f>
        <v>45.63</v>
      </c>
      <c r="AT61" s="3">
        <f ca="1">IFERROR(__xludf.DUMMYFUNCTION("""COMPUTED_VALUE"""),44.43)</f>
        <v>44.43</v>
      </c>
      <c r="AU61" s="3">
        <f ca="1">IFERROR(__xludf.DUMMYFUNCTION("""COMPUTED_VALUE"""),45.51)</f>
        <v>45.51</v>
      </c>
      <c r="AV61" s="3">
        <f ca="1">IFERROR(__xludf.DUMMYFUNCTION("""COMPUTED_VALUE"""),14388236)</f>
        <v>14388236</v>
      </c>
      <c r="AW61" s="4">
        <f ca="1">IFERROR(__xludf.DUMMYFUNCTION("""COMPUTED_VALUE"""),42375.6666666666)</f>
        <v>42375.666666666599</v>
      </c>
      <c r="AX61" s="3">
        <f ca="1">IFERROR(__xludf.DUMMYFUNCTION("""COMPUTED_VALUE"""),30.82)</f>
        <v>30.82</v>
      </c>
      <c r="AY61" s="3">
        <f ca="1">IFERROR(__xludf.DUMMYFUNCTION("""COMPUTED_VALUE"""),31.18)</f>
        <v>31.18</v>
      </c>
      <c r="AZ61" s="3">
        <f ca="1">IFERROR(__xludf.DUMMYFUNCTION("""COMPUTED_VALUE"""),30.82)</f>
        <v>30.82</v>
      </c>
      <c r="BA61" s="3">
        <f ca="1">IFERROR(__xludf.DUMMYFUNCTION("""COMPUTED_VALUE"""),31.08)</f>
        <v>31.08</v>
      </c>
      <c r="BB61" s="3">
        <f ca="1">IFERROR(__xludf.DUMMYFUNCTION("""COMPUTED_VALUE"""),3724)</f>
        <v>3724</v>
      </c>
      <c r="BC61" s="4">
        <f ca="1">IFERROR(__xludf.DUMMYFUNCTION("""COMPUTED_VALUE"""),42213.6666666666)</f>
        <v>42213.666666666599</v>
      </c>
      <c r="BD61" s="3">
        <f ca="1">IFERROR(__xludf.DUMMYFUNCTION("""COMPUTED_VALUE"""),42.16)</f>
        <v>42.16</v>
      </c>
      <c r="BE61" s="3">
        <f ca="1">IFERROR(__xludf.DUMMYFUNCTION("""COMPUTED_VALUE"""),42.44)</f>
        <v>42.44</v>
      </c>
      <c r="BF61" s="3">
        <f ca="1">IFERROR(__xludf.DUMMYFUNCTION("""COMPUTED_VALUE"""),41.87)</f>
        <v>41.87</v>
      </c>
      <c r="BG61" s="3">
        <f ca="1">IFERROR(__xludf.DUMMYFUNCTION("""COMPUTED_VALUE"""),42.36)</f>
        <v>42.36</v>
      </c>
      <c r="BH61" s="3">
        <f ca="1">IFERROR(__xludf.DUMMYFUNCTION("""COMPUTED_VALUE"""),7887533)</f>
        <v>7887533</v>
      </c>
      <c r="BI61" s="4">
        <f ca="1">IFERROR(__xludf.DUMMYFUNCTION("""COMPUTED_VALUE"""),42213.6666666666)</f>
        <v>42213.666666666599</v>
      </c>
      <c r="BJ61" s="3">
        <f ca="1">IFERROR(__xludf.DUMMYFUNCTION("""COMPUTED_VALUE"""),42.87)</f>
        <v>42.87</v>
      </c>
      <c r="BK61" s="3">
        <f ca="1">IFERROR(__xludf.DUMMYFUNCTION("""COMPUTED_VALUE"""),43.11)</f>
        <v>43.11</v>
      </c>
      <c r="BL61" s="3">
        <f ca="1">IFERROR(__xludf.DUMMYFUNCTION("""COMPUTED_VALUE"""),42.71)</f>
        <v>42.71</v>
      </c>
      <c r="BM61" s="3">
        <f ca="1">IFERROR(__xludf.DUMMYFUNCTION("""COMPUTED_VALUE"""),43.07)</f>
        <v>43.07</v>
      </c>
      <c r="BN61" s="3">
        <f ca="1">IFERROR(__xludf.DUMMYFUNCTION("""COMPUTED_VALUE"""),8742640)</f>
        <v>8742640</v>
      </c>
    </row>
    <row r="62" spans="7:66" ht="13" x14ac:dyDescent="0.15">
      <c r="G62" s="4">
        <f ca="1">IFERROR(__xludf.DUMMYFUNCTION("""COMPUTED_VALUE"""),42214.6666666666)</f>
        <v>42214.666666666599</v>
      </c>
      <c r="H62" s="3">
        <f ca="1">IFERROR(__xludf.DUMMYFUNCTION("""COMPUTED_VALUE"""),79.08)</f>
        <v>79.08</v>
      </c>
      <c r="I62" s="3">
        <f ca="1">IFERROR(__xludf.DUMMYFUNCTION("""COMPUTED_VALUE"""),79.81)</f>
        <v>79.81</v>
      </c>
      <c r="J62" s="3">
        <f ca="1">IFERROR(__xludf.DUMMYFUNCTION("""COMPUTED_VALUE"""),79)</f>
        <v>79</v>
      </c>
      <c r="K62" s="3">
        <f ca="1">IFERROR(__xludf.DUMMYFUNCTION("""COMPUTED_VALUE"""),79.68)</f>
        <v>79.680000000000007</v>
      </c>
      <c r="L62" s="3">
        <f ca="1">IFERROR(__xludf.DUMMYFUNCTION("""COMPUTED_VALUE"""),5812230)</f>
        <v>5812230</v>
      </c>
      <c r="M62" s="4">
        <f ca="1">IFERROR(__xludf.DUMMYFUNCTION("""COMPUTED_VALUE"""),42214.6666666666)</f>
        <v>42214.666666666599</v>
      </c>
      <c r="N62" s="3">
        <f ca="1">IFERROR(__xludf.DUMMYFUNCTION("""COMPUTED_VALUE"""),50.26)</f>
        <v>50.26</v>
      </c>
      <c r="O62" s="3">
        <f ca="1">IFERROR(__xludf.DUMMYFUNCTION("""COMPUTED_VALUE"""),50.49)</f>
        <v>50.49</v>
      </c>
      <c r="P62" s="3">
        <f ca="1">IFERROR(__xludf.DUMMYFUNCTION("""COMPUTED_VALUE"""),50.16)</f>
        <v>50.16</v>
      </c>
      <c r="Q62" s="3">
        <f ca="1">IFERROR(__xludf.DUMMYFUNCTION("""COMPUTED_VALUE"""),50.38)</f>
        <v>50.38</v>
      </c>
      <c r="R62" s="3">
        <f ca="1">IFERROR(__xludf.DUMMYFUNCTION("""COMPUTED_VALUE"""),6105070)</f>
        <v>6105070</v>
      </c>
      <c r="S62" s="4">
        <f ca="1">IFERROR(__xludf.DUMMYFUNCTION("""COMPUTED_VALUE"""),42214.6666666666)</f>
        <v>42214.666666666599</v>
      </c>
      <c r="T62" s="3">
        <f ca="1">IFERROR(__xludf.DUMMYFUNCTION("""COMPUTED_VALUE"""),70.29)</f>
        <v>70.290000000000006</v>
      </c>
      <c r="U62" s="3">
        <f ca="1">IFERROR(__xludf.DUMMYFUNCTION("""COMPUTED_VALUE"""),71.5)</f>
        <v>71.5</v>
      </c>
      <c r="V62" s="3">
        <f ca="1">IFERROR(__xludf.DUMMYFUNCTION("""COMPUTED_VALUE"""),70.07)</f>
        <v>70.069999999999993</v>
      </c>
      <c r="W62" s="3">
        <f ca="1">IFERROR(__xludf.DUMMYFUNCTION("""COMPUTED_VALUE"""),71.43)</f>
        <v>71.430000000000007</v>
      </c>
      <c r="X62" s="3">
        <f ca="1">IFERROR(__xludf.DUMMYFUNCTION("""COMPUTED_VALUE"""),23427257)</f>
        <v>23427257</v>
      </c>
      <c r="Y62" s="4">
        <f ca="1">IFERROR(__xludf.DUMMYFUNCTION("""COMPUTED_VALUE"""),42214.6666666666)</f>
        <v>42214.666666666599</v>
      </c>
      <c r="Z62" s="3">
        <f ca="1">IFERROR(__xludf.DUMMYFUNCTION("""COMPUTED_VALUE"""),20.4)</f>
        <v>20.399999999999999</v>
      </c>
      <c r="AA62" s="3">
        <f ca="1">IFERROR(__xludf.DUMMYFUNCTION("""COMPUTED_VALUE"""),20.54)</f>
        <v>20.54</v>
      </c>
      <c r="AB62" s="3">
        <f ca="1">IFERROR(__xludf.DUMMYFUNCTION("""COMPUTED_VALUE"""),20.35)</f>
        <v>20.350000000000001</v>
      </c>
      <c r="AC62" s="3">
        <f ca="1">IFERROR(__xludf.DUMMYFUNCTION("""COMPUTED_VALUE"""),20.54)</f>
        <v>20.54</v>
      </c>
      <c r="AD62" s="3">
        <f ca="1">IFERROR(__xludf.DUMMYFUNCTION("""COMPUTED_VALUE"""),26881740)</f>
        <v>26881740</v>
      </c>
      <c r="AE62" s="4">
        <f ca="1">IFERROR(__xludf.DUMMYFUNCTION("""COMPUTED_VALUE"""),42214.6666666666)</f>
        <v>42214.666666666599</v>
      </c>
      <c r="AF62" s="3">
        <f ca="1">IFERROR(__xludf.DUMMYFUNCTION("""COMPUTED_VALUE"""),76.46)</f>
        <v>76.459999999999994</v>
      </c>
      <c r="AG62" s="3">
        <f ca="1">IFERROR(__xludf.DUMMYFUNCTION("""COMPUTED_VALUE"""),76.61)</f>
        <v>76.61</v>
      </c>
      <c r="AH62" s="3">
        <f ca="1">IFERROR(__xludf.DUMMYFUNCTION("""COMPUTED_VALUE"""),75.94)</f>
        <v>75.94</v>
      </c>
      <c r="AI62" s="3">
        <f ca="1">IFERROR(__xludf.DUMMYFUNCTION("""COMPUTED_VALUE"""),76.26)</f>
        <v>76.260000000000005</v>
      </c>
      <c r="AJ62" s="3">
        <f ca="1">IFERROR(__xludf.DUMMYFUNCTION("""COMPUTED_VALUE"""),9367016)</f>
        <v>9367016</v>
      </c>
      <c r="AK62" s="4">
        <f ca="1">IFERROR(__xludf.DUMMYFUNCTION("""COMPUTED_VALUE"""),42214.6666666666)</f>
        <v>42214.666666666599</v>
      </c>
      <c r="AL62" s="3">
        <f ca="1">IFERROR(__xludf.DUMMYFUNCTION("""COMPUTED_VALUE"""),53.56)</f>
        <v>53.56</v>
      </c>
      <c r="AM62" s="3">
        <f ca="1">IFERROR(__xludf.DUMMYFUNCTION("""COMPUTED_VALUE"""),54.36)</f>
        <v>54.36</v>
      </c>
      <c r="AN62" s="3">
        <f ca="1">IFERROR(__xludf.DUMMYFUNCTION("""COMPUTED_VALUE"""),53.53)</f>
        <v>53.53</v>
      </c>
      <c r="AO62" s="3">
        <f ca="1">IFERROR(__xludf.DUMMYFUNCTION("""COMPUTED_VALUE"""),54.32)</f>
        <v>54.32</v>
      </c>
      <c r="AP62" s="3">
        <f ca="1">IFERROR(__xludf.DUMMYFUNCTION("""COMPUTED_VALUE"""),13128764)</f>
        <v>13128764</v>
      </c>
      <c r="AQ62" s="4">
        <f ca="1">IFERROR(__xludf.DUMMYFUNCTION("""COMPUTED_VALUE"""),42214.6666666666)</f>
        <v>42214.666666666599</v>
      </c>
      <c r="AR62" s="3">
        <f ca="1">IFERROR(__xludf.DUMMYFUNCTION("""COMPUTED_VALUE"""),45.58)</f>
        <v>45.58</v>
      </c>
      <c r="AS62" s="3">
        <f ca="1">IFERROR(__xludf.DUMMYFUNCTION("""COMPUTED_VALUE"""),45.98)</f>
        <v>45.98</v>
      </c>
      <c r="AT62" s="3">
        <f ca="1">IFERROR(__xludf.DUMMYFUNCTION("""COMPUTED_VALUE"""),45.36)</f>
        <v>45.36</v>
      </c>
      <c r="AU62" s="3">
        <f ca="1">IFERROR(__xludf.DUMMYFUNCTION("""COMPUTED_VALUE"""),45.84)</f>
        <v>45.84</v>
      </c>
      <c r="AV62" s="3">
        <f ca="1">IFERROR(__xludf.DUMMYFUNCTION("""COMPUTED_VALUE"""),9585414)</f>
        <v>9585414</v>
      </c>
      <c r="AW62" s="4">
        <f ca="1">IFERROR(__xludf.DUMMYFUNCTION("""COMPUTED_VALUE"""),42376.6666666666)</f>
        <v>42376.666666666599</v>
      </c>
      <c r="AX62" s="3">
        <f ca="1">IFERROR(__xludf.DUMMYFUNCTION("""COMPUTED_VALUE"""),30.72)</f>
        <v>30.72</v>
      </c>
      <c r="AY62" s="3">
        <f ca="1">IFERROR(__xludf.DUMMYFUNCTION("""COMPUTED_VALUE"""),30.75)</f>
        <v>30.75</v>
      </c>
      <c r="AZ62" s="3">
        <f ca="1">IFERROR(__xludf.DUMMYFUNCTION("""COMPUTED_VALUE"""),30.51)</f>
        <v>30.51</v>
      </c>
      <c r="BA62" s="3">
        <f ca="1">IFERROR(__xludf.DUMMYFUNCTION("""COMPUTED_VALUE"""),30.51)</f>
        <v>30.51</v>
      </c>
      <c r="BB62" s="3">
        <f ca="1">IFERROR(__xludf.DUMMYFUNCTION("""COMPUTED_VALUE"""),1547)</f>
        <v>1547</v>
      </c>
      <c r="BC62" s="4">
        <f ca="1">IFERROR(__xludf.DUMMYFUNCTION("""COMPUTED_VALUE"""),42214.6666666666)</f>
        <v>42214.666666666599</v>
      </c>
      <c r="BD62" s="3">
        <f ca="1">IFERROR(__xludf.DUMMYFUNCTION("""COMPUTED_VALUE"""),42.36)</f>
        <v>42.36</v>
      </c>
      <c r="BE62" s="3">
        <f ca="1">IFERROR(__xludf.DUMMYFUNCTION("""COMPUTED_VALUE"""),42.73)</f>
        <v>42.73</v>
      </c>
      <c r="BF62" s="3">
        <f ca="1">IFERROR(__xludf.DUMMYFUNCTION("""COMPUTED_VALUE"""),42.21)</f>
        <v>42.21</v>
      </c>
      <c r="BG62" s="3">
        <f ca="1">IFERROR(__xludf.DUMMYFUNCTION("""COMPUTED_VALUE"""),42.64)</f>
        <v>42.64</v>
      </c>
      <c r="BH62" s="3">
        <f ca="1">IFERROR(__xludf.DUMMYFUNCTION("""COMPUTED_VALUE"""),8376345)</f>
        <v>8376345</v>
      </c>
      <c r="BI62" s="4">
        <f ca="1">IFERROR(__xludf.DUMMYFUNCTION("""COMPUTED_VALUE"""),42214.6666666666)</f>
        <v>42214.666666666599</v>
      </c>
      <c r="BJ62" s="3">
        <f ca="1">IFERROR(__xludf.DUMMYFUNCTION("""COMPUTED_VALUE"""),43.07)</f>
        <v>43.07</v>
      </c>
      <c r="BK62" s="3">
        <f ca="1">IFERROR(__xludf.DUMMYFUNCTION("""COMPUTED_VALUE"""),43.27)</f>
        <v>43.27</v>
      </c>
      <c r="BL62" s="3">
        <f ca="1">IFERROR(__xludf.DUMMYFUNCTION("""COMPUTED_VALUE"""),42.75)</f>
        <v>42.75</v>
      </c>
      <c r="BM62" s="3">
        <f ca="1">IFERROR(__xludf.DUMMYFUNCTION("""COMPUTED_VALUE"""),43.23)</f>
        <v>43.23</v>
      </c>
      <c r="BN62" s="3">
        <f ca="1">IFERROR(__xludf.DUMMYFUNCTION("""COMPUTED_VALUE"""),13500760)</f>
        <v>13500760</v>
      </c>
    </row>
    <row r="63" spans="7:66" ht="13" x14ac:dyDescent="0.15">
      <c r="G63" s="4">
        <f ca="1">IFERROR(__xludf.DUMMYFUNCTION("""COMPUTED_VALUE"""),42215.6666666666)</f>
        <v>42215.666666666599</v>
      </c>
      <c r="H63" s="3">
        <f ca="1">IFERROR(__xludf.DUMMYFUNCTION("""COMPUTED_VALUE"""),79.34)</f>
        <v>79.34</v>
      </c>
      <c r="I63" s="3">
        <f ca="1">IFERROR(__xludf.DUMMYFUNCTION("""COMPUTED_VALUE"""),80.06)</f>
        <v>80.06</v>
      </c>
      <c r="J63" s="3">
        <f ca="1">IFERROR(__xludf.DUMMYFUNCTION("""COMPUTED_VALUE"""),79.2)</f>
        <v>79.2</v>
      </c>
      <c r="K63" s="3">
        <f ca="1">IFERROR(__xludf.DUMMYFUNCTION("""COMPUTED_VALUE"""),79.97)</f>
        <v>79.97</v>
      </c>
      <c r="L63" s="3">
        <f ca="1">IFERROR(__xludf.DUMMYFUNCTION("""COMPUTED_VALUE"""),3303234)</f>
        <v>3303234</v>
      </c>
      <c r="M63" s="4">
        <f ca="1">IFERROR(__xludf.DUMMYFUNCTION("""COMPUTED_VALUE"""),42215.6666666666)</f>
        <v>42215.666666666599</v>
      </c>
      <c r="N63" s="3">
        <f ca="1">IFERROR(__xludf.DUMMYFUNCTION("""COMPUTED_VALUE"""),50.14)</f>
        <v>50.14</v>
      </c>
      <c r="O63" s="3">
        <f ca="1">IFERROR(__xludf.DUMMYFUNCTION("""COMPUTED_VALUE"""),50.28)</f>
        <v>50.28</v>
      </c>
      <c r="P63" s="3">
        <f ca="1">IFERROR(__xludf.DUMMYFUNCTION("""COMPUTED_VALUE"""),49.88)</f>
        <v>49.88</v>
      </c>
      <c r="Q63" s="3">
        <f ca="1">IFERROR(__xludf.DUMMYFUNCTION("""COMPUTED_VALUE"""),50.21)</f>
        <v>50.21</v>
      </c>
      <c r="R63" s="3">
        <f ca="1">IFERROR(__xludf.DUMMYFUNCTION("""COMPUTED_VALUE"""),7029085)</f>
        <v>7029085</v>
      </c>
      <c r="S63" s="4">
        <f ca="1">IFERROR(__xludf.DUMMYFUNCTION("""COMPUTED_VALUE"""),42215.6666666666)</f>
        <v>42215.666666666599</v>
      </c>
      <c r="T63" s="3">
        <f ca="1">IFERROR(__xludf.DUMMYFUNCTION("""COMPUTED_VALUE"""),71.28)</f>
        <v>71.28</v>
      </c>
      <c r="U63" s="3">
        <f ca="1">IFERROR(__xludf.DUMMYFUNCTION("""COMPUTED_VALUE"""),71.49)</f>
        <v>71.489999999999995</v>
      </c>
      <c r="V63" s="3">
        <f ca="1">IFERROR(__xludf.DUMMYFUNCTION("""COMPUTED_VALUE"""),70.62)</f>
        <v>70.62</v>
      </c>
      <c r="W63" s="3">
        <f ca="1">IFERROR(__xludf.DUMMYFUNCTION("""COMPUTED_VALUE"""),70.93)</f>
        <v>70.930000000000007</v>
      </c>
      <c r="X63" s="3">
        <f ca="1">IFERROR(__xludf.DUMMYFUNCTION("""COMPUTED_VALUE"""),12627235)</f>
        <v>12627235</v>
      </c>
      <c r="Y63" s="4">
        <f ca="1">IFERROR(__xludf.DUMMYFUNCTION("""COMPUTED_VALUE"""),42215.6666666666)</f>
        <v>42215.666666666599</v>
      </c>
      <c r="Z63" s="3">
        <f ca="1">IFERROR(__xludf.DUMMYFUNCTION("""COMPUTED_VALUE"""),20.5)</f>
        <v>20.5</v>
      </c>
      <c r="AA63" s="3">
        <f ca="1">IFERROR(__xludf.DUMMYFUNCTION("""COMPUTED_VALUE"""),20.55)</f>
        <v>20.55</v>
      </c>
      <c r="AB63" s="3">
        <f ca="1">IFERROR(__xludf.DUMMYFUNCTION("""COMPUTED_VALUE"""),20.42)</f>
        <v>20.420000000000002</v>
      </c>
      <c r="AC63" s="3">
        <f ca="1">IFERROR(__xludf.DUMMYFUNCTION("""COMPUTED_VALUE"""),20.54)</f>
        <v>20.54</v>
      </c>
      <c r="AD63" s="3">
        <f ca="1">IFERROR(__xludf.DUMMYFUNCTION("""COMPUTED_VALUE"""),16732723)</f>
        <v>16732723</v>
      </c>
      <c r="AE63" s="4">
        <f ca="1">IFERROR(__xludf.DUMMYFUNCTION("""COMPUTED_VALUE"""),42215.6666666666)</f>
        <v>42215.666666666599</v>
      </c>
      <c r="AF63" s="3">
        <f ca="1">IFERROR(__xludf.DUMMYFUNCTION("""COMPUTED_VALUE"""),76.19)</f>
        <v>76.19</v>
      </c>
      <c r="AG63" s="3">
        <f ca="1">IFERROR(__xludf.DUMMYFUNCTION("""COMPUTED_VALUE"""),76.33)</f>
        <v>76.33</v>
      </c>
      <c r="AH63" s="3">
        <f ca="1">IFERROR(__xludf.DUMMYFUNCTION("""COMPUTED_VALUE"""),75.56)</f>
        <v>75.56</v>
      </c>
      <c r="AI63" s="3">
        <f ca="1">IFERROR(__xludf.DUMMYFUNCTION("""COMPUTED_VALUE"""),76.15)</f>
        <v>76.150000000000006</v>
      </c>
      <c r="AJ63" s="3">
        <f ca="1">IFERROR(__xludf.DUMMYFUNCTION("""COMPUTED_VALUE"""),5381101)</f>
        <v>5381101</v>
      </c>
      <c r="AK63" s="4">
        <f ca="1">IFERROR(__xludf.DUMMYFUNCTION("""COMPUTED_VALUE"""),42215.6666666666)</f>
        <v>42215.666666666599</v>
      </c>
      <c r="AL63" s="3">
        <f ca="1">IFERROR(__xludf.DUMMYFUNCTION("""COMPUTED_VALUE"""),54.03)</f>
        <v>54.03</v>
      </c>
      <c r="AM63" s="3">
        <f ca="1">IFERROR(__xludf.DUMMYFUNCTION("""COMPUTED_VALUE"""),54.32)</f>
        <v>54.32</v>
      </c>
      <c r="AN63" s="3">
        <f ca="1">IFERROR(__xludf.DUMMYFUNCTION("""COMPUTED_VALUE"""),53.97)</f>
        <v>53.97</v>
      </c>
      <c r="AO63" s="3">
        <f ca="1">IFERROR(__xludf.DUMMYFUNCTION("""COMPUTED_VALUE"""),54.27)</f>
        <v>54.27</v>
      </c>
      <c r="AP63" s="3">
        <f ca="1">IFERROR(__xludf.DUMMYFUNCTION("""COMPUTED_VALUE"""),5884461)</f>
        <v>5884461</v>
      </c>
      <c r="AQ63" s="4">
        <f ca="1">IFERROR(__xludf.DUMMYFUNCTION("""COMPUTED_VALUE"""),42215.6666666666)</f>
        <v>42215.666666666599</v>
      </c>
      <c r="AR63" s="3">
        <f ca="1">IFERROR(__xludf.DUMMYFUNCTION("""COMPUTED_VALUE"""),45.85)</f>
        <v>45.85</v>
      </c>
      <c r="AS63" s="3">
        <f ca="1">IFERROR(__xludf.DUMMYFUNCTION("""COMPUTED_VALUE"""),46.14)</f>
        <v>46.14</v>
      </c>
      <c r="AT63" s="3">
        <f ca="1">IFERROR(__xludf.DUMMYFUNCTION("""COMPUTED_VALUE"""),45.8)</f>
        <v>45.8</v>
      </c>
      <c r="AU63" s="3">
        <f ca="1">IFERROR(__xludf.DUMMYFUNCTION("""COMPUTED_VALUE"""),46.07)</f>
        <v>46.07</v>
      </c>
      <c r="AV63" s="3">
        <f ca="1">IFERROR(__xludf.DUMMYFUNCTION("""COMPUTED_VALUE"""),5595813)</f>
        <v>5595813</v>
      </c>
      <c r="AW63" s="4">
        <f ca="1">IFERROR(__xludf.DUMMYFUNCTION("""COMPUTED_VALUE"""),42377.6666666666)</f>
        <v>42377.666666666599</v>
      </c>
      <c r="AX63" s="3">
        <f ca="1">IFERROR(__xludf.DUMMYFUNCTION("""COMPUTED_VALUE"""),30.51)</f>
        <v>30.51</v>
      </c>
      <c r="AY63" s="3">
        <f ca="1">IFERROR(__xludf.DUMMYFUNCTION("""COMPUTED_VALUE"""),30.52)</f>
        <v>30.52</v>
      </c>
      <c r="AZ63" s="3">
        <f ca="1">IFERROR(__xludf.DUMMYFUNCTION("""COMPUTED_VALUE"""),30.08)</f>
        <v>30.08</v>
      </c>
      <c r="BA63" s="3">
        <f ca="1">IFERROR(__xludf.DUMMYFUNCTION("""COMPUTED_VALUE"""),30.11)</f>
        <v>30.11</v>
      </c>
      <c r="BB63" s="3">
        <f ca="1">IFERROR(__xludf.DUMMYFUNCTION("""COMPUTED_VALUE"""),3993)</f>
        <v>3993</v>
      </c>
      <c r="BC63" s="4">
        <f ca="1">IFERROR(__xludf.DUMMYFUNCTION("""COMPUTED_VALUE"""),42215.6666666666)</f>
        <v>42215.666666666599</v>
      </c>
      <c r="BD63" s="3">
        <f ca="1">IFERROR(__xludf.DUMMYFUNCTION("""COMPUTED_VALUE"""),42.46)</f>
        <v>42.46</v>
      </c>
      <c r="BE63" s="3">
        <f ca="1">IFERROR(__xludf.DUMMYFUNCTION("""COMPUTED_VALUE"""),42.79)</f>
        <v>42.79</v>
      </c>
      <c r="BF63" s="3">
        <f ca="1">IFERROR(__xludf.DUMMYFUNCTION("""COMPUTED_VALUE"""),42.26)</f>
        <v>42.26</v>
      </c>
      <c r="BG63" s="3">
        <f ca="1">IFERROR(__xludf.DUMMYFUNCTION("""COMPUTED_VALUE"""),42.72)</f>
        <v>42.72</v>
      </c>
      <c r="BH63" s="3">
        <f ca="1">IFERROR(__xludf.DUMMYFUNCTION("""COMPUTED_VALUE"""),6808201)</f>
        <v>6808201</v>
      </c>
      <c r="BI63" s="4">
        <f ca="1">IFERROR(__xludf.DUMMYFUNCTION("""COMPUTED_VALUE"""),42215.6666666666)</f>
        <v>42215.666666666599</v>
      </c>
      <c r="BJ63" s="3">
        <f ca="1">IFERROR(__xludf.DUMMYFUNCTION("""COMPUTED_VALUE"""),43.19)</f>
        <v>43.19</v>
      </c>
      <c r="BK63" s="3">
        <f ca="1">IFERROR(__xludf.DUMMYFUNCTION("""COMPUTED_VALUE"""),43.69)</f>
        <v>43.69</v>
      </c>
      <c r="BL63" s="3">
        <f ca="1">IFERROR(__xludf.DUMMYFUNCTION("""COMPUTED_VALUE"""),43.01)</f>
        <v>43.01</v>
      </c>
      <c r="BM63" s="3">
        <f ca="1">IFERROR(__xludf.DUMMYFUNCTION("""COMPUTED_VALUE"""),43.55)</f>
        <v>43.55</v>
      </c>
      <c r="BN63" s="3">
        <f ca="1">IFERROR(__xludf.DUMMYFUNCTION("""COMPUTED_VALUE"""),11315355)</f>
        <v>11315355</v>
      </c>
    </row>
    <row r="64" spans="7:66" ht="13" x14ac:dyDescent="0.15">
      <c r="G64" s="4">
        <f ca="1">IFERROR(__xludf.DUMMYFUNCTION("""COMPUTED_VALUE"""),42216.6666666666)</f>
        <v>42216.666666666599</v>
      </c>
      <c r="H64" s="3">
        <f ca="1">IFERROR(__xludf.DUMMYFUNCTION("""COMPUTED_VALUE"""),80.15)</f>
        <v>80.150000000000006</v>
      </c>
      <c r="I64" s="3">
        <f ca="1">IFERROR(__xludf.DUMMYFUNCTION("""COMPUTED_VALUE"""),80.53)</f>
        <v>80.53</v>
      </c>
      <c r="J64" s="3">
        <f ca="1">IFERROR(__xludf.DUMMYFUNCTION("""COMPUTED_VALUE"""),79.94)</f>
        <v>79.94</v>
      </c>
      <c r="K64" s="3">
        <f ca="1">IFERROR(__xludf.DUMMYFUNCTION("""COMPUTED_VALUE"""),80.22)</f>
        <v>80.22</v>
      </c>
      <c r="L64" s="3">
        <f ca="1">IFERROR(__xludf.DUMMYFUNCTION("""COMPUTED_VALUE"""),3665190)</f>
        <v>3665190</v>
      </c>
      <c r="M64" s="4">
        <f ca="1">IFERROR(__xludf.DUMMYFUNCTION("""COMPUTED_VALUE"""),42216.6666666666)</f>
        <v>42216.666666666599</v>
      </c>
      <c r="N64" s="3">
        <f ca="1">IFERROR(__xludf.DUMMYFUNCTION("""COMPUTED_VALUE"""),50.38)</f>
        <v>50.38</v>
      </c>
      <c r="O64" s="3">
        <f ca="1">IFERROR(__xludf.DUMMYFUNCTION("""COMPUTED_VALUE"""),50.42)</f>
        <v>50.42</v>
      </c>
      <c r="P64" s="3">
        <f ca="1">IFERROR(__xludf.DUMMYFUNCTION("""COMPUTED_VALUE"""),50.24)</f>
        <v>50.24</v>
      </c>
      <c r="Q64" s="3">
        <f ca="1">IFERROR(__xludf.DUMMYFUNCTION("""COMPUTED_VALUE"""),50.31)</f>
        <v>50.31</v>
      </c>
      <c r="R64" s="3">
        <f ca="1">IFERROR(__xludf.DUMMYFUNCTION("""COMPUTED_VALUE"""),6168772)</f>
        <v>6168772</v>
      </c>
      <c r="S64" s="4">
        <f ca="1">IFERROR(__xludf.DUMMYFUNCTION("""COMPUTED_VALUE"""),42216.6666666666)</f>
        <v>42216.666666666599</v>
      </c>
      <c r="T64" s="3">
        <f ca="1">IFERROR(__xludf.DUMMYFUNCTION("""COMPUTED_VALUE"""),70.32)</f>
        <v>70.319999999999993</v>
      </c>
      <c r="U64" s="3">
        <f ca="1">IFERROR(__xludf.DUMMYFUNCTION("""COMPUTED_VALUE"""),70.42)</f>
        <v>70.42</v>
      </c>
      <c r="V64" s="3">
        <f ca="1">IFERROR(__xludf.DUMMYFUNCTION("""COMPUTED_VALUE"""),69.27)</f>
        <v>69.27</v>
      </c>
      <c r="W64" s="3">
        <f ca="1">IFERROR(__xludf.DUMMYFUNCTION("""COMPUTED_VALUE"""),69.38)</f>
        <v>69.38</v>
      </c>
      <c r="X64" s="3">
        <f ca="1">IFERROR(__xludf.DUMMYFUNCTION("""COMPUTED_VALUE"""),21789434)</f>
        <v>21789434</v>
      </c>
      <c r="Y64" s="4">
        <f ca="1">IFERROR(__xludf.DUMMYFUNCTION("""COMPUTED_VALUE"""),42216.6666666666)</f>
        <v>42216.666666666599</v>
      </c>
      <c r="Z64" s="3">
        <f ca="1">IFERROR(__xludf.DUMMYFUNCTION("""COMPUTED_VALUE"""),20.51)</f>
        <v>20.51</v>
      </c>
      <c r="AA64" s="3">
        <f ca="1">IFERROR(__xludf.DUMMYFUNCTION("""COMPUTED_VALUE"""),20.56)</f>
        <v>20.56</v>
      </c>
      <c r="AB64" s="3">
        <f ca="1">IFERROR(__xludf.DUMMYFUNCTION("""COMPUTED_VALUE"""),20.41)</f>
        <v>20.41</v>
      </c>
      <c r="AC64" s="3">
        <f ca="1">IFERROR(__xludf.DUMMYFUNCTION("""COMPUTED_VALUE"""),20.47)</f>
        <v>20.47</v>
      </c>
      <c r="AD64" s="3">
        <f ca="1">IFERROR(__xludf.DUMMYFUNCTION("""COMPUTED_VALUE"""),19608075)</f>
        <v>19608075</v>
      </c>
      <c r="AE64" s="4">
        <f ca="1">IFERROR(__xludf.DUMMYFUNCTION("""COMPUTED_VALUE"""),42216.6666666666)</f>
        <v>42216.666666666599</v>
      </c>
      <c r="AF64" s="3">
        <f ca="1">IFERROR(__xludf.DUMMYFUNCTION("""COMPUTED_VALUE"""),76.44)</f>
        <v>76.44</v>
      </c>
      <c r="AG64" s="3">
        <f ca="1">IFERROR(__xludf.DUMMYFUNCTION("""COMPUTED_VALUE"""),76.93)</f>
        <v>76.930000000000007</v>
      </c>
      <c r="AH64" s="3">
        <f ca="1">IFERROR(__xludf.DUMMYFUNCTION("""COMPUTED_VALUE"""),76.39)</f>
        <v>76.39</v>
      </c>
      <c r="AI64" s="3">
        <f ca="1">IFERROR(__xludf.DUMMYFUNCTION("""COMPUTED_VALUE"""),76.59)</f>
        <v>76.59</v>
      </c>
      <c r="AJ64" s="3">
        <f ca="1">IFERROR(__xludf.DUMMYFUNCTION("""COMPUTED_VALUE"""),7910277)</f>
        <v>7910277</v>
      </c>
      <c r="AK64" s="4">
        <f ca="1">IFERROR(__xludf.DUMMYFUNCTION("""COMPUTED_VALUE"""),42216.6666666666)</f>
        <v>42216.666666666599</v>
      </c>
      <c r="AL64" s="3">
        <f ca="1">IFERROR(__xludf.DUMMYFUNCTION("""COMPUTED_VALUE"""),54.49)</f>
        <v>54.49</v>
      </c>
      <c r="AM64" s="3">
        <f ca="1">IFERROR(__xludf.DUMMYFUNCTION("""COMPUTED_VALUE"""),54.5)</f>
        <v>54.5</v>
      </c>
      <c r="AN64" s="3">
        <f ca="1">IFERROR(__xludf.DUMMYFUNCTION("""COMPUTED_VALUE"""),54.16)</f>
        <v>54.16</v>
      </c>
      <c r="AO64" s="3">
        <f ca="1">IFERROR(__xludf.DUMMYFUNCTION("""COMPUTED_VALUE"""),54.22)</f>
        <v>54.22</v>
      </c>
      <c r="AP64" s="3">
        <f ca="1">IFERROR(__xludf.DUMMYFUNCTION("""COMPUTED_VALUE"""),7504222)</f>
        <v>7504222</v>
      </c>
      <c r="AQ64" s="4">
        <f ca="1">IFERROR(__xludf.DUMMYFUNCTION("""COMPUTED_VALUE"""),42216.6666666666)</f>
        <v>42216.666666666599</v>
      </c>
      <c r="AR64" s="3">
        <f ca="1">IFERROR(__xludf.DUMMYFUNCTION("""COMPUTED_VALUE"""),46.39)</f>
        <v>46.39</v>
      </c>
      <c r="AS64" s="3">
        <f ca="1">IFERROR(__xludf.DUMMYFUNCTION("""COMPUTED_VALUE"""),46.39)</f>
        <v>46.39</v>
      </c>
      <c r="AT64" s="3">
        <f ca="1">IFERROR(__xludf.DUMMYFUNCTION("""COMPUTED_VALUE"""),45.86)</f>
        <v>45.86</v>
      </c>
      <c r="AU64" s="3">
        <f ca="1">IFERROR(__xludf.DUMMYFUNCTION("""COMPUTED_VALUE"""),45.95)</f>
        <v>45.95</v>
      </c>
      <c r="AV64" s="3">
        <f ca="1">IFERROR(__xludf.DUMMYFUNCTION("""COMPUTED_VALUE"""),4698040)</f>
        <v>4698040</v>
      </c>
      <c r="AW64" s="4">
        <f ca="1">IFERROR(__xludf.DUMMYFUNCTION("""COMPUTED_VALUE"""),42380.6666666666)</f>
        <v>42380.666666666599</v>
      </c>
      <c r="AX64" s="3">
        <f ca="1">IFERROR(__xludf.DUMMYFUNCTION("""COMPUTED_VALUE"""),30.29)</f>
        <v>30.29</v>
      </c>
      <c r="AY64" s="3">
        <f ca="1">IFERROR(__xludf.DUMMYFUNCTION("""COMPUTED_VALUE"""),30.29)</f>
        <v>30.29</v>
      </c>
      <c r="AZ64" s="3">
        <f ca="1">IFERROR(__xludf.DUMMYFUNCTION("""COMPUTED_VALUE"""),30.29)</f>
        <v>30.29</v>
      </c>
      <c r="BA64" s="3">
        <f ca="1">IFERROR(__xludf.DUMMYFUNCTION("""COMPUTED_VALUE"""),30.29)</f>
        <v>30.29</v>
      </c>
      <c r="BB64" s="3">
        <f ca="1">IFERROR(__xludf.DUMMYFUNCTION("""COMPUTED_VALUE"""),477)</f>
        <v>477</v>
      </c>
      <c r="BC64" s="4">
        <f ca="1">IFERROR(__xludf.DUMMYFUNCTION("""COMPUTED_VALUE"""),42216.6666666666)</f>
        <v>42216.666666666599</v>
      </c>
      <c r="BD64" s="3">
        <f ca="1">IFERROR(__xludf.DUMMYFUNCTION("""COMPUTED_VALUE"""),42.77)</f>
        <v>42.77</v>
      </c>
      <c r="BE64" s="3">
        <f ca="1">IFERROR(__xludf.DUMMYFUNCTION("""COMPUTED_VALUE"""),42.84)</f>
        <v>42.84</v>
      </c>
      <c r="BF64" s="3">
        <f ca="1">IFERROR(__xludf.DUMMYFUNCTION("""COMPUTED_VALUE"""),42.5)</f>
        <v>42.5</v>
      </c>
      <c r="BG64" s="3">
        <f ca="1">IFERROR(__xludf.DUMMYFUNCTION("""COMPUTED_VALUE"""),42.58)</f>
        <v>42.58</v>
      </c>
      <c r="BH64" s="3">
        <f ca="1">IFERROR(__xludf.DUMMYFUNCTION("""COMPUTED_VALUE"""),10911997)</f>
        <v>10911997</v>
      </c>
      <c r="BI64" s="4">
        <f ca="1">IFERROR(__xludf.DUMMYFUNCTION("""COMPUTED_VALUE"""),42216.6666666666)</f>
        <v>42216.666666666599</v>
      </c>
      <c r="BJ64" s="3">
        <f ca="1">IFERROR(__xludf.DUMMYFUNCTION("""COMPUTED_VALUE"""),43.95)</f>
        <v>43.95</v>
      </c>
      <c r="BK64" s="3">
        <f ca="1">IFERROR(__xludf.DUMMYFUNCTION("""COMPUTED_VALUE"""),44.34)</f>
        <v>44.34</v>
      </c>
      <c r="BL64" s="3">
        <f ca="1">IFERROR(__xludf.DUMMYFUNCTION("""COMPUTED_VALUE"""),43.9)</f>
        <v>43.9</v>
      </c>
      <c r="BM64" s="3">
        <f ca="1">IFERROR(__xludf.DUMMYFUNCTION("""COMPUTED_VALUE"""),43.99)</f>
        <v>43.99</v>
      </c>
      <c r="BN64" s="3">
        <f ca="1">IFERROR(__xludf.DUMMYFUNCTION("""COMPUTED_VALUE"""),12054155)</f>
        <v>12054155</v>
      </c>
    </row>
    <row r="65" spans="7:66" ht="13" x14ac:dyDescent="0.15">
      <c r="G65" s="4">
        <f ca="1">IFERROR(__xludf.DUMMYFUNCTION("""COMPUTED_VALUE"""),42219.6666666666)</f>
        <v>42219.666666666599</v>
      </c>
      <c r="H65" s="3">
        <f ca="1">IFERROR(__xludf.DUMMYFUNCTION("""COMPUTED_VALUE"""),80.06)</f>
        <v>80.06</v>
      </c>
      <c r="I65" s="3">
        <f ca="1">IFERROR(__xludf.DUMMYFUNCTION("""COMPUTED_VALUE"""),80.5)</f>
        <v>80.5</v>
      </c>
      <c r="J65" s="3">
        <f ca="1">IFERROR(__xludf.DUMMYFUNCTION("""COMPUTED_VALUE"""),79.52)</f>
        <v>79.52</v>
      </c>
      <c r="K65" s="3">
        <f ca="1">IFERROR(__xludf.DUMMYFUNCTION("""COMPUTED_VALUE"""),79.95)</f>
        <v>79.95</v>
      </c>
      <c r="L65" s="3">
        <f ca="1">IFERROR(__xludf.DUMMYFUNCTION("""COMPUTED_VALUE"""),5757089)</f>
        <v>5757089</v>
      </c>
      <c r="M65" s="4">
        <f ca="1">IFERROR(__xludf.DUMMYFUNCTION("""COMPUTED_VALUE"""),42219.6666666666)</f>
        <v>42219.666666666599</v>
      </c>
      <c r="N65" s="3">
        <f ca="1">IFERROR(__xludf.DUMMYFUNCTION("""COMPUTED_VALUE"""),50.3)</f>
        <v>50.3</v>
      </c>
      <c r="O65" s="3">
        <f ca="1">IFERROR(__xludf.DUMMYFUNCTION("""COMPUTED_VALUE"""),50.43)</f>
        <v>50.43</v>
      </c>
      <c r="P65" s="3">
        <f ca="1">IFERROR(__xludf.DUMMYFUNCTION("""COMPUTED_VALUE"""),50.16)</f>
        <v>50.16</v>
      </c>
      <c r="Q65" s="3">
        <f ca="1">IFERROR(__xludf.DUMMYFUNCTION("""COMPUTED_VALUE"""),50.38)</f>
        <v>50.38</v>
      </c>
      <c r="R65" s="3">
        <f ca="1">IFERROR(__xludf.DUMMYFUNCTION("""COMPUTED_VALUE"""),6961369)</f>
        <v>6961369</v>
      </c>
      <c r="S65" s="4">
        <f ca="1">IFERROR(__xludf.DUMMYFUNCTION("""COMPUTED_VALUE"""),42219.6666666666)</f>
        <v>42219.666666666599</v>
      </c>
      <c r="T65" s="3">
        <f ca="1">IFERROR(__xludf.DUMMYFUNCTION("""COMPUTED_VALUE"""),68.64)</f>
        <v>68.64</v>
      </c>
      <c r="U65" s="3">
        <f ca="1">IFERROR(__xludf.DUMMYFUNCTION("""COMPUTED_VALUE"""),69.07)</f>
        <v>69.069999999999993</v>
      </c>
      <c r="V65" s="3">
        <f ca="1">IFERROR(__xludf.DUMMYFUNCTION("""COMPUTED_VALUE"""),67.78)</f>
        <v>67.78</v>
      </c>
      <c r="W65" s="3">
        <f ca="1">IFERROR(__xludf.DUMMYFUNCTION("""COMPUTED_VALUE"""),67.92)</f>
        <v>67.92</v>
      </c>
      <c r="X65" s="3">
        <f ca="1">IFERROR(__xludf.DUMMYFUNCTION("""COMPUTED_VALUE"""),16926625)</f>
        <v>16926625</v>
      </c>
      <c r="Y65" s="4">
        <f ca="1">IFERROR(__xludf.DUMMYFUNCTION("""COMPUTED_VALUE"""),42219.6666666666)</f>
        <v>42219.666666666599</v>
      </c>
      <c r="Z65" s="3">
        <f ca="1">IFERROR(__xludf.DUMMYFUNCTION("""COMPUTED_VALUE"""),20.47)</f>
        <v>20.47</v>
      </c>
      <c r="AA65" s="3">
        <f ca="1">IFERROR(__xludf.DUMMYFUNCTION("""COMPUTED_VALUE"""),20.5)</f>
        <v>20.5</v>
      </c>
      <c r="AB65" s="3">
        <f ca="1">IFERROR(__xludf.DUMMYFUNCTION("""COMPUTED_VALUE"""),20.31)</f>
        <v>20.309999999999999</v>
      </c>
      <c r="AC65" s="3">
        <f ca="1">IFERROR(__xludf.DUMMYFUNCTION("""COMPUTED_VALUE"""),20.45)</f>
        <v>20.45</v>
      </c>
      <c r="AD65" s="3">
        <f ca="1">IFERROR(__xludf.DUMMYFUNCTION("""COMPUTED_VALUE"""),34139428)</f>
        <v>34139428</v>
      </c>
      <c r="AE65" s="4">
        <f ca="1">IFERROR(__xludf.DUMMYFUNCTION("""COMPUTED_VALUE"""),42219.6666666666)</f>
        <v>42219.666666666599</v>
      </c>
      <c r="AF65" s="3">
        <f ca="1">IFERROR(__xludf.DUMMYFUNCTION("""COMPUTED_VALUE"""),76.67)</f>
        <v>76.67</v>
      </c>
      <c r="AG65" s="3">
        <f ca="1">IFERROR(__xludf.DUMMYFUNCTION("""COMPUTED_VALUE"""),76.9)</f>
        <v>76.900000000000006</v>
      </c>
      <c r="AH65" s="3">
        <f ca="1">IFERROR(__xludf.DUMMYFUNCTION("""COMPUTED_VALUE"""),76.01)</f>
        <v>76.010000000000005</v>
      </c>
      <c r="AI65" s="3">
        <f ca="1">IFERROR(__xludf.DUMMYFUNCTION("""COMPUTED_VALUE"""),76.53)</f>
        <v>76.53</v>
      </c>
      <c r="AJ65" s="3">
        <f ca="1">IFERROR(__xludf.DUMMYFUNCTION("""COMPUTED_VALUE"""),8447825)</f>
        <v>8447825</v>
      </c>
      <c r="AK65" s="4">
        <f ca="1">IFERROR(__xludf.DUMMYFUNCTION("""COMPUTED_VALUE"""),42219.6666666666)</f>
        <v>42219.666666666599</v>
      </c>
      <c r="AL65" s="3">
        <f ca="1">IFERROR(__xludf.DUMMYFUNCTION("""COMPUTED_VALUE"""),54.12)</f>
        <v>54.12</v>
      </c>
      <c r="AM65" s="3">
        <f ca="1">IFERROR(__xludf.DUMMYFUNCTION("""COMPUTED_VALUE"""),54.23)</f>
        <v>54.23</v>
      </c>
      <c r="AN65" s="3">
        <f ca="1">IFERROR(__xludf.DUMMYFUNCTION("""COMPUTED_VALUE"""),53.69)</f>
        <v>53.69</v>
      </c>
      <c r="AO65" s="3">
        <f ca="1">IFERROR(__xludf.DUMMYFUNCTION("""COMPUTED_VALUE"""),53.96)</f>
        <v>53.96</v>
      </c>
      <c r="AP65" s="3">
        <f ca="1">IFERROR(__xludf.DUMMYFUNCTION("""COMPUTED_VALUE"""),14268352)</f>
        <v>14268352</v>
      </c>
      <c r="AQ65" s="4">
        <f ca="1">IFERROR(__xludf.DUMMYFUNCTION("""COMPUTED_VALUE"""),42219.6666666666)</f>
        <v>42219.666666666599</v>
      </c>
      <c r="AR65" s="3">
        <f ca="1">IFERROR(__xludf.DUMMYFUNCTION("""COMPUTED_VALUE"""),45.91)</f>
        <v>45.91</v>
      </c>
      <c r="AS65" s="3">
        <f ca="1">IFERROR(__xludf.DUMMYFUNCTION("""COMPUTED_VALUE"""),46.12)</f>
        <v>46.12</v>
      </c>
      <c r="AT65" s="3">
        <f ca="1">IFERROR(__xludf.DUMMYFUNCTION("""COMPUTED_VALUE"""),45.35)</f>
        <v>45.35</v>
      </c>
      <c r="AU65" s="3">
        <f ca="1">IFERROR(__xludf.DUMMYFUNCTION("""COMPUTED_VALUE"""),45.59)</f>
        <v>45.59</v>
      </c>
      <c r="AV65" s="3">
        <f ca="1">IFERROR(__xludf.DUMMYFUNCTION("""COMPUTED_VALUE"""),5704167)</f>
        <v>5704167</v>
      </c>
      <c r="AW65" s="4">
        <f ca="1">IFERROR(__xludf.DUMMYFUNCTION("""COMPUTED_VALUE"""),42381.6666666666)</f>
        <v>42381.666666666599</v>
      </c>
      <c r="AX65" s="3">
        <f ca="1">IFERROR(__xludf.DUMMYFUNCTION("""COMPUTED_VALUE"""),30.04)</f>
        <v>30.04</v>
      </c>
      <c r="AY65" s="3">
        <f ca="1">IFERROR(__xludf.DUMMYFUNCTION("""COMPUTED_VALUE"""),30.11)</f>
        <v>30.11</v>
      </c>
      <c r="AZ65" s="3">
        <f ca="1">IFERROR(__xludf.DUMMYFUNCTION("""COMPUTED_VALUE"""),29.96)</f>
        <v>29.96</v>
      </c>
      <c r="BA65" s="3">
        <f ca="1">IFERROR(__xludf.DUMMYFUNCTION("""COMPUTED_VALUE"""),29.96)</f>
        <v>29.96</v>
      </c>
      <c r="BB65" s="3">
        <f ca="1">IFERROR(__xludf.DUMMYFUNCTION("""COMPUTED_VALUE"""),2269)</f>
        <v>2269</v>
      </c>
      <c r="BC65" s="4">
        <f ca="1">IFERROR(__xludf.DUMMYFUNCTION("""COMPUTED_VALUE"""),42219.6666666666)</f>
        <v>42219.666666666599</v>
      </c>
      <c r="BD65" s="3">
        <f ca="1">IFERROR(__xludf.DUMMYFUNCTION("""COMPUTED_VALUE"""),42.56)</f>
        <v>42.56</v>
      </c>
      <c r="BE65" s="3">
        <f ca="1">IFERROR(__xludf.DUMMYFUNCTION("""COMPUTED_VALUE"""),42.63)</f>
        <v>42.63</v>
      </c>
      <c r="BF65" s="3">
        <f ca="1">IFERROR(__xludf.DUMMYFUNCTION("""COMPUTED_VALUE"""),42.09)</f>
        <v>42.09</v>
      </c>
      <c r="BG65" s="3">
        <f ca="1">IFERROR(__xludf.DUMMYFUNCTION("""COMPUTED_VALUE"""),42.35)</f>
        <v>42.35</v>
      </c>
      <c r="BH65" s="3">
        <f ca="1">IFERROR(__xludf.DUMMYFUNCTION("""COMPUTED_VALUE"""),9198287)</f>
        <v>9198287</v>
      </c>
      <c r="BI65" s="4">
        <f ca="1">IFERROR(__xludf.DUMMYFUNCTION("""COMPUTED_VALUE"""),42219.6666666666)</f>
        <v>42219.666666666599</v>
      </c>
      <c r="BJ65" s="3">
        <f ca="1">IFERROR(__xludf.DUMMYFUNCTION("""COMPUTED_VALUE"""),44.05)</f>
        <v>44.05</v>
      </c>
      <c r="BK65" s="3">
        <f ca="1">IFERROR(__xludf.DUMMYFUNCTION("""COMPUTED_VALUE"""),44.47)</f>
        <v>44.47</v>
      </c>
      <c r="BL65" s="3">
        <f ca="1">IFERROR(__xludf.DUMMYFUNCTION("""COMPUTED_VALUE"""),44)</f>
        <v>44</v>
      </c>
      <c r="BM65" s="3">
        <f ca="1">IFERROR(__xludf.DUMMYFUNCTION("""COMPUTED_VALUE"""),44.22)</f>
        <v>44.22</v>
      </c>
      <c r="BN65" s="3">
        <f ca="1">IFERROR(__xludf.DUMMYFUNCTION("""COMPUTED_VALUE"""),13197348)</f>
        <v>13197348</v>
      </c>
    </row>
    <row r="66" spans="7:66" ht="13" x14ac:dyDescent="0.15">
      <c r="G66" s="4">
        <f ca="1">IFERROR(__xludf.DUMMYFUNCTION("""COMPUTED_VALUE"""),42220.6666666666)</f>
        <v>42220.666666666599</v>
      </c>
      <c r="H66" s="3">
        <f ca="1">IFERROR(__xludf.DUMMYFUNCTION("""COMPUTED_VALUE"""),80.05)</f>
        <v>80.05</v>
      </c>
      <c r="I66" s="3">
        <f ca="1">IFERROR(__xludf.DUMMYFUNCTION("""COMPUTED_VALUE"""),80.47)</f>
        <v>80.47</v>
      </c>
      <c r="J66" s="3">
        <f ca="1">IFERROR(__xludf.DUMMYFUNCTION("""COMPUTED_VALUE"""),79.93)</f>
        <v>79.930000000000007</v>
      </c>
      <c r="K66" s="3">
        <f ca="1">IFERROR(__xludf.DUMMYFUNCTION("""COMPUTED_VALUE"""),80.29)</f>
        <v>80.290000000000006</v>
      </c>
      <c r="L66" s="3">
        <f ca="1">IFERROR(__xludf.DUMMYFUNCTION("""COMPUTED_VALUE"""),5703658)</f>
        <v>5703658</v>
      </c>
      <c r="M66" s="4">
        <f ca="1">IFERROR(__xludf.DUMMYFUNCTION("""COMPUTED_VALUE"""),42220.6666666666)</f>
        <v>42220.666666666599</v>
      </c>
      <c r="N66" s="3">
        <f ca="1">IFERROR(__xludf.DUMMYFUNCTION("""COMPUTED_VALUE"""),50.35)</f>
        <v>50.35</v>
      </c>
      <c r="O66" s="3">
        <f ca="1">IFERROR(__xludf.DUMMYFUNCTION("""COMPUTED_VALUE"""),50.45)</f>
        <v>50.45</v>
      </c>
      <c r="P66" s="3">
        <f ca="1">IFERROR(__xludf.DUMMYFUNCTION("""COMPUTED_VALUE"""),50.11)</f>
        <v>50.11</v>
      </c>
      <c r="Q66" s="3">
        <f ca="1">IFERROR(__xludf.DUMMYFUNCTION("""COMPUTED_VALUE"""),50.38)</f>
        <v>50.38</v>
      </c>
      <c r="R66" s="3">
        <f ca="1">IFERROR(__xludf.DUMMYFUNCTION("""COMPUTED_VALUE"""),5633040)</f>
        <v>5633040</v>
      </c>
      <c r="S66" s="4">
        <f ca="1">IFERROR(__xludf.DUMMYFUNCTION("""COMPUTED_VALUE"""),42220.6666666666)</f>
        <v>42220.666666666599</v>
      </c>
      <c r="T66" s="3">
        <f ca="1">IFERROR(__xludf.DUMMYFUNCTION("""COMPUTED_VALUE"""),68.22)</f>
        <v>68.22</v>
      </c>
      <c r="U66" s="3">
        <f ca="1">IFERROR(__xludf.DUMMYFUNCTION("""COMPUTED_VALUE"""),68.75)</f>
        <v>68.75</v>
      </c>
      <c r="V66" s="3">
        <f ca="1">IFERROR(__xludf.DUMMYFUNCTION("""COMPUTED_VALUE"""),67.4)</f>
        <v>67.400000000000006</v>
      </c>
      <c r="W66" s="3">
        <f ca="1">IFERROR(__xludf.DUMMYFUNCTION("""COMPUTED_VALUE"""),67.69)</f>
        <v>67.69</v>
      </c>
      <c r="X66" s="3">
        <f ca="1">IFERROR(__xludf.DUMMYFUNCTION("""COMPUTED_VALUE"""),12762505)</f>
        <v>12762505</v>
      </c>
      <c r="Y66" s="4">
        <f ca="1">IFERROR(__xludf.DUMMYFUNCTION("""COMPUTED_VALUE"""),42220.6666666666)</f>
        <v>42220.666666666599</v>
      </c>
      <c r="Z66" s="3">
        <f ca="1">IFERROR(__xludf.DUMMYFUNCTION("""COMPUTED_VALUE"""),20.46)</f>
        <v>20.46</v>
      </c>
      <c r="AA66" s="3">
        <f ca="1">IFERROR(__xludf.DUMMYFUNCTION("""COMPUTED_VALUE"""),20.52)</f>
        <v>20.52</v>
      </c>
      <c r="AB66" s="3">
        <f ca="1">IFERROR(__xludf.DUMMYFUNCTION("""COMPUTED_VALUE"""),20.38)</f>
        <v>20.38</v>
      </c>
      <c r="AC66" s="3">
        <f ca="1">IFERROR(__xludf.DUMMYFUNCTION("""COMPUTED_VALUE"""),20.41)</f>
        <v>20.41</v>
      </c>
      <c r="AD66" s="3">
        <f ca="1">IFERROR(__xludf.DUMMYFUNCTION("""COMPUTED_VALUE"""),24921699)</f>
        <v>24921699</v>
      </c>
      <c r="AE66" s="4">
        <f ca="1">IFERROR(__xludf.DUMMYFUNCTION("""COMPUTED_VALUE"""),42220.6666666666)</f>
        <v>42220.666666666599</v>
      </c>
      <c r="AF66" s="3">
        <f ca="1">IFERROR(__xludf.DUMMYFUNCTION("""COMPUTED_VALUE"""),76.91)</f>
        <v>76.91</v>
      </c>
      <c r="AG66" s="3">
        <f ca="1">IFERROR(__xludf.DUMMYFUNCTION("""COMPUTED_VALUE"""),76.95)</f>
        <v>76.95</v>
      </c>
      <c r="AH66" s="3">
        <f ca="1">IFERROR(__xludf.DUMMYFUNCTION("""COMPUTED_VALUE"""),76.25)</f>
        <v>76.25</v>
      </c>
      <c r="AI66" s="3">
        <f ca="1">IFERROR(__xludf.DUMMYFUNCTION("""COMPUTED_VALUE"""),76.49)</f>
        <v>76.489999999999995</v>
      </c>
      <c r="AJ66" s="3">
        <f ca="1">IFERROR(__xludf.DUMMYFUNCTION("""COMPUTED_VALUE"""),10778684)</f>
        <v>10778684</v>
      </c>
      <c r="AK66" s="4">
        <f ca="1">IFERROR(__xludf.DUMMYFUNCTION("""COMPUTED_VALUE"""),42220.6666666666)</f>
        <v>42220.666666666599</v>
      </c>
      <c r="AL66" s="3">
        <f ca="1">IFERROR(__xludf.DUMMYFUNCTION("""COMPUTED_VALUE"""),53.93)</f>
        <v>53.93</v>
      </c>
      <c r="AM66" s="3">
        <f ca="1">IFERROR(__xludf.DUMMYFUNCTION("""COMPUTED_VALUE"""),54.26)</f>
        <v>54.26</v>
      </c>
      <c r="AN66" s="3">
        <f ca="1">IFERROR(__xludf.DUMMYFUNCTION("""COMPUTED_VALUE"""),53.8)</f>
        <v>53.8</v>
      </c>
      <c r="AO66" s="3">
        <f ca="1">IFERROR(__xludf.DUMMYFUNCTION("""COMPUTED_VALUE"""),53.93)</f>
        <v>53.93</v>
      </c>
      <c r="AP66" s="3">
        <f ca="1">IFERROR(__xludf.DUMMYFUNCTION("""COMPUTED_VALUE"""),8623721)</f>
        <v>8623721</v>
      </c>
      <c r="AQ66" s="4">
        <f ca="1">IFERROR(__xludf.DUMMYFUNCTION("""COMPUTED_VALUE"""),42220.6666666666)</f>
        <v>42220.666666666599</v>
      </c>
      <c r="AR66" s="3">
        <f ca="1">IFERROR(__xludf.DUMMYFUNCTION("""COMPUTED_VALUE"""),45.62)</f>
        <v>45.62</v>
      </c>
      <c r="AS66" s="3">
        <f ca="1">IFERROR(__xludf.DUMMYFUNCTION("""COMPUTED_VALUE"""),46.05)</f>
        <v>46.05</v>
      </c>
      <c r="AT66" s="3">
        <f ca="1">IFERROR(__xludf.DUMMYFUNCTION("""COMPUTED_VALUE"""),45.61)</f>
        <v>45.61</v>
      </c>
      <c r="AU66" s="3">
        <f ca="1">IFERROR(__xludf.DUMMYFUNCTION("""COMPUTED_VALUE"""),45.79)</f>
        <v>45.79</v>
      </c>
      <c r="AV66" s="3">
        <f ca="1">IFERROR(__xludf.DUMMYFUNCTION("""COMPUTED_VALUE"""),6597844)</f>
        <v>6597844</v>
      </c>
      <c r="AW66" s="4">
        <f ca="1">IFERROR(__xludf.DUMMYFUNCTION("""COMPUTED_VALUE"""),42382.6666666666)</f>
        <v>42382.666666666599</v>
      </c>
      <c r="AX66" s="3">
        <f ca="1">IFERROR(__xludf.DUMMYFUNCTION("""COMPUTED_VALUE"""),30.24)</f>
        <v>30.24</v>
      </c>
      <c r="AY66" s="3">
        <f ca="1">IFERROR(__xludf.DUMMYFUNCTION("""COMPUTED_VALUE"""),30.29)</f>
        <v>30.29</v>
      </c>
      <c r="AZ66" s="3">
        <f ca="1">IFERROR(__xludf.DUMMYFUNCTION("""COMPUTED_VALUE"""),29.65)</f>
        <v>29.65</v>
      </c>
      <c r="BA66" s="3">
        <f ca="1">IFERROR(__xludf.DUMMYFUNCTION("""COMPUTED_VALUE"""),29.65)</f>
        <v>29.65</v>
      </c>
      <c r="BB66" s="3">
        <f ca="1">IFERROR(__xludf.DUMMYFUNCTION("""COMPUTED_VALUE"""),3338)</f>
        <v>3338</v>
      </c>
      <c r="BC66" s="4">
        <f ca="1">IFERROR(__xludf.DUMMYFUNCTION("""COMPUTED_VALUE"""),42220.6666666666)</f>
        <v>42220.666666666599</v>
      </c>
      <c r="BD66" s="3">
        <f ca="1">IFERROR(__xludf.DUMMYFUNCTION("""COMPUTED_VALUE"""),42.31)</f>
        <v>42.31</v>
      </c>
      <c r="BE66" s="3">
        <f ca="1">IFERROR(__xludf.DUMMYFUNCTION("""COMPUTED_VALUE"""),42.35)</f>
        <v>42.35</v>
      </c>
      <c r="BF66" s="3">
        <f ca="1">IFERROR(__xludf.DUMMYFUNCTION("""COMPUTED_VALUE"""),41.95)</f>
        <v>41.95</v>
      </c>
      <c r="BG66" s="3">
        <f ca="1">IFERROR(__xludf.DUMMYFUNCTION("""COMPUTED_VALUE"""),42.1)</f>
        <v>42.1</v>
      </c>
      <c r="BH66" s="3">
        <f ca="1">IFERROR(__xludf.DUMMYFUNCTION("""COMPUTED_VALUE"""),7382741)</f>
        <v>7382741</v>
      </c>
      <c r="BI66" s="4">
        <f ca="1">IFERROR(__xludf.DUMMYFUNCTION("""COMPUTED_VALUE"""),42220.6666666666)</f>
        <v>42220.666666666599</v>
      </c>
      <c r="BJ66" s="3">
        <f ca="1">IFERROR(__xludf.DUMMYFUNCTION("""COMPUTED_VALUE"""),44.11)</f>
        <v>44.11</v>
      </c>
      <c r="BK66" s="3">
        <f ca="1">IFERROR(__xludf.DUMMYFUNCTION("""COMPUTED_VALUE"""),44.17)</f>
        <v>44.17</v>
      </c>
      <c r="BL66" s="3">
        <f ca="1">IFERROR(__xludf.DUMMYFUNCTION("""COMPUTED_VALUE"""),43.42)</f>
        <v>43.42</v>
      </c>
      <c r="BM66" s="3">
        <f ca="1">IFERROR(__xludf.DUMMYFUNCTION("""COMPUTED_VALUE"""),43.51)</f>
        <v>43.51</v>
      </c>
      <c r="BN66" s="3">
        <f ca="1">IFERROR(__xludf.DUMMYFUNCTION("""COMPUTED_VALUE"""),12033555)</f>
        <v>12033555</v>
      </c>
    </row>
    <row r="67" spans="7:66" ht="13" x14ac:dyDescent="0.15">
      <c r="G67" s="4">
        <f ca="1">IFERROR(__xludf.DUMMYFUNCTION("""COMPUTED_VALUE"""),42221.6666666666)</f>
        <v>42221.666666666599</v>
      </c>
      <c r="H67" s="3">
        <f ca="1">IFERROR(__xludf.DUMMYFUNCTION("""COMPUTED_VALUE"""),80.4)</f>
        <v>80.400000000000006</v>
      </c>
      <c r="I67" s="3">
        <f ca="1">IFERROR(__xludf.DUMMYFUNCTION("""COMPUTED_VALUE"""),80.61)</f>
        <v>80.61</v>
      </c>
      <c r="J67" s="3">
        <f ca="1">IFERROR(__xludf.DUMMYFUNCTION("""COMPUTED_VALUE"""),79.28)</f>
        <v>79.28</v>
      </c>
      <c r="K67" s="3">
        <f ca="1">IFERROR(__xludf.DUMMYFUNCTION("""COMPUTED_VALUE"""),79.42)</f>
        <v>79.42</v>
      </c>
      <c r="L67" s="3">
        <f ca="1">IFERROR(__xludf.DUMMYFUNCTION("""COMPUTED_VALUE"""),5941265)</f>
        <v>5941265</v>
      </c>
      <c r="M67" s="4">
        <f ca="1">IFERROR(__xludf.DUMMYFUNCTION("""COMPUTED_VALUE"""),42221.6666666666)</f>
        <v>42221.666666666599</v>
      </c>
      <c r="N67" s="3">
        <f ca="1">IFERROR(__xludf.DUMMYFUNCTION("""COMPUTED_VALUE"""),50.54)</f>
        <v>50.54</v>
      </c>
      <c r="O67" s="3">
        <f ca="1">IFERROR(__xludf.DUMMYFUNCTION("""COMPUTED_VALUE"""),50.89)</f>
        <v>50.89</v>
      </c>
      <c r="P67" s="3">
        <f ca="1">IFERROR(__xludf.DUMMYFUNCTION("""COMPUTED_VALUE"""),50.52)</f>
        <v>50.52</v>
      </c>
      <c r="Q67" s="3">
        <f ca="1">IFERROR(__xludf.DUMMYFUNCTION("""COMPUTED_VALUE"""),50.82)</f>
        <v>50.82</v>
      </c>
      <c r="R67" s="3">
        <f ca="1">IFERROR(__xludf.DUMMYFUNCTION("""COMPUTED_VALUE"""),5239860)</f>
        <v>5239860</v>
      </c>
      <c r="S67" s="4">
        <f ca="1">IFERROR(__xludf.DUMMYFUNCTION("""COMPUTED_VALUE"""),42221.6666666666)</f>
        <v>42221.666666666599</v>
      </c>
      <c r="T67" s="3">
        <f ca="1">IFERROR(__xludf.DUMMYFUNCTION("""COMPUTED_VALUE"""),68.22)</f>
        <v>68.22</v>
      </c>
      <c r="U67" s="3">
        <f ca="1">IFERROR(__xludf.DUMMYFUNCTION("""COMPUTED_VALUE"""),68.97)</f>
        <v>68.97</v>
      </c>
      <c r="V67" s="3">
        <f ca="1">IFERROR(__xludf.DUMMYFUNCTION("""COMPUTED_VALUE"""),67.11)</f>
        <v>67.11</v>
      </c>
      <c r="W67" s="3">
        <f ca="1">IFERROR(__xludf.DUMMYFUNCTION("""COMPUTED_VALUE"""),67.18)</f>
        <v>67.180000000000007</v>
      </c>
      <c r="X67" s="3">
        <f ca="1">IFERROR(__xludf.DUMMYFUNCTION("""COMPUTED_VALUE"""),18473784)</f>
        <v>18473784</v>
      </c>
      <c r="Y67" s="4">
        <f ca="1">IFERROR(__xludf.DUMMYFUNCTION("""COMPUTED_VALUE"""),42221.6666666666)</f>
        <v>42221.666666666599</v>
      </c>
      <c r="Z67" s="3">
        <f ca="1">IFERROR(__xludf.DUMMYFUNCTION("""COMPUTED_VALUE"""),20.55)</f>
        <v>20.55</v>
      </c>
      <c r="AA67" s="3">
        <f ca="1">IFERROR(__xludf.DUMMYFUNCTION("""COMPUTED_VALUE"""),20.62)</f>
        <v>20.62</v>
      </c>
      <c r="AB67" s="3">
        <f ca="1">IFERROR(__xludf.DUMMYFUNCTION("""COMPUTED_VALUE"""),20.44)</f>
        <v>20.440000000000001</v>
      </c>
      <c r="AC67" s="3">
        <f ca="1">IFERROR(__xludf.DUMMYFUNCTION("""COMPUTED_VALUE"""),20.5)</f>
        <v>20.5</v>
      </c>
      <c r="AD67" s="3">
        <f ca="1">IFERROR(__xludf.DUMMYFUNCTION("""COMPUTED_VALUE"""),20123140)</f>
        <v>20123140</v>
      </c>
      <c r="AE67" s="4">
        <f ca="1">IFERROR(__xludf.DUMMYFUNCTION("""COMPUTED_VALUE"""),42221.6666666666)</f>
        <v>42221.666666666599</v>
      </c>
      <c r="AF67" s="3">
        <f ca="1">IFERROR(__xludf.DUMMYFUNCTION("""COMPUTED_VALUE"""),76.96)</f>
        <v>76.959999999999994</v>
      </c>
      <c r="AG67" s="3">
        <f ca="1">IFERROR(__xludf.DUMMYFUNCTION("""COMPUTED_VALUE"""),77.26)</f>
        <v>77.260000000000005</v>
      </c>
      <c r="AH67" s="3">
        <f ca="1">IFERROR(__xludf.DUMMYFUNCTION("""COMPUTED_VALUE"""),76.83)</f>
        <v>76.83</v>
      </c>
      <c r="AI67" s="3">
        <f ca="1">IFERROR(__xludf.DUMMYFUNCTION("""COMPUTED_VALUE"""),77.13)</f>
        <v>77.13</v>
      </c>
      <c r="AJ67" s="3">
        <f ca="1">IFERROR(__xludf.DUMMYFUNCTION("""COMPUTED_VALUE"""),5391231)</f>
        <v>5391231</v>
      </c>
      <c r="AK67" s="4">
        <f ca="1">IFERROR(__xludf.DUMMYFUNCTION("""COMPUTED_VALUE"""),42221.6666666666)</f>
        <v>42221.666666666599</v>
      </c>
      <c r="AL67" s="3">
        <f ca="1">IFERROR(__xludf.DUMMYFUNCTION("""COMPUTED_VALUE"""),54.21)</f>
        <v>54.21</v>
      </c>
      <c r="AM67" s="3">
        <f ca="1">IFERROR(__xludf.DUMMYFUNCTION("""COMPUTED_VALUE"""),54.58)</f>
        <v>54.58</v>
      </c>
      <c r="AN67" s="3">
        <f ca="1">IFERROR(__xludf.DUMMYFUNCTION("""COMPUTED_VALUE"""),54.15)</f>
        <v>54.15</v>
      </c>
      <c r="AO67" s="3">
        <f ca="1">IFERROR(__xludf.DUMMYFUNCTION("""COMPUTED_VALUE"""),54.23)</f>
        <v>54.23</v>
      </c>
      <c r="AP67" s="3">
        <f ca="1">IFERROR(__xludf.DUMMYFUNCTION("""COMPUTED_VALUE"""),8099729)</f>
        <v>8099729</v>
      </c>
      <c r="AQ67" s="4">
        <f ca="1">IFERROR(__xludf.DUMMYFUNCTION("""COMPUTED_VALUE"""),42221.6666666666)</f>
        <v>42221.666666666599</v>
      </c>
      <c r="AR67" s="3">
        <f ca="1">IFERROR(__xludf.DUMMYFUNCTION("""COMPUTED_VALUE"""),46.12)</f>
        <v>46.12</v>
      </c>
      <c r="AS67" s="3">
        <f ca="1">IFERROR(__xludf.DUMMYFUNCTION("""COMPUTED_VALUE"""),46.51)</f>
        <v>46.51</v>
      </c>
      <c r="AT67" s="3">
        <f ca="1">IFERROR(__xludf.DUMMYFUNCTION("""COMPUTED_VALUE"""),45.87)</f>
        <v>45.87</v>
      </c>
      <c r="AU67" s="3">
        <f ca="1">IFERROR(__xludf.DUMMYFUNCTION("""COMPUTED_VALUE"""),46.02)</f>
        <v>46.02</v>
      </c>
      <c r="AV67" s="3">
        <f ca="1">IFERROR(__xludf.DUMMYFUNCTION("""COMPUTED_VALUE"""),5836737)</f>
        <v>5836737</v>
      </c>
      <c r="AW67" s="4">
        <f ca="1">IFERROR(__xludf.DUMMYFUNCTION("""COMPUTED_VALUE"""),42383.6666666666)</f>
        <v>42383.666666666599</v>
      </c>
      <c r="AX67" s="3">
        <f ca="1">IFERROR(__xludf.DUMMYFUNCTION("""COMPUTED_VALUE"""),29.83)</f>
        <v>29.83</v>
      </c>
      <c r="AY67" s="3">
        <f ca="1">IFERROR(__xludf.DUMMYFUNCTION("""COMPUTED_VALUE"""),29.83)</f>
        <v>29.83</v>
      </c>
      <c r="AZ67" s="3">
        <f ca="1">IFERROR(__xludf.DUMMYFUNCTION("""COMPUTED_VALUE"""),29.5)</f>
        <v>29.5</v>
      </c>
      <c r="BA67" s="3">
        <f ca="1">IFERROR(__xludf.DUMMYFUNCTION("""COMPUTED_VALUE"""),29.75)</f>
        <v>29.75</v>
      </c>
      <c r="BB67" s="3">
        <f ca="1">IFERROR(__xludf.DUMMYFUNCTION("""COMPUTED_VALUE"""),3706)</f>
        <v>3706</v>
      </c>
      <c r="BC67" s="4">
        <f ca="1">IFERROR(__xludf.DUMMYFUNCTION("""COMPUTED_VALUE"""),42221.6666666666)</f>
        <v>42221.666666666599</v>
      </c>
      <c r="BD67" s="3">
        <f ca="1">IFERROR(__xludf.DUMMYFUNCTION("""COMPUTED_VALUE"""),42.37)</f>
        <v>42.37</v>
      </c>
      <c r="BE67" s="3">
        <f ca="1">IFERROR(__xludf.DUMMYFUNCTION("""COMPUTED_VALUE"""),42.81)</f>
        <v>42.81</v>
      </c>
      <c r="BF67" s="3">
        <f ca="1">IFERROR(__xludf.DUMMYFUNCTION("""COMPUTED_VALUE"""),42.28)</f>
        <v>42.28</v>
      </c>
      <c r="BG67" s="3">
        <f ca="1">IFERROR(__xludf.DUMMYFUNCTION("""COMPUTED_VALUE"""),42.51)</f>
        <v>42.51</v>
      </c>
      <c r="BH67" s="3">
        <f ca="1">IFERROR(__xludf.DUMMYFUNCTION("""COMPUTED_VALUE"""),10392779)</f>
        <v>10392779</v>
      </c>
      <c r="BI67" s="4">
        <f ca="1">IFERROR(__xludf.DUMMYFUNCTION("""COMPUTED_VALUE"""),42221.6666666666)</f>
        <v>42221.666666666599</v>
      </c>
      <c r="BJ67" s="3">
        <f ca="1">IFERROR(__xludf.DUMMYFUNCTION("""COMPUTED_VALUE"""),43.68)</f>
        <v>43.68</v>
      </c>
      <c r="BK67" s="3">
        <f ca="1">IFERROR(__xludf.DUMMYFUNCTION("""COMPUTED_VALUE"""),43.93)</f>
        <v>43.93</v>
      </c>
      <c r="BL67" s="3">
        <f ca="1">IFERROR(__xludf.DUMMYFUNCTION("""COMPUTED_VALUE"""),43.49)</f>
        <v>43.49</v>
      </c>
      <c r="BM67" s="3">
        <f ca="1">IFERROR(__xludf.DUMMYFUNCTION("""COMPUTED_VALUE"""),43.62)</f>
        <v>43.62</v>
      </c>
      <c r="BN67" s="3">
        <f ca="1">IFERROR(__xludf.DUMMYFUNCTION("""COMPUTED_VALUE"""),11156553)</f>
        <v>11156553</v>
      </c>
    </row>
    <row r="68" spans="7:66" ht="13" x14ac:dyDescent="0.15">
      <c r="G68" s="4">
        <f ca="1">IFERROR(__xludf.DUMMYFUNCTION("""COMPUTED_VALUE"""),42222.6666666666)</f>
        <v>42222.666666666599</v>
      </c>
      <c r="H68" s="3">
        <f ca="1">IFERROR(__xludf.DUMMYFUNCTION("""COMPUTED_VALUE"""),79.7)</f>
        <v>79.7</v>
      </c>
      <c r="I68" s="3">
        <f ca="1">IFERROR(__xludf.DUMMYFUNCTION("""COMPUTED_VALUE"""),79.7)</f>
        <v>79.7</v>
      </c>
      <c r="J68" s="3">
        <f ca="1">IFERROR(__xludf.DUMMYFUNCTION("""COMPUTED_VALUE"""),77.49)</f>
        <v>77.489999999999995</v>
      </c>
      <c r="K68" s="3">
        <f ca="1">IFERROR(__xludf.DUMMYFUNCTION("""COMPUTED_VALUE"""),78.34)</f>
        <v>78.34</v>
      </c>
      <c r="L68" s="3">
        <f ca="1">IFERROR(__xludf.DUMMYFUNCTION("""COMPUTED_VALUE"""),7744717)</f>
        <v>7744717</v>
      </c>
      <c r="M68" s="4">
        <f ca="1">IFERROR(__xludf.DUMMYFUNCTION("""COMPUTED_VALUE"""),42222.6666666666)</f>
        <v>42222.666666666599</v>
      </c>
      <c r="N68" s="3">
        <f ca="1">IFERROR(__xludf.DUMMYFUNCTION("""COMPUTED_VALUE"""),50.95)</f>
        <v>50.95</v>
      </c>
      <c r="O68" s="3">
        <f ca="1">IFERROR(__xludf.DUMMYFUNCTION("""COMPUTED_VALUE"""),50.95)</f>
        <v>50.95</v>
      </c>
      <c r="P68" s="3">
        <f ca="1">IFERROR(__xludf.DUMMYFUNCTION("""COMPUTED_VALUE"""),50.37)</f>
        <v>50.37</v>
      </c>
      <c r="Q68" s="3">
        <f ca="1">IFERROR(__xludf.DUMMYFUNCTION("""COMPUTED_VALUE"""),50.44)</f>
        <v>50.44</v>
      </c>
      <c r="R68" s="3">
        <f ca="1">IFERROR(__xludf.DUMMYFUNCTION("""COMPUTED_VALUE"""),7889450)</f>
        <v>7889450</v>
      </c>
      <c r="S68" s="4">
        <f ca="1">IFERROR(__xludf.DUMMYFUNCTION("""COMPUTED_VALUE"""),42222.6666666666)</f>
        <v>42222.666666666599</v>
      </c>
      <c r="T68" s="3">
        <f ca="1">IFERROR(__xludf.DUMMYFUNCTION("""COMPUTED_VALUE"""),66.78)</f>
        <v>66.78</v>
      </c>
      <c r="U68" s="3">
        <f ca="1">IFERROR(__xludf.DUMMYFUNCTION("""COMPUTED_VALUE"""),68.43)</f>
        <v>68.430000000000007</v>
      </c>
      <c r="V68" s="3">
        <f ca="1">IFERROR(__xludf.DUMMYFUNCTION("""COMPUTED_VALUE"""),66.29)</f>
        <v>66.290000000000006</v>
      </c>
      <c r="W68" s="3">
        <f ca="1">IFERROR(__xludf.DUMMYFUNCTION("""COMPUTED_VALUE"""),68.25)</f>
        <v>68.25</v>
      </c>
      <c r="X68" s="3">
        <f ca="1">IFERROR(__xludf.DUMMYFUNCTION("""COMPUTED_VALUE"""),23259648)</f>
        <v>23259648</v>
      </c>
      <c r="Y68" s="4">
        <f ca="1">IFERROR(__xludf.DUMMYFUNCTION("""COMPUTED_VALUE"""),42222.6666666666)</f>
        <v>42222.666666666599</v>
      </c>
      <c r="Z68" s="3">
        <f ca="1">IFERROR(__xludf.DUMMYFUNCTION("""COMPUTED_VALUE"""),20.51)</f>
        <v>20.51</v>
      </c>
      <c r="AA68" s="3">
        <f ca="1">IFERROR(__xludf.DUMMYFUNCTION("""COMPUTED_VALUE"""),20.54)</f>
        <v>20.54</v>
      </c>
      <c r="AB68" s="3">
        <f ca="1">IFERROR(__xludf.DUMMYFUNCTION("""COMPUTED_VALUE"""),20.35)</f>
        <v>20.350000000000001</v>
      </c>
      <c r="AC68" s="3">
        <f ca="1">IFERROR(__xludf.DUMMYFUNCTION("""COMPUTED_VALUE"""),20.42)</f>
        <v>20.420000000000002</v>
      </c>
      <c r="AD68" s="3">
        <f ca="1">IFERROR(__xludf.DUMMYFUNCTION("""COMPUTED_VALUE"""),19432502)</f>
        <v>19432502</v>
      </c>
      <c r="AE68" s="4">
        <f ca="1">IFERROR(__xludf.DUMMYFUNCTION("""COMPUTED_VALUE"""),42222.6666666666)</f>
        <v>42222.666666666599</v>
      </c>
      <c r="AF68" s="3">
        <f ca="1">IFERROR(__xludf.DUMMYFUNCTION("""COMPUTED_VALUE"""),77.2)</f>
        <v>77.2</v>
      </c>
      <c r="AG68" s="3">
        <f ca="1">IFERROR(__xludf.DUMMYFUNCTION("""COMPUTED_VALUE"""),77.27)</f>
        <v>77.27</v>
      </c>
      <c r="AH68" s="3">
        <f ca="1">IFERROR(__xludf.DUMMYFUNCTION("""COMPUTED_VALUE"""),75.38)</f>
        <v>75.38</v>
      </c>
      <c r="AI68" s="3">
        <f ca="1">IFERROR(__xludf.DUMMYFUNCTION("""COMPUTED_VALUE"""),75.45)</f>
        <v>75.45</v>
      </c>
      <c r="AJ68" s="3">
        <f ca="1">IFERROR(__xludf.DUMMYFUNCTION("""COMPUTED_VALUE"""),13360150)</f>
        <v>13360150</v>
      </c>
      <c r="AK68" s="4">
        <f ca="1">IFERROR(__xludf.DUMMYFUNCTION("""COMPUTED_VALUE"""),42222.6666666666)</f>
        <v>42222.666666666599</v>
      </c>
      <c r="AL68" s="3">
        <f ca="1">IFERROR(__xludf.DUMMYFUNCTION("""COMPUTED_VALUE"""),54.24)</f>
        <v>54.24</v>
      </c>
      <c r="AM68" s="3">
        <f ca="1">IFERROR(__xludf.DUMMYFUNCTION("""COMPUTED_VALUE"""),54.32)</f>
        <v>54.32</v>
      </c>
      <c r="AN68" s="3">
        <f ca="1">IFERROR(__xludf.DUMMYFUNCTION("""COMPUTED_VALUE"""),53.84)</f>
        <v>53.84</v>
      </c>
      <c r="AO68" s="3">
        <f ca="1">IFERROR(__xludf.DUMMYFUNCTION("""COMPUTED_VALUE"""),53.95)</f>
        <v>53.95</v>
      </c>
      <c r="AP68" s="3">
        <f ca="1">IFERROR(__xludf.DUMMYFUNCTION("""COMPUTED_VALUE"""),5672497)</f>
        <v>5672497</v>
      </c>
      <c r="AQ68" s="4">
        <f ca="1">IFERROR(__xludf.DUMMYFUNCTION("""COMPUTED_VALUE"""),42222.6666666666)</f>
        <v>42222.666666666599</v>
      </c>
      <c r="AR68" s="3">
        <f ca="1">IFERROR(__xludf.DUMMYFUNCTION("""COMPUTED_VALUE"""),46.01)</f>
        <v>46.01</v>
      </c>
      <c r="AS68" s="3">
        <f ca="1">IFERROR(__xludf.DUMMYFUNCTION("""COMPUTED_VALUE"""),46.18)</f>
        <v>46.18</v>
      </c>
      <c r="AT68" s="3">
        <f ca="1">IFERROR(__xludf.DUMMYFUNCTION("""COMPUTED_VALUE"""),45.79)</f>
        <v>45.79</v>
      </c>
      <c r="AU68" s="3">
        <f ca="1">IFERROR(__xludf.DUMMYFUNCTION("""COMPUTED_VALUE"""),45.86)</f>
        <v>45.86</v>
      </c>
      <c r="AV68" s="3">
        <f ca="1">IFERROR(__xludf.DUMMYFUNCTION("""COMPUTED_VALUE"""),6113368)</f>
        <v>6113368</v>
      </c>
      <c r="AW68" s="4">
        <f ca="1">IFERROR(__xludf.DUMMYFUNCTION("""COMPUTED_VALUE"""),42384.6666666666)</f>
        <v>42384.666666666599</v>
      </c>
      <c r="AX68" s="3">
        <f ca="1">IFERROR(__xludf.DUMMYFUNCTION("""COMPUTED_VALUE"""),29.15)</f>
        <v>29.15</v>
      </c>
      <c r="AY68" s="3">
        <f ca="1">IFERROR(__xludf.DUMMYFUNCTION("""COMPUTED_VALUE"""),29.3)</f>
        <v>29.3</v>
      </c>
      <c r="AZ68" s="3">
        <f ca="1">IFERROR(__xludf.DUMMYFUNCTION("""COMPUTED_VALUE"""),29.15)</f>
        <v>29.15</v>
      </c>
      <c r="BA68" s="3">
        <f ca="1">IFERROR(__xludf.DUMMYFUNCTION("""COMPUTED_VALUE"""),29.25)</f>
        <v>29.25</v>
      </c>
      <c r="BB68" s="3">
        <f ca="1">IFERROR(__xludf.DUMMYFUNCTION("""COMPUTED_VALUE"""),1414)</f>
        <v>1414</v>
      </c>
      <c r="BC68" s="4">
        <f ca="1">IFERROR(__xludf.DUMMYFUNCTION("""COMPUTED_VALUE"""),42222.6666666666)</f>
        <v>42222.666666666599</v>
      </c>
      <c r="BD68" s="3">
        <f ca="1">IFERROR(__xludf.DUMMYFUNCTION("""COMPUTED_VALUE"""),42.51)</f>
        <v>42.51</v>
      </c>
      <c r="BE68" s="3">
        <f ca="1">IFERROR(__xludf.DUMMYFUNCTION("""COMPUTED_VALUE"""),42.68)</f>
        <v>42.68</v>
      </c>
      <c r="BF68" s="3">
        <f ca="1">IFERROR(__xludf.DUMMYFUNCTION("""COMPUTED_VALUE"""),41.94)</f>
        <v>41.94</v>
      </c>
      <c r="BG68" s="3">
        <f ca="1">IFERROR(__xludf.DUMMYFUNCTION("""COMPUTED_VALUE"""),42.09)</f>
        <v>42.09</v>
      </c>
      <c r="BH68" s="3">
        <f ca="1">IFERROR(__xludf.DUMMYFUNCTION("""COMPUTED_VALUE"""),6509876)</f>
        <v>6509876</v>
      </c>
      <c r="BI68" s="4">
        <f ca="1">IFERROR(__xludf.DUMMYFUNCTION("""COMPUTED_VALUE"""),42222.6666666666)</f>
        <v>42222.666666666599</v>
      </c>
      <c r="BJ68" s="3">
        <f ca="1">IFERROR(__xludf.DUMMYFUNCTION("""COMPUTED_VALUE"""),43.73)</f>
        <v>43.73</v>
      </c>
      <c r="BK68" s="3">
        <f ca="1">IFERROR(__xludf.DUMMYFUNCTION("""COMPUTED_VALUE"""),43.89)</f>
        <v>43.89</v>
      </c>
      <c r="BL68" s="3">
        <f ca="1">IFERROR(__xludf.DUMMYFUNCTION("""COMPUTED_VALUE"""),43.23)</f>
        <v>43.23</v>
      </c>
      <c r="BM68" s="3">
        <f ca="1">IFERROR(__xludf.DUMMYFUNCTION("""COMPUTED_VALUE"""),43.85)</f>
        <v>43.85</v>
      </c>
      <c r="BN68" s="3">
        <f ca="1">IFERROR(__xludf.DUMMYFUNCTION("""COMPUTED_VALUE"""),17145137)</f>
        <v>17145137</v>
      </c>
    </row>
    <row r="69" spans="7:66" ht="13" x14ac:dyDescent="0.15">
      <c r="G69" s="4">
        <f ca="1">IFERROR(__xludf.DUMMYFUNCTION("""COMPUTED_VALUE"""),42223.6666666666)</f>
        <v>42223.666666666599</v>
      </c>
      <c r="H69" s="3">
        <f ca="1">IFERROR(__xludf.DUMMYFUNCTION("""COMPUTED_VALUE"""),78.43)</f>
        <v>78.430000000000007</v>
      </c>
      <c r="I69" s="3">
        <f ca="1">IFERROR(__xludf.DUMMYFUNCTION("""COMPUTED_VALUE"""),78.5)</f>
        <v>78.5</v>
      </c>
      <c r="J69" s="3">
        <f ca="1">IFERROR(__xludf.DUMMYFUNCTION("""COMPUTED_VALUE"""),77.73)</f>
        <v>77.73</v>
      </c>
      <c r="K69" s="3">
        <f ca="1">IFERROR(__xludf.DUMMYFUNCTION("""COMPUTED_VALUE"""),78.28)</f>
        <v>78.28</v>
      </c>
      <c r="L69" s="3">
        <f ca="1">IFERROR(__xludf.DUMMYFUNCTION("""COMPUTED_VALUE"""),6452885)</f>
        <v>6452885</v>
      </c>
      <c r="M69" s="4">
        <f ca="1">IFERROR(__xludf.DUMMYFUNCTION("""COMPUTED_VALUE"""),42223.6666666666)</f>
        <v>42223.666666666599</v>
      </c>
      <c r="N69" s="3">
        <f ca="1">IFERROR(__xludf.DUMMYFUNCTION("""COMPUTED_VALUE"""),50.36)</f>
        <v>50.36</v>
      </c>
      <c r="O69" s="3">
        <f ca="1">IFERROR(__xludf.DUMMYFUNCTION("""COMPUTED_VALUE"""),50.5)</f>
        <v>50.5</v>
      </c>
      <c r="P69" s="3">
        <f ca="1">IFERROR(__xludf.DUMMYFUNCTION("""COMPUTED_VALUE"""),49.94)</f>
        <v>49.94</v>
      </c>
      <c r="Q69" s="3">
        <f ca="1">IFERROR(__xludf.DUMMYFUNCTION("""COMPUTED_VALUE"""),50.16)</f>
        <v>50.16</v>
      </c>
      <c r="R69" s="3">
        <f ca="1">IFERROR(__xludf.DUMMYFUNCTION("""COMPUTED_VALUE"""),6889664)</f>
        <v>6889664</v>
      </c>
      <c r="S69" s="4">
        <f ca="1">IFERROR(__xludf.DUMMYFUNCTION("""COMPUTED_VALUE"""),42223.6666666666)</f>
        <v>42223.666666666599</v>
      </c>
      <c r="T69" s="3">
        <f ca="1">IFERROR(__xludf.DUMMYFUNCTION("""COMPUTED_VALUE"""),67.97)</f>
        <v>67.97</v>
      </c>
      <c r="U69" s="3">
        <f ca="1">IFERROR(__xludf.DUMMYFUNCTION("""COMPUTED_VALUE"""),68.51)</f>
        <v>68.510000000000005</v>
      </c>
      <c r="V69" s="3">
        <f ca="1">IFERROR(__xludf.DUMMYFUNCTION("""COMPUTED_VALUE"""),66.79)</f>
        <v>66.790000000000006</v>
      </c>
      <c r="W69" s="3">
        <f ca="1">IFERROR(__xludf.DUMMYFUNCTION("""COMPUTED_VALUE"""),67.03)</f>
        <v>67.03</v>
      </c>
      <c r="X69" s="3">
        <f ca="1">IFERROR(__xludf.DUMMYFUNCTION("""COMPUTED_VALUE"""),17081652)</f>
        <v>17081652</v>
      </c>
      <c r="Y69" s="4">
        <f ca="1">IFERROR(__xludf.DUMMYFUNCTION("""COMPUTED_VALUE"""),42223.6666666666)</f>
        <v>42223.666666666599</v>
      </c>
      <c r="Z69" s="3">
        <f ca="1">IFERROR(__xludf.DUMMYFUNCTION("""COMPUTED_VALUE"""),20.41)</f>
        <v>20.41</v>
      </c>
      <c r="AA69" s="3">
        <f ca="1">IFERROR(__xludf.DUMMYFUNCTION("""COMPUTED_VALUE"""),20.49)</f>
        <v>20.49</v>
      </c>
      <c r="AB69" s="3">
        <f ca="1">IFERROR(__xludf.DUMMYFUNCTION("""COMPUTED_VALUE"""),20.29)</f>
        <v>20.29</v>
      </c>
      <c r="AC69" s="3">
        <f ca="1">IFERROR(__xludf.DUMMYFUNCTION("""COMPUTED_VALUE"""),20.46)</f>
        <v>20.46</v>
      </c>
      <c r="AD69" s="3">
        <f ca="1">IFERROR(__xludf.DUMMYFUNCTION("""COMPUTED_VALUE"""),24917827)</f>
        <v>24917827</v>
      </c>
      <c r="AE69" s="4">
        <f ca="1">IFERROR(__xludf.DUMMYFUNCTION("""COMPUTED_VALUE"""),42223.6666666666)</f>
        <v>42223.666666666599</v>
      </c>
      <c r="AF69" s="3">
        <f ca="1">IFERROR(__xludf.DUMMYFUNCTION("""COMPUTED_VALUE"""),75.43)</f>
        <v>75.430000000000007</v>
      </c>
      <c r="AG69" s="3">
        <f ca="1">IFERROR(__xludf.DUMMYFUNCTION("""COMPUTED_VALUE"""),75.57)</f>
        <v>75.569999999999993</v>
      </c>
      <c r="AH69" s="3">
        <f ca="1">IFERROR(__xludf.DUMMYFUNCTION("""COMPUTED_VALUE"""),74.53)</f>
        <v>74.53</v>
      </c>
      <c r="AI69" s="3">
        <f ca="1">IFERROR(__xludf.DUMMYFUNCTION("""COMPUTED_VALUE"""),75.32)</f>
        <v>75.319999999999993</v>
      </c>
      <c r="AJ69" s="3">
        <f ca="1">IFERROR(__xludf.DUMMYFUNCTION("""COMPUTED_VALUE"""),10863619)</f>
        <v>10863619</v>
      </c>
      <c r="AK69" s="4">
        <f ca="1">IFERROR(__xludf.DUMMYFUNCTION("""COMPUTED_VALUE"""),42223.6666666666)</f>
        <v>42223.666666666599</v>
      </c>
      <c r="AL69" s="3">
        <f ca="1">IFERROR(__xludf.DUMMYFUNCTION("""COMPUTED_VALUE"""),53.84)</f>
        <v>53.84</v>
      </c>
      <c r="AM69" s="3">
        <f ca="1">IFERROR(__xludf.DUMMYFUNCTION("""COMPUTED_VALUE"""),53.95)</f>
        <v>53.95</v>
      </c>
      <c r="AN69" s="3">
        <f ca="1">IFERROR(__xludf.DUMMYFUNCTION("""COMPUTED_VALUE"""),53.53)</f>
        <v>53.53</v>
      </c>
      <c r="AO69" s="3">
        <f ca="1">IFERROR(__xludf.DUMMYFUNCTION("""COMPUTED_VALUE"""),53.69)</f>
        <v>53.69</v>
      </c>
      <c r="AP69" s="3">
        <f ca="1">IFERROR(__xludf.DUMMYFUNCTION("""COMPUTED_VALUE"""),8335211)</f>
        <v>8335211</v>
      </c>
      <c r="AQ69" s="4">
        <f ca="1">IFERROR(__xludf.DUMMYFUNCTION("""COMPUTED_VALUE"""),42223.6666666666)</f>
        <v>42223.666666666599</v>
      </c>
      <c r="AR69" s="3">
        <f ca="1">IFERROR(__xludf.DUMMYFUNCTION("""COMPUTED_VALUE"""),45.56)</f>
        <v>45.56</v>
      </c>
      <c r="AS69" s="3">
        <f ca="1">IFERROR(__xludf.DUMMYFUNCTION("""COMPUTED_VALUE"""),45.85)</f>
        <v>45.85</v>
      </c>
      <c r="AT69" s="3">
        <f ca="1">IFERROR(__xludf.DUMMYFUNCTION("""COMPUTED_VALUE"""),45.07)</f>
        <v>45.07</v>
      </c>
      <c r="AU69" s="3">
        <f ca="1">IFERROR(__xludf.DUMMYFUNCTION("""COMPUTED_VALUE"""),45.22)</f>
        <v>45.22</v>
      </c>
      <c r="AV69" s="3">
        <f ca="1">IFERROR(__xludf.DUMMYFUNCTION("""COMPUTED_VALUE"""),5851493)</f>
        <v>5851493</v>
      </c>
      <c r="AW69" s="4">
        <f ca="1">IFERROR(__xludf.DUMMYFUNCTION("""COMPUTED_VALUE"""),42388.6666666666)</f>
        <v>42388.666666666599</v>
      </c>
      <c r="AX69" s="3">
        <f ca="1">IFERROR(__xludf.DUMMYFUNCTION("""COMPUTED_VALUE"""),29.51)</f>
        <v>29.51</v>
      </c>
      <c r="AY69" s="3">
        <f ca="1">IFERROR(__xludf.DUMMYFUNCTION("""COMPUTED_VALUE"""),29.51)</f>
        <v>29.51</v>
      </c>
      <c r="AZ69" s="3">
        <f ca="1">IFERROR(__xludf.DUMMYFUNCTION("""COMPUTED_VALUE"""),29.36)</f>
        <v>29.36</v>
      </c>
      <c r="BA69" s="3">
        <f ca="1">IFERROR(__xludf.DUMMYFUNCTION("""COMPUTED_VALUE"""),29.45)</f>
        <v>29.45</v>
      </c>
      <c r="BB69" s="3">
        <f ca="1">IFERROR(__xludf.DUMMYFUNCTION("""COMPUTED_VALUE"""),4705)</f>
        <v>4705</v>
      </c>
      <c r="BC69" s="4">
        <f ca="1">IFERROR(__xludf.DUMMYFUNCTION("""COMPUTED_VALUE"""),42223.6666666666)</f>
        <v>42223.666666666599</v>
      </c>
      <c r="BD69" s="3">
        <f ca="1">IFERROR(__xludf.DUMMYFUNCTION("""COMPUTED_VALUE"""),41.99)</f>
        <v>41.99</v>
      </c>
      <c r="BE69" s="3">
        <f ca="1">IFERROR(__xludf.DUMMYFUNCTION("""COMPUTED_VALUE"""),42.18)</f>
        <v>42.18</v>
      </c>
      <c r="BF69" s="3">
        <f ca="1">IFERROR(__xludf.DUMMYFUNCTION("""COMPUTED_VALUE"""),41.83)</f>
        <v>41.83</v>
      </c>
      <c r="BG69" s="3">
        <f ca="1">IFERROR(__xludf.DUMMYFUNCTION("""COMPUTED_VALUE"""),42.12)</f>
        <v>42.12</v>
      </c>
      <c r="BH69" s="3">
        <f ca="1">IFERROR(__xludf.DUMMYFUNCTION("""COMPUTED_VALUE"""),7912517)</f>
        <v>7912517</v>
      </c>
      <c r="BI69" s="4">
        <f ca="1">IFERROR(__xludf.DUMMYFUNCTION("""COMPUTED_VALUE"""),42223.6666666666)</f>
        <v>42223.666666666599</v>
      </c>
      <c r="BJ69" s="3">
        <f ca="1">IFERROR(__xludf.DUMMYFUNCTION("""COMPUTED_VALUE"""),43.81)</f>
        <v>43.81</v>
      </c>
      <c r="BK69" s="3">
        <f ca="1">IFERROR(__xludf.DUMMYFUNCTION("""COMPUTED_VALUE"""),44.58)</f>
        <v>44.58</v>
      </c>
      <c r="BL69" s="3">
        <f ca="1">IFERROR(__xludf.DUMMYFUNCTION("""COMPUTED_VALUE"""),43.58)</f>
        <v>43.58</v>
      </c>
      <c r="BM69" s="3">
        <f ca="1">IFERROR(__xludf.DUMMYFUNCTION("""COMPUTED_VALUE"""),44.39)</f>
        <v>44.39</v>
      </c>
      <c r="BN69" s="3">
        <f ca="1">IFERROR(__xludf.DUMMYFUNCTION("""COMPUTED_VALUE"""),21163253)</f>
        <v>21163253</v>
      </c>
    </row>
    <row r="70" spans="7:66" ht="13" x14ac:dyDescent="0.15">
      <c r="G70" s="4">
        <f ca="1">IFERROR(__xludf.DUMMYFUNCTION("""COMPUTED_VALUE"""),42226.6666666666)</f>
        <v>42226.666666666599</v>
      </c>
      <c r="H70" s="3">
        <f ca="1">IFERROR(__xludf.DUMMYFUNCTION("""COMPUTED_VALUE"""),78.87)</f>
        <v>78.87</v>
      </c>
      <c r="I70" s="3">
        <f ca="1">IFERROR(__xludf.DUMMYFUNCTION("""COMPUTED_VALUE"""),79.16)</f>
        <v>79.16</v>
      </c>
      <c r="J70" s="3">
        <f ca="1">IFERROR(__xludf.DUMMYFUNCTION("""COMPUTED_VALUE"""),78.75)</f>
        <v>78.75</v>
      </c>
      <c r="K70" s="3">
        <f ca="1">IFERROR(__xludf.DUMMYFUNCTION("""COMPUTED_VALUE"""),78.91)</f>
        <v>78.91</v>
      </c>
      <c r="L70" s="3">
        <f ca="1">IFERROR(__xludf.DUMMYFUNCTION("""COMPUTED_VALUE"""),3837136)</f>
        <v>3837136</v>
      </c>
      <c r="M70" s="4">
        <f ca="1">IFERROR(__xludf.DUMMYFUNCTION("""COMPUTED_VALUE"""),42226.6666666666)</f>
        <v>42226.666666666599</v>
      </c>
      <c r="N70" s="3">
        <f ca="1">IFERROR(__xludf.DUMMYFUNCTION("""COMPUTED_VALUE"""),50.3)</f>
        <v>50.3</v>
      </c>
      <c r="O70" s="3">
        <f ca="1">IFERROR(__xludf.DUMMYFUNCTION("""COMPUTED_VALUE"""),50.51)</f>
        <v>50.51</v>
      </c>
      <c r="P70" s="3">
        <f ca="1">IFERROR(__xludf.DUMMYFUNCTION("""COMPUTED_VALUE"""),50.26)</f>
        <v>50.26</v>
      </c>
      <c r="Q70" s="3">
        <f ca="1">IFERROR(__xludf.DUMMYFUNCTION("""COMPUTED_VALUE"""),50.35)</f>
        <v>50.35</v>
      </c>
      <c r="R70" s="3">
        <f ca="1">IFERROR(__xludf.DUMMYFUNCTION("""COMPUTED_VALUE"""),5779953)</f>
        <v>5779953</v>
      </c>
      <c r="S70" s="4">
        <f ca="1">IFERROR(__xludf.DUMMYFUNCTION("""COMPUTED_VALUE"""),42226.6666666666)</f>
        <v>42226.666666666599</v>
      </c>
      <c r="T70" s="3">
        <f ca="1">IFERROR(__xludf.DUMMYFUNCTION("""COMPUTED_VALUE"""),67.17)</f>
        <v>67.17</v>
      </c>
      <c r="U70" s="3">
        <f ca="1">IFERROR(__xludf.DUMMYFUNCTION("""COMPUTED_VALUE"""),69.22)</f>
        <v>69.22</v>
      </c>
      <c r="V70" s="3">
        <f ca="1">IFERROR(__xludf.DUMMYFUNCTION("""COMPUTED_VALUE"""),67.17)</f>
        <v>67.17</v>
      </c>
      <c r="W70" s="3">
        <f ca="1">IFERROR(__xludf.DUMMYFUNCTION("""COMPUTED_VALUE"""),69.17)</f>
        <v>69.17</v>
      </c>
      <c r="X70" s="3">
        <f ca="1">IFERROR(__xludf.DUMMYFUNCTION("""COMPUTED_VALUE"""),19444368)</f>
        <v>19444368</v>
      </c>
      <c r="Y70" s="4">
        <f ca="1">IFERROR(__xludf.DUMMYFUNCTION("""COMPUTED_VALUE"""),42226.6666666666)</f>
        <v>42226.666666666599</v>
      </c>
      <c r="Z70" s="3">
        <f ca="1">IFERROR(__xludf.DUMMYFUNCTION("""COMPUTED_VALUE"""),20.6)</f>
        <v>20.6</v>
      </c>
      <c r="AA70" s="3">
        <f ca="1">IFERROR(__xludf.DUMMYFUNCTION("""COMPUTED_VALUE"""),20.67)</f>
        <v>20.67</v>
      </c>
      <c r="AB70" s="3">
        <f ca="1">IFERROR(__xludf.DUMMYFUNCTION("""COMPUTED_VALUE"""),20.54)</f>
        <v>20.54</v>
      </c>
      <c r="AC70" s="3">
        <f ca="1">IFERROR(__xludf.DUMMYFUNCTION("""COMPUTED_VALUE"""),20.66)</f>
        <v>20.66</v>
      </c>
      <c r="AD70" s="3">
        <f ca="1">IFERROR(__xludf.DUMMYFUNCTION("""COMPUTED_VALUE"""),24505145)</f>
        <v>24505145</v>
      </c>
      <c r="AE70" s="4">
        <f ca="1">IFERROR(__xludf.DUMMYFUNCTION("""COMPUTED_VALUE"""),42226.6666666666)</f>
        <v>42226.666666666599</v>
      </c>
      <c r="AF70" s="3">
        <f ca="1">IFERROR(__xludf.DUMMYFUNCTION("""COMPUTED_VALUE"""),75.57)</f>
        <v>75.569999999999993</v>
      </c>
      <c r="AG70" s="3">
        <f ca="1">IFERROR(__xludf.DUMMYFUNCTION("""COMPUTED_VALUE"""),76.26)</f>
        <v>76.260000000000005</v>
      </c>
      <c r="AH70" s="3">
        <f ca="1">IFERROR(__xludf.DUMMYFUNCTION("""COMPUTED_VALUE"""),75.57)</f>
        <v>75.569999999999993</v>
      </c>
      <c r="AI70" s="3">
        <f ca="1">IFERROR(__xludf.DUMMYFUNCTION("""COMPUTED_VALUE"""),75.93)</f>
        <v>75.930000000000007</v>
      </c>
      <c r="AJ70" s="3">
        <f ca="1">IFERROR(__xludf.DUMMYFUNCTION("""COMPUTED_VALUE"""),7951120)</f>
        <v>7951120</v>
      </c>
      <c r="AK70" s="4">
        <f ca="1">IFERROR(__xludf.DUMMYFUNCTION("""COMPUTED_VALUE"""),42226.6666666666)</f>
        <v>42226.666666666599</v>
      </c>
      <c r="AL70" s="3">
        <f ca="1">IFERROR(__xludf.DUMMYFUNCTION("""COMPUTED_VALUE"""),54.14)</f>
        <v>54.14</v>
      </c>
      <c r="AM70" s="3">
        <f ca="1">IFERROR(__xludf.DUMMYFUNCTION("""COMPUTED_VALUE"""),54.77)</f>
        <v>54.77</v>
      </c>
      <c r="AN70" s="3">
        <f ca="1">IFERROR(__xludf.DUMMYFUNCTION("""COMPUTED_VALUE"""),54.09)</f>
        <v>54.09</v>
      </c>
      <c r="AO70" s="3">
        <f ca="1">IFERROR(__xludf.DUMMYFUNCTION("""COMPUTED_VALUE"""),54.74)</f>
        <v>54.74</v>
      </c>
      <c r="AP70" s="3">
        <f ca="1">IFERROR(__xludf.DUMMYFUNCTION("""COMPUTED_VALUE"""),9164555)</f>
        <v>9164555</v>
      </c>
      <c r="AQ70" s="4">
        <f ca="1">IFERROR(__xludf.DUMMYFUNCTION("""COMPUTED_VALUE"""),42226.6666666666)</f>
        <v>42226.666666666599</v>
      </c>
      <c r="AR70" s="3">
        <f ca="1">IFERROR(__xludf.DUMMYFUNCTION("""COMPUTED_VALUE"""),45.65)</f>
        <v>45.65</v>
      </c>
      <c r="AS70" s="3">
        <f ca="1">IFERROR(__xludf.DUMMYFUNCTION("""COMPUTED_VALUE"""),46.36)</f>
        <v>46.36</v>
      </c>
      <c r="AT70" s="3">
        <f ca="1">IFERROR(__xludf.DUMMYFUNCTION("""COMPUTED_VALUE"""),45.37)</f>
        <v>45.37</v>
      </c>
      <c r="AU70" s="3">
        <f ca="1">IFERROR(__xludf.DUMMYFUNCTION("""COMPUTED_VALUE"""),46.33)</f>
        <v>46.33</v>
      </c>
      <c r="AV70" s="3">
        <f ca="1">IFERROR(__xludf.DUMMYFUNCTION("""COMPUTED_VALUE"""),5311542)</f>
        <v>5311542</v>
      </c>
      <c r="AW70" s="4">
        <f ca="1">IFERROR(__xludf.DUMMYFUNCTION("""COMPUTED_VALUE"""),42389.6666666666)</f>
        <v>42389.666666666599</v>
      </c>
      <c r="AX70" s="3">
        <f ca="1">IFERROR(__xludf.DUMMYFUNCTION("""COMPUTED_VALUE"""),28.66)</f>
        <v>28.66</v>
      </c>
      <c r="AY70" s="3">
        <f ca="1">IFERROR(__xludf.DUMMYFUNCTION("""COMPUTED_VALUE"""),28.89)</f>
        <v>28.89</v>
      </c>
      <c r="AZ70" s="3">
        <f ca="1">IFERROR(__xludf.DUMMYFUNCTION("""COMPUTED_VALUE"""),28.12)</f>
        <v>28.12</v>
      </c>
      <c r="BA70" s="3">
        <f ca="1">IFERROR(__xludf.DUMMYFUNCTION("""COMPUTED_VALUE"""),28.66)</f>
        <v>28.66</v>
      </c>
      <c r="BB70" s="3">
        <f ca="1">IFERROR(__xludf.DUMMYFUNCTION("""COMPUTED_VALUE"""),4609)</f>
        <v>4609</v>
      </c>
      <c r="BC70" s="4">
        <f ca="1">IFERROR(__xludf.DUMMYFUNCTION("""COMPUTED_VALUE"""),42226.6666666666)</f>
        <v>42226.666666666599</v>
      </c>
      <c r="BD70" s="3">
        <f ca="1">IFERROR(__xludf.DUMMYFUNCTION("""COMPUTED_VALUE"""),42.31)</f>
        <v>42.31</v>
      </c>
      <c r="BE70" s="3">
        <f ca="1">IFERROR(__xludf.DUMMYFUNCTION("""COMPUTED_VALUE"""),42.83)</f>
        <v>42.83</v>
      </c>
      <c r="BF70" s="3">
        <f ca="1">IFERROR(__xludf.DUMMYFUNCTION("""COMPUTED_VALUE"""),42.31)</f>
        <v>42.31</v>
      </c>
      <c r="BG70" s="3">
        <f ca="1">IFERROR(__xludf.DUMMYFUNCTION("""COMPUTED_VALUE"""),42.78)</f>
        <v>42.78</v>
      </c>
      <c r="BH70" s="3">
        <f ca="1">IFERROR(__xludf.DUMMYFUNCTION("""COMPUTED_VALUE"""),5572027)</f>
        <v>5572027</v>
      </c>
      <c r="BI70" s="4">
        <f ca="1">IFERROR(__xludf.DUMMYFUNCTION("""COMPUTED_VALUE"""),42226.6666666666)</f>
        <v>42226.666666666599</v>
      </c>
      <c r="BJ70" s="3">
        <f ca="1">IFERROR(__xludf.DUMMYFUNCTION("""COMPUTED_VALUE"""),44.4)</f>
        <v>44.4</v>
      </c>
      <c r="BK70" s="3">
        <f ca="1">IFERROR(__xludf.DUMMYFUNCTION("""COMPUTED_VALUE"""),44.61)</f>
        <v>44.61</v>
      </c>
      <c r="BL70" s="3">
        <f ca="1">IFERROR(__xludf.DUMMYFUNCTION("""COMPUTED_VALUE"""),44.12)</f>
        <v>44.12</v>
      </c>
      <c r="BM70" s="3">
        <f ca="1">IFERROR(__xludf.DUMMYFUNCTION("""COMPUTED_VALUE"""),44.21)</f>
        <v>44.21</v>
      </c>
      <c r="BN70" s="3">
        <f ca="1">IFERROR(__xludf.DUMMYFUNCTION("""COMPUTED_VALUE"""),12089532)</f>
        <v>12089532</v>
      </c>
    </row>
    <row r="71" spans="7:66" ht="13" x14ac:dyDescent="0.15">
      <c r="G71" s="4">
        <f ca="1">IFERROR(__xludf.DUMMYFUNCTION("""COMPUTED_VALUE"""),42227.6666666666)</f>
        <v>42227.666666666599</v>
      </c>
      <c r="H71" s="3">
        <f ca="1">IFERROR(__xludf.DUMMYFUNCTION("""COMPUTED_VALUE"""),78.4)</f>
        <v>78.400000000000006</v>
      </c>
      <c r="I71" s="3">
        <f ca="1">IFERROR(__xludf.DUMMYFUNCTION("""COMPUTED_VALUE"""),78.59)</f>
        <v>78.59</v>
      </c>
      <c r="J71" s="3">
        <f ca="1">IFERROR(__xludf.DUMMYFUNCTION("""COMPUTED_VALUE"""),77.83)</f>
        <v>77.83</v>
      </c>
      <c r="K71" s="3">
        <f ca="1">IFERROR(__xludf.DUMMYFUNCTION("""COMPUTED_VALUE"""),78.2)</f>
        <v>78.2</v>
      </c>
      <c r="L71" s="3">
        <f ca="1">IFERROR(__xludf.DUMMYFUNCTION("""COMPUTED_VALUE"""),5674738)</f>
        <v>5674738</v>
      </c>
      <c r="M71" s="4">
        <f ca="1">IFERROR(__xludf.DUMMYFUNCTION("""COMPUTED_VALUE"""),42227.6666666666)</f>
        <v>42227.666666666599</v>
      </c>
      <c r="N71" s="3">
        <f ca="1">IFERROR(__xludf.DUMMYFUNCTION("""COMPUTED_VALUE"""),50.02)</f>
        <v>50.02</v>
      </c>
      <c r="O71" s="3">
        <f ca="1">IFERROR(__xludf.DUMMYFUNCTION("""COMPUTED_VALUE"""),50.28)</f>
        <v>50.28</v>
      </c>
      <c r="P71" s="3">
        <f ca="1">IFERROR(__xludf.DUMMYFUNCTION("""COMPUTED_VALUE"""),50)</f>
        <v>50</v>
      </c>
      <c r="Q71" s="3">
        <f ca="1">IFERROR(__xludf.DUMMYFUNCTION("""COMPUTED_VALUE"""),50.17)</f>
        <v>50.17</v>
      </c>
      <c r="R71" s="3">
        <f ca="1">IFERROR(__xludf.DUMMYFUNCTION("""COMPUTED_VALUE"""),5616152)</f>
        <v>5616152</v>
      </c>
      <c r="S71" s="4">
        <f ca="1">IFERROR(__xludf.DUMMYFUNCTION("""COMPUTED_VALUE"""),42227.6666666666)</f>
        <v>42227.666666666599</v>
      </c>
      <c r="T71" s="3">
        <f ca="1">IFERROR(__xludf.DUMMYFUNCTION("""COMPUTED_VALUE"""),67.79)</f>
        <v>67.790000000000006</v>
      </c>
      <c r="U71" s="3">
        <f ca="1">IFERROR(__xludf.DUMMYFUNCTION("""COMPUTED_VALUE"""),69.37)</f>
        <v>69.37</v>
      </c>
      <c r="V71" s="3">
        <f ca="1">IFERROR(__xludf.DUMMYFUNCTION("""COMPUTED_VALUE"""),67.66)</f>
        <v>67.66</v>
      </c>
      <c r="W71" s="3">
        <f ca="1">IFERROR(__xludf.DUMMYFUNCTION("""COMPUTED_VALUE"""),69.3)</f>
        <v>69.3</v>
      </c>
      <c r="X71" s="3">
        <f ca="1">IFERROR(__xludf.DUMMYFUNCTION("""COMPUTED_VALUE"""),21053854)</f>
        <v>21053854</v>
      </c>
      <c r="Y71" s="4">
        <f ca="1">IFERROR(__xludf.DUMMYFUNCTION("""COMPUTED_VALUE"""),42227.6666666666)</f>
        <v>42227.666666666599</v>
      </c>
      <c r="Z71" s="3">
        <f ca="1">IFERROR(__xludf.DUMMYFUNCTION("""COMPUTED_VALUE"""),20.46)</f>
        <v>20.46</v>
      </c>
      <c r="AA71" s="3">
        <f ca="1">IFERROR(__xludf.DUMMYFUNCTION("""COMPUTED_VALUE"""),20.54)</f>
        <v>20.54</v>
      </c>
      <c r="AB71" s="3">
        <f ca="1">IFERROR(__xludf.DUMMYFUNCTION("""COMPUTED_VALUE"""),20.39)</f>
        <v>20.39</v>
      </c>
      <c r="AC71" s="3">
        <f ca="1">IFERROR(__xludf.DUMMYFUNCTION("""COMPUTED_VALUE"""),20.47)</f>
        <v>20.47</v>
      </c>
      <c r="AD71" s="3">
        <f ca="1">IFERROR(__xludf.DUMMYFUNCTION("""COMPUTED_VALUE"""),53166667)</f>
        <v>53166667</v>
      </c>
      <c r="AE71" s="4">
        <f ca="1">IFERROR(__xludf.DUMMYFUNCTION("""COMPUTED_VALUE"""),42227.6666666666)</f>
        <v>42227.666666666599</v>
      </c>
      <c r="AF71" s="3">
        <f ca="1">IFERROR(__xludf.DUMMYFUNCTION("""COMPUTED_VALUE"""),75.41)</f>
        <v>75.41</v>
      </c>
      <c r="AG71" s="3">
        <f ca="1">IFERROR(__xludf.DUMMYFUNCTION("""COMPUTED_VALUE"""),75.69)</f>
        <v>75.69</v>
      </c>
      <c r="AH71" s="3">
        <f ca="1">IFERROR(__xludf.DUMMYFUNCTION("""COMPUTED_VALUE"""),74.91)</f>
        <v>74.91</v>
      </c>
      <c r="AI71" s="3">
        <f ca="1">IFERROR(__xludf.DUMMYFUNCTION("""COMPUTED_VALUE"""),75.29)</f>
        <v>75.290000000000006</v>
      </c>
      <c r="AJ71" s="3">
        <f ca="1">IFERROR(__xludf.DUMMYFUNCTION("""COMPUTED_VALUE"""),7914867)</f>
        <v>7914867</v>
      </c>
      <c r="AK71" s="4">
        <f ca="1">IFERROR(__xludf.DUMMYFUNCTION("""COMPUTED_VALUE"""),42227.6666666666)</f>
        <v>42227.666666666599</v>
      </c>
      <c r="AL71" s="3">
        <f ca="1">IFERROR(__xludf.DUMMYFUNCTION("""COMPUTED_VALUE"""),54.08)</f>
        <v>54.08</v>
      </c>
      <c r="AM71" s="3">
        <f ca="1">IFERROR(__xludf.DUMMYFUNCTION("""COMPUTED_VALUE"""),54.32)</f>
        <v>54.32</v>
      </c>
      <c r="AN71" s="3">
        <f ca="1">IFERROR(__xludf.DUMMYFUNCTION("""COMPUTED_VALUE"""),53.86)</f>
        <v>53.86</v>
      </c>
      <c r="AO71" s="3">
        <f ca="1">IFERROR(__xludf.DUMMYFUNCTION("""COMPUTED_VALUE"""),54.07)</f>
        <v>54.07</v>
      </c>
      <c r="AP71" s="3">
        <f ca="1">IFERROR(__xludf.DUMMYFUNCTION("""COMPUTED_VALUE"""),10203208)</f>
        <v>10203208</v>
      </c>
      <c r="AQ71" s="4">
        <f ca="1">IFERROR(__xludf.DUMMYFUNCTION("""COMPUTED_VALUE"""),42227.6666666666)</f>
        <v>42227.666666666599</v>
      </c>
      <c r="AR71" s="3">
        <f ca="1">IFERROR(__xludf.DUMMYFUNCTION("""COMPUTED_VALUE"""),45.6)</f>
        <v>45.6</v>
      </c>
      <c r="AS71" s="3">
        <f ca="1">IFERROR(__xludf.DUMMYFUNCTION("""COMPUTED_VALUE"""),45.83)</f>
        <v>45.83</v>
      </c>
      <c r="AT71" s="3">
        <f ca="1">IFERROR(__xludf.DUMMYFUNCTION("""COMPUTED_VALUE"""),45.28)</f>
        <v>45.28</v>
      </c>
      <c r="AU71" s="3">
        <f ca="1">IFERROR(__xludf.DUMMYFUNCTION("""COMPUTED_VALUE"""),45.47)</f>
        <v>45.47</v>
      </c>
      <c r="AV71" s="3">
        <f ca="1">IFERROR(__xludf.DUMMYFUNCTION("""COMPUTED_VALUE"""),5851927)</f>
        <v>5851927</v>
      </c>
      <c r="AW71" s="4">
        <f ca="1">IFERROR(__xludf.DUMMYFUNCTION("""COMPUTED_VALUE"""),42390.6666666666)</f>
        <v>42390.666666666599</v>
      </c>
      <c r="AX71" s="3">
        <f ca="1">IFERROR(__xludf.DUMMYFUNCTION("""COMPUTED_VALUE"""),28.88)</f>
        <v>28.88</v>
      </c>
      <c r="AY71" s="3">
        <f ca="1">IFERROR(__xludf.DUMMYFUNCTION("""COMPUTED_VALUE"""),28.88)</f>
        <v>28.88</v>
      </c>
      <c r="AZ71" s="3">
        <f ca="1">IFERROR(__xludf.DUMMYFUNCTION("""COMPUTED_VALUE"""),28.88)</f>
        <v>28.88</v>
      </c>
      <c r="BA71" s="3">
        <f ca="1">IFERROR(__xludf.DUMMYFUNCTION("""COMPUTED_VALUE"""),28.88)</f>
        <v>28.88</v>
      </c>
      <c r="BB71" s="3">
        <f ca="1">IFERROR(__xludf.DUMMYFUNCTION("""COMPUTED_VALUE"""),101)</f>
        <v>101</v>
      </c>
      <c r="BC71" s="4">
        <f ca="1">IFERROR(__xludf.DUMMYFUNCTION("""COMPUTED_VALUE"""),42227.6666666666)</f>
        <v>42227.666666666599</v>
      </c>
      <c r="BD71" s="3">
        <f ca="1">IFERROR(__xludf.DUMMYFUNCTION("""COMPUTED_VALUE"""),42.66)</f>
        <v>42.66</v>
      </c>
      <c r="BE71" s="3">
        <f ca="1">IFERROR(__xludf.DUMMYFUNCTION("""COMPUTED_VALUE"""),42.72)</f>
        <v>42.72</v>
      </c>
      <c r="BF71" s="3">
        <f ca="1">IFERROR(__xludf.DUMMYFUNCTION("""COMPUTED_VALUE"""),42.02)</f>
        <v>42.02</v>
      </c>
      <c r="BG71" s="3">
        <f ca="1">IFERROR(__xludf.DUMMYFUNCTION("""COMPUTED_VALUE"""),42.14)</f>
        <v>42.14</v>
      </c>
      <c r="BH71" s="3">
        <f ca="1">IFERROR(__xludf.DUMMYFUNCTION("""COMPUTED_VALUE"""),27344543)</f>
        <v>27344543</v>
      </c>
      <c r="BI71" s="4">
        <f ca="1">IFERROR(__xludf.DUMMYFUNCTION("""COMPUTED_VALUE"""),42227.6666666666)</f>
        <v>42227.666666666599</v>
      </c>
      <c r="BJ71" s="3">
        <f ca="1">IFERROR(__xludf.DUMMYFUNCTION("""COMPUTED_VALUE"""),44.38)</f>
        <v>44.38</v>
      </c>
      <c r="BK71" s="3">
        <f ca="1">IFERROR(__xludf.DUMMYFUNCTION("""COMPUTED_VALUE"""),44.77)</f>
        <v>44.77</v>
      </c>
      <c r="BL71" s="3">
        <f ca="1">IFERROR(__xludf.DUMMYFUNCTION("""COMPUTED_VALUE"""),44.1)</f>
        <v>44.1</v>
      </c>
      <c r="BM71" s="3">
        <f ca="1">IFERROR(__xludf.DUMMYFUNCTION("""COMPUTED_VALUE"""),44.43)</f>
        <v>44.43</v>
      </c>
      <c r="BN71" s="3">
        <f ca="1">IFERROR(__xludf.DUMMYFUNCTION("""COMPUTED_VALUE"""),15122310)</f>
        <v>15122310</v>
      </c>
    </row>
    <row r="72" spans="7:66" ht="13" x14ac:dyDescent="0.15">
      <c r="G72" s="4">
        <f ca="1">IFERROR(__xludf.DUMMYFUNCTION("""COMPUTED_VALUE"""),42228.6666666666)</f>
        <v>42228.666666666599</v>
      </c>
      <c r="H72" s="3">
        <f ca="1">IFERROR(__xludf.DUMMYFUNCTION("""COMPUTED_VALUE"""),77.96)</f>
        <v>77.959999999999994</v>
      </c>
      <c r="I72" s="3">
        <f ca="1">IFERROR(__xludf.DUMMYFUNCTION("""COMPUTED_VALUE"""),77.98)</f>
        <v>77.98</v>
      </c>
      <c r="J72" s="3">
        <f ca="1">IFERROR(__xludf.DUMMYFUNCTION("""COMPUTED_VALUE"""),76.58)</f>
        <v>76.58</v>
      </c>
      <c r="K72" s="3">
        <f ca="1">IFERROR(__xludf.DUMMYFUNCTION("""COMPUTED_VALUE"""),77.86)</f>
        <v>77.86</v>
      </c>
      <c r="L72" s="3">
        <f ca="1">IFERROR(__xludf.DUMMYFUNCTION("""COMPUTED_VALUE"""),7136936)</f>
        <v>7136936</v>
      </c>
      <c r="M72" s="4">
        <f ca="1">IFERROR(__xludf.DUMMYFUNCTION("""COMPUTED_VALUE"""),42228.6666666666)</f>
        <v>42228.666666666599</v>
      </c>
      <c r="N72" s="3">
        <f ca="1">IFERROR(__xludf.DUMMYFUNCTION("""COMPUTED_VALUE"""),49.85)</f>
        <v>49.85</v>
      </c>
      <c r="O72" s="3">
        <f ca="1">IFERROR(__xludf.DUMMYFUNCTION("""COMPUTED_VALUE"""),50.23)</f>
        <v>50.23</v>
      </c>
      <c r="P72" s="3">
        <f ca="1">IFERROR(__xludf.DUMMYFUNCTION("""COMPUTED_VALUE"""),49.51)</f>
        <v>49.51</v>
      </c>
      <c r="Q72" s="3">
        <f ca="1">IFERROR(__xludf.DUMMYFUNCTION("""COMPUTED_VALUE"""),50.2)</f>
        <v>50.2</v>
      </c>
      <c r="R72" s="3">
        <f ca="1">IFERROR(__xludf.DUMMYFUNCTION("""COMPUTED_VALUE"""),8275075)</f>
        <v>8275075</v>
      </c>
      <c r="S72" s="4">
        <f ca="1">IFERROR(__xludf.DUMMYFUNCTION("""COMPUTED_VALUE"""),42228.6666666666)</f>
        <v>42228.666666666599</v>
      </c>
      <c r="T72" s="3">
        <f ca="1">IFERROR(__xludf.DUMMYFUNCTION("""COMPUTED_VALUE"""),69.06)</f>
        <v>69.06</v>
      </c>
      <c r="U72" s="3">
        <f ca="1">IFERROR(__xludf.DUMMYFUNCTION("""COMPUTED_VALUE"""),70.74)</f>
        <v>70.739999999999995</v>
      </c>
      <c r="V72" s="3">
        <f ca="1">IFERROR(__xludf.DUMMYFUNCTION("""COMPUTED_VALUE"""),68.66)</f>
        <v>68.66</v>
      </c>
      <c r="W72" s="3">
        <f ca="1">IFERROR(__xludf.DUMMYFUNCTION("""COMPUTED_VALUE"""),70.56)</f>
        <v>70.56</v>
      </c>
      <c r="X72" s="3">
        <f ca="1">IFERROR(__xludf.DUMMYFUNCTION("""COMPUTED_VALUE"""),23483011)</f>
        <v>23483011</v>
      </c>
      <c r="Y72" s="4">
        <f ca="1">IFERROR(__xludf.DUMMYFUNCTION("""COMPUTED_VALUE"""),42228.6666666666)</f>
        <v>42228.666666666599</v>
      </c>
      <c r="Z72" s="3">
        <f ca="1">IFERROR(__xludf.DUMMYFUNCTION("""COMPUTED_VALUE"""),20.3)</f>
        <v>20.3</v>
      </c>
      <c r="AA72" s="3">
        <f ca="1">IFERROR(__xludf.DUMMYFUNCTION("""COMPUTED_VALUE"""),20.32)</f>
        <v>20.32</v>
      </c>
      <c r="AB72" s="3">
        <f ca="1">IFERROR(__xludf.DUMMYFUNCTION("""COMPUTED_VALUE"""),19.98)</f>
        <v>19.98</v>
      </c>
      <c r="AC72" s="3">
        <f ca="1">IFERROR(__xludf.DUMMYFUNCTION("""COMPUTED_VALUE"""),20.29)</f>
        <v>20.29</v>
      </c>
      <c r="AD72" s="3">
        <f ca="1">IFERROR(__xludf.DUMMYFUNCTION("""COMPUTED_VALUE"""),62964477)</f>
        <v>62964477</v>
      </c>
      <c r="AE72" s="4">
        <f ca="1">IFERROR(__xludf.DUMMYFUNCTION("""COMPUTED_VALUE"""),42228.6666666666)</f>
        <v>42228.666666666599</v>
      </c>
      <c r="AF72" s="3">
        <f ca="1">IFERROR(__xludf.DUMMYFUNCTION("""COMPUTED_VALUE"""),74.72)</f>
        <v>74.72</v>
      </c>
      <c r="AG72" s="3">
        <f ca="1">IFERROR(__xludf.DUMMYFUNCTION("""COMPUTED_VALUE"""),75.42)</f>
        <v>75.42</v>
      </c>
      <c r="AH72" s="3">
        <f ca="1">IFERROR(__xludf.DUMMYFUNCTION("""COMPUTED_VALUE"""),73.9)</f>
        <v>73.900000000000006</v>
      </c>
      <c r="AI72" s="3">
        <f ca="1">IFERROR(__xludf.DUMMYFUNCTION("""COMPUTED_VALUE"""),75.34)</f>
        <v>75.34</v>
      </c>
      <c r="AJ72" s="3">
        <f ca="1">IFERROR(__xludf.DUMMYFUNCTION("""COMPUTED_VALUE"""),9665895)</f>
        <v>9665895</v>
      </c>
      <c r="AK72" s="4">
        <f ca="1">IFERROR(__xludf.DUMMYFUNCTION("""COMPUTED_VALUE"""),42228.6666666666)</f>
        <v>42228.666666666599</v>
      </c>
      <c r="AL72" s="3">
        <f ca="1">IFERROR(__xludf.DUMMYFUNCTION("""COMPUTED_VALUE"""),53.61)</f>
        <v>53.61</v>
      </c>
      <c r="AM72" s="3">
        <f ca="1">IFERROR(__xludf.DUMMYFUNCTION("""COMPUTED_VALUE"""),54.18)</f>
        <v>54.18</v>
      </c>
      <c r="AN72" s="3">
        <f ca="1">IFERROR(__xludf.DUMMYFUNCTION("""COMPUTED_VALUE"""),53.24)</f>
        <v>53.24</v>
      </c>
      <c r="AO72" s="3">
        <f ca="1">IFERROR(__xludf.DUMMYFUNCTION("""COMPUTED_VALUE"""),54.08)</f>
        <v>54.08</v>
      </c>
      <c r="AP72" s="3">
        <f ca="1">IFERROR(__xludf.DUMMYFUNCTION("""COMPUTED_VALUE"""),8130518)</f>
        <v>8130518</v>
      </c>
      <c r="AQ72" s="4">
        <f ca="1">IFERROR(__xludf.DUMMYFUNCTION("""COMPUTED_VALUE"""),42228.6666666666)</f>
        <v>42228.666666666599</v>
      </c>
      <c r="AR72" s="3">
        <f ca="1">IFERROR(__xludf.DUMMYFUNCTION("""COMPUTED_VALUE"""),45.1)</f>
        <v>45.1</v>
      </c>
      <c r="AS72" s="3">
        <f ca="1">IFERROR(__xludf.DUMMYFUNCTION("""COMPUTED_VALUE"""),45.7)</f>
        <v>45.7</v>
      </c>
      <c r="AT72" s="3">
        <f ca="1">IFERROR(__xludf.DUMMYFUNCTION("""COMPUTED_VALUE"""),44.97)</f>
        <v>44.97</v>
      </c>
      <c r="AU72" s="3">
        <f ca="1">IFERROR(__xludf.DUMMYFUNCTION("""COMPUTED_VALUE"""),45.64)</f>
        <v>45.64</v>
      </c>
      <c r="AV72" s="3">
        <f ca="1">IFERROR(__xludf.DUMMYFUNCTION("""COMPUTED_VALUE"""),6642250)</f>
        <v>6642250</v>
      </c>
      <c r="AW72" s="4">
        <f ca="1">IFERROR(__xludf.DUMMYFUNCTION("""COMPUTED_VALUE"""),42391.6666666666)</f>
        <v>42391.666666666599</v>
      </c>
      <c r="AX72" s="3">
        <f ca="1">IFERROR(__xludf.DUMMYFUNCTION("""COMPUTED_VALUE"""),29.47)</f>
        <v>29.47</v>
      </c>
      <c r="AY72" s="3">
        <f ca="1">IFERROR(__xludf.DUMMYFUNCTION("""COMPUTED_VALUE"""),29.48)</f>
        <v>29.48</v>
      </c>
      <c r="AZ72" s="3">
        <f ca="1">IFERROR(__xludf.DUMMYFUNCTION("""COMPUTED_VALUE"""),29.46)</f>
        <v>29.46</v>
      </c>
      <c r="BA72" s="3">
        <f ca="1">IFERROR(__xludf.DUMMYFUNCTION("""COMPUTED_VALUE"""),29.48)</f>
        <v>29.48</v>
      </c>
      <c r="BB72" s="3">
        <f ca="1">IFERROR(__xludf.DUMMYFUNCTION("""COMPUTED_VALUE"""),330)</f>
        <v>330</v>
      </c>
      <c r="BC72" s="4">
        <f ca="1">IFERROR(__xludf.DUMMYFUNCTION("""COMPUTED_VALUE"""),42228.6666666666)</f>
        <v>42228.666666666599</v>
      </c>
      <c r="BD72" s="3">
        <f ca="1">IFERROR(__xludf.DUMMYFUNCTION("""COMPUTED_VALUE"""),41.83)</f>
        <v>41.83</v>
      </c>
      <c r="BE72" s="3">
        <f ca="1">IFERROR(__xludf.DUMMYFUNCTION("""COMPUTED_VALUE"""),42.41)</f>
        <v>42.41</v>
      </c>
      <c r="BF72" s="3">
        <f ca="1">IFERROR(__xludf.DUMMYFUNCTION("""COMPUTED_VALUE"""),41.44)</f>
        <v>41.44</v>
      </c>
      <c r="BG72" s="3">
        <f ca="1">IFERROR(__xludf.DUMMYFUNCTION("""COMPUTED_VALUE"""),42.33)</f>
        <v>42.33</v>
      </c>
      <c r="BH72" s="3">
        <f ca="1">IFERROR(__xludf.DUMMYFUNCTION("""COMPUTED_VALUE"""),10035699)</f>
        <v>10035699</v>
      </c>
      <c r="BI72" s="4">
        <f ca="1">IFERROR(__xludf.DUMMYFUNCTION("""COMPUTED_VALUE"""),42228.6666666666)</f>
        <v>42228.666666666599</v>
      </c>
      <c r="BJ72" s="3">
        <f ca="1">IFERROR(__xludf.DUMMYFUNCTION("""COMPUTED_VALUE"""),44.38)</f>
        <v>44.38</v>
      </c>
      <c r="BK72" s="3">
        <f ca="1">IFERROR(__xludf.DUMMYFUNCTION("""COMPUTED_VALUE"""),45.3)</f>
        <v>45.3</v>
      </c>
      <c r="BL72" s="3">
        <f ca="1">IFERROR(__xludf.DUMMYFUNCTION("""COMPUTED_VALUE"""),44.28)</f>
        <v>44.28</v>
      </c>
      <c r="BM72" s="3">
        <f ca="1">IFERROR(__xludf.DUMMYFUNCTION("""COMPUTED_VALUE"""),45.22)</f>
        <v>45.22</v>
      </c>
      <c r="BN72" s="3">
        <f ca="1">IFERROR(__xludf.DUMMYFUNCTION("""COMPUTED_VALUE"""),23459770)</f>
        <v>23459770</v>
      </c>
    </row>
    <row r="73" spans="7:66" ht="13" x14ac:dyDescent="0.15">
      <c r="G73" s="4">
        <f ca="1">IFERROR(__xludf.DUMMYFUNCTION("""COMPUTED_VALUE"""),42229.6666666666)</f>
        <v>42229.666666666599</v>
      </c>
      <c r="H73" s="3">
        <f ca="1">IFERROR(__xludf.DUMMYFUNCTION("""COMPUTED_VALUE"""),77.81)</f>
        <v>77.81</v>
      </c>
      <c r="I73" s="3">
        <f ca="1">IFERROR(__xludf.DUMMYFUNCTION("""COMPUTED_VALUE"""),78.79)</f>
        <v>78.790000000000006</v>
      </c>
      <c r="J73" s="3">
        <f ca="1">IFERROR(__xludf.DUMMYFUNCTION("""COMPUTED_VALUE"""),77.79)</f>
        <v>77.790000000000006</v>
      </c>
      <c r="K73" s="3">
        <f ca="1">IFERROR(__xludf.DUMMYFUNCTION("""COMPUTED_VALUE"""),78.31)</f>
        <v>78.31</v>
      </c>
      <c r="L73" s="3">
        <f ca="1">IFERROR(__xludf.DUMMYFUNCTION("""COMPUTED_VALUE"""),4424313)</f>
        <v>4424313</v>
      </c>
      <c r="M73" s="4">
        <f ca="1">IFERROR(__xludf.DUMMYFUNCTION("""COMPUTED_VALUE"""),42229.6666666666)</f>
        <v>42229.666666666599</v>
      </c>
      <c r="N73" s="3">
        <f ca="1">IFERROR(__xludf.DUMMYFUNCTION("""COMPUTED_VALUE"""),50.15)</f>
        <v>50.15</v>
      </c>
      <c r="O73" s="3">
        <f ca="1">IFERROR(__xludf.DUMMYFUNCTION("""COMPUTED_VALUE"""),50.28)</f>
        <v>50.28</v>
      </c>
      <c r="P73" s="3">
        <f ca="1">IFERROR(__xludf.DUMMYFUNCTION("""COMPUTED_VALUE"""),49.94)</f>
        <v>49.94</v>
      </c>
      <c r="Q73" s="3">
        <f ca="1">IFERROR(__xludf.DUMMYFUNCTION("""COMPUTED_VALUE"""),50)</f>
        <v>50</v>
      </c>
      <c r="R73" s="3">
        <f ca="1">IFERROR(__xludf.DUMMYFUNCTION("""COMPUTED_VALUE"""),4935225)</f>
        <v>4935225</v>
      </c>
      <c r="S73" s="4">
        <f ca="1">IFERROR(__xludf.DUMMYFUNCTION("""COMPUTED_VALUE"""),42229.6666666666)</f>
        <v>42229.666666666599</v>
      </c>
      <c r="T73" s="3">
        <f ca="1">IFERROR(__xludf.DUMMYFUNCTION("""COMPUTED_VALUE"""),70.1)</f>
        <v>70.099999999999994</v>
      </c>
      <c r="U73" s="3">
        <f ca="1">IFERROR(__xludf.DUMMYFUNCTION("""COMPUTED_VALUE"""),70.36)</f>
        <v>70.36</v>
      </c>
      <c r="V73" s="3">
        <f ca="1">IFERROR(__xludf.DUMMYFUNCTION("""COMPUTED_VALUE"""),69.4)</f>
        <v>69.400000000000006</v>
      </c>
      <c r="W73" s="3">
        <f ca="1">IFERROR(__xludf.DUMMYFUNCTION("""COMPUTED_VALUE"""),69.49)</f>
        <v>69.489999999999995</v>
      </c>
      <c r="X73" s="3">
        <f ca="1">IFERROR(__xludf.DUMMYFUNCTION("""COMPUTED_VALUE"""),19813575)</f>
        <v>19813575</v>
      </c>
      <c r="Y73" s="4">
        <f ca="1">IFERROR(__xludf.DUMMYFUNCTION("""COMPUTED_VALUE"""),42229.6666666666)</f>
        <v>42229.666666666599</v>
      </c>
      <c r="Z73" s="3">
        <f ca="1">IFERROR(__xludf.DUMMYFUNCTION("""COMPUTED_VALUE"""),20.33)</f>
        <v>20.329999999999998</v>
      </c>
      <c r="AA73" s="3">
        <f ca="1">IFERROR(__xludf.DUMMYFUNCTION("""COMPUTED_VALUE"""),20.43)</f>
        <v>20.43</v>
      </c>
      <c r="AB73" s="3">
        <f ca="1">IFERROR(__xludf.DUMMYFUNCTION("""COMPUTED_VALUE"""),20.2)</f>
        <v>20.2</v>
      </c>
      <c r="AC73" s="3">
        <f ca="1">IFERROR(__xludf.DUMMYFUNCTION("""COMPUTED_VALUE"""),20.36)</f>
        <v>20.36</v>
      </c>
      <c r="AD73" s="3">
        <f ca="1">IFERROR(__xludf.DUMMYFUNCTION("""COMPUTED_VALUE"""),22378231)</f>
        <v>22378231</v>
      </c>
      <c r="AE73" s="4">
        <f ca="1">IFERROR(__xludf.DUMMYFUNCTION("""COMPUTED_VALUE"""),42229.6666666666)</f>
        <v>42229.666666666599</v>
      </c>
      <c r="AF73" s="3">
        <f ca="1">IFERROR(__xludf.DUMMYFUNCTION("""COMPUTED_VALUE"""),75.4)</f>
        <v>75.400000000000006</v>
      </c>
      <c r="AG73" s="3">
        <f ca="1">IFERROR(__xludf.DUMMYFUNCTION("""COMPUTED_VALUE"""),75.68)</f>
        <v>75.680000000000007</v>
      </c>
      <c r="AH73" s="3">
        <f ca="1">IFERROR(__xludf.DUMMYFUNCTION("""COMPUTED_VALUE"""),74.99)</f>
        <v>74.989999999999995</v>
      </c>
      <c r="AI73" s="3">
        <f ca="1">IFERROR(__xludf.DUMMYFUNCTION("""COMPUTED_VALUE"""),75.17)</f>
        <v>75.17</v>
      </c>
      <c r="AJ73" s="3">
        <f ca="1">IFERROR(__xludf.DUMMYFUNCTION("""COMPUTED_VALUE"""),6329317)</f>
        <v>6329317</v>
      </c>
      <c r="AK73" s="4">
        <f ca="1">IFERROR(__xludf.DUMMYFUNCTION("""COMPUTED_VALUE"""),42229.6666666666)</f>
        <v>42229.666666666599</v>
      </c>
      <c r="AL73" s="3">
        <f ca="1">IFERROR(__xludf.DUMMYFUNCTION("""COMPUTED_VALUE"""),54.11)</f>
        <v>54.11</v>
      </c>
      <c r="AM73" s="3">
        <f ca="1">IFERROR(__xludf.DUMMYFUNCTION("""COMPUTED_VALUE"""),54.22)</f>
        <v>54.22</v>
      </c>
      <c r="AN73" s="3">
        <f ca="1">IFERROR(__xludf.DUMMYFUNCTION("""COMPUTED_VALUE"""),53.82)</f>
        <v>53.82</v>
      </c>
      <c r="AO73" s="3">
        <f ca="1">IFERROR(__xludf.DUMMYFUNCTION("""COMPUTED_VALUE"""),54.04)</f>
        <v>54.04</v>
      </c>
      <c r="AP73" s="3">
        <f ca="1">IFERROR(__xludf.DUMMYFUNCTION("""COMPUTED_VALUE"""),4747203)</f>
        <v>4747203</v>
      </c>
      <c r="AQ73" s="4">
        <f ca="1">IFERROR(__xludf.DUMMYFUNCTION("""COMPUTED_VALUE"""),42229.6666666666)</f>
        <v>42229.666666666599</v>
      </c>
      <c r="AR73" s="3">
        <f ca="1">IFERROR(__xludf.DUMMYFUNCTION("""COMPUTED_VALUE"""),45.5)</f>
        <v>45.5</v>
      </c>
      <c r="AS73" s="3">
        <f ca="1">IFERROR(__xludf.DUMMYFUNCTION("""COMPUTED_VALUE"""),45.71)</f>
        <v>45.71</v>
      </c>
      <c r="AT73" s="3">
        <f ca="1">IFERROR(__xludf.DUMMYFUNCTION("""COMPUTED_VALUE"""),45.35)</f>
        <v>45.35</v>
      </c>
      <c r="AU73" s="3">
        <f ca="1">IFERROR(__xludf.DUMMYFUNCTION("""COMPUTED_VALUE"""),45.51)</f>
        <v>45.51</v>
      </c>
      <c r="AV73" s="3">
        <f ca="1">IFERROR(__xludf.DUMMYFUNCTION("""COMPUTED_VALUE"""),3028035)</f>
        <v>3028035</v>
      </c>
      <c r="AW73" s="4">
        <f ca="1">IFERROR(__xludf.DUMMYFUNCTION("""COMPUTED_VALUE"""),42395.6666666666)</f>
        <v>42395.666666666599</v>
      </c>
      <c r="AX73" s="3">
        <f ca="1">IFERROR(__xludf.DUMMYFUNCTION("""COMPUTED_VALUE"""),29.59)</f>
        <v>29.59</v>
      </c>
      <c r="AY73" s="3">
        <f ca="1">IFERROR(__xludf.DUMMYFUNCTION("""COMPUTED_VALUE"""),29.86)</f>
        <v>29.86</v>
      </c>
      <c r="AZ73" s="3">
        <f ca="1">IFERROR(__xludf.DUMMYFUNCTION("""COMPUTED_VALUE"""),29.59)</f>
        <v>29.59</v>
      </c>
      <c r="BA73" s="3">
        <f ca="1">IFERROR(__xludf.DUMMYFUNCTION("""COMPUTED_VALUE"""),29.74)</f>
        <v>29.74</v>
      </c>
      <c r="BB73" s="3">
        <f ca="1">IFERROR(__xludf.DUMMYFUNCTION("""COMPUTED_VALUE"""),529)</f>
        <v>529</v>
      </c>
      <c r="BC73" s="4">
        <f ca="1">IFERROR(__xludf.DUMMYFUNCTION("""COMPUTED_VALUE"""),42229.6666666666)</f>
        <v>42229.666666666599</v>
      </c>
      <c r="BD73" s="3">
        <f ca="1">IFERROR(__xludf.DUMMYFUNCTION("""COMPUTED_VALUE"""),42.36)</f>
        <v>42.36</v>
      </c>
      <c r="BE73" s="3">
        <f ca="1">IFERROR(__xludf.DUMMYFUNCTION("""COMPUTED_VALUE"""),42.49)</f>
        <v>42.49</v>
      </c>
      <c r="BF73" s="3">
        <f ca="1">IFERROR(__xludf.DUMMYFUNCTION("""COMPUTED_VALUE"""),42.13)</f>
        <v>42.13</v>
      </c>
      <c r="BG73" s="3">
        <f ca="1">IFERROR(__xludf.DUMMYFUNCTION("""COMPUTED_VALUE"""),42.21)</f>
        <v>42.21</v>
      </c>
      <c r="BH73" s="3">
        <f ca="1">IFERROR(__xludf.DUMMYFUNCTION("""COMPUTED_VALUE"""),6643870)</f>
        <v>6643870</v>
      </c>
      <c r="BI73" s="4">
        <f ca="1">IFERROR(__xludf.DUMMYFUNCTION("""COMPUTED_VALUE"""),42229.6666666666)</f>
        <v>42229.666666666599</v>
      </c>
      <c r="BJ73" s="3">
        <f ca="1">IFERROR(__xludf.DUMMYFUNCTION("""COMPUTED_VALUE"""),45.04)</f>
        <v>45.04</v>
      </c>
      <c r="BK73" s="3">
        <f ca="1">IFERROR(__xludf.DUMMYFUNCTION("""COMPUTED_VALUE"""),45.36)</f>
        <v>45.36</v>
      </c>
      <c r="BL73" s="3">
        <f ca="1">IFERROR(__xludf.DUMMYFUNCTION("""COMPUTED_VALUE"""),44.7)</f>
        <v>44.7</v>
      </c>
      <c r="BM73" s="3">
        <f ca="1">IFERROR(__xludf.DUMMYFUNCTION("""COMPUTED_VALUE"""),45.23)</f>
        <v>45.23</v>
      </c>
      <c r="BN73" s="3">
        <f ca="1">IFERROR(__xludf.DUMMYFUNCTION("""COMPUTED_VALUE"""),10778928)</f>
        <v>10778928</v>
      </c>
    </row>
    <row r="74" spans="7:66" ht="13" x14ac:dyDescent="0.15">
      <c r="G74" s="4">
        <f ca="1">IFERROR(__xludf.DUMMYFUNCTION("""COMPUTED_VALUE"""),42230.6666666666)</f>
        <v>42230.666666666599</v>
      </c>
      <c r="H74" s="3">
        <f ca="1">IFERROR(__xludf.DUMMYFUNCTION("""COMPUTED_VALUE"""),78.22)</f>
        <v>78.22</v>
      </c>
      <c r="I74" s="3">
        <f ca="1">IFERROR(__xludf.DUMMYFUNCTION("""COMPUTED_VALUE"""),78.47)</f>
        <v>78.47</v>
      </c>
      <c r="J74" s="3">
        <f ca="1">IFERROR(__xludf.DUMMYFUNCTION("""COMPUTED_VALUE"""),78.07)</f>
        <v>78.069999999999993</v>
      </c>
      <c r="K74" s="3">
        <f ca="1">IFERROR(__xludf.DUMMYFUNCTION("""COMPUTED_VALUE"""),78.36)</f>
        <v>78.36</v>
      </c>
      <c r="L74" s="3">
        <f ca="1">IFERROR(__xludf.DUMMYFUNCTION("""COMPUTED_VALUE"""),4739584)</f>
        <v>4739584</v>
      </c>
      <c r="M74" s="4">
        <f ca="1">IFERROR(__xludf.DUMMYFUNCTION("""COMPUTED_VALUE"""),42230.6666666666)</f>
        <v>42230.666666666599</v>
      </c>
      <c r="N74" s="3">
        <f ca="1">IFERROR(__xludf.DUMMYFUNCTION("""COMPUTED_VALUE"""),49.99)</f>
        <v>49.99</v>
      </c>
      <c r="O74" s="3">
        <f ca="1">IFERROR(__xludf.DUMMYFUNCTION("""COMPUTED_VALUE"""),50.17)</f>
        <v>50.17</v>
      </c>
      <c r="P74" s="3">
        <f ca="1">IFERROR(__xludf.DUMMYFUNCTION("""COMPUTED_VALUE"""),49.87)</f>
        <v>49.87</v>
      </c>
      <c r="Q74" s="3">
        <f ca="1">IFERROR(__xludf.DUMMYFUNCTION("""COMPUTED_VALUE"""),50.16)</f>
        <v>50.16</v>
      </c>
      <c r="R74" s="3">
        <f ca="1">IFERROR(__xludf.DUMMYFUNCTION("""COMPUTED_VALUE"""),5247043)</f>
        <v>5247043</v>
      </c>
      <c r="S74" s="4">
        <f ca="1">IFERROR(__xludf.DUMMYFUNCTION("""COMPUTED_VALUE"""),42230.6666666666)</f>
        <v>42230.666666666599</v>
      </c>
      <c r="T74" s="3">
        <f ca="1">IFERROR(__xludf.DUMMYFUNCTION("""COMPUTED_VALUE"""),69.64)</f>
        <v>69.64</v>
      </c>
      <c r="U74" s="3">
        <f ca="1">IFERROR(__xludf.DUMMYFUNCTION("""COMPUTED_VALUE"""),70.12)</f>
        <v>70.12</v>
      </c>
      <c r="V74" s="3">
        <f ca="1">IFERROR(__xludf.DUMMYFUNCTION("""COMPUTED_VALUE"""),69.18)</f>
        <v>69.180000000000007</v>
      </c>
      <c r="W74" s="3">
        <f ca="1">IFERROR(__xludf.DUMMYFUNCTION("""COMPUTED_VALUE"""),69.34)</f>
        <v>69.34</v>
      </c>
      <c r="X74" s="3">
        <f ca="1">IFERROR(__xludf.DUMMYFUNCTION("""COMPUTED_VALUE"""),12121178)</f>
        <v>12121178</v>
      </c>
      <c r="Y74" s="4">
        <f ca="1">IFERROR(__xludf.DUMMYFUNCTION("""COMPUTED_VALUE"""),42230.6666666666)</f>
        <v>42230.666666666599</v>
      </c>
      <c r="Z74" s="3">
        <f ca="1">IFERROR(__xludf.DUMMYFUNCTION("""COMPUTED_VALUE"""),20.33)</f>
        <v>20.329999999999998</v>
      </c>
      <c r="AA74" s="3">
        <f ca="1">IFERROR(__xludf.DUMMYFUNCTION("""COMPUTED_VALUE"""),20.5)</f>
        <v>20.5</v>
      </c>
      <c r="AB74" s="3">
        <f ca="1">IFERROR(__xludf.DUMMYFUNCTION("""COMPUTED_VALUE"""),20.33)</f>
        <v>20.329999999999998</v>
      </c>
      <c r="AC74" s="3">
        <f ca="1">IFERROR(__xludf.DUMMYFUNCTION("""COMPUTED_VALUE"""),20.5)</f>
        <v>20.5</v>
      </c>
      <c r="AD74" s="3">
        <f ca="1">IFERROR(__xludf.DUMMYFUNCTION("""COMPUTED_VALUE"""),27297572)</f>
        <v>27297572</v>
      </c>
      <c r="AE74" s="4">
        <f ca="1">IFERROR(__xludf.DUMMYFUNCTION("""COMPUTED_VALUE"""),42230.6666666666)</f>
        <v>42230.666666666599</v>
      </c>
      <c r="AF74" s="3">
        <f ca="1">IFERROR(__xludf.DUMMYFUNCTION("""COMPUTED_VALUE"""),74.96)</f>
        <v>74.959999999999994</v>
      </c>
      <c r="AG74" s="3">
        <f ca="1">IFERROR(__xludf.DUMMYFUNCTION("""COMPUTED_VALUE"""),75.42)</f>
        <v>75.42</v>
      </c>
      <c r="AH74" s="3">
        <f ca="1">IFERROR(__xludf.DUMMYFUNCTION("""COMPUTED_VALUE"""),74.8)</f>
        <v>74.8</v>
      </c>
      <c r="AI74" s="3">
        <f ca="1">IFERROR(__xludf.DUMMYFUNCTION("""COMPUTED_VALUE"""),75.38)</f>
        <v>75.38</v>
      </c>
      <c r="AJ74" s="3">
        <f ca="1">IFERROR(__xludf.DUMMYFUNCTION("""COMPUTED_VALUE"""),5503959)</f>
        <v>5503959</v>
      </c>
      <c r="AK74" s="4">
        <f ca="1">IFERROR(__xludf.DUMMYFUNCTION("""COMPUTED_VALUE"""),42230.6666666666)</f>
        <v>42230.666666666599</v>
      </c>
      <c r="AL74" s="3">
        <f ca="1">IFERROR(__xludf.DUMMYFUNCTION("""COMPUTED_VALUE"""),53.98)</f>
        <v>53.98</v>
      </c>
      <c r="AM74" s="3">
        <f ca="1">IFERROR(__xludf.DUMMYFUNCTION("""COMPUTED_VALUE"""),54.41)</f>
        <v>54.41</v>
      </c>
      <c r="AN74" s="3">
        <f ca="1">IFERROR(__xludf.DUMMYFUNCTION("""COMPUTED_VALUE"""),53.96)</f>
        <v>53.96</v>
      </c>
      <c r="AO74" s="3">
        <f ca="1">IFERROR(__xludf.DUMMYFUNCTION("""COMPUTED_VALUE"""),54.38)</f>
        <v>54.38</v>
      </c>
      <c r="AP74" s="3">
        <f ca="1">IFERROR(__xludf.DUMMYFUNCTION("""COMPUTED_VALUE"""),6666154)</f>
        <v>6666154</v>
      </c>
      <c r="AQ74" s="4">
        <f ca="1">IFERROR(__xludf.DUMMYFUNCTION("""COMPUTED_VALUE"""),42230.6666666666)</f>
        <v>42230.666666666599</v>
      </c>
      <c r="AR74" s="3">
        <f ca="1">IFERROR(__xludf.DUMMYFUNCTION("""COMPUTED_VALUE"""),45.56)</f>
        <v>45.56</v>
      </c>
      <c r="AS74" s="3">
        <f ca="1">IFERROR(__xludf.DUMMYFUNCTION("""COMPUTED_VALUE"""),45.76)</f>
        <v>45.76</v>
      </c>
      <c r="AT74" s="3">
        <f ca="1">IFERROR(__xludf.DUMMYFUNCTION("""COMPUTED_VALUE"""),45.44)</f>
        <v>45.44</v>
      </c>
      <c r="AU74" s="3">
        <f ca="1">IFERROR(__xludf.DUMMYFUNCTION("""COMPUTED_VALUE"""),45.72)</f>
        <v>45.72</v>
      </c>
      <c r="AV74" s="3">
        <f ca="1">IFERROR(__xludf.DUMMYFUNCTION("""COMPUTED_VALUE"""),2137764)</f>
        <v>2137764</v>
      </c>
      <c r="AW74" s="4">
        <f ca="1">IFERROR(__xludf.DUMMYFUNCTION("""COMPUTED_VALUE"""),42396.6666666666)</f>
        <v>42396.666666666599</v>
      </c>
      <c r="AX74" s="3">
        <f ca="1">IFERROR(__xludf.DUMMYFUNCTION("""COMPUTED_VALUE"""),29.48)</f>
        <v>29.48</v>
      </c>
      <c r="AY74" s="3">
        <f ca="1">IFERROR(__xludf.DUMMYFUNCTION("""COMPUTED_VALUE"""),29.48)</f>
        <v>29.48</v>
      </c>
      <c r="AZ74" s="3">
        <f ca="1">IFERROR(__xludf.DUMMYFUNCTION("""COMPUTED_VALUE"""),29.48)</f>
        <v>29.48</v>
      </c>
      <c r="BA74" s="3">
        <f ca="1">IFERROR(__xludf.DUMMYFUNCTION("""COMPUTED_VALUE"""),29.48)</f>
        <v>29.48</v>
      </c>
      <c r="BB74" s="3">
        <f ca="1">IFERROR(__xludf.DUMMYFUNCTION("""COMPUTED_VALUE"""),930)</f>
        <v>930</v>
      </c>
      <c r="BC74" s="4">
        <f ca="1">IFERROR(__xludf.DUMMYFUNCTION("""COMPUTED_VALUE"""),42230.6666666666)</f>
        <v>42230.666666666599</v>
      </c>
      <c r="BD74" s="3">
        <f ca="1">IFERROR(__xludf.DUMMYFUNCTION("""COMPUTED_VALUE"""),42.1)</f>
        <v>42.1</v>
      </c>
      <c r="BE74" s="3">
        <f ca="1">IFERROR(__xludf.DUMMYFUNCTION("""COMPUTED_VALUE"""),42.46)</f>
        <v>42.46</v>
      </c>
      <c r="BF74" s="3">
        <f ca="1">IFERROR(__xludf.DUMMYFUNCTION("""COMPUTED_VALUE"""),42.07)</f>
        <v>42.07</v>
      </c>
      <c r="BG74" s="3">
        <f ca="1">IFERROR(__xludf.DUMMYFUNCTION("""COMPUTED_VALUE"""),42.42)</f>
        <v>42.42</v>
      </c>
      <c r="BH74" s="3">
        <f ca="1">IFERROR(__xludf.DUMMYFUNCTION("""COMPUTED_VALUE"""),5953004)</f>
        <v>5953004</v>
      </c>
      <c r="BI74" s="4">
        <f ca="1">IFERROR(__xludf.DUMMYFUNCTION("""COMPUTED_VALUE"""),42230.6666666666)</f>
        <v>42230.666666666599</v>
      </c>
      <c r="BJ74" s="3">
        <f ca="1">IFERROR(__xludf.DUMMYFUNCTION("""COMPUTED_VALUE"""),45.05)</f>
        <v>45.05</v>
      </c>
      <c r="BK74" s="3">
        <f ca="1">IFERROR(__xludf.DUMMYFUNCTION("""COMPUTED_VALUE"""),45.6)</f>
        <v>45.6</v>
      </c>
      <c r="BL74" s="3">
        <f ca="1">IFERROR(__xludf.DUMMYFUNCTION("""COMPUTED_VALUE"""),44.95)</f>
        <v>44.95</v>
      </c>
      <c r="BM74" s="3">
        <f ca="1">IFERROR(__xludf.DUMMYFUNCTION("""COMPUTED_VALUE"""),45.57)</f>
        <v>45.57</v>
      </c>
      <c r="BN74" s="3">
        <f ca="1">IFERROR(__xludf.DUMMYFUNCTION("""COMPUTED_VALUE"""),10334314)</f>
        <v>10334314</v>
      </c>
    </row>
    <row r="75" spans="7:66" ht="13" x14ac:dyDescent="0.15">
      <c r="G75" s="4">
        <f ca="1">IFERROR(__xludf.DUMMYFUNCTION("""COMPUTED_VALUE"""),42233.6666666666)</f>
        <v>42233.666666666599</v>
      </c>
      <c r="H75" s="3">
        <f ca="1">IFERROR(__xludf.DUMMYFUNCTION("""COMPUTED_VALUE"""),78.08)</f>
        <v>78.08</v>
      </c>
      <c r="I75" s="3">
        <f ca="1">IFERROR(__xludf.DUMMYFUNCTION("""COMPUTED_VALUE"""),79.16)</f>
        <v>79.16</v>
      </c>
      <c r="J75" s="3">
        <f ca="1">IFERROR(__xludf.DUMMYFUNCTION("""COMPUTED_VALUE"""),78.01)</f>
        <v>78.010000000000005</v>
      </c>
      <c r="K75" s="3">
        <f ca="1">IFERROR(__xludf.DUMMYFUNCTION("""COMPUTED_VALUE"""),79.11)</f>
        <v>79.11</v>
      </c>
      <c r="L75" s="3">
        <f ca="1">IFERROR(__xludf.DUMMYFUNCTION("""COMPUTED_VALUE"""),4420502)</f>
        <v>4420502</v>
      </c>
      <c r="M75" s="4">
        <f ca="1">IFERROR(__xludf.DUMMYFUNCTION("""COMPUTED_VALUE"""),42233.6666666666)</f>
        <v>42233.666666666599</v>
      </c>
      <c r="N75" s="3">
        <f ca="1">IFERROR(__xludf.DUMMYFUNCTION("""COMPUTED_VALUE"""),50)</f>
        <v>50</v>
      </c>
      <c r="O75" s="3">
        <f ca="1">IFERROR(__xludf.DUMMYFUNCTION("""COMPUTED_VALUE"""),50.23)</f>
        <v>50.23</v>
      </c>
      <c r="P75" s="3">
        <f ca="1">IFERROR(__xludf.DUMMYFUNCTION("""COMPUTED_VALUE"""),49.82)</f>
        <v>49.82</v>
      </c>
      <c r="Q75" s="3">
        <f ca="1">IFERROR(__xludf.DUMMYFUNCTION("""COMPUTED_VALUE"""),50.21)</f>
        <v>50.21</v>
      </c>
      <c r="R75" s="3">
        <f ca="1">IFERROR(__xludf.DUMMYFUNCTION("""COMPUTED_VALUE"""),4978436)</f>
        <v>4978436</v>
      </c>
      <c r="S75" s="4">
        <f ca="1">IFERROR(__xludf.DUMMYFUNCTION("""COMPUTED_VALUE"""),42233.6666666666)</f>
        <v>42233.666666666599</v>
      </c>
      <c r="T75" s="3">
        <f ca="1">IFERROR(__xludf.DUMMYFUNCTION("""COMPUTED_VALUE"""),69)</f>
        <v>69</v>
      </c>
      <c r="U75" s="3">
        <f ca="1">IFERROR(__xludf.DUMMYFUNCTION("""COMPUTED_VALUE"""),69.83)</f>
        <v>69.83</v>
      </c>
      <c r="V75" s="3">
        <f ca="1">IFERROR(__xludf.DUMMYFUNCTION("""COMPUTED_VALUE"""),68.77)</f>
        <v>68.77</v>
      </c>
      <c r="W75" s="3">
        <f ca="1">IFERROR(__xludf.DUMMYFUNCTION("""COMPUTED_VALUE"""),69.49)</f>
        <v>69.489999999999995</v>
      </c>
      <c r="X75" s="3">
        <f ca="1">IFERROR(__xludf.DUMMYFUNCTION("""COMPUTED_VALUE"""),9532053)</f>
        <v>9532053</v>
      </c>
      <c r="Y75" s="4">
        <f ca="1">IFERROR(__xludf.DUMMYFUNCTION("""COMPUTED_VALUE"""),42233.6666666666)</f>
        <v>42233.666666666599</v>
      </c>
      <c r="Z75" s="3">
        <f ca="1">IFERROR(__xludf.DUMMYFUNCTION("""COMPUTED_VALUE"""),20.41)</f>
        <v>20.41</v>
      </c>
      <c r="AA75" s="3">
        <f ca="1">IFERROR(__xludf.DUMMYFUNCTION("""COMPUTED_VALUE"""),20.55)</f>
        <v>20.55</v>
      </c>
      <c r="AB75" s="3">
        <f ca="1">IFERROR(__xludf.DUMMYFUNCTION("""COMPUTED_VALUE"""),20.34)</f>
        <v>20.34</v>
      </c>
      <c r="AC75" s="3">
        <f ca="1">IFERROR(__xludf.DUMMYFUNCTION("""COMPUTED_VALUE"""),20.54)</f>
        <v>20.54</v>
      </c>
      <c r="AD75" s="3">
        <f ca="1">IFERROR(__xludf.DUMMYFUNCTION("""COMPUTED_VALUE"""),23372125)</f>
        <v>23372125</v>
      </c>
      <c r="AE75" s="4">
        <f ca="1">IFERROR(__xludf.DUMMYFUNCTION("""COMPUTED_VALUE"""),42233.6666666666)</f>
        <v>42233.666666666599</v>
      </c>
      <c r="AF75" s="3">
        <f ca="1">IFERROR(__xludf.DUMMYFUNCTION("""COMPUTED_VALUE"""),75.13)</f>
        <v>75.13</v>
      </c>
      <c r="AG75" s="3">
        <f ca="1">IFERROR(__xludf.DUMMYFUNCTION("""COMPUTED_VALUE"""),76.16)</f>
        <v>76.16</v>
      </c>
      <c r="AH75" s="3">
        <f ca="1">IFERROR(__xludf.DUMMYFUNCTION("""COMPUTED_VALUE"""),74.83)</f>
        <v>74.83</v>
      </c>
      <c r="AI75" s="3">
        <f ca="1">IFERROR(__xludf.DUMMYFUNCTION("""COMPUTED_VALUE"""),76.14)</f>
        <v>76.14</v>
      </c>
      <c r="AJ75" s="3">
        <f ca="1">IFERROR(__xludf.DUMMYFUNCTION("""COMPUTED_VALUE"""),5795993)</f>
        <v>5795993</v>
      </c>
      <c r="AK75" s="4">
        <f ca="1">IFERROR(__xludf.DUMMYFUNCTION("""COMPUTED_VALUE"""),42233.6666666666)</f>
        <v>42233.666666666599</v>
      </c>
      <c r="AL75" s="3">
        <f ca="1">IFERROR(__xludf.DUMMYFUNCTION("""COMPUTED_VALUE"""),54.12)</f>
        <v>54.12</v>
      </c>
      <c r="AM75" s="3">
        <f ca="1">IFERROR(__xludf.DUMMYFUNCTION("""COMPUTED_VALUE"""),54.65)</f>
        <v>54.65</v>
      </c>
      <c r="AN75" s="3">
        <f ca="1">IFERROR(__xludf.DUMMYFUNCTION("""COMPUTED_VALUE"""),53.87)</f>
        <v>53.87</v>
      </c>
      <c r="AO75" s="3">
        <f ca="1">IFERROR(__xludf.DUMMYFUNCTION("""COMPUTED_VALUE"""),54.65)</f>
        <v>54.65</v>
      </c>
      <c r="AP75" s="3">
        <f ca="1">IFERROR(__xludf.DUMMYFUNCTION("""COMPUTED_VALUE"""),5610970)</f>
        <v>5610970</v>
      </c>
      <c r="AQ75" s="4">
        <f ca="1">IFERROR(__xludf.DUMMYFUNCTION("""COMPUTED_VALUE"""),42233.6666666666)</f>
        <v>42233.666666666599</v>
      </c>
      <c r="AR75" s="3">
        <f ca="1">IFERROR(__xludf.DUMMYFUNCTION("""COMPUTED_VALUE"""),45.61)</f>
        <v>45.61</v>
      </c>
      <c r="AS75" s="3">
        <f ca="1">IFERROR(__xludf.DUMMYFUNCTION("""COMPUTED_VALUE"""),46)</f>
        <v>46</v>
      </c>
      <c r="AT75" s="3">
        <f ca="1">IFERROR(__xludf.DUMMYFUNCTION("""COMPUTED_VALUE"""),45.41)</f>
        <v>45.41</v>
      </c>
      <c r="AU75" s="3">
        <f ca="1">IFERROR(__xludf.DUMMYFUNCTION("""COMPUTED_VALUE"""),45.98)</f>
        <v>45.98</v>
      </c>
      <c r="AV75" s="3">
        <f ca="1">IFERROR(__xludf.DUMMYFUNCTION("""COMPUTED_VALUE"""),2547882)</f>
        <v>2547882</v>
      </c>
      <c r="AW75" s="4">
        <f ca="1">IFERROR(__xludf.DUMMYFUNCTION("""COMPUTED_VALUE"""),42397.6666666666)</f>
        <v>42397.666666666599</v>
      </c>
      <c r="AX75" s="3">
        <f ca="1">IFERROR(__xludf.DUMMYFUNCTION("""COMPUTED_VALUE"""),29.48)</f>
        <v>29.48</v>
      </c>
      <c r="AY75" s="3">
        <f ca="1">IFERROR(__xludf.DUMMYFUNCTION("""COMPUTED_VALUE"""),29.49)</f>
        <v>29.49</v>
      </c>
      <c r="AZ75" s="3">
        <f ca="1">IFERROR(__xludf.DUMMYFUNCTION("""COMPUTED_VALUE"""),29.16)</f>
        <v>29.16</v>
      </c>
      <c r="BA75" s="3">
        <f ca="1">IFERROR(__xludf.DUMMYFUNCTION("""COMPUTED_VALUE"""),29.16)</f>
        <v>29.16</v>
      </c>
      <c r="BB75" s="3">
        <f ca="1">IFERROR(__xludf.DUMMYFUNCTION("""COMPUTED_VALUE"""),1652)</f>
        <v>1652</v>
      </c>
      <c r="BC75" s="4">
        <f ca="1">IFERROR(__xludf.DUMMYFUNCTION("""COMPUTED_VALUE"""),42233.6666666666)</f>
        <v>42233.666666666599</v>
      </c>
      <c r="BD75" s="3">
        <f ca="1">IFERROR(__xludf.DUMMYFUNCTION("""COMPUTED_VALUE"""),42.26)</f>
        <v>42.26</v>
      </c>
      <c r="BE75" s="3">
        <f ca="1">IFERROR(__xludf.DUMMYFUNCTION("""COMPUTED_VALUE"""),42.67)</f>
        <v>42.67</v>
      </c>
      <c r="BF75" s="3">
        <f ca="1">IFERROR(__xludf.DUMMYFUNCTION("""COMPUTED_VALUE"""),42.12)</f>
        <v>42.12</v>
      </c>
      <c r="BG75" s="3">
        <f ca="1">IFERROR(__xludf.DUMMYFUNCTION("""COMPUTED_VALUE"""),42.66)</f>
        <v>42.66</v>
      </c>
      <c r="BH75" s="3">
        <f ca="1">IFERROR(__xludf.DUMMYFUNCTION("""COMPUTED_VALUE"""),5591698)</f>
        <v>5591698</v>
      </c>
      <c r="BI75" s="4">
        <f ca="1">IFERROR(__xludf.DUMMYFUNCTION("""COMPUTED_VALUE"""),42233.6666666666)</f>
        <v>42233.666666666599</v>
      </c>
      <c r="BJ75" s="3">
        <f ca="1">IFERROR(__xludf.DUMMYFUNCTION("""COMPUTED_VALUE"""),45.72)</f>
        <v>45.72</v>
      </c>
      <c r="BK75" s="3">
        <f ca="1">IFERROR(__xludf.DUMMYFUNCTION("""COMPUTED_VALUE"""),45.99)</f>
        <v>45.99</v>
      </c>
      <c r="BL75" s="3">
        <f ca="1">IFERROR(__xludf.DUMMYFUNCTION("""COMPUTED_VALUE"""),45.49)</f>
        <v>45.49</v>
      </c>
      <c r="BM75" s="3">
        <f ca="1">IFERROR(__xludf.DUMMYFUNCTION("""COMPUTED_VALUE"""),45.79)</f>
        <v>45.79</v>
      </c>
      <c r="BN75" s="3">
        <f ca="1">IFERROR(__xludf.DUMMYFUNCTION("""COMPUTED_VALUE"""),9159738)</f>
        <v>9159738</v>
      </c>
    </row>
    <row r="76" spans="7:66" ht="13" x14ac:dyDescent="0.15">
      <c r="G76" s="4">
        <f ca="1">IFERROR(__xludf.DUMMYFUNCTION("""COMPUTED_VALUE"""),42234.6666666666)</f>
        <v>42234.666666666599</v>
      </c>
      <c r="H76" s="3">
        <f ca="1">IFERROR(__xludf.DUMMYFUNCTION("""COMPUTED_VALUE"""),79.2)</f>
        <v>79.2</v>
      </c>
      <c r="I76" s="3">
        <f ca="1">IFERROR(__xludf.DUMMYFUNCTION("""COMPUTED_VALUE"""),79.5)</f>
        <v>79.5</v>
      </c>
      <c r="J76" s="3">
        <f ca="1">IFERROR(__xludf.DUMMYFUNCTION("""COMPUTED_VALUE"""),79.03)</f>
        <v>79.03</v>
      </c>
      <c r="K76" s="3">
        <f ca="1">IFERROR(__xludf.DUMMYFUNCTION("""COMPUTED_VALUE"""),79.18)</f>
        <v>79.180000000000007</v>
      </c>
      <c r="L76" s="3">
        <f ca="1">IFERROR(__xludf.DUMMYFUNCTION("""COMPUTED_VALUE"""),5849675)</f>
        <v>5849675</v>
      </c>
      <c r="M76" s="4">
        <f ca="1">IFERROR(__xludf.DUMMYFUNCTION("""COMPUTED_VALUE"""),42234.6666666666)</f>
        <v>42234.666666666599</v>
      </c>
      <c r="N76" s="3">
        <f ca="1">IFERROR(__xludf.DUMMYFUNCTION("""COMPUTED_VALUE"""),50.03)</f>
        <v>50.03</v>
      </c>
      <c r="O76" s="3">
        <f ca="1">IFERROR(__xludf.DUMMYFUNCTION("""COMPUTED_VALUE"""),50.17)</f>
        <v>50.17</v>
      </c>
      <c r="P76" s="3">
        <f ca="1">IFERROR(__xludf.DUMMYFUNCTION("""COMPUTED_VALUE"""),49.9)</f>
        <v>49.9</v>
      </c>
      <c r="Q76" s="3">
        <f ca="1">IFERROR(__xludf.DUMMYFUNCTION("""COMPUTED_VALUE"""),49.96)</f>
        <v>49.96</v>
      </c>
      <c r="R76" s="3">
        <f ca="1">IFERROR(__xludf.DUMMYFUNCTION("""COMPUTED_VALUE"""),5108275)</f>
        <v>5108275</v>
      </c>
      <c r="S76" s="4">
        <f ca="1">IFERROR(__xludf.DUMMYFUNCTION("""COMPUTED_VALUE"""),42234.6666666666)</f>
        <v>42234.666666666599</v>
      </c>
      <c r="T76" s="3">
        <f ca="1">IFERROR(__xludf.DUMMYFUNCTION("""COMPUTED_VALUE"""),69.36)</f>
        <v>69.36</v>
      </c>
      <c r="U76" s="3">
        <f ca="1">IFERROR(__xludf.DUMMYFUNCTION("""COMPUTED_VALUE"""),69.54)</f>
        <v>69.540000000000006</v>
      </c>
      <c r="V76" s="3">
        <f ca="1">IFERROR(__xludf.DUMMYFUNCTION("""COMPUTED_VALUE"""),68.89)</f>
        <v>68.89</v>
      </c>
      <c r="W76" s="3">
        <f ca="1">IFERROR(__xludf.DUMMYFUNCTION("""COMPUTED_VALUE"""),69.23)</f>
        <v>69.23</v>
      </c>
      <c r="X76" s="3">
        <f ca="1">IFERROR(__xludf.DUMMYFUNCTION("""COMPUTED_VALUE"""),11063398)</f>
        <v>11063398</v>
      </c>
      <c r="Y76" s="4">
        <f ca="1">IFERROR(__xludf.DUMMYFUNCTION("""COMPUTED_VALUE"""),42234.6666666666)</f>
        <v>42234.666666666599</v>
      </c>
      <c r="Z76" s="3">
        <f ca="1">IFERROR(__xludf.DUMMYFUNCTION("""COMPUTED_VALUE"""),20.52)</f>
        <v>20.52</v>
      </c>
      <c r="AA76" s="3">
        <f ca="1">IFERROR(__xludf.DUMMYFUNCTION("""COMPUTED_VALUE"""),20.58)</f>
        <v>20.58</v>
      </c>
      <c r="AB76" s="3">
        <f ca="1">IFERROR(__xludf.DUMMYFUNCTION("""COMPUTED_VALUE"""),20.48)</f>
        <v>20.48</v>
      </c>
      <c r="AC76" s="3">
        <f ca="1">IFERROR(__xludf.DUMMYFUNCTION("""COMPUTED_VALUE"""),20.53)</f>
        <v>20.53</v>
      </c>
      <c r="AD76" s="3">
        <f ca="1">IFERROR(__xludf.DUMMYFUNCTION("""COMPUTED_VALUE"""),16446489)</f>
        <v>16446489</v>
      </c>
      <c r="AE76" s="4">
        <f ca="1">IFERROR(__xludf.DUMMYFUNCTION("""COMPUTED_VALUE"""),42234.6666666666)</f>
        <v>42234.666666666599</v>
      </c>
      <c r="AF76" s="3">
        <f ca="1">IFERROR(__xludf.DUMMYFUNCTION("""COMPUTED_VALUE"""),76.06)</f>
        <v>76.06</v>
      </c>
      <c r="AG76" s="3">
        <f ca="1">IFERROR(__xludf.DUMMYFUNCTION("""COMPUTED_VALUE"""),76.44)</f>
        <v>76.44</v>
      </c>
      <c r="AH76" s="3">
        <f ca="1">IFERROR(__xludf.DUMMYFUNCTION("""COMPUTED_VALUE"""),75.91)</f>
        <v>75.91</v>
      </c>
      <c r="AI76" s="3">
        <f ca="1">IFERROR(__xludf.DUMMYFUNCTION("""COMPUTED_VALUE"""),76.03)</f>
        <v>76.03</v>
      </c>
      <c r="AJ76" s="3">
        <f ca="1">IFERROR(__xludf.DUMMYFUNCTION("""COMPUTED_VALUE"""),5465905)</f>
        <v>5465905</v>
      </c>
      <c r="AK76" s="4">
        <f ca="1">IFERROR(__xludf.DUMMYFUNCTION("""COMPUTED_VALUE"""),42234.6666666666)</f>
        <v>42234.666666666599</v>
      </c>
      <c r="AL76" s="3">
        <f ca="1">IFERROR(__xludf.DUMMYFUNCTION("""COMPUTED_VALUE"""),54.35)</f>
        <v>54.35</v>
      </c>
      <c r="AM76" s="3">
        <f ca="1">IFERROR(__xludf.DUMMYFUNCTION("""COMPUTED_VALUE"""),54.64)</f>
        <v>54.64</v>
      </c>
      <c r="AN76" s="3">
        <f ca="1">IFERROR(__xludf.DUMMYFUNCTION("""COMPUTED_VALUE"""),54.35)</f>
        <v>54.35</v>
      </c>
      <c r="AO76" s="3">
        <f ca="1">IFERROR(__xludf.DUMMYFUNCTION("""COMPUTED_VALUE"""),54.55)</f>
        <v>54.55</v>
      </c>
      <c r="AP76" s="3">
        <f ca="1">IFERROR(__xludf.DUMMYFUNCTION("""COMPUTED_VALUE"""),3844992)</f>
        <v>3844992</v>
      </c>
      <c r="AQ76" s="4">
        <f ca="1">IFERROR(__xludf.DUMMYFUNCTION("""COMPUTED_VALUE"""),42234.6666666666)</f>
        <v>42234.666666666599</v>
      </c>
      <c r="AR76" s="3">
        <f ca="1">IFERROR(__xludf.DUMMYFUNCTION("""COMPUTED_VALUE"""),45.89)</f>
        <v>45.89</v>
      </c>
      <c r="AS76" s="3">
        <f ca="1">IFERROR(__xludf.DUMMYFUNCTION("""COMPUTED_VALUE"""),45.97)</f>
        <v>45.97</v>
      </c>
      <c r="AT76" s="3">
        <f ca="1">IFERROR(__xludf.DUMMYFUNCTION("""COMPUTED_VALUE"""),45.63)</f>
        <v>45.63</v>
      </c>
      <c r="AU76" s="3">
        <f ca="1">IFERROR(__xludf.DUMMYFUNCTION("""COMPUTED_VALUE"""),45.68)</f>
        <v>45.68</v>
      </c>
      <c r="AV76" s="3">
        <f ca="1">IFERROR(__xludf.DUMMYFUNCTION("""COMPUTED_VALUE"""),2853958)</f>
        <v>2853958</v>
      </c>
      <c r="AW76" s="4">
        <f ca="1">IFERROR(__xludf.DUMMYFUNCTION("""COMPUTED_VALUE"""),42398.6666666666)</f>
        <v>42398.666666666599</v>
      </c>
      <c r="AX76" s="3">
        <f ca="1">IFERROR(__xludf.DUMMYFUNCTION("""COMPUTED_VALUE"""),29.01)</f>
        <v>29.01</v>
      </c>
      <c r="AY76" s="3">
        <f ca="1">IFERROR(__xludf.DUMMYFUNCTION("""COMPUTED_VALUE"""),29.2)</f>
        <v>29.2</v>
      </c>
      <c r="AZ76" s="3">
        <f ca="1">IFERROR(__xludf.DUMMYFUNCTION("""COMPUTED_VALUE"""),29.01)</f>
        <v>29.01</v>
      </c>
      <c r="BA76" s="3">
        <f ca="1">IFERROR(__xludf.DUMMYFUNCTION("""COMPUTED_VALUE"""),29.19)</f>
        <v>29.19</v>
      </c>
      <c r="BB76" s="3">
        <f ca="1">IFERROR(__xludf.DUMMYFUNCTION("""COMPUTED_VALUE"""),553)</f>
        <v>553</v>
      </c>
      <c r="BC76" s="4">
        <f ca="1">IFERROR(__xludf.DUMMYFUNCTION("""COMPUTED_VALUE"""),42234.6666666666)</f>
        <v>42234.666666666599</v>
      </c>
      <c r="BD76" s="3">
        <f ca="1">IFERROR(__xludf.DUMMYFUNCTION("""COMPUTED_VALUE"""),42.56)</f>
        <v>42.56</v>
      </c>
      <c r="BE76" s="3">
        <f ca="1">IFERROR(__xludf.DUMMYFUNCTION("""COMPUTED_VALUE"""),42.62)</f>
        <v>42.62</v>
      </c>
      <c r="BF76" s="3">
        <f ca="1">IFERROR(__xludf.DUMMYFUNCTION("""COMPUTED_VALUE"""),42.39)</f>
        <v>42.39</v>
      </c>
      <c r="BG76" s="3">
        <f ca="1">IFERROR(__xludf.DUMMYFUNCTION("""COMPUTED_VALUE"""),42.44)</f>
        <v>42.44</v>
      </c>
      <c r="BH76" s="3">
        <f ca="1">IFERROR(__xludf.DUMMYFUNCTION("""COMPUTED_VALUE"""),4691890)</f>
        <v>4691890</v>
      </c>
      <c r="BI76" s="4">
        <f ca="1">IFERROR(__xludf.DUMMYFUNCTION("""COMPUTED_VALUE"""),42234.6666666666)</f>
        <v>42234.666666666599</v>
      </c>
      <c r="BJ76" s="3">
        <f ca="1">IFERROR(__xludf.DUMMYFUNCTION("""COMPUTED_VALUE"""),45.64)</f>
        <v>45.64</v>
      </c>
      <c r="BK76" s="3">
        <f ca="1">IFERROR(__xludf.DUMMYFUNCTION("""COMPUTED_VALUE"""),45.76)</f>
        <v>45.76</v>
      </c>
      <c r="BL76" s="3">
        <f ca="1">IFERROR(__xludf.DUMMYFUNCTION("""COMPUTED_VALUE"""),45.49)</f>
        <v>45.49</v>
      </c>
      <c r="BM76" s="3">
        <f ca="1">IFERROR(__xludf.DUMMYFUNCTION("""COMPUTED_VALUE"""),45.68)</f>
        <v>45.68</v>
      </c>
      <c r="BN76" s="3">
        <f ca="1">IFERROR(__xludf.DUMMYFUNCTION("""COMPUTED_VALUE"""),11741333)</f>
        <v>11741333</v>
      </c>
    </row>
    <row r="77" spans="7:66" ht="13" x14ac:dyDescent="0.15">
      <c r="G77" s="4">
        <f ca="1">IFERROR(__xludf.DUMMYFUNCTION("""COMPUTED_VALUE"""),42235.6666666666)</f>
        <v>42235.666666666599</v>
      </c>
      <c r="H77" s="3">
        <f ca="1">IFERROR(__xludf.DUMMYFUNCTION("""COMPUTED_VALUE"""),78.95)</f>
        <v>78.95</v>
      </c>
      <c r="I77" s="3">
        <f ca="1">IFERROR(__xludf.DUMMYFUNCTION("""COMPUTED_VALUE"""),79.63)</f>
        <v>79.63</v>
      </c>
      <c r="J77" s="3">
        <f ca="1">IFERROR(__xludf.DUMMYFUNCTION("""COMPUTED_VALUE"""),78.66)</f>
        <v>78.66</v>
      </c>
      <c r="K77" s="3">
        <f ca="1">IFERROR(__xludf.DUMMYFUNCTION("""COMPUTED_VALUE"""),79.04)</f>
        <v>79.040000000000006</v>
      </c>
      <c r="L77" s="3">
        <f ca="1">IFERROR(__xludf.DUMMYFUNCTION("""COMPUTED_VALUE"""),5740905)</f>
        <v>5740905</v>
      </c>
      <c r="M77" s="4">
        <f ca="1">IFERROR(__xludf.DUMMYFUNCTION("""COMPUTED_VALUE"""),42235.6666666666)</f>
        <v>42235.666666666599</v>
      </c>
      <c r="N77" s="3">
        <f ca="1">IFERROR(__xludf.DUMMYFUNCTION("""COMPUTED_VALUE"""),49.85)</f>
        <v>49.85</v>
      </c>
      <c r="O77" s="3">
        <f ca="1">IFERROR(__xludf.DUMMYFUNCTION("""COMPUTED_VALUE"""),49.87)</f>
        <v>49.87</v>
      </c>
      <c r="P77" s="3">
        <f ca="1">IFERROR(__xludf.DUMMYFUNCTION("""COMPUTED_VALUE"""),49.26)</f>
        <v>49.26</v>
      </c>
      <c r="Q77" s="3">
        <f ca="1">IFERROR(__xludf.DUMMYFUNCTION("""COMPUTED_VALUE"""),49.5)</f>
        <v>49.5</v>
      </c>
      <c r="R77" s="3">
        <f ca="1">IFERROR(__xludf.DUMMYFUNCTION("""COMPUTED_VALUE"""),9309247)</f>
        <v>9309247</v>
      </c>
      <c r="S77" s="4">
        <f ca="1">IFERROR(__xludf.DUMMYFUNCTION("""COMPUTED_VALUE"""),42235.6666666666)</f>
        <v>42235.666666666599</v>
      </c>
      <c r="T77" s="3">
        <f ca="1">IFERROR(__xludf.DUMMYFUNCTION("""COMPUTED_VALUE"""),68.85)</f>
        <v>68.849999999999994</v>
      </c>
      <c r="U77" s="3">
        <f ca="1">IFERROR(__xludf.DUMMYFUNCTION("""COMPUTED_VALUE"""),68.96)</f>
        <v>68.959999999999994</v>
      </c>
      <c r="V77" s="3">
        <f ca="1">IFERROR(__xludf.DUMMYFUNCTION("""COMPUTED_VALUE"""),67)</f>
        <v>67</v>
      </c>
      <c r="W77" s="3">
        <f ca="1">IFERROR(__xludf.DUMMYFUNCTION("""COMPUTED_VALUE"""),67.32)</f>
        <v>67.319999999999993</v>
      </c>
      <c r="X77" s="3">
        <f ca="1">IFERROR(__xludf.DUMMYFUNCTION("""COMPUTED_VALUE"""),20183041)</f>
        <v>20183041</v>
      </c>
      <c r="Y77" s="4">
        <f ca="1">IFERROR(__xludf.DUMMYFUNCTION("""COMPUTED_VALUE"""),42235.6666666666)</f>
        <v>42235.666666666599</v>
      </c>
      <c r="Z77" s="3">
        <f ca="1">IFERROR(__xludf.DUMMYFUNCTION("""COMPUTED_VALUE"""),20.47)</f>
        <v>20.47</v>
      </c>
      <c r="AA77" s="3">
        <f ca="1">IFERROR(__xludf.DUMMYFUNCTION("""COMPUTED_VALUE"""),20.52)</f>
        <v>20.52</v>
      </c>
      <c r="AB77" s="3">
        <f ca="1">IFERROR(__xludf.DUMMYFUNCTION("""COMPUTED_VALUE"""),20.26)</f>
        <v>20.260000000000002</v>
      </c>
      <c r="AC77" s="3">
        <f ca="1">IFERROR(__xludf.DUMMYFUNCTION("""COMPUTED_VALUE"""),20.34)</f>
        <v>20.34</v>
      </c>
      <c r="AD77" s="3">
        <f ca="1">IFERROR(__xludf.DUMMYFUNCTION("""COMPUTED_VALUE"""),46614198)</f>
        <v>46614198</v>
      </c>
      <c r="AE77" s="4">
        <f ca="1">IFERROR(__xludf.DUMMYFUNCTION("""COMPUTED_VALUE"""),42235.6666666666)</f>
        <v>42235.666666666599</v>
      </c>
      <c r="AF77" s="3">
        <f ca="1">IFERROR(__xludf.DUMMYFUNCTION("""COMPUTED_VALUE"""),75.62)</f>
        <v>75.62</v>
      </c>
      <c r="AG77" s="3">
        <f ca="1">IFERROR(__xludf.DUMMYFUNCTION("""COMPUTED_VALUE"""),76.24)</f>
        <v>76.239999999999995</v>
      </c>
      <c r="AH77" s="3">
        <f ca="1">IFERROR(__xludf.DUMMYFUNCTION("""COMPUTED_VALUE"""),75.18)</f>
        <v>75.180000000000007</v>
      </c>
      <c r="AI77" s="3">
        <f ca="1">IFERROR(__xludf.DUMMYFUNCTION("""COMPUTED_VALUE"""),75.72)</f>
        <v>75.72</v>
      </c>
      <c r="AJ77" s="3">
        <f ca="1">IFERROR(__xludf.DUMMYFUNCTION("""COMPUTED_VALUE"""),10070340)</f>
        <v>10070340</v>
      </c>
      <c r="AK77" s="4">
        <f ca="1">IFERROR(__xludf.DUMMYFUNCTION("""COMPUTED_VALUE"""),42235.6666666666)</f>
        <v>42235.666666666599</v>
      </c>
      <c r="AL77" s="3">
        <f ca="1">IFERROR(__xludf.DUMMYFUNCTION("""COMPUTED_VALUE"""),54.38)</f>
        <v>54.38</v>
      </c>
      <c r="AM77" s="3">
        <f ca="1">IFERROR(__xludf.DUMMYFUNCTION("""COMPUTED_VALUE"""),54.52)</f>
        <v>54.52</v>
      </c>
      <c r="AN77" s="3">
        <f ca="1">IFERROR(__xludf.DUMMYFUNCTION("""COMPUTED_VALUE"""),53.85)</f>
        <v>53.85</v>
      </c>
      <c r="AO77" s="3">
        <f ca="1">IFERROR(__xludf.DUMMYFUNCTION("""COMPUTED_VALUE"""),54.04)</f>
        <v>54.04</v>
      </c>
      <c r="AP77" s="3">
        <f ca="1">IFERROR(__xludf.DUMMYFUNCTION("""COMPUTED_VALUE"""),9147270)</f>
        <v>9147270</v>
      </c>
      <c r="AQ77" s="4">
        <f ca="1">IFERROR(__xludf.DUMMYFUNCTION("""COMPUTED_VALUE"""),42235.6666666666)</f>
        <v>42235.666666666599</v>
      </c>
      <c r="AR77" s="3">
        <f ca="1">IFERROR(__xludf.DUMMYFUNCTION("""COMPUTED_VALUE"""),45.45)</f>
        <v>45.45</v>
      </c>
      <c r="AS77" s="3">
        <f ca="1">IFERROR(__xludf.DUMMYFUNCTION("""COMPUTED_VALUE"""),45.47)</f>
        <v>45.47</v>
      </c>
      <c r="AT77" s="3">
        <f ca="1">IFERROR(__xludf.DUMMYFUNCTION("""COMPUTED_VALUE"""),44.93)</f>
        <v>44.93</v>
      </c>
      <c r="AU77" s="3">
        <f ca="1">IFERROR(__xludf.DUMMYFUNCTION("""COMPUTED_VALUE"""),45.12)</f>
        <v>45.12</v>
      </c>
      <c r="AV77" s="3">
        <f ca="1">IFERROR(__xludf.DUMMYFUNCTION("""COMPUTED_VALUE"""),4286604)</f>
        <v>4286604</v>
      </c>
      <c r="AW77" s="4">
        <f ca="1">IFERROR(__xludf.DUMMYFUNCTION("""COMPUTED_VALUE"""),42401.6666666666)</f>
        <v>42401.666666666599</v>
      </c>
      <c r="AX77" s="3">
        <f ca="1">IFERROR(__xludf.DUMMYFUNCTION("""COMPUTED_VALUE"""),29.61)</f>
        <v>29.61</v>
      </c>
      <c r="AY77" s="3">
        <f ca="1">IFERROR(__xludf.DUMMYFUNCTION("""COMPUTED_VALUE"""),29.81)</f>
        <v>29.81</v>
      </c>
      <c r="AZ77" s="3">
        <f ca="1">IFERROR(__xludf.DUMMYFUNCTION("""COMPUTED_VALUE"""),29.61)</f>
        <v>29.61</v>
      </c>
      <c r="BA77" s="3">
        <f ca="1">IFERROR(__xludf.DUMMYFUNCTION("""COMPUTED_VALUE"""),29.81)</f>
        <v>29.81</v>
      </c>
      <c r="BB77" s="3">
        <f ca="1">IFERROR(__xludf.DUMMYFUNCTION("""COMPUTED_VALUE"""),744)</f>
        <v>744</v>
      </c>
      <c r="BC77" s="4">
        <f ca="1">IFERROR(__xludf.DUMMYFUNCTION("""COMPUTED_VALUE"""),42235.6666666666)</f>
        <v>42235.666666666599</v>
      </c>
      <c r="BD77" s="3">
        <f ca="1">IFERROR(__xludf.DUMMYFUNCTION("""COMPUTED_VALUE"""),42.31)</f>
        <v>42.31</v>
      </c>
      <c r="BE77" s="3">
        <f ca="1">IFERROR(__xludf.DUMMYFUNCTION("""COMPUTED_VALUE"""),42.52)</f>
        <v>42.52</v>
      </c>
      <c r="BF77" s="3">
        <f ca="1">IFERROR(__xludf.DUMMYFUNCTION("""COMPUTED_VALUE"""),41.92)</f>
        <v>41.92</v>
      </c>
      <c r="BG77" s="3">
        <f ca="1">IFERROR(__xludf.DUMMYFUNCTION("""COMPUTED_VALUE"""),42.16)</f>
        <v>42.16</v>
      </c>
      <c r="BH77" s="3">
        <f ca="1">IFERROR(__xludf.DUMMYFUNCTION("""COMPUTED_VALUE"""),9227613)</f>
        <v>9227613</v>
      </c>
      <c r="BI77" s="4">
        <f ca="1">IFERROR(__xludf.DUMMYFUNCTION("""COMPUTED_VALUE"""),42235.6666666666)</f>
        <v>42235.666666666599</v>
      </c>
      <c r="BJ77" s="3">
        <f ca="1">IFERROR(__xludf.DUMMYFUNCTION("""COMPUTED_VALUE"""),45.57)</f>
        <v>45.57</v>
      </c>
      <c r="BK77" s="3">
        <f ca="1">IFERROR(__xludf.DUMMYFUNCTION("""COMPUTED_VALUE"""),46.01)</f>
        <v>46.01</v>
      </c>
      <c r="BL77" s="3">
        <f ca="1">IFERROR(__xludf.DUMMYFUNCTION("""COMPUTED_VALUE"""),45.33)</f>
        <v>45.33</v>
      </c>
      <c r="BM77" s="3">
        <f ca="1">IFERROR(__xludf.DUMMYFUNCTION("""COMPUTED_VALUE"""),45.87)</f>
        <v>45.87</v>
      </c>
      <c r="BN77" s="3">
        <f ca="1">IFERROR(__xludf.DUMMYFUNCTION("""COMPUTED_VALUE"""),9245573)</f>
        <v>9245573</v>
      </c>
    </row>
    <row r="78" spans="7:66" ht="13" x14ac:dyDescent="0.15">
      <c r="G78" s="4">
        <f ca="1">IFERROR(__xludf.DUMMYFUNCTION("""COMPUTED_VALUE"""),42236.6666666666)</f>
        <v>42236.666666666599</v>
      </c>
      <c r="H78" s="3">
        <f ca="1">IFERROR(__xludf.DUMMYFUNCTION("""COMPUTED_VALUE"""),78.28)</f>
        <v>78.28</v>
      </c>
      <c r="I78" s="3">
        <f ca="1">IFERROR(__xludf.DUMMYFUNCTION("""COMPUTED_VALUE"""),78.45)</f>
        <v>78.45</v>
      </c>
      <c r="J78" s="3">
        <f ca="1">IFERROR(__xludf.DUMMYFUNCTION("""COMPUTED_VALUE"""),76.8)</f>
        <v>76.8</v>
      </c>
      <c r="K78" s="3">
        <f ca="1">IFERROR(__xludf.DUMMYFUNCTION("""COMPUTED_VALUE"""),76.82)</f>
        <v>76.819999999999993</v>
      </c>
      <c r="L78" s="3">
        <f ca="1">IFERROR(__xludf.DUMMYFUNCTION("""COMPUTED_VALUE"""),9412255)</f>
        <v>9412255</v>
      </c>
      <c r="M78" s="4">
        <f ca="1">IFERROR(__xludf.DUMMYFUNCTION("""COMPUTED_VALUE"""),42236.6666666666)</f>
        <v>42236.666666666599</v>
      </c>
      <c r="N78" s="3">
        <f ca="1">IFERROR(__xludf.DUMMYFUNCTION("""COMPUTED_VALUE"""),49.16)</f>
        <v>49.16</v>
      </c>
      <c r="O78" s="3">
        <f ca="1">IFERROR(__xludf.DUMMYFUNCTION("""COMPUTED_VALUE"""),49.49)</f>
        <v>49.49</v>
      </c>
      <c r="P78" s="3">
        <f ca="1">IFERROR(__xludf.DUMMYFUNCTION("""COMPUTED_VALUE"""),48.95)</f>
        <v>48.95</v>
      </c>
      <c r="Q78" s="3">
        <f ca="1">IFERROR(__xludf.DUMMYFUNCTION("""COMPUTED_VALUE"""),49.05)</f>
        <v>49.05</v>
      </c>
      <c r="R78" s="3">
        <f ca="1">IFERROR(__xludf.DUMMYFUNCTION("""COMPUTED_VALUE"""),12756272)</f>
        <v>12756272</v>
      </c>
      <c r="S78" s="4">
        <f ca="1">IFERROR(__xludf.DUMMYFUNCTION("""COMPUTED_VALUE"""),42236.6666666666)</f>
        <v>42236.666666666599</v>
      </c>
      <c r="T78" s="3">
        <f ca="1">IFERROR(__xludf.DUMMYFUNCTION("""COMPUTED_VALUE"""),67.14)</f>
        <v>67.14</v>
      </c>
      <c r="U78" s="3">
        <f ca="1">IFERROR(__xludf.DUMMYFUNCTION("""COMPUTED_VALUE"""),67.6)</f>
        <v>67.599999999999994</v>
      </c>
      <c r="V78" s="3">
        <f ca="1">IFERROR(__xludf.DUMMYFUNCTION("""COMPUTED_VALUE"""),65.79)</f>
        <v>65.790000000000006</v>
      </c>
      <c r="W78" s="3">
        <f ca="1">IFERROR(__xludf.DUMMYFUNCTION("""COMPUTED_VALUE"""),65.8)</f>
        <v>65.8</v>
      </c>
      <c r="X78" s="3">
        <f ca="1">IFERROR(__xludf.DUMMYFUNCTION("""COMPUTED_VALUE"""),25336591)</f>
        <v>25336591</v>
      </c>
      <c r="Y78" s="4">
        <f ca="1">IFERROR(__xludf.DUMMYFUNCTION("""COMPUTED_VALUE"""),42236.6666666666)</f>
        <v>42236.666666666599</v>
      </c>
      <c r="Z78" s="3">
        <f ca="1">IFERROR(__xludf.DUMMYFUNCTION("""COMPUTED_VALUE"""),20.13)</f>
        <v>20.13</v>
      </c>
      <c r="AA78" s="3">
        <f ca="1">IFERROR(__xludf.DUMMYFUNCTION("""COMPUTED_VALUE"""),20.16)</f>
        <v>20.16</v>
      </c>
      <c r="AB78" s="3">
        <f ca="1">IFERROR(__xludf.DUMMYFUNCTION("""COMPUTED_VALUE"""),19.91)</f>
        <v>19.91</v>
      </c>
      <c r="AC78" s="3">
        <f ca="1">IFERROR(__xludf.DUMMYFUNCTION("""COMPUTED_VALUE"""),19.91)</f>
        <v>19.91</v>
      </c>
      <c r="AD78" s="3">
        <f ca="1">IFERROR(__xludf.DUMMYFUNCTION("""COMPUTED_VALUE"""),55021564)</f>
        <v>55021564</v>
      </c>
      <c r="AE78" s="4">
        <f ca="1">IFERROR(__xludf.DUMMYFUNCTION("""COMPUTED_VALUE"""),42236.6666666666)</f>
        <v>42236.666666666599</v>
      </c>
      <c r="AF78" s="3">
        <f ca="1">IFERROR(__xludf.DUMMYFUNCTION("""COMPUTED_VALUE"""),75.16)</f>
        <v>75.16</v>
      </c>
      <c r="AG78" s="3">
        <f ca="1">IFERROR(__xludf.DUMMYFUNCTION("""COMPUTED_VALUE"""),75.45)</f>
        <v>75.45</v>
      </c>
      <c r="AH78" s="3">
        <f ca="1">IFERROR(__xludf.DUMMYFUNCTION("""COMPUTED_VALUE"""),73.96)</f>
        <v>73.959999999999994</v>
      </c>
      <c r="AI78" s="3">
        <f ca="1">IFERROR(__xludf.DUMMYFUNCTION("""COMPUTED_VALUE"""),73.96)</f>
        <v>73.959999999999994</v>
      </c>
      <c r="AJ78" s="3">
        <f ca="1">IFERROR(__xludf.DUMMYFUNCTION("""COMPUTED_VALUE"""),12992869)</f>
        <v>12992869</v>
      </c>
      <c r="AK78" s="4">
        <f ca="1">IFERROR(__xludf.DUMMYFUNCTION("""COMPUTED_VALUE"""),42236.6666666666)</f>
        <v>42236.666666666599</v>
      </c>
      <c r="AL78" s="3">
        <f ca="1">IFERROR(__xludf.DUMMYFUNCTION("""COMPUTED_VALUE"""),53.58)</f>
        <v>53.58</v>
      </c>
      <c r="AM78" s="3">
        <f ca="1">IFERROR(__xludf.DUMMYFUNCTION("""COMPUTED_VALUE"""),53.71)</f>
        <v>53.71</v>
      </c>
      <c r="AN78" s="3">
        <f ca="1">IFERROR(__xludf.DUMMYFUNCTION("""COMPUTED_VALUE"""),52.91)</f>
        <v>52.91</v>
      </c>
      <c r="AO78" s="3">
        <f ca="1">IFERROR(__xludf.DUMMYFUNCTION("""COMPUTED_VALUE"""),52.92)</f>
        <v>52.92</v>
      </c>
      <c r="AP78" s="3">
        <f ca="1">IFERROR(__xludf.DUMMYFUNCTION("""COMPUTED_VALUE"""),18301130)</f>
        <v>18301130</v>
      </c>
      <c r="AQ78" s="4">
        <f ca="1">IFERROR(__xludf.DUMMYFUNCTION("""COMPUTED_VALUE"""),42236.6666666666)</f>
        <v>42236.666666666599</v>
      </c>
      <c r="AR78" s="3">
        <f ca="1">IFERROR(__xludf.DUMMYFUNCTION("""COMPUTED_VALUE"""),44.84)</f>
        <v>44.84</v>
      </c>
      <c r="AS78" s="3">
        <f ca="1">IFERROR(__xludf.DUMMYFUNCTION("""COMPUTED_VALUE"""),44.97)</f>
        <v>44.97</v>
      </c>
      <c r="AT78" s="3">
        <f ca="1">IFERROR(__xludf.DUMMYFUNCTION("""COMPUTED_VALUE"""),44.27)</f>
        <v>44.27</v>
      </c>
      <c r="AU78" s="3">
        <f ca="1">IFERROR(__xludf.DUMMYFUNCTION("""COMPUTED_VALUE"""),44.27)</f>
        <v>44.27</v>
      </c>
      <c r="AV78" s="3">
        <f ca="1">IFERROR(__xludf.DUMMYFUNCTION("""COMPUTED_VALUE"""),5808673)</f>
        <v>5808673</v>
      </c>
      <c r="AW78" s="4">
        <f ca="1">IFERROR(__xludf.DUMMYFUNCTION("""COMPUTED_VALUE"""),42402.6666666666)</f>
        <v>42402.666666666599</v>
      </c>
      <c r="AX78" s="3">
        <f ca="1">IFERROR(__xludf.DUMMYFUNCTION("""COMPUTED_VALUE"""),29.68)</f>
        <v>29.68</v>
      </c>
      <c r="AY78" s="3">
        <f ca="1">IFERROR(__xludf.DUMMYFUNCTION("""COMPUTED_VALUE"""),29.68)</f>
        <v>29.68</v>
      </c>
      <c r="AZ78" s="3">
        <f ca="1">IFERROR(__xludf.DUMMYFUNCTION("""COMPUTED_VALUE"""),29.43)</f>
        <v>29.43</v>
      </c>
      <c r="BA78" s="3">
        <f ca="1">IFERROR(__xludf.DUMMYFUNCTION("""COMPUTED_VALUE"""),29.43)</f>
        <v>29.43</v>
      </c>
      <c r="BB78" s="3">
        <f ca="1">IFERROR(__xludf.DUMMYFUNCTION("""COMPUTED_VALUE"""),1094)</f>
        <v>1094</v>
      </c>
      <c r="BC78" s="4">
        <f ca="1">IFERROR(__xludf.DUMMYFUNCTION("""COMPUTED_VALUE"""),42236.6666666666)</f>
        <v>42236.666666666599</v>
      </c>
      <c r="BD78" s="3">
        <f ca="1">IFERROR(__xludf.DUMMYFUNCTION("""COMPUTED_VALUE"""),41.71)</f>
        <v>41.71</v>
      </c>
      <c r="BE78" s="3">
        <f ca="1">IFERROR(__xludf.DUMMYFUNCTION("""COMPUTED_VALUE"""),41.89)</f>
        <v>41.89</v>
      </c>
      <c r="BF78" s="3">
        <f ca="1">IFERROR(__xludf.DUMMYFUNCTION("""COMPUTED_VALUE"""),41.13)</f>
        <v>41.13</v>
      </c>
      <c r="BG78" s="3">
        <f ca="1">IFERROR(__xludf.DUMMYFUNCTION("""COMPUTED_VALUE"""),41.13)</f>
        <v>41.13</v>
      </c>
      <c r="BH78" s="3">
        <f ca="1">IFERROR(__xludf.DUMMYFUNCTION("""COMPUTED_VALUE"""),13726872)</f>
        <v>13726872</v>
      </c>
      <c r="BI78" s="4">
        <f ca="1">IFERROR(__xludf.DUMMYFUNCTION("""COMPUTED_VALUE"""),42236.6666666666)</f>
        <v>42236.666666666599</v>
      </c>
      <c r="BJ78" s="3">
        <f ca="1">IFERROR(__xludf.DUMMYFUNCTION("""COMPUTED_VALUE"""),45.68)</f>
        <v>45.68</v>
      </c>
      <c r="BK78" s="3">
        <f ca="1">IFERROR(__xludf.DUMMYFUNCTION("""COMPUTED_VALUE"""),46.14)</f>
        <v>46.14</v>
      </c>
      <c r="BL78" s="3">
        <f ca="1">IFERROR(__xludf.DUMMYFUNCTION("""COMPUTED_VALUE"""),45.44)</f>
        <v>45.44</v>
      </c>
      <c r="BM78" s="3">
        <f ca="1">IFERROR(__xludf.DUMMYFUNCTION("""COMPUTED_VALUE"""),45.6)</f>
        <v>45.6</v>
      </c>
      <c r="BN78" s="3">
        <f ca="1">IFERROR(__xludf.DUMMYFUNCTION("""COMPUTED_VALUE"""),12775956)</f>
        <v>12775956</v>
      </c>
    </row>
    <row r="79" spans="7:66" ht="13" x14ac:dyDescent="0.15">
      <c r="G79" s="4">
        <f ca="1">IFERROR(__xludf.DUMMYFUNCTION("""COMPUTED_VALUE"""),42237.6666666666)</f>
        <v>42237.666666666599</v>
      </c>
      <c r="H79" s="3">
        <f ca="1">IFERROR(__xludf.DUMMYFUNCTION("""COMPUTED_VALUE"""),76.05)</f>
        <v>76.05</v>
      </c>
      <c r="I79" s="3">
        <f ca="1">IFERROR(__xludf.DUMMYFUNCTION("""COMPUTED_VALUE"""),76.29)</f>
        <v>76.290000000000006</v>
      </c>
      <c r="J79" s="3">
        <f ca="1">IFERROR(__xludf.DUMMYFUNCTION("""COMPUTED_VALUE"""),74.29)</f>
        <v>74.290000000000006</v>
      </c>
      <c r="K79" s="3">
        <f ca="1">IFERROR(__xludf.DUMMYFUNCTION("""COMPUTED_VALUE"""),74.36)</f>
        <v>74.36</v>
      </c>
      <c r="L79" s="3">
        <f ca="1">IFERROR(__xludf.DUMMYFUNCTION("""COMPUTED_VALUE"""),18601289)</f>
        <v>18601289</v>
      </c>
      <c r="M79" s="4">
        <f ca="1">IFERROR(__xludf.DUMMYFUNCTION("""COMPUTED_VALUE"""),42237.6666666666)</f>
        <v>42237.666666666599</v>
      </c>
      <c r="N79" s="3">
        <f ca="1">IFERROR(__xludf.DUMMYFUNCTION("""COMPUTED_VALUE"""),48.67)</f>
        <v>48.67</v>
      </c>
      <c r="O79" s="3">
        <f ca="1">IFERROR(__xludf.DUMMYFUNCTION("""COMPUTED_VALUE"""),48.78)</f>
        <v>48.78</v>
      </c>
      <c r="P79" s="3">
        <f ca="1">IFERROR(__xludf.DUMMYFUNCTION("""COMPUTED_VALUE"""),47.71)</f>
        <v>47.71</v>
      </c>
      <c r="Q79" s="3">
        <f ca="1">IFERROR(__xludf.DUMMYFUNCTION("""COMPUTED_VALUE"""),47.71)</f>
        <v>47.71</v>
      </c>
      <c r="R79" s="3">
        <f ca="1">IFERROR(__xludf.DUMMYFUNCTION("""COMPUTED_VALUE"""),23544294)</f>
        <v>23544294</v>
      </c>
      <c r="S79" s="4">
        <f ca="1">IFERROR(__xludf.DUMMYFUNCTION("""COMPUTED_VALUE"""),42237.6666666666)</f>
        <v>42237.666666666599</v>
      </c>
      <c r="T79" s="3">
        <f ca="1">IFERROR(__xludf.DUMMYFUNCTION("""COMPUTED_VALUE"""),65.14)</f>
        <v>65.14</v>
      </c>
      <c r="U79" s="3">
        <f ca="1">IFERROR(__xludf.DUMMYFUNCTION("""COMPUTED_VALUE"""),65.85)</f>
        <v>65.849999999999994</v>
      </c>
      <c r="V79" s="3">
        <f ca="1">IFERROR(__xludf.DUMMYFUNCTION("""COMPUTED_VALUE"""),63.46)</f>
        <v>63.46</v>
      </c>
      <c r="W79" s="3">
        <f ca="1">IFERROR(__xludf.DUMMYFUNCTION("""COMPUTED_VALUE"""),63.5)</f>
        <v>63.5</v>
      </c>
      <c r="X79" s="3">
        <f ca="1">IFERROR(__xludf.DUMMYFUNCTION("""COMPUTED_VALUE"""),25420233)</f>
        <v>25420233</v>
      </c>
      <c r="Y79" s="4">
        <f ca="1">IFERROR(__xludf.DUMMYFUNCTION("""COMPUTED_VALUE"""),42237.6666666666)</f>
        <v>42237.666666666599</v>
      </c>
      <c r="Z79" s="3">
        <f ca="1">IFERROR(__xludf.DUMMYFUNCTION("""COMPUTED_VALUE"""),19.66)</f>
        <v>19.66</v>
      </c>
      <c r="AA79" s="3">
        <f ca="1">IFERROR(__xludf.DUMMYFUNCTION("""COMPUTED_VALUE"""),19.81)</f>
        <v>19.809999999999999</v>
      </c>
      <c r="AB79" s="3">
        <f ca="1">IFERROR(__xludf.DUMMYFUNCTION("""COMPUTED_VALUE"""),19.2)</f>
        <v>19.2</v>
      </c>
      <c r="AC79" s="3">
        <f ca="1">IFERROR(__xludf.DUMMYFUNCTION("""COMPUTED_VALUE"""),19.2)</f>
        <v>19.2</v>
      </c>
      <c r="AD79" s="3">
        <f ca="1">IFERROR(__xludf.DUMMYFUNCTION("""COMPUTED_VALUE"""),103749725)</f>
        <v>103749725</v>
      </c>
      <c r="AE79" s="4">
        <f ca="1">IFERROR(__xludf.DUMMYFUNCTION("""COMPUTED_VALUE"""),42237.6666666666)</f>
        <v>42237.666666666599</v>
      </c>
      <c r="AF79" s="3">
        <f ca="1">IFERROR(__xludf.DUMMYFUNCTION("""COMPUTED_VALUE"""),73.22)</f>
        <v>73.22</v>
      </c>
      <c r="AG79" s="3">
        <f ca="1">IFERROR(__xludf.DUMMYFUNCTION("""COMPUTED_VALUE"""),73.85)</f>
        <v>73.849999999999994</v>
      </c>
      <c r="AH79" s="3">
        <f ca="1">IFERROR(__xludf.DUMMYFUNCTION("""COMPUTED_VALUE"""),71.69)</f>
        <v>71.69</v>
      </c>
      <c r="AI79" s="3">
        <f ca="1">IFERROR(__xludf.DUMMYFUNCTION("""COMPUTED_VALUE"""),71.7)</f>
        <v>71.7</v>
      </c>
      <c r="AJ79" s="3">
        <f ca="1">IFERROR(__xludf.DUMMYFUNCTION("""COMPUTED_VALUE"""),24008292)</f>
        <v>24008292</v>
      </c>
      <c r="AK79" s="4">
        <f ca="1">IFERROR(__xludf.DUMMYFUNCTION("""COMPUTED_VALUE"""),42237.6666666666)</f>
        <v>42237.666666666599</v>
      </c>
      <c r="AL79" s="3">
        <f ca="1">IFERROR(__xludf.DUMMYFUNCTION("""COMPUTED_VALUE"""),52.33)</f>
        <v>52.33</v>
      </c>
      <c r="AM79" s="3">
        <f ca="1">IFERROR(__xludf.DUMMYFUNCTION("""COMPUTED_VALUE"""),52.57)</f>
        <v>52.57</v>
      </c>
      <c r="AN79" s="3">
        <f ca="1">IFERROR(__xludf.DUMMYFUNCTION("""COMPUTED_VALUE"""),51.46)</f>
        <v>51.46</v>
      </c>
      <c r="AO79" s="3">
        <f ca="1">IFERROR(__xludf.DUMMYFUNCTION("""COMPUTED_VALUE"""),51.46)</f>
        <v>51.46</v>
      </c>
      <c r="AP79" s="3">
        <f ca="1">IFERROR(__xludf.DUMMYFUNCTION("""COMPUTED_VALUE"""),27372912)</f>
        <v>27372912</v>
      </c>
      <c r="AQ79" s="4">
        <f ca="1">IFERROR(__xludf.DUMMYFUNCTION("""COMPUTED_VALUE"""),42237.6666666666)</f>
        <v>42237.666666666599</v>
      </c>
      <c r="AR79" s="3">
        <f ca="1">IFERROR(__xludf.DUMMYFUNCTION("""COMPUTED_VALUE"""),44.01)</f>
        <v>44.01</v>
      </c>
      <c r="AS79" s="3">
        <f ca="1">IFERROR(__xludf.DUMMYFUNCTION("""COMPUTED_VALUE"""),44.09)</f>
        <v>44.09</v>
      </c>
      <c r="AT79" s="3">
        <f ca="1">IFERROR(__xludf.DUMMYFUNCTION("""COMPUTED_VALUE"""),43.19)</f>
        <v>43.19</v>
      </c>
      <c r="AU79" s="3">
        <f ca="1">IFERROR(__xludf.DUMMYFUNCTION("""COMPUTED_VALUE"""),43.19)</f>
        <v>43.19</v>
      </c>
      <c r="AV79" s="3">
        <f ca="1">IFERROR(__xludf.DUMMYFUNCTION("""COMPUTED_VALUE"""),12550160)</f>
        <v>12550160</v>
      </c>
      <c r="AW79" s="4">
        <f ca="1">IFERROR(__xludf.DUMMYFUNCTION("""COMPUTED_VALUE"""),42403.6666666666)</f>
        <v>42403.666666666599</v>
      </c>
      <c r="AX79" s="3">
        <f ca="1">IFERROR(__xludf.DUMMYFUNCTION("""COMPUTED_VALUE"""),29.68)</f>
        <v>29.68</v>
      </c>
      <c r="AY79" s="3">
        <f ca="1">IFERROR(__xludf.DUMMYFUNCTION("""COMPUTED_VALUE"""),29.68)</f>
        <v>29.68</v>
      </c>
      <c r="AZ79" s="3">
        <f ca="1">IFERROR(__xludf.DUMMYFUNCTION("""COMPUTED_VALUE"""),29.05)</f>
        <v>29.05</v>
      </c>
      <c r="BA79" s="3">
        <f ca="1">IFERROR(__xludf.DUMMYFUNCTION("""COMPUTED_VALUE"""),29.46)</f>
        <v>29.46</v>
      </c>
      <c r="BB79" s="3">
        <f ca="1">IFERROR(__xludf.DUMMYFUNCTION("""COMPUTED_VALUE"""),3781)</f>
        <v>3781</v>
      </c>
      <c r="BC79" s="4">
        <f ca="1">IFERROR(__xludf.DUMMYFUNCTION("""COMPUTED_VALUE"""),42237.6666666666)</f>
        <v>42237.666666666599</v>
      </c>
      <c r="BD79" s="3">
        <f ca="1">IFERROR(__xludf.DUMMYFUNCTION("""COMPUTED_VALUE"""),40.69)</f>
        <v>40.69</v>
      </c>
      <c r="BE79" s="3">
        <f ca="1">IFERROR(__xludf.DUMMYFUNCTION("""COMPUTED_VALUE"""),41)</f>
        <v>41</v>
      </c>
      <c r="BF79" s="3">
        <f ca="1">IFERROR(__xludf.DUMMYFUNCTION("""COMPUTED_VALUE"""),39.56)</f>
        <v>39.56</v>
      </c>
      <c r="BG79" s="3">
        <f ca="1">IFERROR(__xludf.DUMMYFUNCTION("""COMPUTED_VALUE"""),39.56)</f>
        <v>39.56</v>
      </c>
      <c r="BH79" s="3">
        <f ca="1">IFERROR(__xludf.DUMMYFUNCTION("""COMPUTED_VALUE"""),23666433)</f>
        <v>23666433</v>
      </c>
      <c r="BI79" s="4">
        <f ca="1">IFERROR(__xludf.DUMMYFUNCTION("""COMPUTED_VALUE"""),42237.6666666666)</f>
        <v>42237.666666666599</v>
      </c>
      <c r="BJ79" s="3">
        <f ca="1">IFERROR(__xludf.DUMMYFUNCTION("""COMPUTED_VALUE"""),45.45)</f>
        <v>45.45</v>
      </c>
      <c r="BK79" s="3">
        <f ca="1">IFERROR(__xludf.DUMMYFUNCTION("""COMPUTED_VALUE"""),45.65)</f>
        <v>45.65</v>
      </c>
      <c r="BL79" s="3">
        <f ca="1">IFERROR(__xludf.DUMMYFUNCTION("""COMPUTED_VALUE"""),45.02)</f>
        <v>45.02</v>
      </c>
      <c r="BM79" s="3">
        <f ca="1">IFERROR(__xludf.DUMMYFUNCTION("""COMPUTED_VALUE"""),45.05)</f>
        <v>45.05</v>
      </c>
      <c r="BN79" s="3">
        <f ca="1">IFERROR(__xludf.DUMMYFUNCTION("""COMPUTED_VALUE"""),18747414)</f>
        <v>18747414</v>
      </c>
    </row>
    <row r="80" spans="7:66" ht="13" x14ac:dyDescent="0.15">
      <c r="G80" s="4">
        <f ca="1">IFERROR(__xludf.DUMMYFUNCTION("""COMPUTED_VALUE"""),42240.6666666666)</f>
        <v>42240.666666666599</v>
      </c>
      <c r="H80" s="3">
        <f ca="1">IFERROR(__xludf.DUMMYFUNCTION("""COMPUTED_VALUE"""),70.06)</f>
        <v>70.06</v>
      </c>
      <c r="I80" s="3">
        <f ca="1">IFERROR(__xludf.DUMMYFUNCTION("""COMPUTED_VALUE"""),73.86)</f>
        <v>73.86</v>
      </c>
      <c r="J80" s="3">
        <f ca="1">IFERROR(__xludf.DUMMYFUNCTION("""COMPUTED_VALUE"""),66)</f>
        <v>66</v>
      </c>
      <c r="K80" s="3">
        <f ca="1">IFERROR(__xludf.DUMMYFUNCTION("""COMPUTED_VALUE"""),71.39)</f>
        <v>71.39</v>
      </c>
      <c r="L80" s="3">
        <f ca="1">IFERROR(__xludf.DUMMYFUNCTION("""COMPUTED_VALUE"""),23817067)</f>
        <v>23817067</v>
      </c>
      <c r="M80" s="4">
        <f ca="1">IFERROR(__xludf.DUMMYFUNCTION("""COMPUTED_VALUE"""),42240.6666666666)</f>
        <v>42240.666666666599</v>
      </c>
      <c r="N80" s="3">
        <f ca="1">IFERROR(__xludf.DUMMYFUNCTION("""COMPUTED_VALUE"""),45.4)</f>
        <v>45.4</v>
      </c>
      <c r="O80" s="3">
        <f ca="1">IFERROR(__xludf.DUMMYFUNCTION("""COMPUTED_VALUE"""),47.1)</f>
        <v>47.1</v>
      </c>
      <c r="P80" s="3">
        <f ca="1">IFERROR(__xludf.DUMMYFUNCTION("""COMPUTED_VALUE"""),43.72)</f>
        <v>43.72</v>
      </c>
      <c r="Q80" s="3">
        <f ca="1">IFERROR(__xludf.DUMMYFUNCTION("""COMPUTED_VALUE"""),46.05)</f>
        <v>46.05</v>
      </c>
      <c r="R80" s="3">
        <f ca="1">IFERROR(__xludf.DUMMYFUNCTION("""COMPUTED_VALUE"""),68723789)</f>
        <v>68723789</v>
      </c>
      <c r="S80" s="4">
        <f ca="1">IFERROR(__xludf.DUMMYFUNCTION("""COMPUTED_VALUE"""),42240.6666666666)</f>
        <v>42240.666666666599</v>
      </c>
      <c r="T80" s="3">
        <f ca="1">IFERROR(__xludf.DUMMYFUNCTION("""COMPUTED_VALUE"""),59.79)</f>
        <v>59.79</v>
      </c>
      <c r="U80" s="3">
        <f ca="1">IFERROR(__xludf.DUMMYFUNCTION("""COMPUTED_VALUE"""),62.58)</f>
        <v>62.58</v>
      </c>
      <c r="V80" s="3">
        <f ca="1">IFERROR(__xludf.DUMMYFUNCTION("""COMPUTED_VALUE"""),58.74)</f>
        <v>58.74</v>
      </c>
      <c r="W80" s="3">
        <f ca="1">IFERROR(__xludf.DUMMYFUNCTION("""COMPUTED_VALUE"""),60.09)</f>
        <v>60.09</v>
      </c>
      <c r="X80" s="3">
        <f ca="1">IFERROR(__xludf.DUMMYFUNCTION("""COMPUTED_VALUE"""),43001115)</f>
        <v>43001115</v>
      </c>
      <c r="Y80" s="4">
        <f ca="1">IFERROR(__xludf.DUMMYFUNCTION("""COMPUTED_VALUE"""),42240.6666666666)</f>
        <v>42240.666666666599</v>
      </c>
      <c r="Z80" s="3">
        <f ca="1">IFERROR(__xludf.DUMMYFUNCTION("""COMPUTED_VALUE"""),18.02)</f>
        <v>18.02</v>
      </c>
      <c r="AA80" s="3">
        <f ca="1">IFERROR(__xludf.DUMMYFUNCTION("""COMPUTED_VALUE"""),19.03)</f>
        <v>19.03</v>
      </c>
      <c r="AB80" s="3">
        <f ca="1">IFERROR(__xludf.DUMMYFUNCTION("""COMPUTED_VALUE"""),15.04)</f>
        <v>15.04</v>
      </c>
      <c r="AC80" s="3">
        <f ca="1">IFERROR(__xludf.DUMMYFUNCTION("""COMPUTED_VALUE"""),18.39)</f>
        <v>18.39</v>
      </c>
      <c r="AD80" s="3">
        <f ca="1">IFERROR(__xludf.DUMMYFUNCTION("""COMPUTED_VALUE"""),116695094)</f>
        <v>116695094</v>
      </c>
      <c r="AE80" s="4">
        <f ca="1">IFERROR(__xludf.DUMMYFUNCTION("""COMPUTED_VALUE"""),42240.6666666666)</f>
        <v>42240.666666666599</v>
      </c>
      <c r="AF80" s="3">
        <f ca="1">IFERROR(__xludf.DUMMYFUNCTION("""COMPUTED_VALUE"""),67.39)</f>
        <v>67.39</v>
      </c>
      <c r="AG80" s="3">
        <f ca="1">IFERROR(__xludf.DUMMYFUNCTION("""COMPUTED_VALUE"""),71.07)</f>
        <v>71.069999999999993</v>
      </c>
      <c r="AH80" s="3">
        <f ca="1">IFERROR(__xludf.DUMMYFUNCTION("""COMPUTED_VALUE"""),56.63)</f>
        <v>56.63</v>
      </c>
      <c r="AI80" s="3">
        <f ca="1">IFERROR(__xludf.DUMMYFUNCTION("""COMPUTED_VALUE"""),68.65)</f>
        <v>68.650000000000006</v>
      </c>
      <c r="AJ80" s="3">
        <f ca="1">IFERROR(__xludf.DUMMYFUNCTION("""COMPUTED_VALUE"""),33675689)</f>
        <v>33675689</v>
      </c>
      <c r="AK80" s="4">
        <f ca="1">IFERROR(__xludf.DUMMYFUNCTION("""COMPUTED_VALUE"""),42240.6666666666)</f>
        <v>42240.666666666599</v>
      </c>
      <c r="AL80" s="3">
        <f ca="1">IFERROR(__xludf.DUMMYFUNCTION("""COMPUTED_VALUE"""),47.91)</f>
        <v>47.91</v>
      </c>
      <c r="AM80" s="3">
        <f ca="1">IFERROR(__xludf.DUMMYFUNCTION("""COMPUTED_VALUE"""),51.06)</f>
        <v>51.06</v>
      </c>
      <c r="AN80" s="3">
        <f ca="1">IFERROR(__xludf.DUMMYFUNCTION("""COMPUTED_VALUE"""),47.6)</f>
        <v>47.6</v>
      </c>
      <c r="AO80" s="3">
        <f ca="1">IFERROR(__xludf.DUMMYFUNCTION("""COMPUTED_VALUE"""),49.57)</f>
        <v>49.57</v>
      </c>
      <c r="AP80" s="3">
        <f ca="1">IFERROR(__xludf.DUMMYFUNCTION("""COMPUTED_VALUE"""),66306684)</f>
        <v>66306684</v>
      </c>
      <c r="AQ80" s="4">
        <f ca="1">IFERROR(__xludf.DUMMYFUNCTION("""COMPUTED_VALUE"""),42240.6666666666)</f>
        <v>42240.666666666599</v>
      </c>
      <c r="AR80" s="3">
        <f ca="1">IFERROR(__xludf.DUMMYFUNCTION("""COMPUTED_VALUE"""),40.64)</f>
        <v>40.64</v>
      </c>
      <c r="AS80" s="3">
        <f ca="1">IFERROR(__xludf.DUMMYFUNCTION("""COMPUTED_VALUE"""),42.86)</f>
        <v>42.86</v>
      </c>
      <c r="AT80" s="3">
        <f ca="1">IFERROR(__xludf.DUMMYFUNCTION("""COMPUTED_VALUE"""),39.35)</f>
        <v>39.35</v>
      </c>
      <c r="AU80" s="3">
        <f ca="1">IFERROR(__xludf.DUMMYFUNCTION("""COMPUTED_VALUE"""),41.38)</f>
        <v>41.38</v>
      </c>
      <c r="AV80" s="3">
        <f ca="1">IFERROR(__xludf.DUMMYFUNCTION("""COMPUTED_VALUE"""),27681098)</f>
        <v>27681098</v>
      </c>
      <c r="AW80" s="4">
        <f ca="1">IFERROR(__xludf.DUMMYFUNCTION("""COMPUTED_VALUE"""),42404.6666666666)</f>
        <v>42404.666666666599</v>
      </c>
      <c r="AX80" s="3">
        <f ca="1">IFERROR(__xludf.DUMMYFUNCTION("""COMPUTED_VALUE"""),29.44)</f>
        <v>29.44</v>
      </c>
      <c r="AY80" s="3">
        <f ca="1">IFERROR(__xludf.DUMMYFUNCTION("""COMPUTED_VALUE"""),29.65)</f>
        <v>29.65</v>
      </c>
      <c r="AZ80" s="3">
        <f ca="1">IFERROR(__xludf.DUMMYFUNCTION("""COMPUTED_VALUE"""),29.44)</f>
        <v>29.44</v>
      </c>
      <c r="BA80" s="3">
        <f ca="1">IFERROR(__xludf.DUMMYFUNCTION("""COMPUTED_VALUE"""),29.64)</f>
        <v>29.64</v>
      </c>
      <c r="BB80" s="3">
        <f ca="1">IFERROR(__xludf.DUMMYFUNCTION("""COMPUTED_VALUE"""),1506)</f>
        <v>1506</v>
      </c>
      <c r="BC80" s="4">
        <f ca="1">IFERROR(__xludf.DUMMYFUNCTION("""COMPUTED_VALUE"""),42240.6666666666)</f>
        <v>42240.666666666599</v>
      </c>
      <c r="BD80" s="3">
        <f ca="1">IFERROR(__xludf.DUMMYFUNCTION("""COMPUTED_VALUE"""),37.01)</f>
        <v>37.01</v>
      </c>
      <c r="BE80" s="3">
        <f ca="1">IFERROR(__xludf.DUMMYFUNCTION("""COMPUTED_VALUE"""),39.61)</f>
        <v>39.61</v>
      </c>
      <c r="BF80" s="3">
        <f ca="1">IFERROR(__xludf.DUMMYFUNCTION("""COMPUTED_VALUE"""),31.32)</f>
        <v>31.32</v>
      </c>
      <c r="BG80" s="3">
        <f ca="1">IFERROR(__xludf.DUMMYFUNCTION("""COMPUTED_VALUE"""),38.14)</f>
        <v>38.14</v>
      </c>
      <c r="BH80" s="3">
        <f ca="1">IFERROR(__xludf.DUMMYFUNCTION("""COMPUTED_VALUE"""),36103937)</f>
        <v>36103937</v>
      </c>
      <c r="BI80" s="4">
        <f ca="1">IFERROR(__xludf.DUMMYFUNCTION("""COMPUTED_VALUE"""),42240.6666666666)</f>
        <v>42240.666666666599</v>
      </c>
      <c r="BJ80" s="3">
        <f ca="1">IFERROR(__xludf.DUMMYFUNCTION("""COMPUTED_VALUE"""),44.16)</f>
        <v>44.16</v>
      </c>
      <c r="BK80" s="3">
        <f ca="1">IFERROR(__xludf.DUMMYFUNCTION("""COMPUTED_VALUE"""),44.57)</f>
        <v>44.57</v>
      </c>
      <c r="BL80" s="3">
        <f ca="1">IFERROR(__xludf.DUMMYFUNCTION("""COMPUTED_VALUE"""),43.15)</f>
        <v>43.15</v>
      </c>
      <c r="BM80" s="3">
        <f ca="1">IFERROR(__xludf.DUMMYFUNCTION("""COMPUTED_VALUE"""),43.37)</f>
        <v>43.37</v>
      </c>
      <c r="BN80" s="3">
        <f ca="1">IFERROR(__xludf.DUMMYFUNCTION("""COMPUTED_VALUE"""),35100462)</f>
        <v>35100462</v>
      </c>
    </row>
    <row r="81" spans="7:66" ht="13" x14ac:dyDescent="0.15">
      <c r="G81" s="4">
        <f ca="1">IFERROR(__xludf.DUMMYFUNCTION("""COMPUTED_VALUE"""),42241.6666666666)</f>
        <v>42241.666666666599</v>
      </c>
      <c r="H81" s="3">
        <f ca="1">IFERROR(__xludf.DUMMYFUNCTION("""COMPUTED_VALUE"""),73.18)</f>
        <v>73.180000000000007</v>
      </c>
      <c r="I81" s="3">
        <f ca="1">IFERROR(__xludf.DUMMYFUNCTION("""COMPUTED_VALUE"""),73.76)</f>
        <v>73.760000000000005</v>
      </c>
      <c r="J81" s="3">
        <f ca="1">IFERROR(__xludf.DUMMYFUNCTION("""COMPUTED_VALUE"""),71.06)</f>
        <v>71.06</v>
      </c>
      <c r="K81" s="3">
        <f ca="1">IFERROR(__xludf.DUMMYFUNCTION("""COMPUTED_VALUE"""),71.1)</f>
        <v>71.099999999999994</v>
      </c>
      <c r="L81" s="3">
        <f ca="1">IFERROR(__xludf.DUMMYFUNCTION("""COMPUTED_VALUE"""),12093806)</f>
        <v>12093806</v>
      </c>
      <c r="M81" s="4">
        <f ca="1">IFERROR(__xludf.DUMMYFUNCTION("""COMPUTED_VALUE"""),42241.6666666666)</f>
        <v>42241.666666666599</v>
      </c>
      <c r="N81" s="3">
        <f ca="1">IFERROR(__xludf.DUMMYFUNCTION("""COMPUTED_VALUE"""),47.71)</f>
        <v>47.71</v>
      </c>
      <c r="O81" s="3">
        <f ca="1">IFERROR(__xludf.DUMMYFUNCTION("""COMPUTED_VALUE"""),47.71)</f>
        <v>47.71</v>
      </c>
      <c r="P81" s="3">
        <f ca="1">IFERROR(__xludf.DUMMYFUNCTION("""COMPUTED_VALUE"""),45.65)</f>
        <v>45.65</v>
      </c>
      <c r="Q81" s="3">
        <f ca="1">IFERROR(__xludf.DUMMYFUNCTION("""COMPUTED_VALUE"""),45.7)</f>
        <v>45.7</v>
      </c>
      <c r="R81" s="3">
        <f ca="1">IFERROR(__xludf.DUMMYFUNCTION("""COMPUTED_VALUE"""),35853861)</f>
        <v>35853861</v>
      </c>
      <c r="S81" s="4">
        <f ca="1">IFERROR(__xludf.DUMMYFUNCTION("""COMPUTED_VALUE"""),42241.6666666666)</f>
        <v>42241.666666666599</v>
      </c>
      <c r="T81" s="3">
        <f ca="1">IFERROR(__xludf.DUMMYFUNCTION("""COMPUTED_VALUE"""),62.73)</f>
        <v>62.73</v>
      </c>
      <c r="U81" s="3">
        <f ca="1">IFERROR(__xludf.DUMMYFUNCTION("""COMPUTED_VALUE"""),62.73)</f>
        <v>62.73</v>
      </c>
      <c r="V81" s="3">
        <f ca="1">IFERROR(__xludf.DUMMYFUNCTION("""COMPUTED_VALUE"""),59.17)</f>
        <v>59.17</v>
      </c>
      <c r="W81" s="3">
        <f ca="1">IFERROR(__xludf.DUMMYFUNCTION("""COMPUTED_VALUE"""),59.22)</f>
        <v>59.22</v>
      </c>
      <c r="X81" s="3">
        <f ca="1">IFERROR(__xludf.DUMMYFUNCTION("""COMPUTED_VALUE"""),27696557)</f>
        <v>27696557</v>
      </c>
      <c r="Y81" s="4">
        <f ca="1">IFERROR(__xludf.DUMMYFUNCTION("""COMPUTED_VALUE"""),42241.6666666666)</f>
        <v>42241.666666666599</v>
      </c>
      <c r="Z81" s="3">
        <f ca="1">IFERROR(__xludf.DUMMYFUNCTION("""COMPUTED_VALUE"""),19.05)</f>
        <v>19.05</v>
      </c>
      <c r="AA81" s="3">
        <f ca="1">IFERROR(__xludf.DUMMYFUNCTION("""COMPUTED_VALUE"""),19.07)</f>
        <v>19.07</v>
      </c>
      <c r="AB81" s="3">
        <f ca="1">IFERROR(__xludf.DUMMYFUNCTION("""COMPUTED_VALUE"""),18.07)</f>
        <v>18.07</v>
      </c>
      <c r="AC81" s="3">
        <f ca="1">IFERROR(__xludf.DUMMYFUNCTION("""COMPUTED_VALUE"""),18.13)</f>
        <v>18.13</v>
      </c>
      <c r="AD81" s="3">
        <f ca="1">IFERROR(__xludf.DUMMYFUNCTION("""COMPUTED_VALUE"""),68998091)</f>
        <v>68998091</v>
      </c>
      <c r="AE81" s="4">
        <f ca="1">IFERROR(__xludf.DUMMYFUNCTION("""COMPUTED_VALUE"""),42241.6666666666)</f>
        <v>42241.666666666599</v>
      </c>
      <c r="AF81" s="3">
        <f ca="1">IFERROR(__xludf.DUMMYFUNCTION("""COMPUTED_VALUE"""),70.8)</f>
        <v>70.8</v>
      </c>
      <c r="AG81" s="3">
        <f ca="1">IFERROR(__xludf.DUMMYFUNCTION("""COMPUTED_VALUE"""),71.34)</f>
        <v>71.34</v>
      </c>
      <c r="AH81" s="3">
        <f ca="1">IFERROR(__xludf.DUMMYFUNCTION("""COMPUTED_VALUE"""),67.86)</f>
        <v>67.86</v>
      </c>
      <c r="AI81" s="3">
        <f ca="1">IFERROR(__xludf.DUMMYFUNCTION("""COMPUTED_VALUE"""),67.96)</f>
        <v>67.959999999999994</v>
      </c>
      <c r="AJ81" s="3">
        <f ca="1">IFERROR(__xludf.DUMMYFUNCTION("""COMPUTED_VALUE"""),17883746)</f>
        <v>17883746</v>
      </c>
      <c r="AK81" s="4">
        <f ca="1">IFERROR(__xludf.DUMMYFUNCTION("""COMPUTED_VALUE"""),42241.6666666666)</f>
        <v>42241.666666666599</v>
      </c>
      <c r="AL81" s="3">
        <f ca="1">IFERROR(__xludf.DUMMYFUNCTION("""COMPUTED_VALUE"""),50.62)</f>
        <v>50.62</v>
      </c>
      <c r="AM81" s="3">
        <f ca="1">IFERROR(__xludf.DUMMYFUNCTION("""COMPUTED_VALUE"""),51.49)</f>
        <v>51.49</v>
      </c>
      <c r="AN81" s="3">
        <f ca="1">IFERROR(__xludf.DUMMYFUNCTION("""COMPUTED_VALUE"""),48.95)</f>
        <v>48.95</v>
      </c>
      <c r="AO81" s="3">
        <f ca="1">IFERROR(__xludf.DUMMYFUNCTION("""COMPUTED_VALUE"""),48.98)</f>
        <v>48.98</v>
      </c>
      <c r="AP81" s="3">
        <f ca="1">IFERROR(__xludf.DUMMYFUNCTION("""COMPUTED_VALUE"""),25681278)</f>
        <v>25681278</v>
      </c>
      <c r="AQ81" s="4">
        <f ca="1">IFERROR(__xludf.DUMMYFUNCTION("""COMPUTED_VALUE"""),42241.6666666666)</f>
        <v>42241.666666666599</v>
      </c>
      <c r="AR81" s="3">
        <f ca="1">IFERROR(__xludf.DUMMYFUNCTION("""COMPUTED_VALUE"""),42.04)</f>
        <v>42.04</v>
      </c>
      <c r="AS81" s="3">
        <f ca="1">IFERROR(__xludf.DUMMYFUNCTION("""COMPUTED_VALUE"""),42.94)</f>
        <v>42.94</v>
      </c>
      <c r="AT81" s="3">
        <f ca="1">IFERROR(__xludf.DUMMYFUNCTION("""COMPUTED_VALUE"""),40.66)</f>
        <v>40.659999999999997</v>
      </c>
      <c r="AU81" s="3">
        <f ca="1">IFERROR(__xludf.DUMMYFUNCTION("""COMPUTED_VALUE"""),40.73)</f>
        <v>40.729999999999997</v>
      </c>
      <c r="AV81" s="3">
        <f ca="1">IFERROR(__xludf.DUMMYFUNCTION("""COMPUTED_VALUE"""),13339511)</f>
        <v>13339511</v>
      </c>
      <c r="AW81" s="4">
        <f ca="1">IFERROR(__xludf.DUMMYFUNCTION("""COMPUTED_VALUE"""),42405.6666666666)</f>
        <v>42405.666666666599</v>
      </c>
      <c r="AX81" s="3">
        <f ca="1">IFERROR(__xludf.DUMMYFUNCTION("""COMPUTED_VALUE"""),29.21)</f>
        <v>29.21</v>
      </c>
      <c r="AY81" s="3">
        <f ca="1">IFERROR(__xludf.DUMMYFUNCTION("""COMPUTED_VALUE"""),29.21)</f>
        <v>29.21</v>
      </c>
      <c r="AZ81" s="3">
        <f ca="1">IFERROR(__xludf.DUMMYFUNCTION("""COMPUTED_VALUE"""),29.1)</f>
        <v>29.1</v>
      </c>
      <c r="BA81" s="3">
        <f ca="1">IFERROR(__xludf.DUMMYFUNCTION("""COMPUTED_VALUE"""),29.1)</f>
        <v>29.1</v>
      </c>
      <c r="BB81" s="3">
        <f ca="1">IFERROR(__xludf.DUMMYFUNCTION("""COMPUTED_VALUE"""),221)</f>
        <v>221</v>
      </c>
      <c r="BC81" s="4">
        <f ca="1">IFERROR(__xludf.DUMMYFUNCTION("""COMPUTED_VALUE"""),42241.6666666666)</f>
        <v>42241.666666666599</v>
      </c>
      <c r="BD81" s="3">
        <f ca="1">IFERROR(__xludf.DUMMYFUNCTION("""COMPUTED_VALUE"""),39.47)</f>
        <v>39.47</v>
      </c>
      <c r="BE81" s="3">
        <f ca="1">IFERROR(__xludf.DUMMYFUNCTION("""COMPUTED_VALUE"""),39.54)</f>
        <v>39.54</v>
      </c>
      <c r="BF81" s="3">
        <f ca="1">IFERROR(__xludf.DUMMYFUNCTION("""COMPUTED_VALUE"""),37.66)</f>
        <v>37.659999999999997</v>
      </c>
      <c r="BG81" s="3">
        <f ca="1">IFERROR(__xludf.DUMMYFUNCTION("""COMPUTED_VALUE"""),37.7)</f>
        <v>37.700000000000003</v>
      </c>
      <c r="BH81" s="3">
        <f ca="1">IFERROR(__xludf.DUMMYFUNCTION("""COMPUTED_VALUE"""),18605422)</f>
        <v>18605422</v>
      </c>
      <c r="BI81" s="4">
        <f ca="1">IFERROR(__xludf.DUMMYFUNCTION("""COMPUTED_VALUE"""),42241.6666666666)</f>
        <v>42241.666666666599</v>
      </c>
      <c r="BJ81" s="3">
        <f ca="1">IFERROR(__xludf.DUMMYFUNCTION("""COMPUTED_VALUE"""),43.9)</f>
        <v>43.9</v>
      </c>
      <c r="BK81" s="3">
        <f ca="1">IFERROR(__xludf.DUMMYFUNCTION("""COMPUTED_VALUE"""),44.18)</f>
        <v>44.18</v>
      </c>
      <c r="BL81" s="3">
        <f ca="1">IFERROR(__xludf.DUMMYFUNCTION("""COMPUTED_VALUE"""),41.99)</f>
        <v>41.99</v>
      </c>
      <c r="BM81" s="3">
        <f ca="1">IFERROR(__xludf.DUMMYFUNCTION("""COMPUTED_VALUE"""),42.03)</f>
        <v>42.03</v>
      </c>
      <c r="BN81" s="3">
        <f ca="1">IFERROR(__xludf.DUMMYFUNCTION("""COMPUTED_VALUE"""),28632725)</f>
        <v>28632725</v>
      </c>
    </row>
    <row r="82" spans="7:66" ht="13" x14ac:dyDescent="0.15">
      <c r="G82" s="4">
        <f ca="1">IFERROR(__xludf.DUMMYFUNCTION("""COMPUTED_VALUE"""),42242.6666666666)</f>
        <v>42242.666666666599</v>
      </c>
      <c r="H82" s="3">
        <f ca="1">IFERROR(__xludf.DUMMYFUNCTION("""COMPUTED_VALUE"""),72.73)</f>
        <v>72.73</v>
      </c>
      <c r="I82" s="3">
        <f ca="1">IFERROR(__xludf.DUMMYFUNCTION("""COMPUTED_VALUE"""),73.89)</f>
        <v>73.89</v>
      </c>
      <c r="J82" s="3">
        <f ca="1">IFERROR(__xludf.DUMMYFUNCTION("""COMPUTED_VALUE"""),71.34)</f>
        <v>71.34</v>
      </c>
      <c r="K82" s="3">
        <f ca="1">IFERROR(__xludf.DUMMYFUNCTION("""COMPUTED_VALUE"""),73.8)</f>
        <v>73.8</v>
      </c>
      <c r="L82" s="3">
        <f ca="1">IFERROR(__xludf.DUMMYFUNCTION("""COMPUTED_VALUE"""),18895053)</f>
        <v>18895053</v>
      </c>
      <c r="M82" s="4">
        <f ca="1">IFERROR(__xludf.DUMMYFUNCTION("""COMPUTED_VALUE"""),42242.6666666666)</f>
        <v>42242.666666666599</v>
      </c>
      <c r="N82" s="3">
        <f ca="1">IFERROR(__xludf.DUMMYFUNCTION("""COMPUTED_VALUE"""),46.61)</f>
        <v>46.61</v>
      </c>
      <c r="O82" s="3">
        <f ca="1">IFERROR(__xludf.DUMMYFUNCTION("""COMPUTED_VALUE"""),47.13)</f>
        <v>47.13</v>
      </c>
      <c r="P82" s="3">
        <f ca="1">IFERROR(__xludf.DUMMYFUNCTION("""COMPUTED_VALUE"""),45.75)</f>
        <v>45.75</v>
      </c>
      <c r="Q82" s="3">
        <f ca="1">IFERROR(__xludf.DUMMYFUNCTION("""COMPUTED_VALUE"""),47.05)</f>
        <v>47.05</v>
      </c>
      <c r="R82" s="3">
        <f ca="1">IFERROR(__xludf.DUMMYFUNCTION("""COMPUTED_VALUE"""),24372846)</f>
        <v>24372846</v>
      </c>
      <c r="S82" s="4">
        <f ca="1">IFERROR(__xludf.DUMMYFUNCTION("""COMPUTED_VALUE"""),42242.6666666666)</f>
        <v>42242.666666666599</v>
      </c>
      <c r="T82" s="3">
        <f ca="1">IFERROR(__xludf.DUMMYFUNCTION("""COMPUTED_VALUE"""),60.72)</f>
        <v>60.72</v>
      </c>
      <c r="U82" s="3">
        <f ca="1">IFERROR(__xludf.DUMMYFUNCTION("""COMPUTED_VALUE"""),61.33)</f>
        <v>61.33</v>
      </c>
      <c r="V82" s="3">
        <f ca="1">IFERROR(__xludf.DUMMYFUNCTION("""COMPUTED_VALUE"""),59.54)</f>
        <v>59.54</v>
      </c>
      <c r="W82" s="3">
        <f ca="1">IFERROR(__xludf.DUMMYFUNCTION("""COMPUTED_VALUE"""),61.26)</f>
        <v>61.26</v>
      </c>
      <c r="X82" s="3">
        <f ca="1">IFERROR(__xludf.DUMMYFUNCTION("""COMPUTED_VALUE"""),39732247)</f>
        <v>39732247</v>
      </c>
      <c r="Y82" s="4">
        <f ca="1">IFERROR(__xludf.DUMMYFUNCTION("""COMPUTED_VALUE"""),42242.6666666666)</f>
        <v>42242.666666666599</v>
      </c>
      <c r="Z82" s="3">
        <f ca="1">IFERROR(__xludf.DUMMYFUNCTION("""COMPUTED_VALUE"""),18.56)</f>
        <v>18.559999999999999</v>
      </c>
      <c r="AA82" s="3">
        <f ca="1">IFERROR(__xludf.DUMMYFUNCTION("""COMPUTED_VALUE"""),18.82)</f>
        <v>18.82</v>
      </c>
      <c r="AB82" s="3">
        <f ca="1">IFERROR(__xludf.DUMMYFUNCTION("""COMPUTED_VALUE"""),18.22)</f>
        <v>18.22</v>
      </c>
      <c r="AC82" s="3">
        <f ca="1">IFERROR(__xludf.DUMMYFUNCTION("""COMPUTED_VALUE"""),18.82)</f>
        <v>18.82</v>
      </c>
      <c r="AD82" s="3">
        <f ca="1">IFERROR(__xludf.DUMMYFUNCTION("""COMPUTED_VALUE"""),118648630)</f>
        <v>118648630</v>
      </c>
      <c r="AE82" s="4">
        <f ca="1">IFERROR(__xludf.DUMMYFUNCTION("""COMPUTED_VALUE"""),42242.6666666666)</f>
        <v>42242.666666666599</v>
      </c>
      <c r="AF82" s="3">
        <f ca="1">IFERROR(__xludf.DUMMYFUNCTION("""COMPUTED_VALUE"""),69.84)</f>
        <v>69.84</v>
      </c>
      <c r="AG82" s="3">
        <f ca="1">IFERROR(__xludf.DUMMYFUNCTION("""COMPUTED_VALUE"""),70.9)</f>
        <v>70.900000000000006</v>
      </c>
      <c r="AH82" s="3">
        <f ca="1">IFERROR(__xludf.DUMMYFUNCTION("""COMPUTED_VALUE"""),68.17)</f>
        <v>68.17</v>
      </c>
      <c r="AI82" s="3">
        <f ca="1">IFERROR(__xludf.DUMMYFUNCTION("""COMPUTED_VALUE"""),70.83)</f>
        <v>70.83</v>
      </c>
      <c r="AJ82" s="3">
        <f ca="1">IFERROR(__xludf.DUMMYFUNCTION("""COMPUTED_VALUE"""),26115647)</f>
        <v>26115647</v>
      </c>
      <c r="AK82" s="4">
        <f ca="1">IFERROR(__xludf.DUMMYFUNCTION("""COMPUTED_VALUE"""),42242.6666666666)</f>
        <v>42242.666666666599</v>
      </c>
      <c r="AL82" s="3">
        <f ca="1">IFERROR(__xludf.DUMMYFUNCTION("""COMPUTED_VALUE"""),49.95)</f>
        <v>49.95</v>
      </c>
      <c r="AM82" s="3">
        <f ca="1">IFERROR(__xludf.DUMMYFUNCTION("""COMPUTED_VALUE"""),50.57)</f>
        <v>50.57</v>
      </c>
      <c r="AN82" s="3">
        <f ca="1">IFERROR(__xludf.DUMMYFUNCTION("""COMPUTED_VALUE"""),49.15)</f>
        <v>49.15</v>
      </c>
      <c r="AO82" s="3">
        <f ca="1">IFERROR(__xludf.DUMMYFUNCTION("""COMPUTED_VALUE"""),50.51)</f>
        <v>50.51</v>
      </c>
      <c r="AP82" s="3">
        <f ca="1">IFERROR(__xludf.DUMMYFUNCTION("""COMPUTED_VALUE"""),26147351)</f>
        <v>26147351</v>
      </c>
      <c r="AQ82" s="4">
        <f ca="1">IFERROR(__xludf.DUMMYFUNCTION("""COMPUTED_VALUE"""),42242.6666666666)</f>
        <v>42242.666666666599</v>
      </c>
      <c r="AR82" s="3">
        <f ca="1">IFERROR(__xludf.DUMMYFUNCTION("""COMPUTED_VALUE"""),41.58)</f>
        <v>41.58</v>
      </c>
      <c r="AS82" s="3">
        <f ca="1">IFERROR(__xludf.DUMMYFUNCTION("""COMPUTED_VALUE"""),41.92)</f>
        <v>41.92</v>
      </c>
      <c r="AT82" s="3">
        <f ca="1">IFERROR(__xludf.DUMMYFUNCTION("""COMPUTED_VALUE"""),40.89)</f>
        <v>40.89</v>
      </c>
      <c r="AU82" s="3">
        <f ca="1">IFERROR(__xludf.DUMMYFUNCTION("""COMPUTED_VALUE"""),41.83)</f>
        <v>41.83</v>
      </c>
      <c r="AV82" s="3">
        <f ca="1">IFERROR(__xludf.DUMMYFUNCTION("""COMPUTED_VALUE"""),24487891)</f>
        <v>24487891</v>
      </c>
      <c r="AW82" s="4">
        <f ca="1">IFERROR(__xludf.DUMMYFUNCTION("""COMPUTED_VALUE"""),42408.6666666666)</f>
        <v>42408.666666666599</v>
      </c>
      <c r="AX82" s="3">
        <f ca="1">IFERROR(__xludf.DUMMYFUNCTION("""COMPUTED_VALUE"""),28.1)</f>
        <v>28.1</v>
      </c>
      <c r="AY82" s="3">
        <f ca="1">IFERROR(__xludf.DUMMYFUNCTION("""COMPUTED_VALUE"""),28.1)</f>
        <v>28.1</v>
      </c>
      <c r="AZ82" s="3">
        <f ca="1">IFERROR(__xludf.DUMMYFUNCTION("""COMPUTED_VALUE"""),27.56)</f>
        <v>27.56</v>
      </c>
      <c r="BA82" s="3">
        <f ca="1">IFERROR(__xludf.DUMMYFUNCTION("""COMPUTED_VALUE"""),27.56)</f>
        <v>27.56</v>
      </c>
      <c r="BB82" s="3">
        <f ca="1">IFERROR(__xludf.DUMMYFUNCTION("""COMPUTED_VALUE"""),718)</f>
        <v>718</v>
      </c>
      <c r="BC82" s="4">
        <f ca="1">IFERROR(__xludf.DUMMYFUNCTION("""COMPUTED_VALUE"""),42242.6666666666)</f>
        <v>42242.666666666599</v>
      </c>
      <c r="BD82" s="3">
        <f ca="1">IFERROR(__xludf.DUMMYFUNCTION("""COMPUTED_VALUE"""),38.45)</f>
        <v>38.450000000000003</v>
      </c>
      <c r="BE82" s="3">
        <f ca="1">IFERROR(__xludf.DUMMYFUNCTION("""COMPUTED_VALUE"""),39.66)</f>
        <v>39.659999999999997</v>
      </c>
      <c r="BF82" s="3">
        <f ca="1">IFERROR(__xludf.DUMMYFUNCTION("""COMPUTED_VALUE"""),38.12)</f>
        <v>38.119999999999997</v>
      </c>
      <c r="BG82" s="3">
        <f ca="1">IFERROR(__xludf.DUMMYFUNCTION("""COMPUTED_VALUE"""),39.6)</f>
        <v>39.6</v>
      </c>
      <c r="BH82" s="3">
        <f ca="1">IFERROR(__xludf.DUMMYFUNCTION("""COMPUTED_VALUE"""),34388362)</f>
        <v>34388362</v>
      </c>
      <c r="BI82" s="4">
        <f ca="1">IFERROR(__xludf.DUMMYFUNCTION("""COMPUTED_VALUE"""),42242.6666666666)</f>
        <v>42242.666666666599</v>
      </c>
      <c r="BJ82" s="3">
        <f ca="1">IFERROR(__xludf.DUMMYFUNCTION("""COMPUTED_VALUE"""),42.32)</f>
        <v>42.32</v>
      </c>
      <c r="BK82" s="3">
        <f ca="1">IFERROR(__xludf.DUMMYFUNCTION("""COMPUTED_VALUE"""),42.88)</f>
        <v>42.88</v>
      </c>
      <c r="BL82" s="3">
        <f ca="1">IFERROR(__xludf.DUMMYFUNCTION("""COMPUTED_VALUE"""),41.97)</f>
        <v>41.97</v>
      </c>
      <c r="BM82" s="3">
        <f ca="1">IFERROR(__xludf.DUMMYFUNCTION("""COMPUTED_VALUE"""),42.78)</f>
        <v>42.78</v>
      </c>
      <c r="BN82" s="3">
        <f ca="1">IFERROR(__xludf.DUMMYFUNCTION("""COMPUTED_VALUE"""),21869934)</f>
        <v>21869934</v>
      </c>
    </row>
    <row r="83" spans="7:66" ht="13" x14ac:dyDescent="0.15">
      <c r="G83" s="4">
        <f ca="1">IFERROR(__xludf.DUMMYFUNCTION("""COMPUTED_VALUE"""),42243.6666666666)</f>
        <v>42243.666666666599</v>
      </c>
      <c r="H83" s="3">
        <f ca="1">IFERROR(__xludf.DUMMYFUNCTION("""COMPUTED_VALUE"""),74.95)</f>
        <v>74.95</v>
      </c>
      <c r="I83" s="3">
        <f ca="1">IFERROR(__xludf.DUMMYFUNCTION("""COMPUTED_VALUE"""),75.73)</f>
        <v>75.73</v>
      </c>
      <c r="J83" s="3">
        <f ca="1">IFERROR(__xludf.DUMMYFUNCTION("""COMPUTED_VALUE"""),74.01)</f>
        <v>74.010000000000005</v>
      </c>
      <c r="K83" s="3">
        <f ca="1">IFERROR(__xludf.DUMMYFUNCTION("""COMPUTED_VALUE"""),75.53)</f>
        <v>75.53</v>
      </c>
      <c r="L83" s="3">
        <f ca="1">IFERROR(__xludf.DUMMYFUNCTION("""COMPUTED_VALUE"""),16115557)</f>
        <v>16115557</v>
      </c>
      <c r="M83" s="4">
        <f ca="1">IFERROR(__xludf.DUMMYFUNCTION("""COMPUTED_VALUE"""),42243.6666666666)</f>
        <v>42243.666666666599</v>
      </c>
      <c r="N83" s="3">
        <f ca="1">IFERROR(__xludf.DUMMYFUNCTION("""COMPUTED_VALUE"""),47.43)</f>
        <v>47.43</v>
      </c>
      <c r="O83" s="3">
        <f ca="1">IFERROR(__xludf.DUMMYFUNCTION("""COMPUTED_VALUE"""),47.89)</f>
        <v>47.89</v>
      </c>
      <c r="P83" s="3">
        <f ca="1">IFERROR(__xludf.DUMMYFUNCTION("""COMPUTED_VALUE"""),46.87)</f>
        <v>46.87</v>
      </c>
      <c r="Q83" s="3">
        <f ca="1">IFERROR(__xludf.DUMMYFUNCTION("""COMPUTED_VALUE"""),47.74)</f>
        <v>47.74</v>
      </c>
      <c r="R83" s="3">
        <f ca="1">IFERROR(__xludf.DUMMYFUNCTION("""COMPUTED_VALUE"""),19550365)</f>
        <v>19550365</v>
      </c>
      <c r="S83" s="4">
        <f ca="1">IFERROR(__xludf.DUMMYFUNCTION("""COMPUTED_VALUE"""),42243.6666666666)</f>
        <v>42243.666666666599</v>
      </c>
      <c r="T83" s="3">
        <f ca="1">IFERROR(__xludf.DUMMYFUNCTION("""COMPUTED_VALUE"""),62.68)</f>
        <v>62.68</v>
      </c>
      <c r="U83" s="3">
        <f ca="1">IFERROR(__xludf.DUMMYFUNCTION("""COMPUTED_VALUE"""),64.44)</f>
        <v>64.44</v>
      </c>
      <c r="V83" s="3">
        <f ca="1">IFERROR(__xludf.DUMMYFUNCTION("""COMPUTED_VALUE"""),62.45)</f>
        <v>62.45</v>
      </c>
      <c r="W83" s="3">
        <f ca="1">IFERROR(__xludf.DUMMYFUNCTION("""COMPUTED_VALUE"""),64.29)</f>
        <v>64.290000000000006</v>
      </c>
      <c r="X83" s="3">
        <f ca="1">IFERROR(__xludf.DUMMYFUNCTION("""COMPUTED_VALUE"""),32241447)</f>
        <v>32241447</v>
      </c>
      <c r="Y83" s="4">
        <f ca="1">IFERROR(__xludf.DUMMYFUNCTION("""COMPUTED_VALUE"""),42243.6666666666)</f>
        <v>42243.666666666599</v>
      </c>
      <c r="Z83" s="3">
        <f ca="1">IFERROR(__xludf.DUMMYFUNCTION("""COMPUTED_VALUE"""),19.06)</f>
        <v>19.059999999999999</v>
      </c>
      <c r="AA83" s="3">
        <f ca="1">IFERROR(__xludf.DUMMYFUNCTION("""COMPUTED_VALUE"""),19.32)</f>
        <v>19.32</v>
      </c>
      <c r="AB83" s="3">
        <f ca="1">IFERROR(__xludf.DUMMYFUNCTION("""COMPUTED_VALUE"""),18.9)</f>
        <v>18.899999999999999</v>
      </c>
      <c r="AC83" s="3">
        <f ca="1">IFERROR(__xludf.DUMMYFUNCTION("""COMPUTED_VALUE"""),19.28)</f>
        <v>19.28</v>
      </c>
      <c r="AD83" s="3">
        <f ca="1">IFERROR(__xludf.DUMMYFUNCTION("""COMPUTED_VALUE"""),78164031)</f>
        <v>78164031</v>
      </c>
      <c r="AE83" s="4">
        <f ca="1">IFERROR(__xludf.DUMMYFUNCTION("""COMPUTED_VALUE"""),42243.6666666666)</f>
        <v>42243.666666666599</v>
      </c>
      <c r="AF83" s="3">
        <f ca="1">IFERROR(__xludf.DUMMYFUNCTION("""COMPUTED_VALUE"""),71.75)</f>
        <v>71.75</v>
      </c>
      <c r="AG83" s="3">
        <f ca="1">IFERROR(__xludf.DUMMYFUNCTION("""COMPUTED_VALUE"""),72.31)</f>
        <v>72.31</v>
      </c>
      <c r="AH83" s="3">
        <f ca="1">IFERROR(__xludf.DUMMYFUNCTION("""COMPUTED_VALUE"""),70.69)</f>
        <v>70.69</v>
      </c>
      <c r="AI83" s="3">
        <f ca="1">IFERROR(__xludf.DUMMYFUNCTION("""COMPUTED_VALUE"""),72.21)</f>
        <v>72.209999999999994</v>
      </c>
      <c r="AJ83" s="3">
        <f ca="1">IFERROR(__xludf.DUMMYFUNCTION("""COMPUTED_VALUE"""),18689677)</f>
        <v>18689677</v>
      </c>
      <c r="AK83" s="4">
        <f ca="1">IFERROR(__xludf.DUMMYFUNCTION("""COMPUTED_VALUE"""),42243.6666666666)</f>
        <v>42243.666666666599</v>
      </c>
      <c r="AL83" s="3">
        <f ca="1">IFERROR(__xludf.DUMMYFUNCTION("""COMPUTED_VALUE"""),50.98)</f>
        <v>50.98</v>
      </c>
      <c r="AM83" s="3">
        <f ca="1">IFERROR(__xludf.DUMMYFUNCTION("""COMPUTED_VALUE"""),51.77)</f>
        <v>51.77</v>
      </c>
      <c r="AN83" s="3">
        <f ca="1">IFERROR(__xludf.DUMMYFUNCTION("""COMPUTED_VALUE"""),50.47)</f>
        <v>50.47</v>
      </c>
      <c r="AO83" s="3">
        <f ca="1">IFERROR(__xludf.DUMMYFUNCTION("""COMPUTED_VALUE"""),51.73)</f>
        <v>51.73</v>
      </c>
      <c r="AP83" s="3">
        <f ca="1">IFERROR(__xludf.DUMMYFUNCTION("""COMPUTED_VALUE"""),21356594)</f>
        <v>21356594</v>
      </c>
      <c r="AQ83" s="4">
        <f ca="1">IFERROR(__xludf.DUMMYFUNCTION("""COMPUTED_VALUE"""),42243.6666666666)</f>
        <v>42243.666666666599</v>
      </c>
      <c r="AR83" s="3">
        <f ca="1">IFERROR(__xludf.DUMMYFUNCTION("""COMPUTED_VALUE"""),42.5)</f>
        <v>42.5</v>
      </c>
      <c r="AS83" s="3">
        <f ca="1">IFERROR(__xludf.DUMMYFUNCTION("""COMPUTED_VALUE"""),43.56)</f>
        <v>43.56</v>
      </c>
      <c r="AT83" s="3">
        <f ca="1">IFERROR(__xludf.DUMMYFUNCTION("""COMPUTED_VALUE"""),42.45)</f>
        <v>42.45</v>
      </c>
      <c r="AU83" s="3">
        <f ca="1">IFERROR(__xludf.DUMMYFUNCTION("""COMPUTED_VALUE"""),43.35)</f>
        <v>43.35</v>
      </c>
      <c r="AV83" s="3">
        <f ca="1">IFERROR(__xludf.DUMMYFUNCTION("""COMPUTED_VALUE"""),11637653)</f>
        <v>11637653</v>
      </c>
      <c r="AW83" s="4">
        <f ca="1">IFERROR(__xludf.DUMMYFUNCTION("""COMPUTED_VALUE"""),42409.6666666666)</f>
        <v>42409.666666666599</v>
      </c>
      <c r="AX83" s="3">
        <f ca="1">IFERROR(__xludf.DUMMYFUNCTION("""COMPUTED_VALUE"""),27.42)</f>
        <v>27.42</v>
      </c>
      <c r="AY83" s="3">
        <f ca="1">IFERROR(__xludf.DUMMYFUNCTION("""COMPUTED_VALUE"""),27.55)</f>
        <v>27.55</v>
      </c>
      <c r="AZ83" s="3">
        <f ca="1">IFERROR(__xludf.DUMMYFUNCTION("""COMPUTED_VALUE"""),27.07)</f>
        <v>27.07</v>
      </c>
      <c r="BA83" s="3">
        <f ca="1">IFERROR(__xludf.DUMMYFUNCTION("""COMPUTED_VALUE"""),27.34)</f>
        <v>27.34</v>
      </c>
      <c r="BB83" s="3">
        <f ca="1">IFERROR(__xludf.DUMMYFUNCTION("""COMPUTED_VALUE"""),1359)</f>
        <v>1359</v>
      </c>
      <c r="BC83" s="4">
        <f ca="1">IFERROR(__xludf.DUMMYFUNCTION("""COMPUTED_VALUE"""),42243.6666666666)</f>
        <v>42243.666666666599</v>
      </c>
      <c r="BD83" s="3">
        <f ca="1">IFERROR(__xludf.DUMMYFUNCTION("""COMPUTED_VALUE"""),40.14)</f>
        <v>40.14</v>
      </c>
      <c r="BE83" s="3">
        <f ca="1">IFERROR(__xludf.DUMMYFUNCTION("""COMPUTED_VALUE"""),40.53)</f>
        <v>40.53</v>
      </c>
      <c r="BF83" s="3">
        <f ca="1">IFERROR(__xludf.DUMMYFUNCTION("""COMPUTED_VALUE"""),39.63)</f>
        <v>39.630000000000003</v>
      </c>
      <c r="BG83" s="3">
        <f ca="1">IFERROR(__xludf.DUMMYFUNCTION("""COMPUTED_VALUE"""),40.52)</f>
        <v>40.520000000000003</v>
      </c>
      <c r="BH83" s="3">
        <f ca="1">IFERROR(__xludf.DUMMYFUNCTION("""COMPUTED_VALUE"""),20105542)</f>
        <v>20105542</v>
      </c>
      <c r="BI83" s="4">
        <f ca="1">IFERROR(__xludf.DUMMYFUNCTION("""COMPUTED_VALUE"""),42243.6666666666)</f>
        <v>42243.666666666599</v>
      </c>
      <c r="BJ83" s="3">
        <f ca="1">IFERROR(__xludf.DUMMYFUNCTION("""COMPUTED_VALUE"""),43.02)</f>
        <v>43.02</v>
      </c>
      <c r="BK83" s="3">
        <f ca="1">IFERROR(__xludf.DUMMYFUNCTION("""COMPUTED_VALUE"""),43.3)</f>
        <v>43.3</v>
      </c>
      <c r="BL83" s="3">
        <f ca="1">IFERROR(__xludf.DUMMYFUNCTION("""COMPUTED_VALUE"""),42.69)</f>
        <v>42.69</v>
      </c>
      <c r="BM83" s="3">
        <f ca="1">IFERROR(__xludf.DUMMYFUNCTION("""COMPUTED_VALUE"""),43.28)</f>
        <v>43.28</v>
      </c>
      <c r="BN83" s="3">
        <f ca="1">IFERROR(__xludf.DUMMYFUNCTION("""COMPUTED_VALUE"""),17045454)</f>
        <v>17045454</v>
      </c>
    </row>
    <row r="84" spans="7:66" ht="13" x14ac:dyDescent="0.15">
      <c r="G84" s="4">
        <f ca="1">IFERROR(__xludf.DUMMYFUNCTION("""COMPUTED_VALUE"""),42244.6666666666)</f>
        <v>42244.666666666599</v>
      </c>
      <c r="H84" s="3">
        <f ca="1">IFERROR(__xludf.DUMMYFUNCTION("""COMPUTED_VALUE"""),75.28)</f>
        <v>75.28</v>
      </c>
      <c r="I84" s="3">
        <f ca="1">IFERROR(__xludf.DUMMYFUNCTION("""COMPUTED_VALUE"""),76)</f>
        <v>76</v>
      </c>
      <c r="J84" s="3">
        <f ca="1">IFERROR(__xludf.DUMMYFUNCTION("""COMPUTED_VALUE"""),75.1)</f>
        <v>75.099999999999994</v>
      </c>
      <c r="K84" s="3">
        <f ca="1">IFERROR(__xludf.DUMMYFUNCTION("""COMPUTED_VALUE"""),75.56)</f>
        <v>75.56</v>
      </c>
      <c r="L84" s="3">
        <f ca="1">IFERROR(__xludf.DUMMYFUNCTION("""COMPUTED_VALUE"""),7644485)</f>
        <v>7644485</v>
      </c>
      <c r="M84" s="4">
        <f ca="1">IFERROR(__xludf.DUMMYFUNCTION("""COMPUTED_VALUE"""),42244.6666666666)</f>
        <v>42244.666666666599</v>
      </c>
      <c r="N84" s="3">
        <f ca="1">IFERROR(__xludf.DUMMYFUNCTION("""COMPUTED_VALUE"""),47.61)</f>
        <v>47.61</v>
      </c>
      <c r="O84" s="3">
        <f ca="1">IFERROR(__xludf.DUMMYFUNCTION("""COMPUTED_VALUE"""),47.69)</f>
        <v>47.69</v>
      </c>
      <c r="P84" s="3">
        <f ca="1">IFERROR(__xludf.DUMMYFUNCTION("""COMPUTED_VALUE"""),47.35)</f>
        <v>47.35</v>
      </c>
      <c r="Q84" s="3">
        <f ca="1">IFERROR(__xludf.DUMMYFUNCTION("""COMPUTED_VALUE"""),47.64)</f>
        <v>47.64</v>
      </c>
      <c r="R84" s="3">
        <f ca="1">IFERROR(__xludf.DUMMYFUNCTION("""COMPUTED_VALUE"""),8695280)</f>
        <v>8695280</v>
      </c>
      <c r="S84" s="4">
        <f ca="1">IFERROR(__xludf.DUMMYFUNCTION("""COMPUTED_VALUE"""),42244.6666666666)</f>
        <v>42244.666666666599</v>
      </c>
      <c r="T84" s="3">
        <f ca="1">IFERROR(__xludf.DUMMYFUNCTION("""COMPUTED_VALUE"""),64.07)</f>
        <v>64.069999999999993</v>
      </c>
      <c r="U84" s="3">
        <f ca="1">IFERROR(__xludf.DUMMYFUNCTION("""COMPUTED_VALUE"""),66.42)</f>
        <v>66.42</v>
      </c>
      <c r="V84" s="3">
        <f ca="1">IFERROR(__xludf.DUMMYFUNCTION("""COMPUTED_VALUE"""),64.04)</f>
        <v>64.040000000000006</v>
      </c>
      <c r="W84" s="3">
        <f ca="1">IFERROR(__xludf.DUMMYFUNCTION("""COMPUTED_VALUE"""),65.75)</f>
        <v>65.75</v>
      </c>
      <c r="X84" s="3">
        <f ca="1">IFERROR(__xludf.DUMMYFUNCTION("""COMPUTED_VALUE"""),31463423)</f>
        <v>31463423</v>
      </c>
      <c r="Y84" s="4">
        <f ca="1">IFERROR(__xludf.DUMMYFUNCTION("""COMPUTED_VALUE"""),42244.6666666666)</f>
        <v>42244.666666666599</v>
      </c>
      <c r="Z84" s="3">
        <f ca="1">IFERROR(__xludf.DUMMYFUNCTION("""COMPUTED_VALUE"""),19.21)</f>
        <v>19.21</v>
      </c>
      <c r="AA84" s="3">
        <f ca="1">IFERROR(__xludf.DUMMYFUNCTION("""COMPUTED_VALUE"""),19.25)</f>
        <v>19.25</v>
      </c>
      <c r="AB84" s="3">
        <f ca="1">IFERROR(__xludf.DUMMYFUNCTION("""COMPUTED_VALUE"""),19.07)</f>
        <v>19.07</v>
      </c>
      <c r="AC84" s="3">
        <f ca="1">IFERROR(__xludf.DUMMYFUNCTION("""COMPUTED_VALUE"""),19.19)</f>
        <v>19.190000000000001</v>
      </c>
      <c r="AD84" s="3">
        <f ca="1">IFERROR(__xludf.DUMMYFUNCTION("""COMPUTED_VALUE"""),32776858)</f>
        <v>32776858</v>
      </c>
      <c r="AE84" s="4">
        <f ca="1">IFERROR(__xludf.DUMMYFUNCTION("""COMPUTED_VALUE"""),42244.6666666666)</f>
        <v>42244.666666666599</v>
      </c>
      <c r="AF84" s="3">
        <f ca="1">IFERROR(__xludf.DUMMYFUNCTION("""COMPUTED_VALUE"""),71.85)</f>
        <v>71.849999999999994</v>
      </c>
      <c r="AG84" s="3">
        <f ca="1">IFERROR(__xludf.DUMMYFUNCTION("""COMPUTED_VALUE"""),72.24)</f>
        <v>72.239999999999995</v>
      </c>
      <c r="AH84" s="3">
        <f ca="1">IFERROR(__xludf.DUMMYFUNCTION("""COMPUTED_VALUE"""),71.23)</f>
        <v>71.23</v>
      </c>
      <c r="AI84" s="3">
        <f ca="1">IFERROR(__xludf.DUMMYFUNCTION("""COMPUTED_VALUE"""),71.8)</f>
        <v>71.8</v>
      </c>
      <c r="AJ84" s="3">
        <f ca="1">IFERROR(__xludf.DUMMYFUNCTION("""COMPUTED_VALUE"""),10045598)</f>
        <v>10045598</v>
      </c>
      <c r="AK84" s="4">
        <f ca="1">IFERROR(__xludf.DUMMYFUNCTION("""COMPUTED_VALUE"""),42244.6666666666)</f>
        <v>42244.666666666599</v>
      </c>
      <c r="AL84" s="3">
        <f ca="1">IFERROR(__xludf.DUMMYFUNCTION("""COMPUTED_VALUE"""),51.54)</f>
        <v>51.54</v>
      </c>
      <c r="AM84" s="3">
        <f ca="1">IFERROR(__xludf.DUMMYFUNCTION("""COMPUTED_VALUE"""),51.82)</f>
        <v>51.82</v>
      </c>
      <c r="AN84" s="3">
        <f ca="1">IFERROR(__xludf.DUMMYFUNCTION("""COMPUTED_VALUE"""),51.26)</f>
        <v>51.26</v>
      </c>
      <c r="AO84" s="3">
        <f ca="1">IFERROR(__xludf.DUMMYFUNCTION("""COMPUTED_VALUE"""),51.75)</f>
        <v>51.75</v>
      </c>
      <c r="AP84" s="3">
        <f ca="1">IFERROR(__xludf.DUMMYFUNCTION("""COMPUTED_VALUE"""),7899924)</f>
        <v>7899924</v>
      </c>
      <c r="AQ84" s="4">
        <f ca="1">IFERROR(__xludf.DUMMYFUNCTION("""COMPUTED_VALUE"""),42244.6666666666)</f>
        <v>42244.666666666599</v>
      </c>
      <c r="AR84" s="3">
        <f ca="1">IFERROR(__xludf.DUMMYFUNCTION("""COMPUTED_VALUE"""),43.24)</f>
        <v>43.24</v>
      </c>
      <c r="AS84" s="3">
        <f ca="1">IFERROR(__xludf.DUMMYFUNCTION("""COMPUTED_VALUE"""),43.76)</f>
        <v>43.76</v>
      </c>
      <c r="AT84" s="3">
        <f ca="1">IFERROR(__xludf.DUMMYFUNCTION("""COMPUTED_VALUE"""),43.1)</f>
        <v>43.1</v>
      </c>
      <c r="AU84" s="3">
        <f ca="1">IFERROR(__xludf.DUMMYFUNCTION("""COMPUTED_VALUE"""),43.6)</f>
        <v>43.6</v>
      </c>
      <c r="AV84" s="3">
        <f ca="1">IFERROR(__xludf.DUMMYFUNCTION("""COMPUTED_VALUE"""),6370261)</f>
        <v>6370261</v>
      </c>
      <c r="AW84" s="4">
        <f ca="1">IFERROR(__xludf.DUMMYFUNCTION("""COMPUTED_VALUE"""),42410.6666666666)</f>
        <v>42410.666666666599</v>
      </c>
      <c r="AX84" s="3">
        <f ca="1">IFERROR(__xludf.DUMMYFUNCTION("""COMPUTED_VALUE"""),27.92)</f>
        <v>27.92</v>
      </c>
      <c r="AY84" s="3">
        <f ca="1">IFERROR(__xludf.DUMMYFUNCTION("""COMPUTED_VALUE"""),27.92)</f>
        <v>27.92</v>
      </c>
      <c r="AZ84" s="3">
        <f ca="1">IFERROR(__xludf.DUMMYFUNCTION("""COMPUTED_VALUE"""),27.92)</f>
        <v>27.92</v>
      </c>
      <c r="BA84" s="3">
        <f ca="1">IFERROR(__xludf.DUMMYFUNCTION("""COMPUTED_VALUE"""),27.92)</f>
        <v>27.92</v>
      </c>
      <c r="BB84" s="3">
        <f ca="1">IFERROR(__xludf.DUMMYFUNCTION("""COMPUTED_VALUE"""),293)</f>
        <v>293</v>
      </c>
      <c r="BC84" s="4">
        <f ca="1">IFERROR(__xludf.DUMMYFUNCTION("""COMPUTED_VALUE"""),42244.6666666666)</f>
        <v>42244.666666666599</v>
      </c>
      <c r="BD84" s="3">
        <f ca="1">IFERROR(__xludf.DUMMYFUNCTION("""COMPUTED_VALUE"""),40.34)</f>
        <v>40.340000000000003</v>
      </c>
      <c r="BE84" s="3">
        <f ca="1">IFERROR(__xludf.DUMMYFUNCTION("""COMPUTED_VALUE"""),40.67)</f>
        <v>40.67</v>
      </c>
      <c r="BF84" s="3">
        <f ca="1">IFERROR(__xludf.DUMMYFUNCTION("""COMPUTED_VALUE"""),40.25)</f>
        <v>40.25</v>
      </c>
      <c r="BG84" s="3">
        <f ca="1">IFERROR(__xludf.DUMMYFUNCTION("""COMPUTED_VALUE"""),40.6)</f>
        <v>40.6</v>
      </c>
      <c r="BH84" s="3">
        <f ca="1">IFERROR(__xludf.DUMMYFUNCTION("""COMPUTED_VALUE"""),13836134)</f>
        <v>13836134</v>
      </c>
      <c r="BI84" s="4">
        <f ca="1">IFERROR(__xludf.DUMMYFUNCTION("""COMPUTED_VALUE"""),42244.6666666666)</f>
        <v>42244.666666666599</v>
      </c>
      <c r="BJ84" s="3">
        <f ca="1">IFERROR(__xludf.DUMMYFUNCTION("""COMPUTED_VALUE"""),43.22)</f>
        <v>43.22</v>
      </c>
      <c r="BK84" s="3">
        <f ca="1">IFERROR(__xludf.DUMMYFUNCTION("""COMPUTED_VALUE"""),43.35)</f>
        <v>43.35</v>
      </c>
      <c r="BL84" s="3">
        <f ca="1">IFERROR(__xludf.DUMMYFUNCTION("""COMPUTED_VALUE"""),42.56)</f>
        <v>42.56</v>
      </c>
      <c r="BM84" s="3">
        <f ca="1">IFERROR(__xludf.DUMMYFUNCTION("""COMPUTED_VALUE"""),43.15)</f>
        <v>43.15</v>
      </c>
      <c r="BN84" s="3">
        <f ca="1">IFERROR(__xludf.DUMMYFUNCTION("""COMPUTED_VALUE"""),9680746)</f>
        <v>9680746</v>
      </c>
    </row>
    <row r="85" spans="7:66" ht="13" x14ac:dyDescent="0.15">
      <c r="G85" s="4">
        <f ca="1">IFERROR(__xludf.DUMMYFUNCTION("""COMPUTED_VALUE"""),42247.6666666666)</f>
        <v>42247.666666666599</v>
      </c>
      <c r="H85" s="3">
        <f ca="1">IFERROR(__xludf.DUMMYFUNCTION("""COMPUTED_VALUE"""),75.22)</f>
        <v>75.22</v>
      </c>
      <c r="I85" s="3">
        <f ca="1">IFERROR(__xludf.DUMMYFUNCTION("""COMPUTED_VALUE"""),75.65)</f>
        <v>75.650000000000006</v>
      </c>
      <c r="J85" s="3">
        <f ca="1">IFERROR(__xludf.DUMMYFUNCTION("""COMPUTED_VALUE"""),74.76)</f>
        <v>74.760000000000005</v>
      </c>
      <c r="K85" s="3">
        <f ca="1">IFERROR(__xludf.DUMMYFUNCTION("""COMPUTED_VALUE"""),74.98)</f>
        <v>74.98</v>
      </c>
      <c r="L85" s="3">
        <f ca="1">IFERROR(__xludf.DUMMYFUNCTION("""COMPUTED_VALUE"""),10108895)</f>
        <v>10108895</v>
      </c>
      <c r="M85" s="4">
        <f ca="1">IFERROR(__xludf.DUMMYFUNCTION("""COMPUTED_VALUE"""),42247.6666666666)</f>
        <v>42247.666666666599</v>
      </c>
      <c r="N85" s="3">
        <f ca="1">IFERROR(__xludf.DUMMYFUNCTION("""COMPUTED_VALUE"""),47.52)</f>
        <v>47.52</v>
      </c>
      <c r="O85" s="3">
        <f ca="1">IFERROR(__xludf.DUMMYFUNCTION("""COMPUTED_VALUE"""),47.52)</f>
        <v>47.52</v>
      </c>
      <c r="P85" s="3">
        <f ca="1">IFERROR(__xludf.DUMMYFUNCTION("""COMPUTED_VALUE"""),47.18)</f>
        <v>47.18</v>
      </c>
      <c r="Q85" s="3">
        <f ca="1">IFERROR(__xludf.DUMMYFUNCTION("""COMPUTED_VALUE"""),47.31)</f>
        <v>47.31</v>
      </c>
      <c r="R85" s="3">
        <f ca="1">IFERROR(__xludf.DUMMYFUNCTION("""COMPUTED_VALUE"""),12948307)</f>
        <v>12948307</v>
      </c>
      <c r="S85" s="4">
        <f ca="1">IFERROR(__xludf.DUMMYFUNCTION("""COMPUTED_VALUE"""),42247.6666666666)</f>
        <v>42247.666666666599</v>
      </c>
      <c r="T85" s="3">
        <f ca="1">IFERROR(__xludf.DUMMYFUNCTION("""COMPUTED_VALUE"""),65.25)</f>
        <v>65.25</v>
      </c>
      <c r="U85" s="3">
        <f ca="1">IFERROR(__xludf.DUMMYFUNCTION("""COMPUTED_VALUE"""),66.86)</f>
        <v>66.86</v>
      </c>
      <c r="V85" s="3">
        <f ca="1">IFERROR(__xludf.DUMMYFUNCTION("""COMPUTED_VALUE"""),64.08)</f>
        <v>64.08</v>
      </c>
      <c r="W85" s="3">
        <f ca="1">IFERROR(__xludf.DUMMYFUNCTION("""COMPUTED_VALUE"""),66.43)</f>
        <v>66.430000000000007</v>
      </c>
      <c r="X85" s="3">
        <f ca="1">IFERROR(__xludf.DUMMYFUNCTION("""COMPUTED_VALUE"""),36193519)</f>
        <v>36193519</v>
      </c>
      <c r="Y85" s="4">
        <f ca="1">IFERROR(__xludf.DUMMYFUNCTION("""COMPUTED_VALUE"""),42247.6666666666)</f>
        <v>42247.666666666599</v>
      </c>
      <c r="Z85" s="3">
        <f ca="1">IFERROR(__xludf.DUMMYFUNCTION("""COMPUTED_VALUE"""),19.07)</f>
        <v>19.07</v>
      </c>
      <c r="AA85" s="3">
        <f ca="1">IFERROR(__xludf.DUMMYFUNCTION("""COMPUTED_VALUE"""),19.15)</f>
        <v>19.149999999999999</v>
      </c>
      <c r="AB85" s="3">
        <f ca="1">IFERROR(__xludf.DUMMYFUNCTION("""COMPUTED_VALUE"""),19.01)</f>
        <v>19.010000000000002</v>
      </c>
      <c r="AC85" s="3">
        <f ca="1">IFERROR(__xludf.DUMMYFUNCTION("""COMPUTED_VALUE"""),19.03)</f>
        <v>19.03</v>
      </c>
      <c r="AD85" s="3">
        <f ca="1">IFERROR(__xludf.DUMMYFUNCTION("""COMPUTED_VALUE"""),47802710)</f>
        <v>47802710</v>
      </c>
      <c r="AE85" s="4">
        <f ca="1">IFERROR(__xludf.DUMMYFUNCTION("""COMPUTED_VALUE"""),42247.6666666666)</f>
        <v>42247.666666666599</v>
      </c>
      <c r="AF85" s="3">
        <f ca="1">IFERROR(__xludf.DUMMYFUNCTION("""COMPUTED_VALUE"""),71.48)</f>
        <v>71.48</v>
      </c>
      <c r="AG85" s="3">
        <f ca="1">IFERROR(__xludf.DUMMYFUNCTION("""COMPUTED_VALUE"""),72.1)</f>
        <v>72.099999999999994</v>
      </c>
      <c r="AH85" s="3">
        <f ca="1">IFERROR(__xludf.DUMMYFUNCTION("""COMPUTED_VALUE"""),70.31)</f>
        <v>70.31</v>
      </c>
      <c r="AI85" s="3">
        <f ca="1">IFERROR(__xludf.DUMMYFUNCTION("""COMPUTED_VALUE"""),70.49)</f>
        <v>70.489999999999995</v>
      </c>
      <c r="AJ85" s="3">
        <f ca="1">IFERROR(__xludf.DUMMYFUNCTION("""COMPUTED_VALUE"""),15143084)</f>
        <v>15143084</v>
      </c>
      <c r="AK85" s="4">
        <f ca="1">IFERROR(__xludf.DUMMYFUNCTION("""COMPUTED_VALUE"""),42247.6666666666)</f>
        <v>42247.666666666599</v>
      </c>
      <c r="AL85" s="3">
        <f ca="1">IFERROR(__xludf.DUMMYFUNCTION("""COMPUTED_VALUE"""),51.39)</f>
        <v>51.39</v>
      </c>
      <c r="AM85" s="3">
        <f ca="1">IFERROR(__xludf.DUMMYFUNCTION("""COMPUTED_VALUE"""),51.73)</f>
        <v>51.73</v>
      </c>
      <c r="AN85" s="3">
        <f ca="1">IFERROR(__xludf.DUMMYFUNCTION("""COMPUTED_VALUE"""),51.11)</f>
        <v>51.11</v>
      </c>
      <c r="AO85" s="3">
        <f ca="1">IFERROR(__xludf.DUMMYFUNCTION("""COMPUTED_VALUE"""),51.29)</f>
        <v>51.29</v>
      </c>
      <c r="AP85" s="3">
        <f ca="1">IFERROR(__xludf.DUMMYFUNCTION("""COMPUTED_VALUE"""),13446838)</f>
        <v>13446838</v>
      </c>
      <c r="AQ85" s="4">
        <f ca="1">IFERROR(__xludf.DUMMYFUNCTION("""COMPUTED_VALUE"""),42247.6666666666)</f>
        <v>42247.666666666599</v>
      </c>
      <c r="AR85" s="3">
        <f ca="1">IFERROR(__xludf.DUMMYFUNCTION("""COMPUTED_VALUE"""),43.44)</f>
        <v>43.44</v>
      </c>
      <c r="AS85" s="3">
        <f ca="1">IFERROR(__xludf.DUMMYFUNCTION("""COMPUTED_VALUE"""),43.68)</f>
        <v>43.68</v>
      </c>
      <c r="AT85" s="3">
        <f ca="1">IFERROR(__xludf.DUMMYFUNCTION("""COMPUTED_VALUE"""),42.88)</f>
        <v>42.88</v>
      </c>
      <c r="AU85" s="3">
        <f ca="1">IFERROR(__xludf.DUMMYFUNCTION("""COMPUTED_VALUE"""),43.36)</f>
        <v>43.36</v>
      </c>
      <c r="AV85" s="3">
        <f ca="1">IFERROR(__xludf.DUMMYFUNCTION("""COMPUTED_VALUE"""),8999365)</f>
        <v>8999365</v>
      </c>
      <c r="AW85" s="4">
        <f ca="1">IFERROR(__xludf.DUMMYFUNCTION("""COMPUTED_VALUE"""),42411.6666666666)</f>
        <v>42411.666666666599</v>
      </c>
      <c r="AX85" s="3">
        <f ca="1">IFERROR(__xludf.DUMMYFUNCTION("""COMPUTED_VALUE"""),27.3)</f>
        <v>27.3</v>
      </c>
      <c r="AY85" s="3">
        <f ca="1">IFERROR(__xludf.DUMMYFUNCTION("""COMPUTED_VALUE"""),27.3)</f>
        <v>27.3</v>
      </c>
      <c r="AZ85" s="3">
        <f ca="1">IFERROR(__xludf.DUMMYFUNCTION("""COMPUTED_VALUE"""),27.22)</f>
        <v>27.22</v>
      </c>
      <c r="BA85" s="3">
        <f ca="1">IFERROR(__xludf.DUMMYFUNCTION("""COMPUTED_VALUE"""),27.22)</f>
        <v>27.22</v>
      </c>
      <c r="BB85" s="3">
        <f ca="1">IFERROR(__xludf.DUMMYFUNCTION("""COMPUTED_VALUE"""),810)</f>
        <v>810</v>
      </c>
      <c r="BC85" s="4">
        <f ca="1">IFERROR(__xludf.DUMMYFUNCTION("""COMPUTED_VALUE"""),42247.6666666666)</f>
        <v>42247.666666666599</v>
      </c>
      <c r="BD85" s="3">
        <f ca="1">IFERROR(__xludf.DUMMYFUNCTION("""COMPUTED_VALUE"""),40.27)</f>
        <v>40.270000000000003</v>
      </c>
      <c r="BE85" s="3">
        <f ca="1">IFERROR(__xludf.DUMMYFUNCTION("""COMPUTED_VALUE"""),40.67)</f>
        <v>40.67</v>
      </c>
      <c r="BF85" s="3">
        <f ca="1">IFERROR(__xludf.DUMMYFUNCTION("""COMPUTED_VALUE"""),40.13)</f>
        <v>40.130000000000003</v>
      </c>
      <c r="BG85" s="3">
        <f ca="1">IFERROR(__xludf.DUMMYFUNCTION("""COMPUTED_VALUE"""),40.23)</f>
        <v>40.229999999999997</v>
      </c>
      <c r="BH85" s="3">
        <f ca="1">IFERROR(__xludf.DUMMYFUNCTION("""COMPUTED_VALUE"""),11050274)</f>
        <v>11050274</v>
      </c>
      <c r="BI85" s="4">
        <f ca="1">IFERROR(__xludf.DUMMYFUNCTION("""COMPUTED_VALUE"""),42247.6666666666)</f>
        <v>42247.666666666599</v>
      </c>
      <c r="BJ85" s="3">
        <f ca="1">IFERROR(__xludf.DUMMYFUNCTION("""COMPUTED_VALUE"""),43.09)</f>
        <v>43.09</v>
      </c>
      <c r="BK85" s="3">
        <f ca="1">IFERROR(__xludf.DUMMYFUNCTION("""COMPUTED_VALUE"""),43.09)</f>
        <v>43.09</v>
      </c>
      <c r="BL85" s="3">
        <f ca="1">IFERROR(__xludf.DUMMYFUNCTION("""COMPUTED_VALUE"""),42.11)</f>
        <v>42.11</v>
      </c>
      <c r="BM85" s="3">
        <f ca="1">IFERROR(__xludf.DUMMYFUNCTION("""COMPUTED_VALUE"""),42.46)</f>
        <v>42.46</v>
      </c>
      <c r="BN85" s="3">
        <f ca="1">IFERROR(__xludf.DUMMYFUNCTION("""COMPUTED_VALUE"""),12078424)</f>
        <v>12078424</v>
      </c>
    </row>
    <row r="86" spans="7:66" ht="13" x14ac:dyDescent="0.15">
      <c r="G86" s="4">
        <f ca="1">IFERROR(__xludf.DUMMYFUNCTION("""COMPUTED_VALUE"""),42248.6666666666)</f>
        <v>42248.666666666599</v>
      </c>
      <c r="H86" s="3">
        <f ca="1">IFERROR(__xludf.DUMMYFUNCTION("""COMPUTED_VALUE"""),73.34)</f>
        <v>73.34</v>
      </c>
      <c r="I86" s="3">
        <f ca="1">IFERROR(__xludf.DUMMYFUNCTION("""COMPUTED_VALUE"""),74.21)</f>
        <v>74.209999999999994</v>
      </c>
      <c r="J86" s="3">
        <f ca="1">IFERROR(__xludf.DUMMYFUNCTION("""COMPUTED_VALUE"""),72.67)</f>
        <v>72.67</v>
      </c>
      <c r="K86" s="3">
        <f ca="1">IFERROR(__xludf.DUMMYFUNCTION("""COMPUTED_VALUE"""),73.08)</f>
        <v>73.08</v>
      </c>
      <c r="L86" s="3">
        <f ca="1">IFERROR(__xludf.DUMMYFUNCTION("""COMPUTED_VALUE"""),13939912)</f>
        <v>13939912</v>
      </c>
      <c r="M86" s="4">
        <f ca="1">IFERROR(__xludf.DUMMYFUNCTION("""COMPUTED_VALUE"""),42248.6666666666)</f>
        <v>42248.666666666599</v>
      </c>
      <c r="N86" s="3">
        <f ca="1">IFERROR(__xludf.DUMMYFUNCTION("""COMPUTED_VALUE"""),46.37)</f>
        <v>46.37</v>
      </c>
      <c r="O86" s="3">
        <f ca="1">IFERROR(__xludf.DUMMYFUNCTION("""COMPUTED_VALUE"""),46.85)</f>
        <v>46.85</v>
      </c>
      <c r="P86" s="3">
        <f ca="1">IFERROR(__xludf.DUMMYFUNCTION("""COMPUTED_VALUE"""),46.05)</f>
        <v>46.05</v>
      </c>
      <c r="Q86" s="3">
        <f ca="1">IFERROR(__xludf.DUMMYFUNCTION("""COMPUTED_VALUE"""),46.34)</f>
        <v>46.34</v>
      </c>
      <c r="R86" s="3">
        <f ca="1">IFERROR(__xludf.DUMMYFUNCTION("""COMPUTED_VALUE"""),15589260)</f>
        <v>15589260</v>
      </c>
      <c r="S86" s="4">
        <f ca="1">IFERROR(__xludf.DUMMYFUNCTION("""COMPUTED_VALUE"""),42248.6666666666)</f>
        <v>42248.666666666599</v>
      </c>
      <c r="T86" s="3">
        <f ca="1">IFERROR(__xludf.DUMMYFUNCTION("""COMPUTED_VALUE"""),64.52)</f>
        <v>64.52</v>
      </c>
      <c r="U86" s="3">
        <f ca="1">IFERROR(__xludf.DUMMYFUNCTION("""COMPUTED_VALUE"""),65.28)</f>
        <v>65.28</v>
      </c>
      <c r="V86" s="3">
        <f ca="1">IFERROR(__xludf.DUMMYFUNCTION("""COMPUTED_VALUE"""),63.54)</f>
        <v>63.54</v>
      </c>
      <c r="W86" s="3">
        <f ca="1">IFERROR(__xludf.DUMMYFUNCTION("""COMPUTED_VALUE"""),64.09)</f>
        <v>64.09</v>
      </c>
      <c r="X86" s="3">
        <f ca="1">IFERROR(__xludf.DUMMYFUNCTION("""COMPUTED_VALUE"""),28712604)</f>
        <v>28712604</v>
      </c>
      <c r="Y86" s="4">
        <f ca="1">IFERROR(__xludf.DUMMYFUNCTION("""COMPUTED_VALUE"""),42248.6666666666)</f>
        <v>42248.666666666599</v>
      </c>
      <c r="Z86" s="3">
        <f ca="1">IFERROR(__xludf.DUMMYFUNCTION("""COMPUTED_VALUE"""),18.62)</f>
        <v>18.62</v>
      </c>
      <c r="AA86" s="3">
        <f ca="1">IFERROR(__xludf.DUMMYFUNCTION("""COMPUTED_VALUE"""),18.72)</f>
        <v>18.72</v>
      </c>
      <c r="AB86" s="3">
        <f ca="1">IFERROR(__xludf.DUMMYFUNCTION("""COMPUTED_VALUE"""),18.27)</f>
        <v>18.27</v>
      </c>
      <c r="AC86" s="3">
        <f ca="1">IFERROR(__xludf.DUMMYFUNCTION("""COMPUTED_VALUE"""),18.41)</f>
        <v>18.41</v>
      </c>
      <c r="AD86" s="3">
        <f ca="1">IFERROR(__xludf.DUMMYFUNCTION("""COMPUTED_VALUE"""),70101114)</f>
        <v>70101114</v>
      </c>
      <c r="AE86" s="4">
        <f ca="1">IFERROR(__xludf.DUMMYFUNCTION("""COMPUTED_VALUE"""),42248.6666666666)</f>
        <v>42248.666666666599</v>
      </c>
      <c r="AF86" s="3">
        <f ca="1">IFERROR(__xludf.DUMMYFUNCTION("""COMPUTED_VALUE"""),68.64)</f>
        <v>68.64</v>
      </c>
      <c r="AG86" s="3">
        <f ca="1">IFERROR(__xludf.DUMMYFUNCTION("""COMPUTED_VALUE"""),69.76)</f>
        <v>69.760000000000005</v>
      </c>
      <c r="AH86" s="3">
        <f ca="1">IFERROR(__xludf.DUMMYFUNCTION("""COMPUTED_VALUE"""),68.32)</f>
        <v>68.319999999999993</v>
      </c>
      <c r="AI86" s="3">
        <f ca="1">IFERROR(__xludf.DUMMYFUNCTION("""COMPUTED_VALUE"""),68.64)</f>
        <v>68.64</v>
      </c>
      <c r="AJ86" s="3">
        <f ca="1">IFERROR(__xludf.DUMMYFUNCTION("""COMPUTED_VALUE"""),21723623)</f>
        <v>21723623</v>
      </c>
      <c r="AK86" s="4">
        <f ca="1">IFERROR(__xludf.DUMMYFUNCTION("""COMPUTED_VALUE"""),42248.6666666666)</f>
        <v>42248.666666666599</v>
      </c>
      <c r="AL86" s="3">
        <f ca="1">IFERROR(__xludf.DUMMYFUNCTION("""COMPUTED_VALUE"""),50.21)</f>
        <v>50.21</v>
      </c>
      <c r="AM86" s="3">
        <f ca="1">IFERROR(__xludf.DUMMYFUNCTION("""COMPUTED_VALUE"""),50.78)</f>
        <v>50.78</v>
      </c>
      <c r="AN86" s="3">
        <f ca="1">IFERROR(__xludf.DUMMYFUNCTION("""COMPUTED_VALUE"""),49.68)</f>
        <v>49.68</v>
      </c>
      <c r="AO86" s="3">
        <f ca="1">IFERROR(__xludf.DUMMYFUNCTION("""COMPUTED_VALUE"""),49.93)</f>
        <v>49.93</v>
      </c>
      <c r="AP86" s="3">
        <f ca="1">IFERROR(__xludf.DUMMYFUNCTION("""COMPUTED_VALUE"""),14607007)</f>
        <v>14607007</v>
      </c>
      <c r="AQ86" s="4">
        <f ca="1">IFERROR(__xludf.DUMMYFUNCTION("""COMPUTED_VALUE"""),42248.6666666666)</f>
        <v>42248.666666666599</v>
      </c>
      <c r="AR86" s="3">
        <f ca="1">IFERROR(__xludf.DUMMYFUNCTION("""COMPUTED_VALUE"""),42.22)</f>
        <v>42.22</v>
      </c>
      <c r="AS86" s="3">
        <f ca="1">IFERROR(__xludf.DUMMYFUNCTION("""COMPUTED_VALUE"""),42.76)</f>
        <v>42.76</v>
      </c>
      <c r="AT86" s="3">
        <f ca="1">IFERROR(__xludf.DUMMYFUNCTION("""COMPUTED_VALUE"""),41.78)</f>
        <v>41.78</v>
      </c>
      <c r="AU86" s="3">
        <f ca="1">IFERROR(__xludf.DUMMYFUNCTION("""COMPUTED_VALUE"""),42.04)</f>
        <v>42.04</v>
      </c>
      <c r="AV86" s="3">
        <f ca="1">IFERROR(__xludf.DUMMYFUNCTION("""COMPUTED_VALUE"""),8989213)</f>
        <v>8989213</v>
      </c>
      <c r="AW86" s="4">
        <f ca="1">IFERROR(__xludf.DUMMYFUNCTION("""COMPUTED_VALUE"""),42412.6666666666)</f>
        <v>42412.666666666599</v>
      </c>
      <c r="AX86" s="3">
        <f ca="1">IFERROR(__xludf.DUMMYFUNCTION("""COMPUTED_VALUE"""),27.22)</f>
        <v>27.22</v>
      </c>
      <c r="AY86" s="3">
        <f ca="1">IFERROR(__xludf.DUMMYFUNCTION("""COMPUTED_VALUE"""),27.51)</f>
        <v>27.51</v>
      </c>
      <c r="AZ86" s="3">
        <f ca="1">IFERROR(__xludf.DUMMYFUNCTION("""COMPUTED_VALUE"""),27.22)</f>
        <v>27.22</v>
      </c>
      <c r="BA86" s="3">
        <f ca="1">IFERROR(__xludf.DUMMYFUNCTION("""COMPUTED_VALUE"""),27.49)</f>
        <v>27.49</v>
      </c>
      <c r="BB86" s="3">
        <f ca="1">IFERROR(__xludf.DUMMYFUNCTION("""COMPUTED_VALUE"""),1823)</f>
        <v>1823</v>
      </c>
      <c r="BC86" s="4">
        <f ca="1">IFERROR(__xludf.DUMMYFUNCTION("""COMPUTED_VALUE"""),42248.6666666666)</f>
        <v>42248.666666666599</v>
      </c>
      <c r="BD86" s="3">
        <f ca="1">IFERROR(__xludf.DUMMYFUNCTION("""COMPUTED_VALUE"""),39.38)</f>
        <v>39.380000000000003</v>
      </c>
      <c r="BE86" s="3">
        <f ca="1">IFERROR(__xludf.DUMMYFUNCTION("""COMPUTED_VALUE"""),39.72)</f>
        <v>39.72</v>
      </c>
      <c r="BF86" s="3">
        <f ca="1">IFERROR(__xludf.DUMMYFUNCTION("""COMPUTED_VALUE"""),38.75)</f>
        <v>38.75</v>
      </c>
      <c r="BG86" s="3">
        <f ca="1">IFERROR(__xludf.DUMMYFUNCTION("""COMPUTED_VALUE"""),38.94)</f>
        <v>38.94</v>
      </c>
      <c r="BH86" s="3">
        <f ca="1">IFERROR(__xludf.DUMMYFUNCTION("""COMPUTED_VALUE"""),21289046)</f>
        <v>21289046</v>
      </c>
      <c r="BI86" s="4">
        <f ca="1">IFERROR(__xludf.DUMMYFUNCTION("""COMPUTED_VALUE"""),42248.6666666666)</f>
        <v>42248.666666666599</v>
      </c>
      <c r="BJ86" s="3">
        <f ca="1">IFERROR(__xludf.DUMMYFUNCTION("""COMPUTED_VALUE"""),42)</f>
        <v>42</v>
      </c>
      <c r="BK86" s="3">
        <f ca="1">IFERROR(__xludf.DUMMYFUNCTION("""COMPUTED_VALUE"""),42.08)</f>
        <v>42.08</v>
      </c>
      <c r="BL86" s="3">
        <f ca="1">IFERROR(__xludf.DUMMYFUNCTION("""COMPUTED_VALUE"""),41.08)</f>
        <v>41.08</v>
      </c>
      <c r="BM86" s="3">
        <f ca="1">IFERROR(__xludf.DUMMYFUNCTION("""COMPUTED_VALUE"""),41.31)</f>
        <v>41.31</v>
      </c>
      <c r="BN86" s="3">
        <f ca="1">IFERROR(__xludf.DUMMYFUNCTION("""COMPUTED_VALUE"""),19406217)</f>
        <v>19406217</v>
      </c>
    </row>
    <row r="87" spans="7:66" ht="13" x14ac:dyDescent="0.15">
      <c r="G87" s="4">
        <f ca="1">IFERROR(__xludf.DUMMYFUNCTION("""COMPUTED_VALUE"""),42249.6666666666)</f>
        <v>42249.666666666599</v>
      </c>
      <c r="H87" s="3">
        <f ca="1">IFERROR(__xludf.DUMMYFUNCTION("""COMPUTED_VALUE"""),73.81)</f>
        <v>73.81</v>
      </c>
      <c r="I87" s="3">
        <f ca="1">IFERROR(__xludf.DUMMYFUNCTION("""COMPUTED_VALUE"""),74.64)</f>
        <v>74.64</v>
      </c>
      <c r="J87" s="3">
        <f ca="1">IFERROR(__xludf.DUMMYFUNCTION("""COMPUTED_VALUE"""),73.42)</f>
        <v>73.42</v>
      </c>
      <c r="K87" s="3">
        <f ca="1">IFERROR(__xludf.DUMMYFUNCTION("""COMPUTED_VALUE"""),74.62)</f>
        <v>74.62</v>
      </c>
      <c r="L87" s="3">
        <f ca="1">IFERROR(__xludf.DUMMYFUNCTION("""COMPUTED_VALUE"""),7694615)</f>
        <v>7694615</v>
      </c>
      <c r="M87" s="4">
        <f ca="1">IFERROR(__xludf.DUMMYFUNCTION("""COMPUTED_VALUE"""),42249.6666666666)</f>
        <v>42249.666666666599</v>
      </c>
      <c r="N87" s="3">
        <f ca="1">IFERROR(__xludf.DUMMYFUNCTION("""COMPUTED_VALUE"""),46.74)</f>
        <v>46.74</v>
      </c>
      <c r="O87" s="3">
        <f ca="1">IFERROR(__xludf.DUMMYFUNCTION("""COMPUTED_VALUE"""),46.98)</f>
        <v>46.98</v>
      </c>
      <c r="P87" s="3">
        <f ca="1">IFERROR(__xludf.DUMMYFUNCTION("""COMPUTED_VALUE"""),46.52)</f>
        <v>46.52</v>
      </c>
      <c r="Q87" s="3">
        <f ca="1">IFERROR(__xludf.DUMMYFUNCTION("""COMPUTED_VALUE"""),46.97)</f>
        <v>46.97</v>
      </c>
      <c r="R87" s="3">
        <f ca="1">IFERROR(__xludf.DUMMYFUNCTION("""COMPUTED_VALUE"""),9637270)</f>
        <v>9637270</v>
      </c>
      <c r="S87" s="4">
        <f ca="1">IFERROR(__xludf.DUMMYFUNCTION("""COMPUTED_VALUE"""),42249.6666666666)</f>
        <v>42249.666666666599</v>
      </c>
      <c r="T87" s="3">
        <f ca="1">IFERROR(__xludf.DUMMYFUNCTION("""COMPUTED_VALUE"""),65)</f>
        <v>65</v>
      </c>
      <c r="U87" s="3">
        <f ca="1">IFERROR(__xludf.DUMMYFUNCTION("""COMPUTED_VALUE"""),65.1)</f>
        <v>65.099999999999994</v>
      </c>
      <c r="V87" s="3">
        <f ca="1">IFERROR(__xludf.DUMMYFUNCTION("""COMPUTED_VALUE"""),63.18)</f>
        <v>63.18</v>
      </c>
      <c r="W87" s="3">
        <f ca="1">IFERROR(__xludf.DUMMYFUNCTION("""COMPUTED_VALUE"""),64.68)</f>
        <v>64.680000000000007</v>
      </c>
      <c r="X87" s="3">
        <f ca="1">IFERROR(__xludf.DUMMYFUNCTION("""COMPUTED_VALUE"""),25528924)</f>
        <v>25528924</v>
      </c>
      <c r="Y87" s="4">
        <f ca="1">IFERROR(__xludf.DUMMYFUNCTION("""COMPUTED_VALUE"""),42249.6666666666)</f>
        <v>42249.666666666599</v>
      </c>
      <c r="Z87" s="3">
        <f ca="1">IFERROR(__xludf.DUMMYFUNCTION("""COMPUTED_VALUE"""),18.65)</f>
        <v>18.649999999999999</v>
      </c>
      <c r="AA87" s="3">
        <f ca="1">IFERROR(__xludf.DUMMYFUNCTION("""COMPUTED_VALUE"""),18.71)</f>
        <v>18.71</v>
      </c>
      <c r="AB87" s="3">
        <f ca="1">IFERROR(__xludf.DUMMYFUNCTION("""COMPUTED_VALUE"""),18.42)</f>
        <v>18.420000000000002</v>
      </c>
      <c r="AC87" s="3">
        <f ca="1">IFERROR(__xludf.DUMMYFUNCTION("""COMPUTED_VALUE"""),18.66)</f>
        <v>18.66</v>
      </c>
      <c r="AD87" s="3">
        <f ca="1">IFERROR(__xludf.DUMMYFUNCTION("""COMPUTED_VALUE"""),42675581)</f>
        <v>42675581</v>
      </c>
      <c r="AE87" s="4">
        <f ca="1">IFERROR(__xludf.DUMMYFUNCTION("""COMPUTED_VALUE"""),42249.6666666666)</f>
        <v>42249.666666666599</v>
      </c>
      <c r="AF87" s="3">
        <f ca="1">IFERROR(__xludf.DUMMYFUNCTION("""COMPUTED_VALUE"""),69.78)</f>
        <v>69.78</v>
      </c>
      <c r="AG87" s="3">
        <f ca="1">IFERROR(__xludf.DUMMYFUNCTION("""COMPUTED_VALUE"""),70.05)</f>
        <v>70.05</v>
      </c>
      <c r="AH87" s="3">
        <f ca="1">IFERROR(__xludf.DUMMYFUNCTION("""COMPUTED_VALUE"""),68.91)</f>
        <v>68.91</v>
      </c>
      <c r="AI87" s="3">
        <f ca="1">IFERROR(__xludf.DUMMYFUNCTION("""COMPUTED_VALUE"""),70.05)</f>
        <v>70.05</v>
      </c>
      <c r="AJ87" s="3">
        <f ca="1">IFERROR(__xludf.DUMMYFUNCTION("""COMPUTED_VALUE"""),12491700)</f>
        <v>12491700</v>
      </c>
      <c r="AK87" s="4">
        <f ca="1">IFERROR(__xludf.DUMMYFUNCTION("""COMPUTED_VALUE"""),42249.6666666666)</f>
        <v>42249.666666666599</v>
      </c>
      <c r="AL87" s="3">
        <f ca="1">IFERROR(__xludf.DUMMYFUNCTION("""COMPUTED_VALUE"""),50.69)</f>
        <v>50.69</v>
      </c>
      <c r="AM87" s="3">
        <f ca="1">IFERROR(__xludf.DUMMYFUNCTION("""COMPUTED_VALUE"""),51.05)</f>
        <v>51.05</v>
      </c>
      <c r="AN87" s="3">
        <f ca="1">IFERROR(__xludf.DUMMYFUNCTION("""COMPUTED_VALUE"""),50.21)</f>
        <v>50.21</v>
      </c>
      <c r="AO87" s="3">
        <f ca="1">IFERROR(__xludf.DUMMYFUNCTION("""COMPUTED_VALUE"""),51.04)</f>
        <v>51.04</v>
      </c>
      <c r="AP87" s="3">
        <f ca="1">IFERROR(__xludf.DUMMYFUNCTION("""COMPUTED_VALUE"""),18173204)</f>
        <v>18173204</v>
      </c>
      <c r="AQ87" s="4">
        <f ca="1">IFERROR(__xludf.DUMMYFUNCTION("""COMPUTED_VALUE"""),42249.6666666666)</f>
        <v>42249.666666666599</v>
      </c>
      <c r="AR87" s="3">
        <f ca="1">IFERROR(__xludf.DUMMYFUNCTION("""COMPUTED_VALUE"""),42.55)</f>
        <v>42.55</v>
      </c>
      <c r="AS87" s="3">
        <f ca="1">IFERROR(__xludf.DUMMYFUNCTION("""COMPUTED_VALUE"""),42.69)</f>
        <v>42.69</v>
      </c>
      <c r="AT87" s="3">
        <f ca="1">IFERROR(__xludf.DUMMYFUNCTION("""COMPUTED_VALUE"""),41.99)</f>
        <v>41.99</v>
      </c>
      <c r="AU87" s="3">
        <f ca="1">IFERROR(__xludf.DUMMYFUNCTION("""COMPUTED_VALUE"""),42.64)</f>
        <v>42.64</v>
      </c>
      <c r="AV87" s="3">
        <f ca="1">IFERROR(__xludf.DUMMYFUNCTION("""COMPUTED_VALUE"""),7376502)</f>
        <v>7376502</v>
      </c>
      <c r="AW87" s="4">
        <f ca="1">IFERROR(__xludf.DUMMYFUNCTION("""COMPUTED_VALUE"""),42417.6666666666)</f>
        <v>42417.666666666599</v>
      </c>
      <c r="AX87" s="3">
        <f ca="1">IFERROR(__xludf.DUMMYFUNCTION("""COMPUTED_VALUE"""),28.4)</f>
        <v>28.4</v>
      </c>
      <c r="AY87" s="3">
        <f ca="1">IFERROR(__xludf.DUMMYFUNCTION("""COMPUTED_VALUE"""),28.45)</f>
        <v>28.45</v>
      </c>
      <c r="AZ87" s="3">
        <f ca="1">IFERROR(__xludf.DUMMYFUNCTION("""COMPUTED_VALUE"""),28.33)</f>
        <v>28.33</v>
      </c>
      <c r="BA87" s="3">
        <f ca="1">IFERROR(__xludf.DUMMYFUNCTION("""COMPUTED_VALUE"""),28.35)</f>
        <v>28.35</v>
      </c>
      <c r="BB87" s="3">
        <f ca="1">IFERROR(__xludf.DUMMYFUNCTION("""COMPUTED_VALUE"""),2640)</f>
        <v>2640</v>
      </c>
      <c r="BC87" s="4">
        <f ca="1">IFERROR(__xludf.DUMMYFUNCTION("""COMPUTED_VALUE"""),42249.6666666666)</f>
        <v>42249.666666666599</v>
      </c>
      <c r="BD87" s="3">
        <f ca="1">IFERROR(__xludf.DUMMYFUNCTION("""COMPUTED_VALUE"""),39.52)</f>
        <v>39.520000000000003</v>
      </c>
      <c r="BE87" s="3">
        <f ca="1">IFERROR(__xludf.DUMMYFUNCTION("""COMPUTED_VALUE"""),39.92)</f>
        <v>39.92</v>
      </c>
      <c r="BF87" s="3">
        <f ca="1">IFERROR(__xludf.DUMMYFUNCTION("""COMPUTED_VALUE"""),39.14)</f>
        <v>39.14</v>
      </c>
      <c r="BG87" s="3">
        <f ca="1">IFERROR(__xludf.DUMMYFUNCTION("""COMPUTED_VALUE"""),39.88)</f>
        <v>39.880000000000003</v>
      </c>
      <c r="BH87" s="3">
        <f ca="1">IFERROR(__xludf.DUMMYFUNCTION("""COMPUTED_VALUE"""),12685139)</f>
        <v>12685139</v>
      </c>
      <c r="BI87" s="4">
        <f ca="1">IFERROR(__xludf.DUMMYFUNCTION("""COMPUTED_VALUE"""),42249.6666666666)</f>
        <v>42249.666666666599</v>
      </c>
      <c r="BJ87" s="3">
        <f ca="1">IFERROR(__xludf.DUMMYFUNCTION("""COMPUTED_VALUE"""),41.6)</f>
        <v>41.6</v>
      </c>
      <c r="BK87" s="3">
        <f ca="1">IFERROR(__xludf.DUMMYFUNCTION("""COMPUTED_VALUE"""),41.73)</f>
        <v>41.73</v>
      </c>
      <c r="BL87" s="3">
        <f ca="1">IFERROR(__xludf.DUMMYFUNCTION("""COMPUTED_VALUE"""),40.99)</f>
        <v>40.99</v>
      </c>
      <c r="BM87" s="3">
        <f ca="1">IFERROR(__xludf.DUMMYFUNCTION("""COMPUTED_VALUE"""),41.34)</f>
        <v>41.34</v>
      </c>
      <c r="BN87" s="3">
        <f ca="1">IFERROR(__xludf.DUMMYFUNCTION("""COMPUTED_VALUE"""),9121700)</f>
        <v>9121700</v>
      </c>
    </row>
    <row r="88" spans="7:66" ht="13" x14ac:dyDescent="0.15">
      <c r="G88" s="4">
        <f ca="1">IFERROR(__xludf.DUMMYFUNCTION("""COMPUTED_VALUE"""),42250.6666666666)</f>
        <v>42250.666666666599</v>
      </c>
      <c r="H88" s="3">
        <f ca="1">IFERROR(__xludf.DUMMYFUNCTION("""COMPUTED_VALUE"""),74.77)</f>
        <v>74.77</v>
      </c>
      <c r="I88" s="3">
        <f ca="1">IFERROR(__xludf.DUMMYFUNCTION("""COMPUTED_VALUE"""),75.61)</f>
        <v>75.61</v>
      </c>
      <c r="J88" s="3">
        <f ca="1">IFERROR(__xludf.DUMMYFUNCTION("""COMPUTED_VALUE"""),74.4)</f>
        <v>74.400000000000006</v>
      </c>
      <c r="K88" s="3">
        <f ca="1">IFERROR(__xludf.DUMMYFUNCTION("""COMPUTED_VALUE"""),74.65)</f>
        <v>74.650000000000006</v>
      </c>
      <c r="L88" s="3">
        <f ca="1">IFERROR(__xludf.DUMMYFUNCTION("""COMPUTED_VALUE"""),6600759)</f>
        <v>6600759</v>
      </c>
      <c r="M88" s="4">
        <f ca="1">IFERROR(__xludf.DUMMYFUNCTION("""COMPUTED_VALUE"""),42250.6666666666)</f>
        <v>42250.666666666599</v>
      </c>
      <c r="N88" s="3">
        <f ca="1">IFERROR(__xludf.DUMMYFUNCTION("""COMPUTED_VALUE"""),47.16)</f>
        <v>47.16</v>
      </c>
      <c r="O88" s="3">
        <f ca="1">IFERROR(__xludf.DUMMYFUNCTION("""COMPUTED_VALUE"""),47.58)</f>
        <v>47.58</v>
      </c>
      <c r="P88" s="3">
        <f ca="1">IFERROR(__xludf.DUMMYFUNCTION("""COMPUTED_VALUE"""),47.06)</f>
        <v>47.06</v>
      </c>
      <c r="Q88" s="3">
        <f ca="1">IFERROR(__xludf.DUMMYFUNCTION("""COMPUTED_VALUE"""),47.29)</f>
        <v>47.29</v>
      </c>
      <c r="R88" s="3">
        <f ca="1">IFERROR(__xludf.DUMMYFUNCTION("""COMPUTED_VALUE"""),7626783)</f>
        <v>7626783</v>
      </c>
      <c r="S88" s="4">
        <f ca="1">IFERROR(__xludf.DUMMYFUNCTION("""COMPUTED_VALUE"""),42250.6666666666)</f>
        <v>42250.666666666599</v>
      </c>
      <c r="T88" s="3">
        <f ca="1">IFERROR(__xludf.DUMMYFUNCTION("""COMPUTED_VALUE"""),65.11)</f>
        <v>65.11</v>
      </c>
      <c r="U88" s="3">
        <f ca="1">IFERROR(__xludf.DUMMYFUNCTION("""COMPUTED_VALUE"""),66.25)</f>
        <v>66.25</v>
      </c>
      <c r="V88" s="3">
        <f ca="1">IFERROR(__xludf.DUMMYFUNCTION("""COMPUTED_VALUE"""),64.46)</f>
        <v>64.459999999999994</v>
      </c>
      <c r="W88" s="3">
        <f ca="1">IFERROR(__xludf.DUMMYFUNCTION("""COMPUTED_VALUE"""),64.86)</f>
        <v>64.86</v>
      </c>
      <c r="X88" s="3">
        <f ca="1">IFERROR(__xludf.DUMMYFUNCTION("""COMPUTED_VALUE"""),21895034)</f>
        <v>21895034</v>
      </c>
      <c r="Y88" s="4">
        <f ca="1">IFERROR(__xludf.DUMMYFUNCTION("""COMPUTED_VALUE"""),42250.6666666666)</f>
        <v>42250.666666666599</v>
      </c>
      <c r="Z88" s="3">
        <f ca="1">IFERROR(__xludf.DUMMYFUNCTION("""COMPUTED_VALUE"""),18.72)</f>
        <v>18.72</v>
      </c>
      <c r="AA88" s="3">
        <f ca="1">IFERROR(__xludf.DUMMYFUNCTION("""COMPUTED_VALUE"""),18.96)</f>
        <v>18.96</v>
      </c>
      <c r="AB88" s="3">
        <f ca="1">IFERROR(__xludf.DUMMYFUNCTION("""COMPUTED_VALUE"""),18.69)</f>
        <v>18.690000000000001</v>
      </c>
      <c r="AC88" s="3">
        <f ca="1">IFERROR(__xludf.DUMMYFUNCTION("""COMPUTED_VALUE"""),18.77)</f>
        <v>18.77</v>
      </c>
      <c r="AD88" s="3">
        <f ca="1">IFERROR(__xludf.DUMMYFUNCTION("""COMPUTED_VALUE"""),48963103)</f>
        <v>48963103</v>
      </c>
      <c r="AE88" s="4">
        <f ca="1">IFERROR(__xludf.DUMMYFUNCTION("""COMPUTED_VALUE"""),42250.6666666666)</f>
        <v>42250.666666666599</v>
      </c>
      <c r="AF88" s="3">
        <f ca="1">IFERROR(__xludf.DUMMYFUNCTION("""COMPUTED_VALUE"""),70.45)</f>
        <v>70.45</v>
      </c>
      <c r="AG88" s="3">
        <f ca="1">IFERROR(__xludf.DUMMYFUNCTION("""COMPUTED_VALUE"""),70.84)</f>
        <v>70.84</v>
      </c>
      <c r="AH88" s="3">
        <f ca="1">IFERROR(__xludf.DUMMYFUNCTION("""COMPUTED_VALUE"""),69.39)</f>
        <v>69.39</v>
      </c>
      <c r="AI88" s="3">
        <f ca="1">IFERROR(__xludf.DUMMYFUNCTION("""COMPUTED_VALUE"""),69.55)</f>
        <v>69.55</v>
      </c>
      <c r="AJ88" s="3">
        <f ca="1">IFERROR(__xludf.DUMMYFUNCTION("""COMPUTED_VALUE"""),14080063)</f>
        <v>14080063</v>
      </c>
      <c r="AK88" s="4">
        <f ca="1">IFERROR(__xludf.DUMMYFUNCTION("""COMPUTED_VALUE"""),42250.6666666666)</f>
        <v>42250.666666666599</v>
      </c>
      <c r="AL88" s="3">
        <f ca="1">IFERROR(__xludf.DUMMYFUNCTION("""COMPUTED_VALUE"""),51.16)</f>
        <v>51.16</v>
      </c>
      <c r="AM88" s="3">
        <f ca="1">IFERROR(__xludf.DUMMYFUNCTION("""COMPUTED_VALUE"""),51.58)</f>
        <v>51.58</v>
      </c>
      <c r="AN88" s="3">
        <f ca="1">IFERROR(__xludf.DUMMYFUNCTION("""COMPUTED_VALUE"""),50.93)</f>
        <v>50.93</v>
      </c>
      <c r="AO88" s="3">
        <f ca="1">IFERROR(__xludf.DUMMYFUNCTION("""COMPUTED_VALUE"""),51.07)</f>
        <v>51.07</v>
      </c>
      <c r="AP88" s="3">
        <f ca="1">IFERROR(__xludf.DUMMYFUNCTION("""COMPUTED_VALUE"""),10907311)</f>
        <v>10907311</v>
      </c>
      <c r="AQ88" s="4">
        <f ca="1">IFERROR(__xludf.DUMMYFUNCTION("""COMPUTED_VALUE"""),42250.6666666666)</f>
        <v>42250.666666666599</v>
      </c>
      <c r="AR88" s="3">
        <f ca="1">IFERROR(__xludf.DUMMYFUNCTION("""COMPUTED_VALUE"""),42.75)</f>
        <v>42.75</v>
      </c>
      <c r="AS88" s="3">
        <f ca="1">IFERROR(__xludf.DUMMYFUNCTION("""COMPUTED_VALUE"""),43.38)</f>
        <v>43.38</v>
      </c>
      <c r="AT88" s="3">
        <f ca="1">IFERROR(__xludf.DUMMYFUNCTION("""COMPUTED_VALUE"""),42.71)</f>
        <v>42.71</v>
      </c>
      <c r="AU88" s="3">
        <f ca="1">IFERROR(__xludf.DUMMYFUNCTION("""COMPUTED_VALUE"""),42.9)</f>
        <v>42.9</v>
      </c>
      <c r="AV88" s="3">
        <f ca="1">IFERROR(__xludf.DUMMYFUNCTION("""COMPUTED_VALUE"""),4859450)</f>
        <v>4859450</v>
      </c>
      <c r="AW88" s="4">
        <f ca="1">IFERROR(__xludf.DUMMYFUNCTION("""COMPUTED_VALUE"""),42418.6666666666)</f>
        <v>42418.666666666599</v>
      </c>
      <c r="AX88" s="3">
        <f ca="1">IFERROR(__xludf.DUMMYFUNCTION("""COMPUTED_VALUE"""),28.48)</f>
        <v>28.48</v>
      </c>
      <c r="AY88" s="3">
        <f ca="1">IFERROR(__xludf.DUMMYFUNCTION("""COMPUTED_VALUE"""),28.7)</f>
        <v>28.7</v>
      </c>
      <c r="AZ88" s="3">
        <f ca="1">IFERROR(__xludf.DUMMYFUNCTION("""COMPUTED_VALUE"""),28.48)</f>
        <v>28.48</v>
      </c>
      <c r="BA88" s="3">
        <f ca="1">IFERROR(__xludf.DUMMYFUNCTION("""COMPUTED_VALUE"""),28.7)</f>
        <v>28.7</v>
      </c>
      <c r="BB88" s="3">
        <f ca="1">IFERROR(__xludf.DUMMYFUNCTION("""COMPUTED_VALUE"""),3898)</f>
        <v>3898</v>
      </c>
      <c r="BC88" s="4">
        <f ca="1">IFERROR(__xludf.DUMMYFUNCTION("""COMPUTED_VALUE"""),42250.6666666666)</f>
        <v>42250.666666666599</v>
      </c>
      <c r="BD88" s="3">
        <f ca="1">IFERROR(__xludf.DUMMYFUNCTION("""COMPUTED_VALUE"""),40.1)</f>
        <v>40.1</v>
      </c>
      <c r="BE88" s="3">
        <f ca="1">IFERROR(__xludf.DUMMYFUNCTION("""COMPUTED_VALUE"""),40.42)</f>
        <v>40.42</v>
      </c>
      <c r="BF88" s="3">
        <f ca="1">IFERROR(__xludf.DUMMYFUNCTION("""COMPUTED_VALUE"""),39.79)</f>
        <v>39.79</v>
      </c>
      <c r="BG88" s="3">
        <f ca="1">IFERROR(__xludf.DUMMYFUNCTION("""COMPUTED_VALUE"""),39.91)</f>
        <v>39.909999999999997</v>
      </c>
      <c r="BH88" s="3">
        <f ca="1">IFERROR(__xludf.DUMMYFUNCTION("""COMPUTED_VALUE"""),11031133)</f>
        <v>11031133</v>
      </c>
      <c r="BI88" s="4">
        <f ca="1">IFERROR(__xludf.DUMMYFUNCTION("""COMPUTED_VALUE"""),42250.6666666666)</f>
        <v>42250.666666666599</v>
      </c>
      <c r="BJ88" s="3">
        <f ca="1">IFERROR(__xludf.DUMMYFUNCTION("""COMPUTED_VALUE"""),41.25)</f>
        <v>41.25</v>
      </c>
      <c r="BK88" s="3">
        <f ca="1">IFERROR(__xludf.DUMMYFUNCTION("""COMPUTED_VALUE"""),41.74)</f>
        <v>41.74</v>
      </c>
      <c r="BL88" s="3">
        <f ca="1">IFERROR(__xludf.DUMMYFUNCTION("""COMPUTED_VALUE"""),41.25)</f>
        <v>41.25</v>
      </c>
      <c r="BM88" s="3">
        <f ca="1">IFERROR(__xludf.DUMMYFUNCTION("""COMPUTED_VALUE"""),41.53)</f>
        <v>41.53</v>
      </c>
      <c r="BN88" s="3">
        <f ca="1">IFERROR(__xludf.DUMMYFUNCTION("""COMPUTED_VALUE"""),8585161)</f>
        <v>8585161</v>
      </c>
    </row>
    <row r="89" spans="7:66" ht="13" x14ac:dyDescent="0.15">
      <c r="G89" s="4">
        <f ca="1">IFERROR(__xludf.DUMMYFUNCTION("""COMPUTED_VALUE"""),42251.6666666666)</f>
        <v>42251.666666666599</v>
      </c>
      <c r="H89" s="3">
        <f ca="1">IFERROR(__xludf.DUMMYFUNCTION("""COMPUTED_VALUE"""),73.57)</f>
        <v>73.569999999999993</v>
      </c>
      <c r="I89" s="3">
        <f ca="1">IFERROR(__xludf.DUMMYFUNCTION("""COMPUTED_VALUE"""),74.28)</f>
        <v>74.28</v>
      </c>
      <c r="J89" s="3">
        <f ca="1">IFERROR(__xludf.DUMMYFUNCTION("""COMPUTED_VALUE"""),73.23)</f>
        <v>73.23</v>
      </c>
      <c r="K89" s="3">
        <f ca="1">IFERROR(__xludf.DUMMYFUNCTION("""COMPUTED_VALUE"""),73.85)</f>
        <v>73.849999999999994</v>
      </c>
      <c r="L89" s="3">
        <f ca="1">IFERROR(__xludf.DUMMYFUNCTION("""COMPUTED_VALUE"""),7155582)</f>
        <v>7155582</v>
      </c>
      <c r="M89" s="4">
        <f ca="1">IFERROR(__xludf.DUMMYFUNCTION("""COMPUTED_VALUE"""),42251.6666666666)</f>
        <v>42251.666666666599</v>
      </c>
      <c r="N89" s="3">
        <f ca="1">IFERROR(__xludf.DUMMYFUNCTION("""COMPUTED_VALUE"""),46.67)</f>
        <v>46.67</v>
      </c>
      <c r="O89" s="3">
        <f ca="1">IFERROR(__xludf.DUMMYFUNCTION("""COMPUTED_VALUE"""),46.79)</f>
        <v>46.79</v>
      </c>
      <c r="P89" s="3">
        <f ca="1">IFERROR(__xludf.DUMMYFUNCTION("""COMPUTED_VALUE"""),46.34)</f>
        <v>46.34</v>
      </c>
      <c r="Q89" s="3">
        <f ca="1">IFERROR(__xludf.DUMMYFUNCTION("""COMPUTED_VALUE"""),46.52)</f>
        <v>46.52</v>
      </c>
      <c r="R89" s="3">
        <f ca="1">IFERROR(__xludf.DUMMYFUNCTION("""COMPUTED_VALUE"""),10507112)</f>
        <v>10507112</v>
      </c>
      <c r="S89" s="4">
        <f ca="1">IFERROR(__xludf.DUMMYFUNCTION("""COMPUTED_VALUE"""),42251.6666666666)</f>
        <v>42251.666666666599</v>
      </c>
      <c r="T89" s="3">
        <f ca="1">IFERROR(__xludf.DUMMYFUNCTION("""COMPUTED_VALUE"""),63.93)</f>
        <v>63.93</v>
      </c>
      <c r="U89" s="3">
        <f ca="1">IFERROR(__xludf.DUMMYFUNCTION("""COMPUTED_VALUE"""),64.25)</f>
        <v>64.25</v>
      </c>
      <c r="V89" s="3">
        <f ca="1">IFERROR(__xludf.DUMMYFUNCTION("""COMPUTED_VALUE"""),63.52)</f>
        <v>63.52</v>
      </c>
      <c r="W89" s="3">
        <f ca="1">IFERROR(__xludf.DUMMYFUNCTION("""COMPUTED_VALUE"""),63.79)</f>
        <v>63.79</v>
      </c>
      <c r="X89" s="3">
        <f ca="1">IFERROR(__xludf.DUMMYFUNCTION("""COMPUTED_VALUE"""),16684209)</f>
        <v>16684209</v>
      </c>
      <c r="Y89" s="4">
        <f ca="1">IFERROR(__xludf.DUMMYFUNCTION("""COMPUTED_VALUE"""),42251.6666666666)</f>
        <v>42251.666666666599</v>
      </c>
      <c r="Z89" s="3">
        <f ca="1">IFERROR(__xludf.DUMMYFUNCTION("""COMPUTED_VALUE"""),18.5)</f>
        <v>18.5</v>
      </c>
      <c r="AA89" s="3">
        <f ca="1">IFERROR(__xludf.DUMMYFUNCTION("""COMPUTED_VALUE"""),18.56)</f>
        <v>18.559999999999999</v>
      </c>
      <c r="AB89" s="3">
        <f ca="1">IFERROR(__xludf.DUMMYFUNCTION("""COMPUTED_VALUE"""),18.27)</f>
        <v>18.27</v>
      </c>
      <c r="AC89" s="3">
        <f ca="1">IFERROR(__xludf.DUMMYFUNCTION("""COMPUTED_VALUE"""),18.39)</f>
        <v>18.39</v>
      </c>
      <c r="AD89" s="3">
        <f ca="1">IFERROR(__xludf.DUMMYFUNCTION("""COMPUTED_VALUE"""),44037443)</f>
        <v>44037443</v>
      </c>
      <c r="AE89" s="4">
        <f ca="1">IFERROR(__xludf.DUMMYFUNCTION("""COMPUTED_VALUE"""),42251.6666666666)</f>
        <v>42251.666666666599</v>
      </c>
      <c r="AF89" s="3">
        <f ca="1">IFERROR(__xludf.DUMMYFUNCTION("""COMPUTED_VALUE"""),68.49)</f>
        <v>68.489999999999995</v>
      </c>
      <c r="AG89" s="3">
        <f ca="1">IFERROR(__xludf.DUMMYFUNCTION("""COMPUTED_VALUE"""),69.27)</f>
        <v>69.27</v>
      </c>
      <c r="AH89" s="3">
        <f ca="1">IFERROR(__xludf.DUMMYFUNCTION("""COMPUTED_VALUE"""),68.18)</f>
        <v>68.180000000000007</v>
      </c>
      <c r="AI89" s="3">
        <f ca="1">IFERROR(__xludf.DUMMYFUNCTION("""COMPUTED_VALUE"""),68.68)</f>
        <v>68.680000000000007</v>
      </c>
      <c r="AJ89" s="3">
        <f ca="1">IFERROR(__xludf.DUMMYFUNCTION("""COMPUTED_VALUE"""),16587918)</f>
        <v>16587918</v>
      </c>
      <c r="AK89" s="4">
        <f ca="1">IFERROR(__xludf.DUMMYFUNCTION("""COMPUTED_VALUE"""),42251.6666666666)</f>
        <v>42251.666666666599</v>
      </c>
      <c r="AL89" s="3">
        <f ca="1">IFERROR(__xludf.DUMMYFUNCTION("""COMPUTED_VALUE"""),50.66)</f>
        <v>50.66</v>
      </c>
      <c r="AM89" s="3">
        <f ca="1">IFERROR(__xludf.DUMMYFUNCTION("""COMPUTED_VALUE"""),50.66)</f>
        <v>50.66</v>
      </c>
      <c r="AN89" s="3">
        <f ca="1">IFERROR(__xludf.DUMMYFUNCTION("""COMPUTED_VALUE"""),50.18)</f>
        <v>50.18</v>
      </c>
      <c r="AO89" s="3">
        <f ca="1">IFERROR(__xludf.DUMMYFUNCTION("""COMPUTED_VALUE"""),50.36)</f>
        <v>50.36</v>
      </c>
      <c r="AP89" s="3">
        <f ca="1">IFERROR(__xludf.DUMMYFUNCTION("""COMPUTED_VALUE"""),10212517)</f>
        <v>10212517</v>
      </c>
      <c r="AQ89" s="4">
        <f ca="1">IFERROR(__xludf.DUMMYFUNCTION("""COMPUTED_VALUE"""),42251.6666666666)</f>
        <v>42251.666666666599</v>
      </c>
      <c r="AR89" s="3">
        <f ca="1">IFERROR(__xludf.DUMMYFUNCTION("""COMPUTED_VALUE"""),42.23)</f>
        <v>42.23</v>
      </c>
      <c r="AS89" s="3">
        <f ca="1">IFERROR(__xludf.DUMMYFUNCTION("""COMPUTED_VALUE"""),42.44)</f>
        <v>42.44</v>
      </c>
      <c r="AT89" s="3">
        <f ca="1">IFERROR(__xludf.DUMMYFUNCTION("""COMPUTED_VALUE"""),41.98)</f>
        <v>41.98</v>
      </c>
      <c r="AU89" s="3">
        <f ca="1">IFERROR(__xludf.DUMMYFUNCTION("""COMPUTED_VALUE"""),42.05)</f>
        <v>42.05</v>
      </c>
      <c r="AV89" s="3">
        <f ca="1">IFERROR(__xludf.DUMMYFUNCTION("""COMPUTED_VALUE"""),7268024)</f>
        <v>7268024</v>
      </c>
      <c r="AW89" s="4">
        <f ca="1">IFERROR(__xludf.DUMMYFUNCTION("""COMPUTED_VALUE"""),42419.6666666666)</f>
        <v>42419.666666666599</v>
      </c>
      <c r="AX89" s="3">
        <f ca="1">IFERROR(__xludf.DUMMYFUNCTION("""COMPUTED_VALUE"""),28.66)</f>
        <v>28.66</v>
      </c>
      <c r="AY89" s="3">
        <f ca="1">IFERROR(__xludf.DUMMYFUNCTION("""COMPUTED_VALUE"""),28.66)</f>
        <v>28.66</v>
      </c>
      <c r="AZ89" s="3">
        <f ca="1">IFERROR(__xludf.DUMMYFUNCTION("""COMPUTED_VALUE"""),28.66)</f>
        <v>28.66</v>
      </c>
      <c r="BA89" s="3">
        <f ca="1">IFERROR(__xludf.DUMMYFUNCTION("""COMPUTED_VALUE"""),28.66)</f>
        <v>28.66</v>
      </c>
      <c r="BB89" s="3">
        <f ca="1">IFERROR(__xludf.DUMMYFUNCTION("""COMPUTED_VALUE"""),200)</f>
        <v>200</v>
      </c>
      <c r="BC89" s="4">
        <f ca="1">IFERROR(__xludf.DUMMYFUNCTION("""COMPUTED_VALUE"""),42251.6666666666)</f>
        <v>42251.666666666599</v>
      </c>
      <c r="BD89" s="3">
        <f ca="1">IFERROR(__xludf.DUMMYFUNCTION("""COMPUTED_VALUE"""),39.38)</f>
        <v>39.380000000000003</v>
      </c>
      <c r="BE89" s="3">
        <f ca="1">IFERROR(__xludf.DUMMYFUNCTION("""COMPUTED_VALUE"""),39.58)</f>
        <v>39.58</v>
      </c>
      <c r="BF89" s="3">
        <f ca="1">IFERROR(__xludf.DUMMYFUNCTION("""COMPUTED_VALUE"""),39.11)</f>
        <v>39.11</v>
      </c>
      <c r="BG89" s="3">
        <f ca="1">IFERROR(__xludf.DUMMYFUNCTION("""COMPUTED_VALUE"""),39.3)</f>
        <v>39.299999999999997</v>
      </c>
      <c r="BH89" s="3">
        <f ca="1">IFERROR(__xludf.DUMMYFUNCTION("""COMPUTED_VALUE"""),13780461)</f>
        <v>13780461</v>
      </c>
      <c r="BI89" s="4">
        <f ca="1">IFERROR(__xludf.DUMMYFUNCTION("""COMPUTED_VALUE"""),42251.6666666666)</f>
        <v>42251.666666666599</v>
      </c>
      <c r="BJ89" s="3">
        <f ca="1">IFERROR(__xludf.DUMMYFUNCTION("""COMPUTED_VALUE"""),41.2)</f>
        <v>41.2</v>
      </c>
      <c r="BK89" s="3">
        <f ca="1">IFERROR(__xludf.DUMMYFUNCTION("""COMPUTED_VALUE"""),41.29)</f>
        <v>41.29</v>
      </c>
      <c r="BL89" s="3">
        <f ca="1">IFERROR(__xludf.DUMMYFUNCTION("""COMPUTED_VALUE"""),40.8)</f>
        <v>40.799999999999997</v>
      </c>
      <c r="BM89" s="3">
        <f ca="1">IFERROR(__xludf.DUMMYFUNCTION("""COMPUTED_VALUE"""),40.96)</f>
        <v>40.96</v>
      </c>
      <c r="BN89" s="3">
        <f ca="1">IFERROR(__xludf.DUMMYFUNCTION("""COMPUTED_VALUE"""),13429630)</f>
        <v>13429630</v>
      </c>
    </row>
    <row r="90" spans="7:66" ht="13" x14ac:dyDescent="0.15">
      <c r="G90" s="4">
        <f ca="1">IFERROR(__xludf.DUMMYFUNCTION("""COMPUTED_VALUE"""),42255.6666666666)</f>
        <v>42255.666666666599</v>
      </c>
      <c r="H90" s="3">
        <f ca="1">IFERROR(__xludf.DUMMYFUNCTION("""COMPUTED_VALUE"""),75.24)</f>
        <v>75.239999999999995</v>
      </c>
      <c r="I90" s="3">
        <f ca="1">IFERROR(__xludf.DUMMYFUNCTION("""COMPUTED_VALUE"""),75.63)</f>
        <v>75.63</v>
      </c>
      <c r="J90" s="3">
        <f ca="1">IFERROR(__xludf.DUMMYFUNCTION("""COMPUTED_VALUE"""),74.7)</f>
        <v>74.7</v>
      </c>
      <c r="K90" s="3">
        <f ca="1">IFERROR(__xludf.DUMMYFUNCTION("""COMPUTED_VALUE"""),75.56)</f>
        <v>75.56</v>
      </c>
      <c r="L90" s="3">
        <f ca="1">IFERROR(__xludf.DUMMYFUNCTION("""COMPUTED_VALUE"""),5255219)</f>
        <v>5255219</v>
      </c>
      <c r="M90" s="4">
        <f ca="1">IFERROR(__xludf.DUMMYFUNCTION("""COMPUTED_VALUE"""),42255.6666666666)</f>
        <v>42255.666666666599</v>
      </c>
      <c r="N90" s="3">
        <f ca="1">IFERROR(__xludf.DUMMYFUNCTION("""COMPUTED_VALUE"""),47.27)</f>
        <v>47.27</v>
      </c>
      <c r="O90" s="3">
        <f ca="1">IFERROR(__xludf.DUMMYFUNCTION("""COMPUTED_VALUE"""),47.54)</f>
        <v>47.54</v>
      </c>
      <c r="P90" s="3">
        <f ca="1">IFERROR(__xludf.DUMMYFUNCTION("""COMPUTED_VALUE"""),46.94)</f>
        <v>46.94</v>
      </c>
      <c r="Q90" s="3">
        <f ca="1">IFERROR(__xludf.DUMMYFUNCTION("""COMPUTED_VALUE"""),47.49)</f>
        <v>47.49</v>
      </c>
      <c r="R90" s="3">
        <f ca="1">IFERROR(__xludf.DUMMYFUNCTION("""COMPUTED_VALUE"""),6867296)</f>
        <v>6867296</v>
      </c>
      <c r="S90" s="4">
        <f ca="1">IFERROR(__xludf.DUMMYFUNCTION("""COMPUTED_VALUE"""),42255.6666666666)</f>
        <v>42255.666666666599</v>
      </c>
      <c r="T90" s="3">
        <f ca="1">IFERROR(__xludf.DUMMYFUNCTION("""COMPUTED_VALUE"""),64.48)</f>
        <v>64.48</v>
      </c>
      <c r="U90" s="3">
        <f ca="1">IFERROR(__xludf.DUMMYFUNCTION("""COMPUTED_VALUE"""),64.88)</f>
        <v>64.88</v>
      </c>
      <c r="V90" s="3">
        <f ca="1">IFERROR(__xludf.DUMMYFUNCTION("""COMPUTED_VALUE"""),63.69)</f>
        <v>63.69</v>
      </c>
      <c r="W90" s="3">
        <f ca="1">IFERROR(__xludf.DUMMYFUNCTION("""COMPUTED_VALUE"""),64.79)</f>
        <v>64.790000000000006</v>
      </c>
      <c r="X90" s="3">
        <f ca="1">IFERROR(__xludf.DUMMYFUNCTION("""COMPUTED_VALUE"""),15627575)</f>
        <v>15627575</v>
      </c>
      <c r="Y90" s="4">
        <f ca="1">IFERROR(__xludf.DUMMYFUNCTION("""COMPUTED_VALUE"""),42255.6666666666)</f>
        <v>42255.666666666599</v>
      </c>
      <c r="Z90" s="3">
        <f ca="1">IFERROR(__xludf.DUMMYFUNCTION("""COMPUTED_VALUE"""),18.75)</f>
        <v>18.75</v>
      </c>
      <c r="AA90" s="3">
        <f ca="1">IFERROR(__xludf.DUMMYFUNCTION("""COMPUTED_VALUE"""),18.88)</f>
        <v>18.88</v>
      </c>
      <c r="AB90" s="3">
        <f ca="1">IFERROR(__xludf.DUMMYFUNCTION("""COMPUTED_VALUE"""),18.62)</f>
        <v>18.62</v>
      </c>
      <c r="AC90" s="3">
        <f ca="1">IFERROR(__xludf.DUMMYFUNCTION("""COMPUTED_VALUE"""),18.86)</f>
        <v>18.86</v>
      </c>
      <c r="AD90" s="3">
        <f ca="1">IFERROR(__xludf.DUMMYFUNCTION("""COMPUTED_VALUE"""),40394993)</f>
        <v>40394993</v>
      </c>
      <c r="AE90" s="4">
        <f ca="1">IFERROR(__xludf.DUMMYFUNCTION("""COMPUTED_VALUE"""),42255.6666666666)</f>
        <v>42255.666666666599</v>
      </c>
      <c r="AF90" s="3">
        <f ca="1">IFERROR(__xludf.DUMMYFUNCTION("""COMPUTED_VALUE"""),69.94)</f>
        <v>69.94</v>
      </c>
      <c r="AG90" s="3">
        <f ca="1">IFERROR(__xludf.DUMMYFUNCTION("""COMPUTED_VALUE"""),70.7)</f>
        <v>70.7</v>
      </c>
      <c r="AH90" s="3">
        <f ca="1">IFERROR(__xludf.DUMMYFUNCTION("""COMPUTED_VALUE"""),69.52)</f>
        <v>69.52</v>
      </c>
      <c r="AI90" s="3">
        <f ca="1">IFERROR(__xludf.DUMMYFUNCTION("""COMPUTED_VALUE"""),70.6)</f>
        <v>70.599999999999994</v>
      </c>
      <c r="AJ90" s="3">
        <f ca="1">IFERROR(__xludf.DUMMYFUNCTION("""COMPUTED_VALUE"""),11697448)</f>
        <v>11697448</v>
      </c>
      <c r="AK90" s="4">
        <f ca="1">IFERROR(__xludf.DUMMYFUNCTION("""COMPUTED_VALUE"""),42255.6666666666)</f>
        <v>42255.666666666599</v>
      </c>
      <c r="AL90" s="3">
        <f ca="1">IFERROR(__xludf.DUMMYFUNCTION("""COMPUTED_VALUE"""),51.12)</f>
        <v>51.12</v>
      </c>
      <c r="AM90" s="3">
        <f ca="1">IFERROR(__xludf.DUMMYFUNCTION("""COMPUTED_VALUE"""),51.78)</f>
        <v>51.78</v>
      </c>
      <c r="AN90" s="3">
        <f ca="1">IFERROR(__xludf.DUMMYFUNCTION("""COMPUTED_VALUE"""),51.02)</f>
        <v>51.02</v>
      </c>
      <c r="AO90" s="3">
        <f ca="1">IFERROR(__xludf.DUMMYFUNCTION("""COMPUTED_VALUE"""),51.75)</f>
        <v>51.75</v>
      </c>
      <c r="AP90" s="3">
        <f ca="1">IFERROR(__xludf.DUMMYFUNCTION("""COMPUTED_VALUE"""),8437760)</f>
        <v>8437760</v>
      </c>
      <c r="AQ90" s="4">
        <f ca="1">IFERROR(__xludf.DUMMYFUNCTION("""COMPUTED_VALUE"""),42255.6666666666)</f>
        <v>42255.666666666599</v>
      </c>
      <c r="AR90" s="3">
        <f ca="1">IFERROR(__xludf.DUMMYFUNCTION("""COMPUTED_VALUE"""),42.81)</f>
        <v>42.81</v>
      </c>
      <c r="AS90" s="3">
        <f ca="1">IFERROR(__xludf.DUMMYFUNCTION("""COMPUTED_VALUE"""),43.14)</f>
        <v>43.14</v>
      </c>
      <c r="AT90" s="3">
        <f ca="1">IFERROR(__xludf.DUMMYFUNCTION("""COMPUTED_VALUE"""),42.58)</f>
        <v>42.58</v>
      </c>
      <c r="AU90" s="3">
        <f ca="1">IFERROR(__xludf.DUMMYFUNCTION("""COMPUTED_VALUE"""),43.1)</f>
        <v>43.1</v>
      </c>
      <c r="AV90" s="3">
        <f ca="1">IFERROR(__xludf.DUMMYFUNCTION("""COMPUTED_VALUE"""),6574802)</f>
        <v>6574802</v>
      </c>
      <c r="AW90" s="4">
        <f ca="1">IFERROR(__xludf.DUMMYFUNCTION("""COMPUTED_VALUE"""),42422.6666666666)</f>
        <v>42422.666666666599</v>
      </c>
      <c r="AX90" s="3">
        <f ca="1">IFERROR(__xludf.DUMMYFUNCTION("""COMPUTED_VALUE"""),29.1)</f>
        <v>29.1</v>
      </c>
      <c r="AY90" s="3">
        <f ca="1">IFERROR(__xludf.DUMMYFUNCTION("""COMPUTED_VALUE"""),29.16)</f>
        <v>29.16</v>
      </c>
      <c r="AZ90" s="3">
        <f ca="1">IFERROR(__xludf.DUMMYFUNCTION("""COMPUTED_VALUE"""),29.08)</f>
        <v>29.08</v>
      </c>
      <c r="BA90" s="3">
        <f ca="1">IFERROR(__xludf.DUMMYFUNCTION("""COMPUTED_VALUE"""),29.1)</f>
        <v>29.1</v>
      </c>
      <c r="BB90" s="3">
        <f ca="1">IFERROR(__xludf.DUMMYFUNCTION("""COMPUTED_VALUE"""),827)</f>
        <v>827</v>
      </c>
      <c r="BC90" s="4">
        <f ca="1">IFERROR(__xludf.DUMMYFUNCTION("""COMPUTED_VALUE"""),42255.6666666666)</f>
        <v>42255.666666666599</v>
      </c>
      <c r="BD90" s="3">
        <f ca="1">IFERROR(__xludf.DUMMYFUNCTION("""COMPUTED_VALUE"""),40.05)</f>
        <v>40.049999999999997</v>
      </c>
      <c r="BE90" s="3">
        <f ca="1">IFERROR(__xludf.DUMMYFUNCTION("""COMPUTED_VALUE"""),40.43)</f>
        <v>40.43</v>
      </c>
      <c r="BF90" s="3">
        <f ca="1">IFERROR(__xludf.DUMMYFUNCTION("""COMPUTED_VALUE"""),39.95)</f>
        <v>39.950000000000003</v>
      </c>
      <c r="BG90" s="3">
        <f ca="1">IFERROR(__xludf.DUMMYFUNCTION("""COMPUTED_VALUE"""),40.4)</f>
        <v>40.4</v>
      </c>
      <c r="BH90" s="3">
        <f ca="1">IFERROR(__xludf.DUMMYFUNCTION("""COMPUTED_VALUE"""),9454634)</f>
        <v>9454634</v>
      </c>
      <c r="BI90" s="4">
        <f ca="1">IFERROR(__xludf.DUMMYFUNCTION("""COMPUTED_VALUE"""),42255.6666666666)</f>
        <v>42255.666666666599</v>
      </c>
      <c r="BJ90" s="3">
        <f ca="1">IFERROR(__xludf.DUMMYFUNCTION("""COMPUTED_VALUE"""),41.34)</f>
        <v>41.34</v>
      </c>
      <c r="BK90" s="3">
        <f ca="1">IFERROR(__xludf.DUMMYFUNCTION("""COMPUTED_VALUE"""),41.83)</f>
        <v>41.83</v>
      </c>
      <c r="BL90" s="3">
        <f ca="1">IFERROR(__xludf.DUMMYFUNCTION("""COMPUTED_VALUE"""),41.3)</f>
        <v>41.3</v>
      </c>
      <c r="BM90" s="3">
        <f ca="1">IFERROR(__xludf.DUMMYFUNCTION("""COMPUTED_VALUE"""),41.83)</f>
        <v>41.83</v>
      </c>
      <c r="BN90" s="3">
        <f ca="1">IFERROR(__xludf.DUMMYFUNCTION("""COMPUTED_VALUE"""),11206911)</f>
        <v>11206911</v>
      </c>
    </row>
    <row r="91" spans="7:66" ht="13" x14ac:dyDescent="0.15">
      <c r="G91" s="4">
        <f ca="1">IFERROR(__xludf.DUMMYFUNCTION("""COMPUTED_VALUE"""),42256.6666666666)</f>
        <v>42256.666666666599</v>
      </c>
      <c r="H91" s="3">
        <f ca="1">IFERROR(__xludf.DUMMYFUNCTION("""COMPUTED_VALUE"""),76.27)</f>
        <v>76.27</v>
      </c>
      <c r="I91" s="3">
        <f ca="1">IFERROR(__xludf.DUMMYFUNCTION("""COMPUTED_VALUE"""),76.37)</f>
        <v>76.37</v>
      </c>
      <c r="J91" s="3">
        <f ca="1">IFERROR(__xludf.DUMMYFUNCTION("""COMPUTED_VALUE"""),74.58)</f>
        <v>74.58</v>
      </c>
      <c r="K91" s="3">
        <f ca="1">IFERROR(__xludf.DUMMYFUNCTION("""COMPUTED_VALUE"""),74.75)</f>
        <v>74.75</v>
      </c>
      <c r="L91" s="3">
        <f ca="1">IFERROR(__xludf.DUMMYFUNCTION("""COMPUTED_VALUE"""),7682071)</f>
        <v>7682071</v>
      </c>
      <c r="M91" s="4">
        <f ca="1">IFERROR(__xludf.DUMMYFUNCTION("""COMPUTED_VALUE"""),42256.6666666666)</f>
        <v>42256.666666666599</v>
      </c>
      <c r="N91" s="3">
        <f ca="1">IFERROR(__xludf.DUMMYFUNCTION("""COMPUTED_VALUE"""),47.93)</f>
        <v>47.93</v>
      </c>
      <c r="O91" s="3">
        <f ca="1">IFERROR(__xludf.DUMMYFUNCTION("""COMPUTED_VALUE"""),47.94)</f>
        <v>47.94</v>
      </c>
      <c r="P91" s="3">
        <f ca="1">IFERROR(__xludf.DUMMYFUNCTION("""COMPUTED_VALUE"""),46.59)</f>
        <v>46.59</v>
      </c>
      <c r="Q91" s="3">
        <f ca="1">IFERROR(__xludf.DUMMYFUNCTION("""COMPUTED_VALUE"""),46.71)</f>
        <v>46.71</v>
      </c>
      <c r="R91" s="3">
        <f ca="1">IFERROR(__xludf.DUMMYFUNCTION("""COMPUTED_VALUE"""),7587430)</f>
        <v>7587430</v>
      </c>
      <c r="S91" s="4">
        <f ca="1">IFERROR(__xludf.DUMMYFUNCTION("""COMPUTED_VALUE"""),42256.6666666666)</f>
        <v>42256.666666666599</v>
      </c>
      <c r="T91" s="3">
        <f ca="1">IFERROR(__xludf.DUMMYFUNCTION("""COMPUTED_VALUE"""),65.24)</f>
        <v>65.239999999999995</v>
      </c>
      <c r="U91" s="3">
        <f ca="1">IFERROR(__xludf.DUMMYFUNCTION("""COMPUTED_VALUE"""),66.02)</f>
        <v>66.02</v>
      </c>
      <c r="V91" s="3">
        <f ca="1">IFERROR(__xludf.DUMMYFUNCTION("""COMPUTED_VALUE"""),63.47)</f>
        <v>63.47</v>
      </c>
      <c r="W91" s="3">
        <f ca="1">IFERROR(__xludf.DUMMYFUNCTION("""COMPUTED_VALUE"""),63.57)</f>
        <v>63.57</v>
      </c>
      <c r="X91" s="3">
        <f ca="1">IFERROR(__xludf.DUMMYFUNCTION("""COMPUTED_VALUE"""),18477687)</f>
        <v>18477687</v>
      </c>
      <c r="Y91" s="4">
        <f ca="1">IFERROR(__xludf.DUMMYFUNCTION("""COMPUTED_VALUE"""),42256.6666666666)</f>
        <v>42256.666666666599</v>
      </c>
      <c r="Z91" s="3">
        <f ca="1">IFERROR(__xludf.DUMMYFUNCTION("""COMPUTED_VALUE"""),19.03)</f>
        <v>19.03</v>
      </c>
      <c r="AA91" s="3">
        <f ca="1">IFERROR(__xludf.DUMMYFUNCTION("""COMPUTED_VALUE"""),19.12)</f>
        <v>19.12</v>
      </c>
      <c r="AB91" s="3">
        <f ca="1">IFERROR(__xludf.DUMMYFUNCTION("""COMPUTED_VALUE"""),18.56)</f>
        <v>18.559999999999999</v>
      </c>
      <c r="AC91" s="3">
        <f ca="1">IFERROR(__xludf.DUMMYFUNCTION("""COMPUTED_VALUE"""),18.6)</f>
        <v>18.600000000000001</v>
      </c>
      <c r="AD91" s="3">
        <f ca="1">IFERROR(__xludf.DUMMYFUNCTION("""COMPUTED_VALUE"""),35533482)</f>
        <v>35533482</v>
      </c>
      <c r="AE91" s="4">
        <f ca="1">IFERROR(__xludf.DUMMYFUNCTION("""COMPUTED_VALUE"""),42256.6666666666)</f>
        <v>42256.666666666599</v>
      </c>
      <c r="AF91" s="3">
        <f ca="1">IFERROR(__xludf.DUMMYFUNCTION("""COMPUTED_VALUE"""),71.42)</f>
        <v>71.42</v>
      </c>
      <c r="AG91" s="3">
        <f ca="1">IFERROR(__xludf.DUMMYFUNCTION("""COMPUTED_VALUE"""),71.47)</f>
        <v>71.47</v>
      </c>
      <c r="AH91" s="3">
        <f ca="1">IFERROR(__xludf.DUMMYFUNCTION("""COMPUTED_VALUE"""),69.33)</f>
        <v>69.33</v>
      </c>
      <c r="AI91" s="3">
        <f ca="1">IFERROR(__xludf.DUMMYFUNCTION("""COMPUTED_VALUE"""),69.51)</f>
        <v>69.510000000000005</v>
      </c>
      <c r="AJ91" s="3">
        <f ca="1">IFERROR(__xludf.DUMMYFUNCTION("""COMPUTED_VALUE"""),12423990)</f>
        <v>12423990</v>
      </c>
      <c r="AK91" s="4">
        <f ca="1">IFERROR(__xludf.DUMMYFUNCTION("""COMPUTED_VALUE"""),42256.6666666666)</f>
        <v>42256.666666666599</v>
      </c>
      <c r="AL91" s="3">
        <f ca="1">IFERROR(__xludf.DUMMYFUNCTION("""COMPUTED_VALUE"""),52.19)</f>
        <v>52.19</v>
      </c>
      <c r="AM91" s="3">
        <f ca="1">IFERROR(__xludf.DUMMYFUNCTION("""COMPUTED_VALUE"""),53.05)</f>
        <v>53.05</v>
      </c>
      <c r="AN91" s="3">
        <f ca="1">IFERROR(__xludf.DUMMYFUNCTION("""COMPUTED_VALUE"""),51.12)</f>
        <v>51.12</v>
      </c>
      <c r="AO91" s="3">
        <f ca="1">IFERROR(__xludf.DUMMYFUNCTION("""COMPUTED_VALUE"""),51.2)</f>
        <v>51.2</v>
      </c>
      <c r="AP91" s="3">
        <f ca="1">IFERROR(__xludf.DUMMYFUNCTION("""COMPUTED_VALUE"""),8866218)</f>
        <v>8866218</v>
      </c>
      <c r="AQ91" s="4">
        <f ca="1">IFERROR(__xludf.DUMMYFUNCTION("""COMPUTED_VALUE"""),42256.6666666666)</f>
        <v>42256.666666666599</v>
      </c>
      <c r="AR91" s="3">
        <f ca="1">IFERROR(__xludf.DUMMYFUNCTION("""COMPUTED_VALUE"""),43.36)</f>
        <v>43.36</v>
      </c>
      <c r="AS91" s="3">
        <f ca="1">IFERROR(__xludf.DUMMYFUNCTION("""COMPUTED_VALUE"""),43.73)</f>
        <v>43.73</v>
      </c>
      <c r="AT91" s="3">
        <f ca="1">IFERROR(__xludf.DUMMYFUNCTION("""COMPUTED_VALUE"""),42.7)</f>
        <v>42.7</v>
      </c>
      <c r="AU91" s="3">
        <f ca="1">IFERROR(__xludf.DUMMYFUNCTION("""COMPUTED_VALUE"""),42.77)</f>
        <v>42.77</v>
      </c>
      <c r="AV91" s="3">
        <f ca="1">IFERROR(__xludf.DUMMYFUNCTION("""COMPUTED_VALUE"""),6834377)</f>
        <v>6834377</v>
      </c>
      <c r="AW91" s="4">
        <f ca="1">IFERROR(__xludf.DUMMYFUNCTION("""COMPUTED_VALUE"""),42423.6666666666)</f>
        <v>42423.666666666599</v>
      </c>
      <c r="AX91" s="3">
        <f ca="1">IFERROR(__xludf.DUMMYFUNCTION("""COMPUTED_VALUE"""),28.95)</f>
        <v>28.95</v>
      </c>
      <c r="AY91" s="3">
        <f ca="1">IFERROR(__xludf.DUMMYFUNCTION("""COMPUTED_VALUE"""),28.95)</f>
        <v>28.95</v>
      </c>
      <c r="AZ91" s="3">
        <f ca="1">IFERROR(__xludf.DUMMYFUNCTION("""COMPUTED_VALUE"""),28.95)</f>
        <v>28.95</v>
      </c>
      <c r="BA91" s="3">
        <f ca="1">IFERROR(__xludf.DUMMYFUNCTION("""COMPUTED_VALUE"""),28.95)</f>
        <v>28.95</v>
      </c>
      <c r="BB91" s="3">
        <f ca="1">IFERROR(__xludf.DUMMYFUNCTION("""COMPUTED_VALUE"""),328)</f>
        <v>328</v>
      </c>
      <c r="BC91" s="4">
        <f ca="1">IFERROR(__xludf.DUMMYFUNCTION("""COMPUTED_VALUE"""),42256.6666666666)</f>
        <v>42256.666666666599</v>
      </c>
      <c r="BD91" s="3">
        <f ca="1">IFERROR(__xludf.DUMMYFUNCTION("""COMPUTED_VALUE"""),40.66)</f>
        <v>40.659999999999997</v>
      </c>
      <c r="BE91" s="3">
        <f ca="1">IFERROR(__xludf.DUMMYFUNCTION("""COMPUTED_VALUE"""),40.86)</f>
        <v>40.86</v>
      </c>
      <c r="BF91" s="3">
        <f ca="1">IFERROR(__xludf.DUMMYFUNCTION("""COMPUTED_VALUE"""),39.78)</f>
        <v>39.78</v>
      </c>
      <c r="BG91" s="3">
        <f ca="1">IFERROR(__xludf.DUMMYFUNCTION("""COMPUTED_VALUE"""),39.87)</f>
        <v>39.869999999999997</v>
      </c>
      <c r="BH91" s="3">
        <f ca="1">IFERROR(__xludf.DUMMYFUNCTION("""COMPUTED_VALUE"""),9652295)</f>
        <v>9652295</v>
      </c>
      <c r="BI91" s="4">
        <f ca="1">IFERROR(__xludf.DUMMYFUNCTION("""COMPUTED_VALUE"""),42256.6666666666)</f>
        <v>42256.666666666599</v>
      </c>
      <c r="BJ91" s="3">
        <f ca="1">IFERROR(__xludf.DUMMYFUNCTION("""COMPUTED_VALUE"""),41.93)</f>
        <v>41.93</v>
      </c>
      <c r="BK91" s="3">
        <f ca="1">IFERROR(__xludf.DUMMYFUNCTION("""COMPUTED_VALUE"""),42.05)</f>
        <v>42.05</v>
      </c>
      <c r="BL91" s="3">
        <f ca="1">IFERROR(__xludf.DUMMYFUNCTION("""COMPUTED_VALUE"""),41.23)</f>
        <v>41.23</v>
      </c>
      <c r="BM91" s="3">
        <f ca="1">IFERROR(__xludf.DUMMYFUNCTION("""COMPUTED_VALUE"""),41.31)</f>
        <v>41.31</v>
      </c>
      <c r="BN91" s="3">
        <f ca="1">IFERROR(__xludf.DUMMYFUNCTION("""COMPUTED_VALUE"""),11542506)</f>
        <v>11542506</v>
      </c>
    </row>
    <row r="92" spans="7:66" ht="13" x14ac:dyDescent="0.15">
      <c r="G92" s="4">
        <f ca="1">IFERROR(__xludf.DUMMYFUNCTION("""COMPUTED_VALUE"""),42257.6666666666)</f>
        <v>42257.666666666599</v>
      </c>
      <c r="H92" s="3">
        <f ca="1">IFERROR(__xludf.DUMMYFUNCTION("""COMPUTED_VALUE"""),74.49)</f>
        <v>74.489999999999995</v>
      </c>
      <c r="I92" s="3">
        <f ca="1">IFERROR(__xludf.DUMMYFUNCTION("""COMPUTED_VALUE"""),75.43)</f>
        <v>75.430000000000007</v>
      </c>
      <c r="J92" s="3">
        <f ca="1">IFERROR(__xludf.DUMMYFUNCTION("""COMPUTED_VALUE"""),74.44)</f>
        <v>74.44</v>
      </c>
      <c r="K92" s="3">
        <f ca="1">IFERROR(__xludf.DUMMYFUNCTION("""COMPUTED_VALUE"""),74.96)</f>
        <v>74.959999999999994</v>
      </c>
      <c r="L92" s="3">
        <f ca="1">IFERROR(__xludf.DUMMYFUNCTION("""COMPUTED_VALUE"""),6206093)</f>
        <v>6206093</v>
      </c>
      <c r="M92" s="4">
        <f ca="1">IFERROR(__xludf.DUMMYFUNCTION("""COMPUTED_VALUE"""),42257.6666666666)</f>
        <v>42257.666666666599</v>
      </c>
      <c r="N92" s="3">
        <f ca="1">IFERROR(__xludf.DUMMYFUNCTION("""COMPUTED_VALUE"""),46.49)</f>
        <v>46.49</v>
      </c>
      <c r="O92" s="3">
        <f ca="1">IFERROR(__xludf.DUMMYFUNCTION("""COMPUTED_VALUE"""),47.12)</f>
        <v>47.12</v>
      </c>
      <c r="P92" s="3">
        <f ca="1">IFERROR(__xludf.DUMMYFUNCTION("""COMPUTED_VALUE"""),46.47)</f>
        <v>46.47</v>
      </c>
      <c r="Q92" s="3">
        <f ca="1">IFERROR(__xludf.DUMMYFUNCTION("""COMPUTED_VALUE"""),46.79)</f>
        <v>46.79</v>
      </c>
      <c r="R92" s="3">
        <f ca="1">IFERROR(__xludf.DUMMYFUNCTION("""COMPUTED_VALUE"""),14986290)</f>
        <v>14986290</v>
      </c>
      <c r="S92" s="4">
        <f ca="1">IFERROR(__xludf.DUMMYFUNCTION("""COMPUTED_VALUE"""),42257.6666666666)</f>
        <v>42257.666666666599</v>
      </c>
      <c r="T92" s="3">
        <f ca="1">IFERROR(__xludf.DUMMYFUNCTION("""COMPUTED_VALUE"""),63.84)</f>
        <v>63.84</v>
      </c>
      <c r="U92" s="3">
        <f ca="1">IFERROR(__xludf.DUMMYFUNCTION("""COMPUTED_VALUE"""),64.3)</f>
        <v>64.3</v>
      </c>
      <c r="V92" s="3">
        <f ca="1">IFERROR(__xludf.DUMMYFUNCTION("""COMPUTED_VALUE"""),62.96)</f>
        <v>62.96</v>
      </c>
      <c r="W92" s="3">
        <f ca="1">IFERROR(__xludf.DUMMYFUNCTION("""COMPUTED_VALUE"""),63.94)</f>
        <v>63.94</v>
      </c>
      <c r="X92" s="3">
        <f ca="1">IFERROR(__xludf.DUMMYFUNCTION("""COMPUTED_VALUE"""),18492803)</f>
        <v>18492803</v>
      </c>
      <c r="Y92" s="4">
        <f ca="1">IFERROR(__xludf.DUMMYFUNCTION("""COMPUTED_VALUE"""),42257.6666666666)</f>
        <v>42257.666666666599</v>
      </c>
      <c r="Z92" s="3">
        <f ca="1">IFERROR(__xludf.DUMMYFUNCTION("""COMPUTED_VALUE"""),18.59)</f>
        <v>18.59</v>
      </c>
      <c r="AA92" s="3">
        <f ca="1">IFERROR(__xludf.DUMMYFUNCTION("""COMPUTED_VALUE"""),18.83)</f>
        <v>18.829999999999998</v>
      </c>
      <c r="AB92" s="3">
        <f ca="1">IFERROR(__xludf.DUMMYFUNCTION("""COMPUTED_VALUE"""),18.53)</f>
        <v>18.53</v>
      </c>
      <c r="AC92" s="3">
        <f ca="1">IFERROR(__xludf.DUMMYFUNCTION("""COMPUTED_VALUE"""),18.69)</f>
        <v>18.690000000000001</v>
      </c>
      <c r="AD92" s="3">
        <f ca="1">IFERROR(__xludf.DUMMYFUNCTION("""COMPUTED_VALUE"""),35461816)</f>
        <v>35461816</v>
      </c>
      <c r="AE92" s="4">
        <f ca="1">IFERROR(__xludf.DUMMYFUNCTION("""COMPUTED_VALUE"""),42257.6666666666)</f>
        <v>42257.666666666599</v>
      </c>
      <c r="AF92" s="3">
        <f ca="1">IFERROR(__xludf.DUMMYFUNCTION("""COMPUTED_VALUE"""),69.54)</f>
        <v>69.540000000000006</v>
      </c>
      <c r="AG92" s="3">
        <f ca="1">IFERROR(__xludf.DUMMYFUNCTION("""COMPUTED_VALUE"""),70.71)</f>
        <v>70.709999999999994</v>
      </c>
      <c r="AH92" s="3">
        <f ca="1">IFERROR(__xludf.DUMMYFUNCTION("""COMPUTED_VALUE"""),69.32)</f>
        <v>69.319999999999993</v>
      </c>
      <c r="AI92" s="3">
        <f ca="1">IFERROR(__xludf.DUMMYFUNCTION("""COMPUTED_VALUE"""),70.18)</f>
        <v>70.180000000000007</v>
      </c>
      <c r="AJ92" s="3">
        <f ca="1">IFERROR(__xludf.DUMMYFUNCTION("""COMPUTED_VALUE"""),17313714)</f>
        <v>17313714</v>
      </c>
      <c r="AK92" s="4">
        <f ca="1">IFERROR(__xludf.DUMMYFUNCTION("""COMPUTED_VALUE"""),42257.6666666666)</f>
        <v>42257.666666666599</v>
      </c>
      <c r="AL92" s="3">
        <f ca="1">IFERROR(__xludf.DUMMYFUNCTION("""COMPUTED_VALUE"""),51.05)</f>
        <v>51.05</v>
      </c>
      <c r="AM92" s="3">
        <f ca="1">IFERROR(__xludf.DUMMYFUNCTION("""COMPUTED_VALUE"""),51.59)</f>
        <v>51.59</v>
      </c>
      <c r="AN92" s="3">
        <f ca="1">IFERROR(__xludf.DUMMYFUNCTION("""COMPUTED_VALUE"""),50.99)</f>
        <v>50.99</v>
      </c>
      <c r="AO92" s="3">
        <f ca="1">IFERROR(__xludf.DUMMYFUNCTION("""COMPUTED_VALUE"""),51.23)</f>
        <v>51.23</v>
      </c>
      <c r="AP92" s="3">
        <f ca="1">IFERROR(__xludf.DUMMYFUNCTION("""COMPUTED_VALUE"""),9706979)</f>
        <v>9706979</v>
      </c>
      <c r="AQ92" s="4">
        <f ca="1">IFERROR(__xludf.DUMMYFUNCTION("""COMPUTED_VALUE"""),42257.6666666666)</f>
        <v>42257.666666666599</v>
      </c>
      <c r="AR92" s="3">
        <f ca="1">IFERROR(__xludf.DUMMYFUNCTION("""COMPUTED_VALUE"""),42.53)</f>
        <v>42.53</v>
      </c>
      <c r="AS92" s="3">
        <f ca="1">IFERROR(__xludf.DUMMYFUNCTION("""COMPUTED_VALUE"""),43.16)</f>
        <v>43.16</v>
      </c>
      <c r="AT92" s="3">
        <f ca="1">IFERROR(__xludf.DUMMYFUNCTION("""COMPUTED_VALUE"""),42.53)</f>
        <v>42.53</v>
      </c>
      <c r="AU92" s="3">
        <f ca="1">IFERROR(__xludf.DUMMYFUNCTION("""COMPUTED_VALUE"""),42.87)</f>
        <v>42.87</v>
      </c>
      <c r="AV92" s="3">
        <f ca="1">IFERROR(__xludf.DUMMYFUNCTION("""COMPUTED_VALUE"""),5473672)</f>
        <v>5473672</v>
      </c>
      <c r="AW92" s="4">
        <f ca="1">IFERROR(__xludf.DUMMYFUNCTION("""COMPUTED_VALUE"""),42424.6666666666)</f>
        <v>42424.666666666599</v>
      </c>
      <c r="AX92" s="3">
        <f ca="1">IFERROR(__xludf.DUMMYFUNCTION("""COMPUTED_VALUE"""),28.92)</f>
        <v>28.92</v>
      </c>
      <c r="AY92" s="3">
        <f ca="1">IFERROR(__xludf.DUMMYFUNCTION("""COMPUTED_VALUE"""),28.97)</f>
        <v>28.97</v>
      </c>
      <c r="AZ92" s="3">
        <f ca="1">IFERROR(__xludf.DUMMYFUNCTION("""COMPUTED_VALUE"""),28.91)</f>
        <v>28.91</v>
      </c>
      <c r="BA92" s="3">
        <f ca="1">IFERROR(__xludf.DUMMYFUNCTION("""COMPUTED_VALUE"""),28.97)</f>
        <v>28.97</v>
      </c>
      <c r="BB92" s="3">
        <f ca="1">IFERROR(__xludf.DUMMYFUNCTION("""COMPUTED_VALUE"""),751)</f>
        <v>751</v>
      </c>
      <c r="BC92" s="4">
        <f ca="1">IFERROR(__xludf.DUMMYFUNCTION("""COMPUTED_VALUE"""),42257.6666666666)</f>
        <v>42257.666666666599</v>
      </c>
      <c r="BD92" s="3">
        <f ca="1">IFERROR(__xludf.DUMMYFUNCTION("""COMPUTED_VALUE"""),39.81)</f>
        <v>39.81</v>
      </c>
      <c r="BE92" s="3">
        <f ca="1">IFERROR(__xludf.DUMMYFUNCTION("""COMPUTED_VALUE"""),40.5)</f>
        <v>40.5</v>
      </c>
      <c r="BF92" s="3">
        <f ca="1">IFERROR(__xludf.DUMMYFUNCTION("""COMPUTED_VALUE"""),39.79)</f>
        <v>39.79</v>
      </c>
      <c r="BG92" s="3">
        <f ca="1">IFERROR(__xludf.DUMMYFUNCTION("""COMPUTED_VALUE"""),40.27)</f>
        <v>40.270000000000003</v>
      </c>
      <c r="BH92" s="3">
        <f ca="1">IFERROR(__xludf.DUMMYFUNCTION("""COMPUTED_VALUE"""),14024421)</f>
        <v>14024421</v>
      </c>
      <c r="BI92" s="4">
        <f ca="1">IFERROR(__xludf.DUMMYFUNCTION("""COMPUTED_VALUE"""),42257.6666666666)</f>
        <v>42257.666666666599</v>
      </c>
      <c r="BJ92" s="3">
        <f ca="1">IFERROR(__xludf.DUMMYFUNCTION("""COMPUTED_VALUE"""),41.29)</f>
        <v>41.29</v>
      </c>
      <c r="BK92" s="3">
        <f ca="1">IFERROR(__xludf.DUMMYFUNCTION("""COMPUTED_VALUE"""),41.65)</f>
        <v>41.65</v>
      </c>
      <c r="BL92" s="3">
        <f ca="1">IFERROR(__xludf.DUMMYFUNCTION("""COMPUTED_VALUE"""),41.12)</f>
        <v>41.12</v>
      </c>
      <c r="BM92" s="3">
        <f ca="1">IFERROR(__xludf.DUMMYFUNCTION("""COMPUTED_VALUE"""),41.24)</f>
        <v>41.24</v>
      </c>
      <c r="BN92" s="3">
        <f ca="1">IFERROR(__xludf.DUMMYFUNCTION("""COMPUTED_VALUE"""),6766424)</f>
        <v>6766424</v>
      </c>
    </row>
    <row r="93" spans="7:66" ht="13" x14ac:dyDescent="0.15">
      <c r="G93" s="4">
        <f ca="1">IFERROR(__xludf.DUMMYFUNCTION("""COMPUTED_VALUE"""),42258.6666666666)</f>
        <v>42258.666666666599</v>
      </c>
      <c r="H93" s="3">
        <f ca="1">IFERROR(__xludf.DUMMYFUNCTION("""COMPUTED_VALUE"""),74.76)</f>
        <v>74.760000000000005</v>
      </c>
      <c r="I93" s="3">
        <f ca="1">IFERROR(__xludf.DUMMYFUNCTION("""COMPUTED_VALUE"""),75.53)</f>
        <v>75.53</v>
      </c>
      <c r="J93" s="3">
        <f ca="1">IFERROR(__xludf.DUMMYFUNCTION("""COMPUTED_VALUE"""),74.6)</f>
        <v>74.599999999999994</v>
      </c>
      <c r="K93" s="3">
        <f ca="1">IFERROR(__xludf.DUMMYFUNCTION("""COMPUTED_VALUE"""),75.52)</f>
        <v>75.52</v>
      </c>
      <c r="L93" s="3">
        <f ca="1">IFERROR(__xludf.DUMMYFUNCTION("""COMPUTED_VALUE"""),4609646)</f>
        <v>4609646</v>
      </c>
      <c r="M93" s="4">
        <f ca="1">IFERROR(__xludf.DUMMYFUNCTION("""COMPUTED_VALUE"""),42258.6666666666)</f>
        <v>42258.666666666599</v>
      </c>
      <c r="N93" s="3">
        <f ca="1">IFERROR(__xludf.DUMMYFUNCTION("""COMPUTED_VALUE"""),46.74)</f>
        <v>46.74</v>
      </c>
      <c r="O93" s="3">
        <f ca="1">IFERROR(__xludf.DUMMYFUNCTION("""COMPUTED_VALUE"""),47.11)</f>
        <v>47.11</v>
      </c>
      <c r="P93" s="3">
        <f ca="1">IFERROR(__xludf.DUMMYFUNCTION("""COMPUTED_VALUE"""),46.57)</f>
        <v>46.57</v>
      </c>
      <c r="Q93" s="3">
        <f ca="1">IFERROR(__xludf.DUMMYFUNCTION("""COMPUTED_VALUE"""),47.1)</f>
        <v>47.1</v>
      </c>
      <c r="R93" s="3">
        <f ca="1">IFERROR(__xludf.DUMMYFUNCTION("""COMPUTED_VALUE"""),5127313)</f>
        <v>5127313</v>
      </c>
      <c r="S93" s="4">
        <f ca="1">IFERROR(__xludf.DUMMYFUNCTION("""COMPUTED_VALUE"""),42258.6666666666)</f>
        <v>42258.666666666599</v>
      </c>
      <c r="T93" s="3">
        <f ca="1">IFERROR(__xludf.DUMMYFUNCTION("""COMPUTED_VALUE"""),63.3)</f>
        <v>63.3</v>
      </c>
      <c r="U93" s="3">
        <f ca="1">IFERROR(__xludf.DUMMYFUNCTION("""COMPUTED_VALUE"""),63.45)</f>
        <v>63.45</v>
      </c>
      <c r="V93" s="3">
        <f ca="1">IFERROR(__xludf.DUMMYFUNCTION("""COMPUTED_VALUE"""),62.49)</f>
        <v>62.49</v>
      </c>
      <c r="W93" s="3">
        <f ca="1">IFERROR(__xludf.DUMMYFUNCTION("""COMPUTED_VALUE"""),63.37)</f>
        <v>63.37</v>
      </c>
      <c r="X93" s="3">
        <f ca="1">IFERROR(__xludf.DUMMYFUNCTION("""COMPUTED_VALUE"""),13344252)</f>
        <v>13344252</v>
      </c>
      <c r="Y93" s="4">
        <f ca="1">IFERROR(__xludf.DUMMYFUNCTION("""COMPUTED_VALUE"""),42258.6666666666)</f>
        <v>42258.666666666599</v>
      </c>
      <c r="Z93" s="3">
        <f ca="1">IFERROR(__xludf.DUMMYFUNCTION("""COMPUTED_VALUE"""),18.6)</f>
        <v>18.600000000000001</v>
      </c>
      <c r="AA93" s="3">
        <f ca="1">IFERROR(__xludf.DUMMYFUNCTION("""COMPUTED_VALUE"""),18.77)</f>
        <v>18.77</v>
      </c>
      <c r="AB93" s="3">
        <f ca="1">IFERROR(__xludf.DUMMYFUNCTION("""COMPUTED_VALUE"""),18.56)</f>
        <v>18.559999999999999</v>
      </c>
      <c r="AC93" s="3">
        <f ca="1">IFERROR(__xludf.DUMMYFUNCTION("""COMPUTED_VALUE"""),18.77)</f>
        <v>18.77</v>
      </c>
      <c r="AD93" s="3">
        <f ca="1">IFERROR(__xludf.DUMMYFUNCTION("""COMPUTED_VALUE"""),21779014)</f>
        <v>21779014</v>
      </c>
      <c r="AE93" s="4">
        <f ca="1">IFERROR(__xludf.DUMMYFUNCTION("""COMPUTED_VALUE"""),42258.6666666666)</f>
        <v>42258.666666666599</v>
      </c>
      <c r="AF93" s="3">
        <f ca="1">IFERROR(__xludf.DUMMYFUNCTION("""COMPUTED_VALUE"""),69.89)</f>
        <v>69.89</v>
      </c>
      <c r="AG93" s="3">
        <f ca="1">IFERROR(__xludf.DUMMYFUNCTION("""COMPUTED_VALUE"""),70.66)</f>
        <v>70.66</v>
      </c>
      <c r="AH93" s="3">
        <f ca="1">IFERROR(__xludf.DUMMYFUNCTION("""COMPUTED_VALUE"""),69.69)</f>
        <v>69.69</v>
      </c>
      <c r="AI93" s="3">
        <f ca="1">IFERROR(__xludf.DUMMYFUNCTION("""COMPUTED_VALUE"""),70.63)</f>
        <v>70.63</v>
      </c>
      <c r="AJ93" s="3">
        <f ca="1">IFERROR(__xludf.DUMMYFUNCTION("""COMPUTED_VALUE"""),7633029)</f>
        <v>7633029</v>
      </c>
      <c r="AK93" s="4">
        <f ca="1">IFERROR(__xludf.DUMMYFUNCTION("""COMPUTED_VALUE"""),42258.6666666666)</f>
        <v>42258.666666666599</v>
      </c>
      <c r="AL93" s="3">
        <f ca="1">IFERROR(__xludf.DUMMYFUNCTION("""COMPUTED_VALUE"""),51.18)</f>
        <v>51.18</v>
      </c>
      <c r="AM93" s="3">
        <f ca="1">IFERROR(__xludf.DUMMYFUNCTION("""COMPUTED_VALUE"""),51.51)</f>
        <v>51.51</v>
      </c>
      <c r="AN93" s="3">
        <f ca="1">IFERROR(__xludf.DUMMYFUNCTION("""COMPUTED_VALUE"""),50.99)</f>
        <v>50.99</v>
      </c>
      <c r="AO93" s="3">
        <f ca="1">IFERROR(__xludf.DUMMYFUNCTION("""COMPUTED_VALUE"""),51.51)</f>
        <v>51.51</v>
      </c>
      <c r="AP93" s="3">
        <f ca="1">IFERROR(__xludf.DUMMYFUNCTION("""COMPUTED_VALUE"""),6120089)</f>
        <v>6120089</v>
      </c>
      <c r="AQ93" s="4">
        <f ca="1">IFERROR(__xludf.DUMMYFUNCTION("""COMPUTED_VALUE"""),42258.6666666666)</f>
        <v>42258.666666666599</v>
      </c>
      <c r="AR93" s="3">
        <f ca="1">IFERROR(__xludf.DUMMYFUNCTION("""COMPUTED_VALUE"""),42.49)</f>
        <v>42.49</v>
      </c>
      <c r="AS93" s="3">
        <f ca="1">IFERROR(__xludf.DUMMYFUNCTION("""COMPUTED_VALUE"""),42.83)</f>
        <v>42.83</v>
      </c>
      <c r="AT93" s="3">
        <f ca="1">IFERROR(__xludf.DUMMYFUNCTION("""COMPUTED_VALUE"""),42.43)</f>
        <v>42.43</v>
      </c>
      <c r="AU93" s="3">
        <f ca="1">IFERROR(__xludf.DUMMYFUNCTION("""COMPUTED_VALUE"""),42.81)</f>
        <v>42.81</v>
      </c>
      <c r="AV93" s="3">
        <f ca="1">IFERROR(__xludf.DUMMYFUNCTION("""COMPUTED_VALUE"""),2899502)</f>
        <v>2899502</v>
      </c>
      <c r="AW93" s="4">
        <f ca="1">IFERROR(__xludf.DUMMYFUNCTION("""COMPUTED_VALUE"""),42425.6666666666)</f>
        <v>42425.666666666599</v>
      </c>
      <c r="AX93" s="3">
        <f ca="1">IFERROR(__xludf.DUMMYFUNCTION("""COMPUTED_VALUE"""),29.16)</f>
        <v>29.16</v>
      </c>
      <c r="AY93" s="3">
        <f ca="1">IFERROR(__xludf.DUMMYFUNCTION("""COMPUTED_VALUE"""),29.16)</f>
        <v>29.16</v>
      </c>
      <c r="AZ93" s="3">
        <f ca="1">IFERROR(__xludf.DUMMYFUNCTION("""COMPUTED_VALUE"""),29.16)</f>
        <v>29.16</v>
      </c>
      <c r="BA93" s="3">
        <f ca="1">IFERROR(__xludf.DUMMYFUNCTION("""COMPUTED_VALUE"""),29.16)</f>
        <v>29.16</v>
      </c>
      <c r="BB93" s="3">
        <f ca="1">IFERROR(__xludf.DUMMYFUNCTION("""COMPUTED_VALUE"""),125)</f>
        <v>125</v>
      </c>
      <c r="BC93" s="4">
        <f ca="1">IFERROR(__xludf.DUMMYFUNCTION("""COMPUTED_VALUE"""),42258.6666666666)</f>
        <v>42258.666666666599</v>
      </c>
      <c r="BD93" s="3">
        <f ca="1">IFERROR(__xludf.DUMMYFUNCTION("""COMPUTED_VALUE"""),39.99)</f>
        <v>39.99</v>
      </c>
      <c r="BE93" s="3">
        <f ca="1">IFERROR(__xludf.DUMMYFUNCTION("""COMPUTED_VALUE"""),40.46)</f>
        <v>40.46</v>
      </c>
      <c r="BF93" s="3">
        <f ca="1">IFERROR(__xludf.DUMMYFUNCTION("""COMPUTED_VALUE"""),39.98)</f>
        <v>39.979999999999997</v>
      </c>
      <c r="BG93" s="3">
        <f ca="1">IFERROR(__xludf.DUMMYFUNCTION("""COMPUTED_VALUE"""),40.46)</f>
        <v>40.46</v>
      </c>
      <c r="BH93" s="3">
        <f ca="1">IFERROR(__xludf.DUMMYFUNCTION("""COMPUTED_VALUE"""),6859731)</f>
        <v>6859731</v>
      </c>
      <c r="BI93" s="4">
        <f ca="1">IFERROR(__xludf.DUMMYFUNCTION("""COMPUTED_VALUE"""),42258.6666666666)</f>
        <v>42258.666666666599</v>
      </c>
      <c r="BJ93" s="3">
        <f ca="1">IFERROR(__xludf.DUMMYFUNCTION("""COMPUTED_VALUE"""),41.19)</f>
        <v>41.19</v>
      </c>
      <c r="BK93" s="3">
        <f ca="1">IFERROR(__xludf.DUMMYFUNCTION("""COMPUTED_VALUE"""),41.57)</f>
        <v>41.57</v>
      </c>
      <c r="BL93" s="3">
        <f ca="1">IFERROR(__xludf.DUMMYFUNCTION("""COMPUTED_VALUE"""),41)</f>
        <v>41</v>
      </c>
      <c r="BM93" s="3">
        <f ca="1">IFERROR(__xludf.DUMMYFUNCTION("""COMPUTED_VALUE"""),41.55)</f>
        <v>41.55</v>
      </c>
      <c r="BN93" s="3">
        <f ca="1">IFERROR(__xludf.DUMMYFUNCTION("""COMPUTED_VALUE"""),7477909)</f>
        <v>7477909</v>
      </c>
    </row>
    <row r="94" spans="7:66" ht="13" x14ac:dyDescent="0.15">
      <c r="G94" s="4">
        <f ca="1">IFERROR(__xludf.DUMMYFUNCTION("""COMPUTED_VALUE"""),42261.6666666666)</f>
        <v>42261.666666666599</v>
      </c>
      <c r="H94" s="3">
        <f ca="1">IFERROR(__xludf.DUMMYFUNCTION("""COMPUTED_VALUE"""),75.47)</f>
        <v>75.47</v>
      </c>
      <c r="I94" s="3">
        <f ca="1">IFERROR(__xludf.DUMMYFUNCTION("""COMPUTED_VALUE"""),75.55)</f>
        <v>75.55</v>
      </c>
      <c r="J94" s="3">
        <f ca="1">IFERROR(__xludf.DUMMYFUNCTION("""COMPUTED_VALUE"""),74.85)</f>
        <v>74.849999999999994</v>
      </c>
      <c r="K94" s="3">
        <f ca="1">IFERROR(__xludf.DUMMYFUNCTION("""COMPUTED_VALUE"""),75.12)</f>
        <v>75.12</v>
      </c>
      <c r="L94" s="3">
        <f ca="1">IFERROR(__xludf.DUMMYFUNCTION("""COMPUTED_VALUE"""),3592263)</f>
        <v>3592263</v>
      </c>
      <c r="M94" s="4">
        <f ca="1">IFERROR(__xludf.DUMMYFUNCTION("""COMPUTED_VALUE"""),42261.6666666666)</f>
        <v>42261.666666666599</v>
      </c>
      <c r="N94" s="3">
        <f ca="1">IFERROR(__xludf.DUMMYFUNCTION("""COMPUTED_VALUE"""),47.08)</f>
        <v>47.08</v>
      </c>
      <c r="O94" s="3">
        <f ca="1">IFERROR(__xludf.DUMMYFUNCTION("""COMPUTED_VALUE"""),47.17)</f>
        <v>47.17</v>
      </c>
      <c r="P94" s="3">
        <f ca="1">IFERROR(__xludf.DUMMYFUNCTION("""COMPUTED_VALUE"""),46.76)</f>
        <v>46.76</v>
      </c>
      <c r="Q94" s="3">
        <f ca="1">IFERROR(__xludf.DUMMYFUNCTION("""COMPUTED_VALUE"""),46.95)</f>
        <v>46.95</v>
      </c>
      <c r="R94" s="3">
        <f ca="1">IFERROR(__xludf.DUMMYFUNCTION("""COMPUTED_VALUE"""),6180096)</f>
        <v>6180096</v>
      </c>
      <c r="S94" s="4">
        <f ca="1">IFERROR(__xludf.DUMMYFUNCTION("""COMPUTED_VALUE"""),42261.6666666666)</f>
        <v>42261.666666666599</v>
      </c>
      <c r="T94" s="3">
        <f ca="1">IFERROR(__xludf.DUMMYFUNCTION("""COMPUTED_VALUE"""),62.93)</f>
        <v>62.93</v>
      </c>
      <c r="U94" s="3">
        <f ca="1">IFERROR(__xludf.DUMMYFUNCTION("""COMPUTED_VALUE"""),63.21)</f>
        <v>63.21</v>
      </c>
      <c r="V94" s="3">
        <f ca="1">IFERROR(__xludf.DUMMYFUNCTION("""COMPUTED_VALUE"""),62.5)</f>
        <v>62.5</v>
      </c>
      <c r="W94" s="3">
        <f ca="1">IFERROR(__xludf.DUMMYFUNCTION("""COMPUTED_VALUE"""),62.82)</f>
        <v>62.82</v>
      </c>
      <c r="X94" s="3">
        <f ca="1">IFERROR(__xludf.DUMMYFUNCTION("""COMPUTED_VALUE"""),12481263)</f>
        <v>12481263</v>
      </c>
      <c r="Y94" s="4">
        <f ca="1">IFERROR(__xludf.DUMMYFUNCTION("""COMPUTED_VALUE"""),42261.6666666666)</f>
        <v>42261.666666666599</v>
      </c>
      <c r="Z94" s="3">
        <f ca="1">IFERROR(__xludf.DUMMYFUNCTION("""COMPUTED_VALUE"""),18.73)</f>
        <v>18.73</v>
      </c>
      <c r="AA94" s="3">
        <f ca="1">IFERROR(__xludf.DUMMYFUNCTION("""COMPUTED_VALUE"""),18.79)</f>
        <v>18.79</v>
      </c>
      <c r="AB94" s="3">
        <f ca="1">IFERROR(__xludf.DUMMYFUNCTION("""COMPUTED_VALUE"""),18.66)</f>
        <v>18.66</v>
      </c>
      <c r="AC94" s="3">
        <f ca="1">IFERROR(__xludf.DUMMYFUNCTION("""COMPUTED_VALUE"""),18.73)</f>
        <v>18.73</v>
      </c>
      <c r="AD94" s="3">
        <f ca="1">IFERROR(__xludf.DUMMYFUNCTION("""COMPUTED_VALUE"""),25862999)</f>
        <v>25862999</v>
      </c>
      <c r="AE94" s="4">
        <f ca="1">IFERROR(__xludf.DUMMYFUNCTION("""COMPUTED_VALUE"""),42261.6666666666)</f>
        <v>42261.666666666599</v>
      </c>
      <c r="AF94" s="3">
        <f ca="1">IFERROR(__xludf.DUMMYFUNCTION("""COMPUTED_VALUE"""),70.65)</f>
        <v>70.650000000000006</v>
      </c>
      <c r="AG94" s="3">
        <f ca="1">IFERROR(__xludf.DUMMYFUNCTION("""COMPUTED_VALUE"""),70.78)</f>
        <v>70.78</v>
      </c>
      <c r="AH94" s="3">
        <f ca="1">IFERROR(__xludf.DUMMYFUNCTION("""COMPUTED_VALUE"""),70.09)</f>
        <v>70.09</v>
      </c>
      <c r="AI94" s="3">
        <f ca="1">IFERROR(__xludf.DUMMYFUNCTION("""COMPUTED_VALUE"""),70.41)</f>
        <v>70.41</v>
      </c>
      <c r="AJ94" s="3">
        <f ca="1">IFERROR(__xludf.DUMMYFUNCTION("""COMPUTED_VALUE"""),6232241)</f>
        <v>6232241</v>
      </c>
      <c r="AK94" s="4">
        <f ca="1">IFERROR(__xludf.DUMMYFUNCTION("""COMPUTED_VALUE"""),42261.6666666666)</f>
        <v>42261.666666666599</v>
      </c>
      <c r="AL94" s="3">
        <f ca="1">IFERROR(__xludf.DUMMYFUNCTION("""COMPUTED_VALUE"""),51.61)</f>
        <v>51.61</v>
      </c>
      <c r="AM94" s="3">
        <f ca="1">IFERROR(__xludf.DUMMYFUNCTION("""COMPUTED_VALUE"""),51.61)</f>
        <v>51.61</v>
      </c>
      <c r="AN94" s="3">
        <f ca="1">IFERROR(__xludf.DUMMYFUNCTION("""COMPUTED_VALUE"""),51.14)</f>
        <v>51.14</v>
      </c>
      <c r="AO94" s="3">
        <f ca="1">IFERROR(__xludf.DUMMYFUNCTION("""COMPUTED_VALUE"""),51.25)</f>
        <v>51.25</v>
      </c>
      <c r="AP94" s="3">
        <f ca="1">IFERROR(__xludf.DUMMYFUNCTION("""COMPUTED_VALUE"""),8436893)</f>
        <v>8436893</v>
      </c>
      <c r="AQ94" s="4">
        <f ca="1">IFERROR(__xludf.DUMMYFUNCTION("""COMPUTED_VALUE"""),42261.6666666666)</f>
        <v>42261.666666666599</v>
      </c>
      <c r="AR94" s="3">
        <f ca="1">IFERROR(__xludf.DUMMYFUNCTION("""COMPUTED_VALUE"""),42.75)</f>
        <v>42.75</v>
      </c>
      <c r="AS94" s="3">
        <f ca="1">IFERROR(__xludf.DUMMYFUNCTION("""COMPUTED_VALUE"""),42.76)</f>
        <v>42.76</v>
      </c>
      <c r="AT94" s="3">
        <f ca="1">IFERROR(__xludf.DUMMYFUNCTION("""COMPUTED_VALUE"""),42.2)</f>
        <v>42.2</v>
      </c>
      <c r="AU94" s="3">
        <f ca="1">IFERROR(__xludf.DUMMYFUNCTION("""COMPUTED_VALUE"""),42.3)</f>
        <v>42.3</v>
      </c>
      <c r="AV94" s="3">
        <f ca="1">IFERROR(__xludf.DUMMYFUNCTION("""COMPUTED_VALUE"""),3342914)</f>
        <v>3342914</v>
      </c>
      <c r="AW94" s="4">
        <f ca="1">IFERROR(__xludf.DUMMYFUNCTION("""COMPUTED_VALUE"""),42426.6666666666)</f>
        <v>42426.666666666599</v>
      </c>
      <c r="AX94" s="3">
        <f ca="1">IFERROR(__xludf.DUMMYFUNCTION("""COMPUTED_VALUE"""),29.5)</f>
        <v>29.5</v>
      </c>
      <c r="AY94" s="3">
        <f ca="1">IFERROR(__xludf.DUMMYFUNCTION("""COMPUTED_VALUE"""),29.51)</f>
        <v>29.51</v>
      </c>
      <c r="AZ94" s="3">
        <f ca="1">IFERROR(__xludf.DUMMYFUNCTION("""COMPUTED_VALUE"""),29.37)</f>
        <v>29.37</v>
      </c>
      <c r="BA94" s="3">
        <f ca="1">IFERROR(__xludf.DUMMYFUNCTION("""COMPUTED_VALUE"""),29.37)</f>
        <v>29.37</v>
      </c>
      <c r="BB94" s="3">
        <f ca="1">IFERROR(__xludf.DUMMYFUNCTION("""COMPUTED_VALUE"""),2504)</f>
        <v>2504</v>
      </c>
      <c r="BC94" s="4">
        <f ca="1">IFERROR(__xludf.DUMMYFUNCTION("""COMPUTED_VALUE"""),42261.6666666666)</f>
        <v>42261.666666666599</v>
      </c>
      <c r="BD94" s="3">
        <f ca="1">IFERROR(__xludf.DUMMYFUNCTION("""COMPUTED_VALUE"""),40.63)</f>
        <v>40.630000000000003</v>
      </c>
      <c r="BE94" s="3">
        <f ca="1">IFERROR(__xludf.DUMMYFUNCTION("""COMPUTED_VALUE"""),40.67)</f>
        <v>40.67</v>
      </c>
      <c r="BF94" s="3">
        <f ca="1">IFERROR(__xludf.DUMMYFUNCTION("""COMPUTED_VALUE"""),40.26)</f>
        <v>40.26</v>
      </c>
      <c r="BG94" s="3">
        <f ca="1">IFERROR(__xludf.DUMMYFUNCTION("""COMPUTED_VALUE"""),40.36)</f>
        <v>40.36</v>
      </c>
      <c r="BH94" s="3">
        <f ca="1">IFERROR(__xludf.DUMMYFUNCTION("""COMPUTED_VALUE"""),7445376)</f>
        <v>7445376</v>
      </c>
      <c r="BI94" s="4">
        <f ca="1">IFERROR(__xludf.DUMMYFUNCTION("""COMPUTED_VALUE"""),42261.6666666666)</f>
        <v>42261.666666666599</v>
      </c>
      <c r="BJ94" s="3">
        <f ca="1">IFERROR(__xludf.DUMMYFUNCTION("""COMPUTED_VALUE"""),41.7)</f>
        <v>41.7</v>
      </c>
      <c r="BK94" s="3">
        <f ca="1">IFERROR(__xludf.DUMMYFUNCTION("""COMPUTED_VALUE"""),41.93)</f>
        <v>41.93</v>
      </c>
      <c r="BL94" s="3">
        <f ca="1">IFERROR(__xludf.DUMMYFUNCTION("""COMPUTED_VALUE"""),41.56)</f>
        <v>41.56</v>
      </c>
      <c r="BM94" s="3">
        <f ca="1">IFERROR(__xludf.DUMMYFUNCTION("""COMPUTED_VALUE"""),41.65)</f>
        <v>41.65</v>
      </c>
      <c r="BN94" s="3">
        <f ca="1">IFERROR(__xludf.DUMMYFUNCTION("""COMPUTED_VALUE"""),8372591)</f>
        <v>8372591</v>
      </c>
    </row>
    <row r="95" spans="7:66" ht="13" x14ac:dyDescent="0.15">
      <c r="G95" s="4">
        <f ca="1">IFERROR(__xludf.DUMMYFUNCTION("""COMPUTED_VALUE"""),42262.6666666666)</f>
        <v>42262.666666666599</v>
      </c>
      <c r="H95" s="3">
        <f ca="1">IFERROR(__xludf.DUMMYFUNCTION("""COMPUTED_VALUE"""),75.14)</f>
        <v>75.14</v>
      </c>
      <c r="I95" s="3">
        <f ca="1">IFERROR(__xludf.DUMMYFUNCTION("""COMPUTED_VALUE"""),76.11)</f>
        <v>76.11</v>
      </c>
      <c r="J95" s="3">
        <f ca="1">IFERROR(__xludf.DUMMYFUNCTION("""COMPUTED_VALUE"""),74.77)</f>
        <v>74.77</v>
      </c>
      <c r="K95" s="3">
        <f ca="1">IFERROR(__xludf.DUMMYFUNCTION("""COMPUTED_VALUE"""),75.91)</f>
        <v>75.91</v>
      </c>
      <c r="L95" s="3">
        <f ca="1">IFERROR(__xludf.DUMMYFUNCTION("""COMPUTED_VALUE"""),5570389)</f>
        <v>5570389</v>
      </c>
      <c r="M95" s="4">
        <f ca="1">IFERROR(__xludf.DUMMYFUNCTION("""COMPUTED_VALUE"""),42262.6666666666)</f>
        <v>42262.666666666599</v>
      </c>
      <c r="N95" s="3">
        <f ca="1">IFERROR(__xludf.DUMMYFUNCTION("""COMPUTED_VALUE"""),47.01)</f>
        <v>47.01</v>
      </c>
      <c r="O95" s="3">
        <f ca="1">IFERROR(__xludf.DUMMYFUNCTION("""COMPUTED_VALUE"""),47.6)</f>
        <v>47.6</v>
      </c>
      <c r="P95" s="3">
        <f ca="1">IFERROR(__xludf.DUMMYFUNCTION("""COMPUTED_VALUE"""),46.82)</f>
        <v>46.82</v>
      </c>
      <c r="Q95" s="3">
        <f ca="1">IFERROR(__xludf.DUMMYFUNCTION("""COMPUTED_VALUE"""),47.51)</f>
        <v>47.51</v>
      </c>
      <c r="R95" s="3">
        <f ca="1">IFERROR(__xludf.DUMMYFUNCTION("""COMPUTED_VALUE"""),7284509)</f>
        <v>7284509</v>
      </c>
      <c r="S95" s="4">
        <f ca="1">IFERROR(__xludf.DUMMYFUNCTION("""COMPUTED_VALUE"""),42262.6666666666)</f>
        <v>42262.666666666599</v>
      </c>
      <c r="T95" s="3">
        <f ca="1">IFERROR(__xludf.DUMMYFUNCTION("""COMPUTED_VALUE"""),63.02)</f>
        <v>63.02</v>
      </c>
      <c r="U95" s="3">
        <f ca="1">IFERROR(__xludf.DUMMYFUNCTION("""COMPUTED_VALUE"""),63.73)</f>
        <v>63.73</v>
      </c>
      <c r="V95" s="3">
        <f ca="1">IFERROR(__xludf.DUMMYFUNCTION("""COMPUTED_VALUE"""),63.01)</f>
        <v>63.01</v>
      </c>
      <c r="W95" s="3">
        <f ca="1">IFERROR(__xludf.DUMMYFUNCTION("""COMPUTED_VALUE"""),63.52)</f>
        <v>63.52</v>
      </c>
      <c r="X95" s="3">
        <f ca="1">IFERROR(__xludf.DUMMYFUNCTION("""COMPUTED_VALUE"""),14816578)</f>
        <v>14816578</v>
      </c>
      <c r="Y95" s="4">
        <f ca="1">IFERROR(__xludf.DUMMYFUNCTION("""COMPUTED_VALUE"""),42262.6666666666)</f>
        <v>42262.666666666599</v>
      </c>
      <c r="Z95" s="3">
        <f ca="1">IFERROR(__xludf.DUMMYFUNCTION("""COMPUTED_VALUE"""),18.81)</f>
        <v>18.809999999999999</v>
      </c>
      <c r="AA95" s="3">
        <f ca="1">IFERROR(__xludf.DUMMYFUNCTION("""COMPUTED_VALUE"""),19.06)</f>
        <v>19.059999999999999</v>
      </c>
      <c r="AB95" s="3">
        <f ca="1">IFERROR(__xludf.DUMMYFUNCTION("""COMPUTED_VALUE"""),18.73)</f>
        <v>18.73</v>
      </c>
      <c r="AC95" s="3">
        <f ca="1">IFERROR(__xludf.DUMMYFUNCTION("""COMPUTED_VALUE"""),19)</f>
        <v>19</v>
      </c>
      <c r="AD95" s="3">
        <f ca="1">IFERROR(__xludf.DUMMYFUNCTION("""COMPUTED_VALUE"""),33345453)</f>
        <v>33345453</v>
      </c>
      <c r="AE95" s="4">
        <f ca="1">IFERROR(__xludf.DUMMYFUNCTION("""COMPUTED_VALUE"""),42262.6666666666)</f>
        <v>42262.666666666599</v>
      </c>
      <c r="AF95" s="3">
        <f ca="1">IFERROR(__xludf.DUMMYFUNCTION("""COMPUTED_VALUE"""),70.76)</f>
        <v>70.760000000000005</v>
      </c>
      <c r="AG95" s="3">
        <f ca="1">IFERROR(__xludf.DUMMYFUNCTION("""COMPUTED_VALUE"""),71.59)</f>
        <v>71.59</v>
      </c>
      <c r="AH95" s="3">
        <f ca="1">IFERROR(__xludf.DUMMYFUNCTION("""COMPUTED_VALUE"""),70.5)</f>
        <v>70.5</v>
      </c>
      <c r="AI95" s="3">
        <f ca="1">IFERROR(__xludf.DUMMYFUNCTION("""COMPUTED_VALUE"""),71.42)</f>
        <v>71.42</v>
      </c>
      <c r="AJ95" s="3">
        <f ca="1">IFERROR(__xludf.DUMMYFUNCTION("""COMPUTED_VALUE"""),8414579)</f>
        <v>8414579</v>
      </c>
      <c r="AK95" s="4">
        <f ca="1">IFERROR(__xludf.DUMMYFUNCTION("""COMPUTED_VALUE"""),42262.6666666666)</f>
        <v>42262.666666666599</v>
      </c>
      <c r="AL95" s="3">
        <f ca="1">IFERROR(__xludf.DUMMYFUNCTION("""COMPUTED_VALUE"""),51.46)</f>
        <v>51.46</v>
      </c>
      <c r="AM95" s="3">
        <f ca="1">IFERROR(__xludf.DUMMYFUNCTION("""COMPUTED_VALUE"""),52.24)</f>
        <v>52.24</v>
      </c>
      <c r="AN95" s="3">
        <f ca="1">IFERROR(__xludf.DUMMYFUNCTION("""COMPUTED_VALUE"""),51.35)</f>
        <v>51.35</v>
      </c>
      <c r="AO95" s="3">
        <f ca="1">IFERROR(__xludf.DUMMYFUNCTION("""COMPUTED_VALUE"""),52.14)</f>
        <v>52.14</v>
      </c>
      <c r="AP95" s="3">
        <f ca="1">IFERROR(__xludf.DUMMYFUNCTION("""COMPUTED_VALUE"""),7747124)</f>
        <v>7747124</v>
      </c>
      <c r="AQ95" s="4">
        <f ca="1">IFERROR(__xludf.DUMMYFUNCTION("""COMPUTED_VALUE"""),42262.6666666666)</f>
        <v>42262.666666666599</v>
      </c>
      <c r="AR95" s="3">
        <f ca="1">IFERROR(__xludf.DUMMYFUNCTION("""COMPUTED_VALUE"""),42.38)</f>
        <v>42.38</v>
      </c>
      <c r="AS95" s="3">
        <f ca="1">IFERROR(__xludf.DUMMYFUNCTION("""COMPUTED_VALUE"""),42.73)</f>
        <v>42.73</v>
      </c>
      <c r="AT95" s="3">
        <f ca="1">IFERROR(__xludf.DUMMYFUNCTION("""COMPUTED_VALUE"""),42.28)</f>
        <v>42.28</v>
      </c>
      <c r="AU95" s="3">
        <f ca="1">IFERROR(__xludf.DUMMYFUNCTION("""COMPUTED_VALUE"""),42.61)</f>
        <v>42.61</v>
      </c>
      <c r="AV95" s="3">
        <f ca="1">IFERROR(__xludf.DUMMYFUNCTION("""COMPUTED_VALUE"""),3562004)</f>
        <v>3562004</v>
      </c>
      <c r="AW95" s="4">
        <f ca="1">IFERROR(__xludf.DUMMYFUNCTION("""COMPUTED_VALUE"""),42429.6666666666)</f>
        <v>42429.666666666599</v>
      </c>
      <c r="AX95" s="3">
        <f ca="1">IFERROR(__xludf.DUMMYFUNCTION("""COMPUTED_VALUE"""),29.63)</f>
        <v>29.63</v>
      </c>
      <c r="AY95" s="3">
        <f ca="1">IFERROR(__xludf.DUMMYFUNCTION("""COMPUTED_VALUE"""),29.65)</f>
        <v>29.65</v>
      </c>
      <c r="AZ95" s="3">
        <f ca="1">IFERROR(__xludf.DUMMYFUNCTION("""COMPUTED_VALUE"""),29.33)</f>
        <v>29.33</v>
      </c>
      <c r="BA95" s="3">
        <f ca="1">IFERROR(__xludf.DUMMYFUNCTION("""COMPUTED_VALUE"""),29.33)</f>
        <v>29.33</v>
      </c>
      <c r="BB95" s="3">
        <f ca="1">IFERROR(__xludf.DUMMYFUNCTION("""COMPUTED_VALUE"""),732)</f>
        <v>732</v>
      </c>
      <c r="BC95" s="4">
        <f ca="1">IFERROR(__xludf.DUMMYFUNCTION("""COMPUTED_VALUE"""),42262.6666666666)</f>
        <v>42262.666666666599</v>
      </c>
      <c r="BD95" s="3">
        <f ca="1">IFERROR(__xludf.DUMMYFUNCTION("""COMPUTED_VALUE"""),40.49)</f>
        <v>40.49</v>
      </c>
      <c r="BE95" s="3">
        <f ca="1">IFERROR(__xludf.DUMMYFUNCTION("""COMPUTED_VALUE"""),40.99)</f>
        <v>40.99</v>
      </c>
      <c r="BF95" s="3">
        <f ca="1">IFERROR(__xludf.DUMMYFUNCTION("""COMPUTED_VALUE"""),40.38)</f>
        <v>40.380000000000003</v>
      </c>
      <c r="BG95" s="3">
        <f ca="1">IFERROR(__xludf.DUMMYFUNCTION("""COMPUTED_VALUE"""),40.88)</f>
        <v>40.880000000000003</v>
      </c>
      <c r="BH95" s="3">
        <f ca="1">IFERROR(__xludf.DUMMYFUNCTION("""COMPUTED_VALUE"""),8805981)</f>
        <v>8805981</v>
      </c>
      <c r="BI95" s="4">
        <f ca="1">IFERROR(__xludf.DUMMYFUNCTION("""COMPUTED_VALUE"""),42262.6666666666)</f>
        <v>42262.666666666599</v>
      </c>
      <c r="BJ95" s="3">
        <f ca="1">IFERROR(__xludf.DUMMYFUNCTION("""COMPUTED_VALUE"""),41.7)</f>
        <v>41.7</v>
      </c>
      <c r="BK95" s="3">
        <f ca="1">IFERROR(__xludf.DUMMYFUNCTION("""COMPUTED_VALUE"""),41.97)</f>
        <v>41.97</v>
      </c>
      <c r="BL95" s="3">
        <f ca="1">IFERROR(__xludf.DUMMYFUNCTION("""COMPUTED_VALUE"""),41.44)</f>
        <v>41.44</v>
      </c>
      <c r="BM95" s="3">
        <f ca="1">IFERROR(__xludf.DUMMYFUNCTION("""COMPUTED_VALUE"""),41.87)</f>
        <v>41.87</v>
      </c>
      <c r="BN95" s="3">
        <f ca="1">IFERROR(__xludf.DUMMYFUNCTION("""COMPUTED_VALUE"""),6579144)</f>
        <v>6579144</v>
      </c>
    </row>
    <row r="96" spans="7:66" ht="13" x14ac:dyDescent="0.15">
      <c r="G96" s="4">
        <f ca="1">IFERROR(__xludf.DUMMYFUNCTION("""COMPUTED_VALUE"""),42263.6666666666)</f>
        <v>42263.666666666599</v>
      </c>
      <c r="H96" s="3">
        <f ca="1">IFERROR(__xludf.DUMMYFUNCTION("""COMPUTED_VALUE"""),76.04)</f>
        <v>76.040000000000006</v>
      </c>
      <c r="I96" s="3">
        <f ca="1">IFERROR(__xludf.DUMMYFUNCTION("""COMPUTED_VALUE"""),76.87)</f>
        <v>76.87</v>
      </c>
      <c r="J96" s="3">
        <f ca="1">IFERROR(__xludf.DUMMYFUNCTION("""COMPUTED_VALUE"""),75.83)</f>
        <v>75.83</v>
      </c>
      <c r="K96" s="3">
        <f ca="1">IFERROR(__xludf.DUMMYFUNCTION("""COMPUTED_VALUE"""),76.77)</f>
        <v>76.77</v>
      </c>
      <c r="L96" s="3">
        <f ca="1">IFERROR(__xludf.DUMMYFUNCTION("""COMPUTED_VALUE"""),6615888)</f>
        <v>6615888</v>
      </c>
      <c r="M96" s="4">
        <f ca="1">IFERROR(__xludf.DUMMYFUNCTION("""COMPUTED_VALUE"""),42263.6666666666)</f>
        <v>42263.666666666599</v>
      </c>
      <c r="N96" s="3">
        <f ca="1">IFERROR(__xludf.DUMMYFUNCTION("""COMPUTED_VALUE"""),47.94)</f>
        <v>47.94</v>
      </c>
      <c r="O96" s="3">
        <f ca="1">IFERROR(__xludf.DUMMYFUNCTION("""COMPUTED_VALUE"""),48.11)</f>
        <v>48.11</v>
      </c>
      <c r="P96" s="3">
        <f ca="1">IFERROR(__xludf.DUMMYFUNCTION("""COMPUTED_VALUE"""),47.67)</f>
        <v>47.67</v>
      </c>
      <c r="Q96" s="3">
        <f ca="1">IFERROR(__xludf.DUMMYFUNCTION("""COMPUTED_VALUE"""),48.05)</f>
        <v>48.05</v>
      </c>
      <c r="R96" s="3">
        <f ca="1">IFERROR(__xludf.DUMMYFUNCTION("""COMPUTED_VALUE"""),11470705)</f>
        <v>11470705</v>
      </c>
      <c r="S96" s="4">
        <f ca="1">IFERROR(__xludf.DUMMYFUNCTION("""COMPUTED_VALUE"""),42263.6666666666)</f>
        <v>42263.666666666599</v>
      </c>
      <c r="T96" s="3">
        <f ca="1">IFERROR(__xludf.DUMMYFUNCTION("""COMPUTED_VALUE"""),64.03)</f>
        <v>64.03</v>
      </c>
      <c r="U96" s="3">
        <f ca="1">IFERROR(__xludf.DUMMYFUNCTION("""COMPUTED_VALUE"""),65.41)</f>
        <v>65.41</v>
      </c>
      <c r="V96" s="3">
        <f ca="1">IFERROR(__xludf.DUMMYFUNCTION("""COMPUTED_VALUE"""),63.93)</f>
        <v>63.93</v>
      </c>
      <c r="W96" s="3">
        <f ca="1">IFERROR(__xludf.DUMMYFUNCTION("""COMPUTED_VALUE"""),65.32)</f>
        <v>65.319999999999993</v>
      </c>
      <c r="X96" s="3">
        <f ca="1">IFERROR(__xludf.DUMMYFUNCTION("""COMPUTED_VALUE"""),17216657)</f>
        <v>17216657</v>
      </c>
      <c r="Y96" s="4">
        <f ca="1">IFERROR(__xludf.DUMMYFUNCTION("""COMPUTED_VALUE"""),42263.6666666666)</f>
        <v>42263.666666666599</v>
      </c>
      <c r="Z96" s="3">
        <f ca="1">IFERROR(__xludf.DUMMYFUNCTION("""COMPUTED_VALUE"""),19.02)</f>
        <v>19.02</v>
      </c>
      <c r="AA96" s="3">
        <f ca="1">IFERROR(__xludf.DUMMYFUNCTION("""COMPUTED_VALUE"""),19.16)</f>
        <v>19.16</v>
      </c>
      <c r="AB96" s="3">
        <f ca="1">IFERROR(__xludf.DUMMYFUNCTION("""COMPUTED_VALUE"""),18.92)</f>
        <v>18.920000000000002</v>
      </c>
      <c r="AC96" s="3">
        <f ca="1">IFERROR(__xludf.DUMMYFUNCTION("""COMPUTED_VALUE"""),19.12)</f>
        <v>19.12</v>
      </c>
      <c r="AD96" s="3">
        <f ca="1">IFERROR(__xludf.DUMMYFUNCTION("""COMPUTED_VALUE"""),22752547)</f>
        <v>22752547</v>
      </c>
      <c r="AE96" s="4">
        <f ca="1">IFERROR(__xludf.DUMMYFUNCTION("""COMPUTED_VALUE"""),42263.6666666666)</f>
        <v>42263.666666666599</v>
      </c>
      <c r="AF96" s="3">
        <f ca="1">IFERROR(__xludf.DUMMYFUNCTION("""COMPUTED_VALUE"""),71.45)</f>
        <v>71.45</v>
      </c>
      <c r="AG96" s="3">
        <f ca="1">IFERROR(__xludf.DUMMYFUNCTION("""COMPUTED_VALUE"""),71.75)</f>
        <v>71.75</v>
      </c>
      <c r="AH96" s="3">
        <f ca="1">IFERROR(__xludf.DUMMYFUNCTION("""COMPUTED_VALUE"""),70.91)</f>
        <v>70.91</v>
      </c>
      <c r="AI96" s="3">
        <f ca="1">IFERROR(__xludf.DUMMYFUNCTION("""COMPUTED_VALUE"""),71.62)</f>
        <v>71.62</v>
      </c>
      <c r="AJ96" s="3">
        <f ca="1">IFERROR(__xludf.DUMMYFUNCTION("""COMPUTED_VALUE"""),12003378)</f>
        <v>12003378</v>
      </c>
      <c r="AK96" s="4">
        <f ca="1">IFERROR(__xludf.DUMMYFUNCTION("""COMPUTED_VALUE"""),42263.6666666666)</f>
        <v>42263.666666666599</v>
      </c>
      <c r="AL96" s="3">
        <f ca="1">IFERROR(__xludf.DUMMYFUNCTION("""COMPUTED_VALUE"""),52.17)</f>
        <v>52.17</v>
      </c>
      <c r="AM96" s="3">
        <f ca="1">IFERROR(__xludf.DUMMYFUNCTION("""COMPUTED_VALUE"""),52.62)</f>
        <v>52.62</v>
      </c>
      <c r="AN96" s="3">
        <f ca="1">IFERROR(__xludf.DUMMYFUNCTION("""COMPUTED_VALUE"""),52.06)</f>
        <v>52.06</v>
      </c>
      <c r="AO96" s="3">
        <f ca="1">IFERROR(__xludf.DUMMYFUNCTION("""COMPUTED_VALUE"""),52.52)</f>
        <v>52.52</v>
      </c>
      <c r="AP96" s="3">
        <f ca="1">IFERROR(__xludf.DUMMYFUNCTION("""COMPUTED_VALUE"""),19320854)</f>
        <v>19320854</v>
      </c>
      <c r="AQ96" s="4">
        <f ca="1">IFERROR(__xludf.DUMMYFUNCTION("""COMPUTED_VALUE"""),42263.6666666666)</f>
        <v>42263.666666666599</v>
      </c>
      <c r="AR96" s="3">
        <f ca="1">IFERROR(__xludf.DUMMYFUNCTION("""COMPUTED_VALUE"""),42.65)</f>
        <v>42.65</v>
      </c>
      <c r="AS96" s="3">
        <f ca="1">IFERROR(__xludf.DUMMYFUNCTION("""COMPUTED_VALUE"""),43.26)</f>
        <v>43.26</v>
      </c>
      <c r="AT96" s="3">
        <f ca="1">IFERROR(__xludf.DUMMYFUNCTION("""COMPUTED_VALUE"""),42.6)</f>
        <v>42.6</v>
      </c>
      <c r="AU96" s="3">
        <f ca="1">IFERROR(__xludf.DUMMYFUNCTION("""COMPUTED_VALUE"""),43.22)</f>
        <v>43.22</v>
      </c>
      <c r="AV96" s="3">
        <f ca="1">IFERROR(__xludf.DUMMYFUNCTION("""COMPUTED_VALUE"""),4363540)</f>
        <v>4363540</v>
      </c>
      <c r="AW96" s="4">
        <f ca="1">IFERROR(__xludf.DUMMYFUNCTION("""COMPUTED_VALUE"""),42430.6666666666)</f>
        <v>42430.666666666599</v>
      </c>
      <c r="AX96" s="3">
        <f ca="1">IFERROR(__xludf.DUMMYFUNCTION("""COMPUTED_VALUE"""),29.8)</f>
        <v>29.8</v>
      </c>
      <c r="AY96" s="3">
        <f ca="1">IFERROR(__xludf.DUMMYFUNCTION("""COMPUTED_VALUE"""),30.04)</f>
        <v>30.04</v>
      </c>
      <c r="AZ96" s="3">
        <f ca="1">IFERROR(__xludf.DUMMYFUNCTION("""COMPUTED_VALUE"""),29.79)</f>
        <v>29.79</v>
      </c>
      <c r="BA96" s="3">
        <f ca="1">IFERROR(__xludf.DUMMYFUNCTION("""COMPUTED_VALUE"""),30.03)</f>
        <v>30.03</v>
      </c>
      <c r="BB96" s="3">
        <f ca="1">IFERROR(__xludf.DUMMYFUNCTION("""COMPUTED_VALUE"""),951)</f>
        <v>951</v>
      </c>
      <c r="BC96" s="4">
        <f ca="1">IFERROR(__xludf.DUMMYFUNCTION("""COMPUTED_VALUE"""),42263.6666666666)</f>
        <v>42263.666666666599</v>
      </c>
      <c r="BD96" s="3">
        <f ca="1">IFERROR(__xludf.DUMMYFUNCTION("""COMPUTED_VALUE"""),40.83)</f>
        <v>40.83</v>
      </c>
      <c r="BE96" s="3">
        <f ca="1">IFERROR(__xludf.DUMMYFUNCTION("""COMPUTED_VALUE"""),41.09)</f>
        <v>41.09</v>
      </c>
      <c r="BF96" s="3">
        <f ca="1">IFERROR(__xludf.DUMMYFUNCTION("""COMPUTED_VALUE"""),40.78)</f>
        <v>40.78</v>
      </c>
      <c r="BG96" s="3">
        <f ca="1">IFERROR(__xludf.DUMMYFUNCTION("""COMPUTED_VALUE"""),41.05)</f>
        <v>41.05</v>
      </c>
      <c r="BH96" s="3">
        <f ca="1">IFERROR(__xludf.DUMMYFUNCTION("""COMPUTED_VALUE"""),7718131)</f>
        <v>7718131</v>
      </c>
      <c r="BI96" s="4">
        <f ca="1">IFERROR(__xludf.DUMMYFUNCTION("""COMPUTED_VALUE"""),42263.6666666666)</f>
        <v>42263.666666666599</v>
      </c>
      <c r="BJ96" s="3">
        <f ca="1">IFERROR(__xludf.DUMMYFUNCTION("""COMPUTED_VALUE"""),41.99)</f>
        <v>41.99</v>
      </c>
      <c r="BK96" s="3">
        <f ca="1">IFERROR(__xludf.DUMMYFUNCTION("""COMPUTED_VALUE"""),42.42)</f>
        <v>42.42</v>
      </c>
      <c r="BL96" s="3">
        <f ca="1">IFERROR(__xludf.DUMMYFUNCTION("""COMPUTED_VALUE"""),41.85)</f>
        <v>41.85</v>
      </c>
      <c r="BM96" s="3">
        <f ca="1">IFERROR(__xludf.DUMMYFUNCTION("""COMPUTED_VALUE"""),42.29)</f>
        <v>42.29</v>
      </c>
      <c r="BN96" s="3">
        <f ca="1">IFERROR(__xludf.DUMMYFUNCTION("""COMPUTED_VALUE"""),8619804)</f>
        <v>8619804</v>
      </c>
    </row>
    <row r="97" spans="7:66" ht="13" x14ac:dyDescent="0.15">
      <c r="G97" s="4">
        <f ca="1">IFERROR(__xludf.DUMMYFUNCTION("""COMPUTED_VALUE"""),42264.6666666666)</f>
        <v>42264.666666666599</v>
      </c>
      <c r="H97" s="3">
        <f ca="1">IFERROR(__xludf.DUMMYFUNCTION("""COMPUTED_VALUE"""),76.8)</f>
        <v>76.8</v>
      </c>
      <c r="I97" s="3">
        <f ca="1">IFERROR(__xludf.DUMMYFUNCTION("""COMPUTED_VALUE"""),78.13)</f>
        <v>78.13</v>
      </c>
      <c r="J97" s="3">
        <f ca="1">IFERROR(__xludf.DUMMYFUNCTION("""COMPUTED_VALUE"""),76.68)</f>
        <v>76.680000000000007</v>
      </c>
      <c r="K97" s="3">
        <f ca="1">IFERROR(__xludf.DUMMYFUNCTION("""COMPUTED_VALUE"""),76.97)</f>
        <v>76.97</v>
      </c>
      <c r="L97" s="3">
        <f ca="1">IFERROR(__xludf.DUMMYFUNCTION("""COMPUTED_VALUE"""),10995155)</f>
        <v>10995155</v>
      </c>
      <c r="M97" s="4">
        <f ca="1">IFERROR(__xludf.DUMMYFUNCTION("""COMPUTED_VALUE"""),42264.6666666666)</f>
        <v>42264.666666666599</v>
      </c>
      <c r="N97" s="3">
        <f ca="1">IFERROR(__xludf.DUMMYFUNCTION("""COMPUTED_VALUE"""),48.01)</f>
        <v>48.01</v>
      </c>
      <c r="O97" s="3">
        <f ca="1">IFERROR(__xludf.DUMMYFUNCTION("""COMPUTED_VALUE"""),48.62)</f>
        <v>48.62</v>
      </c>
      <c r="P97" s="3">
        <f ca="1">IFERROR(__xludf.DUMMYFUNCTION("""COMPUTED_VALUE"""),47.91)</f>
        <v>47.91</v>
      </c>
      <c r="Q97" s="3">
        <f ca="1">IFERROR(__xludf.DUMMYFUNCTION("""COMPUTED_VALUE"""),48.05)</f>
        <v>48.05</v>
      </c>
      <c r="R97" s="3">
        <f ca="1">IFERROR(__xludf.DUMMYFUNCTION("""COMPUTED_VALUE"""),13063925)</f>
        <v>13063925</v>
      </c>
      <c r="S97" s="4">
        <f ca="1">IFERROR(__xludf.DUMMYFUNCTION("""COMPUTED_VALUE"""),42264.6666666666)</f>
        <v>42264.666666666599</v>
      </c>
      <c r="T97" s="3">
        <f ca="1">IFERROR(__xludf.DUMMYFUNCTION("""COMPUTED_VALUE"""),65.37)</f>
        <v>65.37</v>
      </c>
      <c r="U97" s="3">
        <f ca="1">IFERROR(__xludf.DUMMYFUNCTION("""COMPUTED_VALUE"""),66.44)</f>
        <v>66.44</v>
      </c>
      <c r="V97" s="3">
        <f ca="1">IFERROR(__xludf.DUMMYFUNCTION("""COMPUTED_VALUE"""),64.86)</f>
        <v>64.86</v>
      </c>
      <c r="W97" s="3">
        <f ca="1">IFERROR(__xludf.DUMMYFUNCTION("""COMPUTED_VALUE"""),65.28)</f>
        <v>65.28</v>
      </c>
      <c r="X97" s="3">
        <f ca="1">IFERROR(__xludf.DUMMYFUNCTION("""COMPUTED_VALUE"""),19822670)</f>
        <v>19822670</v>
      </c>
      <c r="Y97" s="4">
        <f ca="1">IFERROR(__xludf.DUMMYFUNCTION("""COMPUTED_VALUE"""),42264.6666666666)</f>
        <v>42264.666666666599</v>
      </c>
      <c r="Z97" s="3">
        <f ca="1">IFERROR(__xludf.DUMMYFUNCTION("""COMPUTED_VALUE"""),19.11)</f>
        <v>19.11</v>
      </c>
      <c r="AA97" s="3">
        <f ca="1">IFERROR(__xludf.DUMMYFUNCTION("""COMPUTED_VALUE"""),19.24)</f>
        <v>19.239999999999998</v>
      </c>
      <c r="AB97" s="3">
        <f ca="1">IFERROR(__xludf.DUMMYFUNCTION("""COMPUTED_VALUE"""),18.82)</f>
        <v>18.82</v>
      </c>
      <c r="AC97" s="3">
        <f ca="1">IFERROR(__xludf.DUMMYFUNCTION("""COMPUTED_VALUE"""),18.86)</f>
        <v>18.86</v>
      </c>
      <c r="AD97" s="3">
        <f ca="1">IFERROR(__xludf.DUMMYFUNCTION("""COMPUTED_VALUE"""),61105967)</f>
        <v>61105967</v>
      </c>
      <c r="AE97" s="4">
        <f ca="1">IFERROR(__xludf.DUMMYFUNCTION("""COMPUTED_VALUE"""),42264.6666666666)</f>
        <v>42264.666666666599</v>
      </c>
      <c r="AF97" s="3">
        <f ca="1">IFERROR(__xludf.DUMMYFUNCTION("""COMPUTED_VALUE"""),71.55)</f>
        <v>71.55</v>
      </c>
      <c r="AG97" s="3">
        <f ca="1">IFERROR(__xludf.DUMMYFUNCTION("""COMPUTED_VALUE"""),73.26)</f>
        <v>73.260000000000005</v>
      </c>
      <c r="AH97" s="3">
        <f ca="1">IFERROR(__xludf.DUMMYFUNCTION("""COMPUTED_VALUE"""),71.55)</f>
        <v>71.55</v>
      </c>
      <c r="AI97" s="3">
        <f ca="1">IFERROR(__xludf.DUMMYFUNCTION("""COMPUTED_VALUE"""),72.27)</f>
        <v>72.27</v>
      </c>
      <c r="AJ97" s="3">
        <f ca="1">IFERROR(__xludf.DUMMYFUNCTION("""COMPUTED_VALUE"""),19148977)</f>
        <v>19148977</v>
      </c>
      <c r="AK97" s="4">
        <f ca="1">IFERROR(__xludf.DUMMYFUNCTION("""COMPUTED_VALUE"""),42264.6666666666)</f>
        <v>42264.666666666599</v>
      </c>
      <c r="AL97" s="3">
        <f ca="1">IFERROR(__xludf.DUMMYFUNCTION("""COMPUTED_VALUE"""),52.45)</f>
        <v>52.45</v>
      </c>
      <c r="AM97" s="3">
        <f ca="1">IFERROR(__xludf.DUMMYFUNCTION("""COMPUTED_VALUE"""),53.12)</f>
        <v>53.12</v>
      </c>
      <c r="AN97" s="3">
        <f ca="1">IFERROR(__xludf.DUMMYFUNCTION("""COMPUTED_VALUE"""),52.16)</f>
        <v>52.16</v>
      </c>
      <c r="AO97" s="3">
        <f ca="1">IFERROR(__xludf.DUMMYFUNCTION("""COMPUTED_VALUE"""),52.29)</f>
        <v>52.29</v>
      </c>
      <c r="AP97" s="3">
        <f ca="1">IFERROR(__xludf.DUMMYFUNCTION("""COMPUTED_VALUE"""),18977405)</f>
        <v>18977405</v>
      </c>
      <c r="AQ97" s="4">
        <f ca="1">IFERROR(__xludf.DUMMYFUNCTION("""COMPUTED_VALUE"""),42264.6666666666)</f>
        <v>42264.666666666599</v>
      </c>
      <c r="AR97" s="3">
        <f ca="1">IFERROR(__xludf.DUMMYFUNCTION("""COMPUTED_VALUE"""),43.14)</f>
        <v>43.14</v>
      </c>
      <c r="AS97" s="3">
        <f ca="1">IFERROR(__xludf.DUMMYFUNCTION("""COMPUTED_VALUE"""),43.74)</f>
        <v>43.74</v>
      </c>
      <c r="AT97" s="3">
        <f ca="1">IFERROR(__xludf.DUMMYFUNCTION("""COMPUTED_VALUE"""),42.93)</f>
        <v>42.93</v>
      </c>
      <c r="AU97" s="3">
        <f ca="1">IFERROR(__xludf.DUMMYFUNCTION("""COMPUTED_VALUE"""),43.02)</f>
        <v>43.02</v>
      </c>
      <c r="AV97" s="3">
        <f ca="1">IFERROR(__xludf.DUMMYFUNCTION("""COMPUTED_VALUE"""),9138014)</f>
        <v>9138014</v>
      </c>
      <c r="AW97" s="4">
        <f ca="1">IFERROR(__xludf.DUMMYFUNCTION("""COMPUTED_VALUE"""),42431.6666666666)</f>
        <v>42431.666666666599</v>
      </c>
      <c r="AX97" s="3">
        <f ca="1">IFERROR(__xludf.DUMMYFUNCTION("""COMPUTED_VALUE"""),30.23)</f>
        <v>30.23</v>
      </c>
      <c r="AY97" s="3">
        <f ca="1">IFERROR(__xludf.DUMMYFUNCTION("""COMPUTED_VALUE"""),30.36)</f>
        <v>30.36</v>
      </c>
      <c r="AZ97" s="3">
        <f ca="1">IFERROR(__xludf.DUMMYFUNCTION("""COMPUTED_VALUE"""),30.19)</f>
        <v>30.19</v>
      </c>
      <c r="BA97" s="3">
        <f ca="1">IFERROR(__xludf.DUMMYFUNCTION("""COMPUTED_VALUE"""),30.36)</f>
        <v>30.36</v>
      </c>
      <c r="BB97" s="3">
        <f ca="1">IFERROR(__xludf.DUMMYFUNCTION("""COMPUTED_VALUE"""),1305)</f>
        <v>1305</v>
      </c>
      <c r="BC97" s="4">
        <f ca="1">IFERROR(__xludf.DUMMYFUNCTION("""COMPUTED_VALUE"""),42264.6666666666)</f>
        <v>42264.666666666599</v>
      </c>
      <c r="BD97" s="3">
        <f ca="1">IFERROR(__xludf.DUMMYFUNCTION("""COMPUTED_VALUE"""),40.88)</f>
        <v>40.880000000000003</v>
      </c>
      <c r="BE97" s="3">
        <f ca="1">IFERROR(__xludf.DUMMYFUNCTION("""COMPUTED_VALUE"""),41.4)</f>
        <v>41.4</v>
      </c>
      <c r="BF97" s="3">
        <f ca="1">IFERROR(__xludf.DUMMYFUNCTION("""COMPUTED_VALUE"""),40.63)</f>
        <v>40.630000000000003</v>
      </c>
      <c r="BG97" s="3">
        <f ca="1">IFERROR(__xludf.DUMMYFUNCTION("""COMPUTED_VALUE"""),40.77)</f>
        <v>40.770000000000003</v>
      </c>
      <c r="BH97" s="3">
        <f ca="1">IFERROR(__xludf.DUMMYFUNCTION("""COMPUTED_VALUE"""),16782643)</f>
        <v>16782643</v>
      </c>
      <c r="BI97" s="4">
        <f ca="1">IFERROR(__xludf.DUMMYFUNCTION("""COMPUTED_VALUE"""),42264.6666666666)</f>
        <v>42264.666666666599</v>
      </c>
      <c r="BJ97" s="3">
        <f ca="1">IFERROR(__xludf.DUMMYFUNCTION("""COMPUTED_VALUE"""),42.17)</f>
        <v>42.17</v>
      </c>
      <c r="BK97" s="3">
        <f ca="1">IFERROR(__xludf.DUMMYFUNCTION("""COMPUTED_VALUE"""),43.42)</f>
        <v>43.42</v>
      </c>
      <c r="BL97" s="3">
        <f ca="1">IFERROR(__xludf.DUMMYFUNCTION("""COMPUTED_VALUE"""),42.17)</f>
        <v>42.17</v>
      </c>
      <c r="BM97" s="3">
        <f ca="1">IFERROR(__xludf.DUMMYFUNCTION("""COMPUTED_VALUE"""),42.87)</f>
        <v>42.87</v>
      </c>
      <c r="BN97" s="3">
        <f ca="1">IFERROR(__xludf.DUMMYFUNCTION("""COMPUTED_VALUE"""),22723109)</f>
        <v>22723109</v>
      </c>
    </row>
    <row r="98" spans="7:66" ht="13" x14ac:dyDescent="0.15">
      <c r="G98" s="4">
        <f ca="1">IFERROR(__xludf.DUMMYFUNCTION("""COMPUTED_VALUE"""),42265.6666666666)</f>
        <v>42265.666666666599</v>
      </c>
      <c r="H98" s="3">
        <f ca="1">IFERROR(__xludf.DUMMYFUNCTION("""COMPUTED_VALUE"""),75.77)</f>
        <v>75.77</v>
      </c>
      <c r="I98" s="3">
        <f ca="1">IFERROR(__xludf.DUMMYFUNCTION("""COMPUTED_VALUE"""),76.49)</f>
        <v>76.489999999999995</v>
      </c>
      <c r="J98" s="3">
        <f ca="1">IFERROR(__xludf.DUMMYFUNCTION("""COMPUTED_VALUE"""),75.34)</f>
        <v>75.34</v>
      </c>
      <c r="K98" s="3">
        <f ca="1">IFERROR(__xludf.DUMMYFUNCTION("""COMPUTED_VALUE"""),75.46)</f>
        <v>75.459999999999994</v>
      </c>
      <c r="L98" s="3">
        <f ca="1">IFERROR(__xludf.DUMMYFUNCTION("""COMPUTED_VALUE"""),9861451)</f>
        <v>9861451</v>
      </c>
      <c r="M98" s="4">
        <f ca="1">IFERROR(__xludf.DUMMYFUNCTION("""COMPUTED_VALUE"""),42265.6666666666)</f>
        <v>42265.666666666599</v>
      </c>
      <c r="N98" s="3">
        <f ca="1">IFERROR(__xludf.DUMMYFUNCTION("""COMPUTED_VALUE"""),47.19)</f>
        <v>47.19</v>
      </c>
      <c r="O98" s="3">
        <f ca="1">IFERROR(__xludf.DUMMYFUNCTION("""COMPUTED_VALUE"""),47.71)</f>
        <v>47.71</v>
      </c>
      <c r="P98" s="3">
        <f ca="1">IFERROR(__xludf.DUMMYFUNCTION("""COMPUTED_VALUE"""),47)</f>
        <v>47</v>
      </c>
      <c r="Q98" s="3">
        <f ca="1">IFERROR(__xludf.DUMMYFUNCTION("""COMPUTED_VALUE"""),47.19)</f>
        <v>47.19</v>
      </c>
      <c r="R98" s="3">
        <f ca="1">IFERROR(__xludf.DUMMYFUNCTION("""COMPUTED_VALUE"""),10970796)</f>
        <v>10970796</v>
      </c>
      <c r="S98" s="4">
        <f ca="1">IFERROR(__xludf.DUMMYFUNCTION("""COMPUTED_VALUE"""),42265.6666666666)</f>
        <v>42265.666666666599</v>
      </c>
      <c r="T98" s="3">
        <f ca="1">IFERROR(__xludf.DUMMYFUNCTION("""COMPUTED_VALUE"""),63.58)</f>
        <v>63.58</v>
      </c>
      <c r="U98" s="3">
        <f ca="1">IFERROR(__xludf.DUMMYFUNCTION("""COMPUTED_VALUE"""),64.05)</f>
        <v>64.05</v>
      </c>
      <c r="V98" s="3">
        <f ca="1">IFERROR(__xludf.DUMMYFUNCTION("""COMPUTED_VALUE"""),62.72)</f>
        <v>62.72</v>
      </c>
      <c r="W98" s="3">
        <f ca="1">IFERROR(__xludf.DUMMYFUNCTION("""COMPUTED_VALUE"""),63.1)</f>
        <v>63.1</v>
      </c>
      <c r="X98" s="3">
        <f ca="1">IFERROR(__xludf.DUMMYFUNCTION("""COMPUTED_VALUE"""),21236946)</f>
        <v>21236946</v>
      </c>
      <c r="Y98" s="4">
        <f ca="1">IFERROR(__xludf.DUMMYFUNCTION("""COMPUTED_VALUE"""),42265.6666666666)</f>
        <v>42265.666666666599</v>
      </c>
      <c r="Z98" s="3">
        <f ca="1">IFERROR(__xludf.DUMMYFUNCTION("""COMPUTED_VALUE"""),18.51)</f>
        <v>18.510000000000002</v>
      </c>
      <c r="AA98" s="3">
        <f ca="1">IFERROR(__xludf.DUMMYFUNCTION("""COMPUTED_VALUE"""),18.6)</f>
        <v>18.600000000000001</v>
      </c>
      <c r="AB98" s="3">
        <f ca="1">IFERROR(__xludf.DUMMYFUNCTION("""COMPUTED_VALUE"""),18.37)</f>
        <v>18.37</v>
      </c>
      <c r="AC98" s="3">
        <f ca="1">IFERROR(__xludf.DUMMYFUNCTION("""COMPUTED_VALUE"""),18.4)</f>
        <v>18.399999999999999</v>
      </c>
      <c r="AD98" s="3">
        <f ca="1">IFERROR(__xludf.DUMMYFUNCTION("""COMPUTED_VALUE"""),69285845)</f>
        <v>69285845</v>
      </c>
      <c r="AE98" s="4">
        <f ca="1">IFERROR(__xludf.DUMMYFUNCTION("""COMPUTED_VALUE"""),42265.6666666666)</f>
        <v>42265.666666666599</v>
      </c>
      <c r="AF98" s="3">
        <f ca="1">IFERROR(__xludf.DUMMYFUNCTION("""COMPUTED_VALUE"""),71.02)</f>
        <v>71.02</v>
      </c>
      <c r="AG98" s="3">
        <f ca="1">IFERROR(__xludf.DUMMYFUNCTION("""COMPUTED_VALUE"""),71.67)</f>
        <v>71.67</v>
      </c>
      <c r="AH98" s="3">
        <f ca="1">IFERROR(__xludf.DUMMYFUNCTION("""COMPUTED_VALUE"""),70.81)</f>
        <v>70.81</v>
      </c>
      <c r="AI98" s="3">
        <f ca="1">IFERROR(__xludf.DUMMYFUNCTION("""COMPUTED_VALUE"""),70.91)</f>
        <v>70.91</v>
      </c>
      <c r="AJ98" s="3">
        <f ca="1">IFERROR(__xludf.DUMMYFUNCTION("""COMPUTED_VALUE"""),23715976)</f>
        <v>23715976</v>
      </c>
      <c r="AK98" s="4">
        <f ca="1">IFERROR(__xludf.DUMMYFUNCTION("""COMPUTED_VALUE"""),42265.6666666666)</f>
        <v>42265.666666666599</v>
      </c>
      <c r="AL98" s="3">
        <f ca="1">IFERROR(__xludf.DUMMYFUNCTION("""COMPUTED_VALUE"""),51.21)</f>
        <v>51.21</v>
      </c>
      <c r="AM98" s="3">
        <f ca="1">IFERROR(__xludf.DUMMYFUNCTION("""COMPUTED_VALUE"""),51.47)</f>
        <v>51.47</v>
      </c>
      <c r="AN98" s="3">
        <f ca="1">IFERROR(__xludf.DUMMYFUNCTION("""COMPUTED_VALUE"""),50.77)</f>
        <v>50.77</v>
      </c>
      <c r="AO98" s="3">
        <f ca="1">IFERROR(__xludf.DUMMYFUNCTION("""COMPUTED_VALUE"""),50.86)</f>
        <v>50.86</v>
      </c>
      <c r="AP98" s="3">
        <f ca="1">IFERROR(__xludf.DUMMYFUNCTION("""COMPUTED_VALUE"""),20172452)</f>
        <v>20172452</v>
      </c>
      <c r="AQ98" s="4">
        <f ca="1">IFERROR(__xludf.DUMMYFUNCTION("""COMPUTED_VALUE"""),42265.6666666666)</f>
        <v>42265.666666666599</v>
      </c>
      <c r="AR98" s="3">
        <f ca="1">IFERROR(__xludf.DUMMYFUNCTION("""COMPUTED_VALUE"""),42.09)</f>
        <v>42.09</v>
      </c>
      <c r="AS98" s="3">
        <f ca="1">IFERROR(__xludf.DUMMYFUNCTION("""COMPUTED_VALUE"""),42.35)</f>
        <v>42.35</v>
      </c>
      <c r="AT98" s="3">
        <f ca="1">IFERROR(__xludf.DUMMYFUNCTION("""COMPUTED_VALUE"""),41.74)</f>
        <v>41.74</v>
      </c>
      <c r="AU98" s="3">
        <f ca="1">IFERROR(__xludf.DUMMYFUNCTION("""COMPUTED_VALUE"""),41.88)</f>
        <v>41.88</v>
      </c>
      <c r="AV98" s="3">
        <f ca="1">IFERROR(__xludf.DUMMYFUNCTION("""COMPUTED_VALUE"""),10128610)</f>
        <v>10128610</v>
      </c>
      <c r="AW98" s="4">
        <f ca="1">IFERROR(__xludf.DUMMYFUNCTION("""COMPUTED_VALUE"""),42432.6666666666)</f>
        <v>42432.666666666599</v>
      </c>
      <c r="AX98" s="3">
        <f ca="1">IFERROR(__xludf.DUMMYFUNCTION("""COMPUTED_VALUE"""),30.36)</f>
        <v>30.36</v>
      </c>
      <c r="AY98" s="3">
        <f ca="1">IFERROR(__xludf.DUMMYFUNCTION("""COMPUTED_VALUE"""),30.42)</f>
        <v>30.42</v>
      </c>
      <c r="AZ98" s="3">
        <f ca="1">IFERROR(__xludf.DUMMYFUNCTION("""COMPUTED_VALUE"""),30.36)</f>
        <v>30.36</v>
      </c>
      <c r="BA98" s="3">
        <f ca="1">IFERROR(__xludf.DUMMYFUNCTION("""COMPUTED_VALUE"""),30.4)</f>
        <v>30.4</v>
      </c>
      <c r="BB98" s="3">
        <f ca="1">IFERROR(__xludf.DUMMYFUNCTION("""COMPUTED_VALUE"""),1080)</f>
        <v>1080</v>
      </c>
      <c r="BC98" s="4">
        <f ca="1">IFERROR(__xludf.DUMMYFUNCTION("""COMPUTED_VALUE"""),42265.6666666666)</f>
        <v>42265.666666666599</v>
      </c>
      <c r="BD98" s="3">
        <f ca="1">IFERROR(__xludf.DUMMYFUNCTION("""COMPUTED_VALUE"""),40.11)</f>
        <v>40.11</v>
      </c>
      <c r="BE98" s="3">
        <f ca="1">IFERROR(__xludf.DUMMYFUNCTION("""COMPUTED_VALUE"""),40.48)</f>
        <v>40.479999999999997</v>
      </c>
      <c r="BF98" s="3">
        <f ca="1">IFERROR(__xludf.DUMMYFUNCTION("""COMPUTED_VALUE"""),39.97)</f>
        <v>39.97</v>
      </c>
      <c r="BG98" s="3">
        <f ca="1">IFERROR(__xludf.DUMMYFUNCTION("""COMPUTED_VALUE"""),40.06)</f>
        <v>40.06</v>
      </c>
      <c r="BH98" s="3">
        <f ca="1">IFERROR(__xludf.DUMMYFUNCTION("""COMPUTED_VALUE"""),18115054)</f>
        <v>18115054</v>
      </c>
      <c r="BI98" s="4">
        <f ca="1">IFERROR(__xludf.DUMMYFUNCTION("""COMPUTED_VALUE"""),42265.6666666666)</f>
        <v>42265.666666666599</v>
      </c>
      <c r="BJ98" s="3">
        <f ca="1">IFERROR(__xludf.DUMMYFUNCTION("""COMPUTED_VALUE"""),42.29)</f>
        <v>42.29</v>
      </c>
      <c r="BK98" s="3">
        <f ca="1">IFERROR(__xludf.DUMMYFUNCTION("""COMPUTED_VALUE"""),42.72)</f>
        <v>42.72</v>
      </c>
      <c r="BL98" s="3">
        <f ca="1">IFERROR(__xludf.DUMMYFUNCTION("""COMPUTED_VALUE"""),42.13)</f>
        <v>42.13</v>
      </c>
      <c r="BM98" s="3">
        <f ca="1">IFERROR(__xludf.DUMMYFUNCTION("""COMPUTED_VALUE"""),42.23)</f>
        <v>42.23</v>
      </c>
      <c r="BN98" s="3">
        <f ca="1">IFERROR(__xludf.DUMMYFUNCTION("""COMPUTED_VALUE"""),14358703)</f>
        <v>14358703</v>
      </c>
    </row>
    <row r="99" spans="7:66" ht="13" x14ac:dyDescent="0.15">
      <c r="G99" s="4">
        <f ca="1">IFERROR(__xludf.DUMMYFUNCTION("""COMPUTED_VALUE"""),42268.6666666666)</f>
        <v>42268.666666666599</v>
      </c>
      <c r="H99" s="3">
        <f ca="1">IFERROR(__xludf.DUMMYFUNCTION("""COMPUTED_VALUE"""),75.82)</f>
        <v>75.819999999999993</v>
      </c>
      <c r="I99" s="3">
        <f ca="1">IFERROR(__xludf.DUMMYFUNCTION("""COMPUTED_VALUE"""),76.48)</f>
        <v>76.48</v>
      </c>
      <c r="J99" s="3">
        <f ca="1">IFERROR(__xludf.DUMMYFUNCTION("""COMPUTED_VALUE"""),75.49)</f>
        <v>75.489999999999995</v>
      </c>
      <c r="K99" s="3">
        <f ca="1">IFERROR(__xludf.DUMMYFUNCTION("""COMPUTED_VALUE"""),76.12)</f>
        <v>76.12</v>
      </c>
      <c r="L99" s="3">
        <f ca="1">IFERROR(__xludf.DUMMYFUNCTION("""COMPUTED_VALUE"""),7018088)</f>
        <v>7018088</v>
      </c>
      <c r="M99" s="4">
        <f ca="1">IFERROR(__xludf.DUMMYFUNCTION("""COMPUTED_VALUE"""),42268.6666666666)</f>
        <v>42268.666666666599</v>
      </c>
      <c r="N99" s="3">
        <f ca="1">IFERROR(__xludf.DUMMYFUNCTION("""COMPUTED_VALUE"""),47.31)</f>
        <v>47.31</v>
      </c>
      <c r="O99" s="3">
        <f ca="1">IFERROR(__xludf.DUMMYFUNCTION("""COMPUTED_VALUE"""),47.67)</f>
        <v>47.67</v>
      </c>
      <c r="P99" s="3">
        <f ca="1">IFERROR(__xludf.DUMMYFUNCTION("""COMPUTED_VALUE"""),47.3)</f>
        <v>47.3</v>
      </c>
      <c r="Q99" s="3">
        <f ca="1">IFERROR(__xludf.DUMMYFUNCTION("""COMPUTED_VALUE"""),47.54)</f>
        <v>47.54</v>
      </c>
      <c r="R99" s="3">
        <f ca="1">IFERROR(__xludf.DUMMYFUNCTION("""COMPUTED_VALUE"""),9770603)</f>
        <v>9770603</v>
      </c>
      <c r="S99" s="4">
        <f ca="1">IFERROR(__xludf.DUMMYFUNCTION("""COMPUTED_VALUE"""),42268.6666666666)</f>
        <v>42268.666666666599</v>
      </c>
      <c r="T99" s="3">
        <f ca="1">IFERROR(__xludf.DUMMYFUNCTION("""COMPUTED_VALUE"""),63.77)</f>
        <v>63.77</v>
      </c>
      <c r="U99" s="3">
        <f ca="1">IFERROR(__xludf.DUMMYFUNCTION("""COMPUTED_VALUE"""),63.93)</f>
        <v>63.93</v>
      </c>
      <c r="V99" s="3">
        <f ca="1">IFERROR(__xludf.DUMMYFUNCTION("""COMPUTED_VALUE"""),63.06)</f>
        <v>63.06</v>
      </c>
      <c r="W99" s="3">
        <f ca="1">IFERROR(__xludf.DUMMYFUNCTION("""COMPUTED_VALUE"""),63.46)</f>
        <v>63.46</v>
      </c>
      <c r="X99" s="3">
        <f ca="1">IFERROR(__xludf.DUMMYFUNCTION("""COMPUTED_VALUE"""),15689677)</f>
        <v>15689677</v>
      </c>
      <c r="Y99" s="4">
        <f ca="1">IFERROR(__xludf.DUMMYFUNCTION("""COMPUTED_VALUE"""),42268.6666666666)</f>
        <v>42268.666666666599</v>
      </c>
      <c r="Z99" s="3">
        <f ca="1">IFERROR(__xludf.DUMMYFUNCTION("""COMPUTED_VALUE"""),18.52)</f>
        <v>18.52</v>
      </c>
      <c r="AA99" s="3">
        <f ca="1">IFERROR(__xludf.DUMMYFUNCTION("""COMPUTED_VALUE"""),18.68)</f>
        <v>18.68</v>
      </c>
      <c r="AB99" s="3">
        <f ca="1">IFERROR(__xludf.DUMMYFUNCTION("""COMPUTED_VALUE"""),18.49)</f>
        <v>18.489999999999998</v>
      </c>
      <c r="AC99" s="3">
        <f ca="1">IFERROR(__xludf.DUMMYFUNCTION("""COMPUTED_VALUE"""),18.61)</f>
        <v>18.61</v>
      </c>
      <c r="AD99" s="3">
        <f ca="1">IFERROR(__xludf.DUMMYFUNCTION("""COMPUTED_VALUE"""),38259451)</f>
        <v>38259451</v>
      </c>
      <c r="AE99" s="4">
        <f ca="1">IFERROR(__xludf.DUMMYFUNCTION("""COMPUTED_VALUE"""),42268.6666666666)</f>
        <v>42268.666666666599</v>
      </c>
      <c r="AF99" s="3">
        <f ca="1">IFERROR(__xludf.DUMMYFUNCTION("""COMPUTED_VALUE"""),71.4)</f>
        <v>71.400000000000006</v>
      </c>
      <c r="AG99" s="3">
        <f ca="1">IFERROR(__xludf.DUMMYFUNCTION("""COMPUTED_VALUE"""),71.57)</f>
        <v>71.569999999999993</v>
      </c>
      <c r="AH99" s="3">
        <f ca="1">IFERROR(__xludf.DUMMYFUNCTION("""COMPUTED_VALUE"""),69.5)</f>
        <v>69.5</v>
      </c>
      <c r="AI99" s="3">
        <f ca="1">IFERROR(__xludf.DUMMYFUNCTION("""COMPUTED_VALUE"""),69.97)</f>
        <v>69.97</v>
      </c>
      <c r="AJ99" s="3">
        <f ca="1">IFERROR(__xludf.DUMMYFUNCTION("""COMPUTED_VALUE"""),23860059)</f>
        <v>23860059</v>
      </c>
      <c r="AK99" s="4">
        <f ca="1">IFERROR(__xludf.DUMMYFUNCTION("""COMPUTED_VALUE"""),42268.6666666666)</f>
        <v>42268.666666666599</v>
      </c>
      <c r="AL99" s="3">
        <f ca="1">IFERROR(__xludf.DUMMYFUNCTION("""COMPUTED_VALUE"""),51.14)</f>
        <v>51.14</v>
      </c>
      <c r="AM99" s="3">
        <f ca="1">IFERROR(__xludf.DUMMYFUNCTION("""COMPUTED_VALUE"""),51.45)</f>
        <v>51.45</v>
      </c>
      <c r="AN99" s="3">
        <f ca="1">IFERROR(__xludf.DUMMYFUNCTION("""COMPUTED_VALUE"""),50.87)</f>
        <v>50.87</v>
      </c>
      <c r="AO99" s="3">
        <f ca="1">IFERROR(__xludf.DUMMYFUNCTION("""COMPUTED_VALUE"""),51.11)</f>
        <v>51.11</v>
      </c>
      <c r="AP99" s="3">
        <f ca="1">IFERROR(__xludf.DUMMYFUNCTION("""COMPUTED_VALUE"""),10205156)</f>
        <v>10205156</v>
      </c>
      <c r="AQ99" s="4">
        <f ca="1">IFERROR(__xludf.DUMMYFUNCTION("""COMPUTED_VALUE"""),42268.6666666666)</f>
        <v>42268.666666666599</v>
      </c>
      <c r="AR99" s="3">
        <f ca="1">IFERROR(__xludf.DUMMYFUNCTION("""COMPUTED_VALUE"""),42.18)</f>
        <v>42.18</v>
      </c>
      <c r="AS99" s="3">
        <f ca="1">IFERROR(__xludf.DUMMYFUNCTION("""COMPUTED_VALUE"""),42.35)</f>
        <v>42.35</v>
      </c>
      <c r="AT99" s="3">
        <f ca="1">IFERROR(__xludf.DUMMYFUNCTION("""COMPUTED_VALUE"""),41.87)</f>
        <v>41.87</v>
      </c>
      <c r="AU99" s="3">
        <f ca="1">IFERROR(__xludf.DUMMYFUNCTION("""COMPUTED_VALUE"""),42.02)</f>
        <v>42.02</v>
      </c>
      <c r="AV99" s="3">
        <f ca="1">IFERROR(__xludf.DUMMYFUNCTION("""COMPUTED_VALUE"""),6017342)</f>
        <v>6017342</v>
      </c>
      <c r="AW99" s="4">
        <f ca="1">IFERROR(__xludf.DUMMYFUNCTION("""COMPUTED_VALUE"""),42433.6666666666)</f>
        <v>42433.666666666599</v>
      </c>
      <c r="AX99" s="3">
        <f ca="1">IFERROR(__xludf.DUMMYFUNCTION("""COMPUTED_VALUE"""),30.5)</f>
        <v>30.5</v>
      </c>
      <c r="AY99" s="3">
        <f ca="1">IFERROR(__xludf.DUMMYFUNCTION("""COMPUTED_VALUE"""),30.53)</f>
        <v>30.53</v>
      </c>
      <c r="AZ99" s="3">
        <f ca="1">IFERROR(__xludf.DUMMYFUNCTION("""COMPUTED_VALUE"""),30.44)</f>
        <v>30.44</v>
      </c>
      <c r="BA99" s="3">
        <f ca="1">IFERROR(__xludf.DUMMYFUNCTION("""COMPUTED_VALUE"""),30.49)</f>
        <v>30.49</v>
      </c>
      <c r="BB99" s="3">
        <f ca="1">IFERROR(__xludf.DUMMYFUNCTION("""COMPUTED_VALUE"""),1703)</f>
        <v>1703</v>
      </c>
      <c r="BC99" s="4">
        <f ca="1">IFERROR(__xludf.DUMMYFUNCTION("""COMPUTED_VALUE"""),42268.6666666666)</f>
        <v>42268.666666666599</v>
      </c>
      <c r="BD99" s="3">
        <f ca="1">IFERROR(__xludf.DUMMYFUNCTION("""COMPUTED_VALUE"""),40.13)</f>
        <v>40.130000000000003</v>
      </c>
      <c r="BE99" s="3">
        <f ca="1">IFERROR(__xludf.DUMMYFUNCTION("""COMPUTED_VALUE"""),40.58)</f>
        <v>40.58</v>
      </c>
      <c r="BF99" s="3">
        <f ca="1">IFERROR(__xludf.DUMMYFUNCTION("""COMPUTED_VALUE"""),40.09)</f>
        <v>40.090000000000003</v>
      </c>
      <c r="BG99" s="3">
        <f ca="1">IFERROR(__xludf.DUMMYFUNCTION("""COMPUTED_VALUE"""),40.46)</f>
        <v>40.46</v>
      </c>
      <c r="BH99" s="3">
        <f ca="1">IFERROR(__xludf.DUMMYFUNCTION("""COMPUTED_VALUE"""),6960565)</f>
        <v>6960565</v>
      </c>
      <c r="BI99" s="4">
        <f ca="1">IFERROR(__xludf.DUMMYFUNCTION("""COMPUTED_VALUE"""),42268.6666666666)</f>
        <v>42268.666666666599</v>
      </c>
      <c r="BJ99" s="3">
        <f ca="1">IFERROR(__xludf.DUMMYFUNCTION("""COMPUTED_VALUE"""),42.2)</f>
        <v>42.2</v>
      </c>
      <c r="BK99" s="3">
        <f ca="1">IFERROR(__xludf.DUMMYFUNCTION("""COMPUTED_VALUE"""),42.62)</f>
        <v>42.62</v>
      </c>
      <c r="BL99" s="3">
        <f ca="1">IFERROR(__xludf.DUMMYFUNCTION("""COMPUTED_VALUE"""),42.2)</f>
        <v>42.2</v>
      </c>
      <c r="BM99" s="3">
        <f ca="1">IFERROR(__xludf.DUMMYFUNCTION("""COMPUTED_VALUE"""),42.4)</f>
        <v>42.4</v>
      </c>
      <c r="BN99" s="3">
        <f ca="1">IFERROR(__xludf.DUMMYFUNCTION("""COMPUTED_VALUE"""),8770879)</f>
        <v>8770879</v>
      </c>
    </row>
    <row r="100" spans="7:66" ht="13" x14ac:dyDescent="0.15">
      <c r="G100" s="4">
        <f ca="1">IFERROR(__xludf.DUMMYFUNCTION("""COMPUTED_VALUE"""),42269.6666666666)</f>
        <v>42269.666666666599</v>
      </c>
      <c r="H100" s="3">
        <f ca="1">IFERROR(__xludf.DUMMYFUNCTION("""COMPUTED_VALUE"""),75.17)</f>
        <v>75.17</v>
      </c>
      <c r="I100" s="3">
        <f ca="1">IFERROR(__xludf.DUMMYFUNCTION("""COMPUTED_VALUE"""),75.32)</f>
        <v>75.319999999999993</v>
      </c>
      <c r="J100" s="3">
        <f ca="1">IFERROR(__xludf.DUMMYFUNCTION("""COMPUTED_VALUE"""),74.57)</f>
        <v>74.569999999999993</v>
      </c>
      <c r="K100" s="3">
        <f ca="1">IFERROR(__xludf.DUMMYFUNCTION("""COMPUTED_VALUE"""),75.11)</f>
        <v>75.11</v>
      </c>
      <c r="L100" s="3">
        <f ca="1">IFERROR(__xludf.DUMMYFUNCTION("""COMPUTED_VALUE"""),7645217)</f>
        <v>7645217</v>
      </c>
      <c r="M100" s="4">
        <f ca="1">IFERROR(__xludf.DUMMYFUNCTION("""COMPUTED_VALUE"""),42269.6666666666)</f>
        <v>42269.666666666599</v>
      </c>
      <c r="N100" s="3">
        <f ca="1">IFERROR(__xludf.DUMMYFUNCTION("""COMPUTED_VALUE"""),47.06)</f>
        <v>47.06</v>
      </c>
      <c r="O100" s="3">
        <f ca="1">IFERROR(__xludf.DUMMYFUNCTION("""COMPUTED_VALUE"""),47.14)</f>
        <v>47.14</v>
      </c>
      <c r="P100" s="3">
        <f ca="1">IFERROR(__xludf.DUMMYFUNCTION("""COMPUTED_VALUE"""),46.77)</f>
        <v>46.77</v>
      </c>
      <c r="Q100" s="3">
        <f ca="1">IFERROR(__xludf.DUMMYFUNCTION("""COMPUTED_VALUE"""),47.02)</f>
        <v>47.02</v>
      </c>
      <c r="R100" s="3">
        <f ca="1">IFERROR(__xludf.DUMMYFUNCTION("""COMPUTED_VALUE"""),10674784)</f>
        <v>10674784</v>
      </c>
      <c r="S100" s="4">
        <f ca="1">IFERROR(__xludf.DUMMYFUNCTION("""COMPUTED_VALUE"""),42269.6666666666)</f>
        <v>42269.666666666599</v>
      </c>
      <c r="T100" s="3">
        <f ca="1">IFERROR(__xludf.DUMMYFUNCTION("""COMPUTED_VALUE"""),62.48)</f>
        <v>62.48</v>
      </c>
      <c r="U100" s="3">
        <f ca="1">IFERROR(__xludf.DUMMYFUNCTION("""COMPUTED_VALUE"""),63.45)</f>
        <v>63.45</v>
      </c>
      <c r="V100" s="3">
        <f ca="1">IFERROR(__xludf.DUMMYFUNCTION("""COMPUTED_VALUE"""),62.35)</f>
        <v>62.35</v>
      </c>
      <c r="W100" s="3">
        <f ca="1">IFERROR(__xludf.DUMMYFUNCTION("""COMPUTED_VALUE"""),62.79)</f>
        <v>62.79</v>
      </c>
      <c r="X100" s="3">
        <f ca="1">IFERROR(__xludf.DUMMYFUNCTION("""COMPUTED_VALUE"""),17050396)</f>
        <v>17050396</v>
      </c>
      <c r="Y100" s="4">
        <f ca="1">IFERROR(__xludf.DUMMYFUNCTION("""COMPUTED_VALUE"""),42269.6666666666)</f>
        <v>42269.666666666599</v>
      </c>
      <c r="Z100" s="3">
        <f ca="1">IFERROR(__xludf.DUMMYFUNCTION("""COMPUTED_VALUE"""),18.34)</f>
        <v>18.34</v>
      </c>
      <c r="AA100" s="3">
        <f ca="1">IFERROR(__xludf.DUMMYFUNCTION("""COMPUTED_VALUE"""),18.44)</f>
        <v>18.440000000000001</v>
      </c>
      <c r="AB100" s="3">
        <f ca="1">IFERROR(__xludf.DUMMYFUNCTION("""COMPUTED_VALUE"""),18.24)</f>
        <v>18.239999999999998</v>
      </c>
      <c r="AC100" s="3">
        <f ca="1">IFERROR(__xludf.DUMMYFUNCTION("""COMPUTED_VALUE"""),18.38)</f>
        <v>18.38</v>
      </c>
      <c r="AD100" s="3">
        <f ca="1">IFERROR(__xludf.DUMMYFUNCTION("""COMPUTED_VALUE"""),53075527)</f>
        <v>53075527</v>
      </c>
      <c r="AE100" s="4">
        <f ca="1">IFERROR(__xludf.DUMMYFUNCTION("""COMPUTED_VALUE"""),42269.6666666666)</f>
        <v>42269.666666666599</v>
      </c>
      <c r="AF100" s="3">
        <f ca="1">IFERROR(__xludf.DUMMYFUNCTION("""COMPUTED_VALUE"""),69.01)</f>
        <v>69.010000000000005</v>
      </c>
      <c r="AG100" s="3">
        <f ca="1">IFERROR(__xludf.DUMMYFUNCTION("""COMPUTED_VALUE"""),69.66)</f>
        <v>69.66</v>
      </c>
      <c r="AH100" s="3">
        <f ca="1">IFERROR(__xludf.DUMMYFUNCTION("""COMPUTED_VALUE"""),68.76)</f>
        <v>68.760000000000005</v>
      </c>
      <c r="AI100" s="3">
        <f ca="1">IFERROR(__xludf.DUMMYFUNCTION("""COMPUTED_VALUE"""),69.54)</f>
        <v>69.540000000000006</v>
      </c>
      <c r="AJ100" s="3">
        <f ca="1">IFERROR(__xludf.DUMMYFUNCTION("""COMPUTED_VALUE"""),29233976)</f>
        <v>29233976</v>
      </c>
      <c r="AK100" s="4">
        <f ca="1">IFERROR(__xludf.DUMMYFUNCTION("""COMPUTED_VALUE"""),42269.6666666666)</f>
        <v>42269.666666666599</v>
      </c>
      <c r="AL100" s="3">
        <f ca="1">IFERROR(__xludf.DUMMYFUNCTION("""COMPUTED_VALUE"""),50.39)</f>
        <v>50.39</v>
      </c>
      <c r="AM100" s="3">
        <f ca="1">IFERROR(__xludf.DUMMYFUNCTION("""COMPUTED_VALUE"""),50.55)</f>
        <v>50.55</v>
      </c>
      <c r="AN100" s="3">
        <f ca="1">IFERROR(__xludf.DUMMYFUNCTION("""COMPUTED_VALUE"""),50.04)</f>
        <v>50.04</v>
      </c>
      <c r="AO100" s="3">
        <f ca="1">IFERROR(__xludf.DUMMYFUNCTION("""COMPUTED_VALUE"""),50.37)</f>
        <v>50.37</v>
      </c>
      <c r="AP100" s="3">
        <f ca="1">IFERROR(__xludf.DUMMYFUNCTION("""COMPUTED_VALUE"""),12687074)</f>
        <v>12687074</v>
      </c>
      <c r="AQ100" s="4">
        <f ca="1">IFERROR(__xludf.DUMMYFUNCTION("""COMPUTED_VALUE"""),42269.6666666666)</f>
        <v>42269.666666666599</v>
      </c>
      <c r="AR100" s="3">
        <f ca="1">IFERROR(__xludf.DUMMYFUNCTION("""COMPUTED_VALUE"""),41.39)</f>
        <v>41.39</v>
      </c>
      <c r="AS100" s="3">
        <f ca="1">IFERROR(__xludf.DUMMYFUNCTION("""COMPUTED_VALUE"""),41.43)</f>
        <v>41.43</v>
      </c>
      <c r="AT100" s="3">
        <f ca="1">IFERROR(__xludf.DUMMYFUNCTION("""COMPUTED_VALUE"""),40.88)</f>
        <v>40.880000000000003</v>
      </c>
      <c r="AU100" s="3">
        <f ca="1">IFERROR(__xludf.DUMMYFUNCTION("""COMPUTED_VALUE"""),41.24)</f>
        <v>41.24</v>
      </c>
      <c r="AV100" s="3">
        <f ca="1">IFERROR(__xludf.DUMMYFUNCTION("""COMPUTED_VALUE"""),6594791)</f>
        <v>6594791</v>
      </c>
      <c r="AW100" s="4">
        <f ca="1">IFERROR(__xludf.DUMMYFUNCTION("""COMPUTED_VALUE"""),42436.6666666666)</f>
        <v>42436.666666666599</v>
      </c>
      <c r="AX100" s="3">
        <f ca="1">IFERROR(__xludf.DUMMYFUNCTION("""COMPUTED_VALUE"""),30.61)</f>
        <v>30.61</v>
      </c>
      <c r="AY100" s="3">
        <f ca="1">IFERROR(__xludf.DUMMYFUNCTION("""COMPUTED_VALUE"""),30.63)</f>
        <v>30.63</v>
      </c>
      <c r="AZ100" s="3">
        <f ca="1">IFERROR(__xludf.DUMMYFUNCTION("""COMPUTED_VALUE"""),30.47)</f>
        <v>30.47</v>
      </c>
      <c r="BA100" s="3">
        <f ca="1">IFERROR(__xludf.DUMMYFUNCTION("""COMPUTED_VALUE"""),30.47)</f>
        <v>30.47</v>
      </c>
      <c r="BB100" s="3">
        <f ca="1">IFERROR(__xludf.DUMMYFUNCTION("""COMPUTED_VALUE"""),1542)</f>
        <v>1542</v>
      </c>
      <c r="BC100" s="4">
        <f ca="1">IFERROR(__xludf.DUMMYFUNCTION("""COMPUTED_VALUE"""),42269.6666666666)</f>
        <v>42269.666666666599</v>
      </c>
      <c r="BD100" s="3">
        <f ca="1">IFERROR(__xludf.DUMMYFUNCTION("""COMPUTED_VALUE"""),39.81)</f>
        <v>39.81</v>
      </c>
      <c r="BE100" s="3">
        <f ca="1">IFERROR(__xludf.DUMMYFUNCTION("""COMPUTED_VALUE"""),39.97)</f>
        <v>39.97</v>
      </c>
      <c r="BF100" s="3">
        <f ca="1">IFERROR(__xludf.DUMMYFUNCTION("""COMPUTED_VALUE"""),39.53)</f>
        <v>39.53</v>
      </c>
      <c r="BG100" s="3">
        <f ca="1">IFERROR(__xludf.DUMMYFUNCTION("""COMPUTED_VALUE"""),39.78)</f>
        <v>39.78</v>
      </c>
      <c r="BH100" s="3">
        <f ca="1">IFERROR(__xludf.DUMMYFUNCTION("""COMPUTED_VALUE"""),12288203)</f>
        <v>12288203</v>
      </c>
      <c r="BI100" s="4">
        <f ca="1">IFERROR(__xludf.DUMMYFUNCTION("""COMPUTED_VALUE"""),42269.6666666666)</f>
        <v>42269.666666666599</v>
      </c>
      <c r="BJ100" s="3">
        <f ca="1">IFERROR(__xludf.DUMMYFUNCTION("""COMPUTED_VALUE"""),42.21)</f>
        <v>42.21</v>
      </c>
      <c r="BK100" s="3">
        <f ca="1">IFERROR(__xludf.DUMMYFUNCTION("""COMPUTED_VALUE"""),42.39)</f>
        <v>42.39</v>
      </c>
      <c r="BL100" s="3">
        <f ca="1">IFERROR(__xludf.DUMMYFUNCTION("""COMPUTED_VALUE"""),41.75)</f>
        <v>41.75</v>
      </c>
      <c r="BM100" s="3">
        <f ca="1">IFERROR(__xludf.DUMMYFUNCTION("""COMPUTED_VALUE"""),41.87)</f>
        <v>41.87</v>
      </c>
      <c r="BN100" s="3">
        <f ca="1">IFERROR(__xludf.DUMMYFUNCTION("""COMPUTED_VALUE"""),10972165)</f>
        <v>10972165</v>
      </c>
    </row>
    <row r="101" spans="7:66" ht="13" x14ac:dyDescent="0.15">
      <c r="G101" s="4">
        <f ca="1">IFERROR(__xludf.DUMMYFUNCTION("""COMPUTED_VALUE"""),42270.6666666666)</f>
        <v>42270.666666666599</v>
      </c>
      <c r="H101" s="3">
        <f ca="1">IFERROR(__xludf.DUMMYFUNCTION("""COMPUTED_VALUE"""),75.1)</f>
        <v>75.099999999999994</v>
      </c>
      <c r="I101" s="3">
        <f ca="1">IFERROR(__xludf.DUMMYFUNCTION("""COMPUTED_VALUE"""),75.31)</f>
        <v>75.31</v>
      </c>
      <c r="J101" s="3">
        <f ca="1">IFERROR(__xludf.DUMMYFUNCTION("""COMPUTED_VALUE"""),74.66)</f>
        <v>74.66</v>
      </c>
      <c r="K101" s="3">
        <f ca="1">IFERROR(__xludf.DUMMYFUNCTION("""COMPUTED_VALUE"""),74.91)</f>
        <v>74.91</v>
      </c>
      <c r="L101" s="3">
        <f ca="1">IFERROR(__xludf.DUMMYFUNCTION("""COMPUTED_VALUE"""),5385582)</f>
        <v>5385582</v>
      </c>
      <c r="M101" s="4">
        <f ca="1">IFERROR(__xludf.DUMMYFUNCTION("""COMPUTED_VALUE"""),42270.6666666666)</f>
        <v>42270.666666666599</v>
      </c>
      <c r="N101" s="3">
        <f ca="1">IFERROR(__xludf.DUMMYFUNCTION("""COMPUTED_VALUE"""),47.01)</f>
        <v>47.01</v>
      </c>
      <c r="O101" s="3">
        <f ca="1">IFERROR(__xludf.DUMMYFUNCTION("""COMPUTED_VALUE"""),47.18)</f>
        <v>47.18</v>
      </c>
      <c r="P101" s="3">
        <f ca="1">IFERROR(__xludf.DUMMYFUNCTION("""COMPUTED_VALUE"""),46.86)</f>
        <v>46.86</v>
      </c>
      <c r="Q101" s="3">
        <f ca="1">IFERROR(__xludf.DUMMYFUNCTION("""COMPUTED_VALUE"""),47.1)</f>
        <v>47.1</v>
      </c>
      <c r="R101" s="3">
        <f ca="1">IFERROR(__xludf.DUMMYFUNCTION("""COMPUTED_VALUE"""),6458479)</f>
        <v>6458479</v>
      </c>
      <c r="S101" s="4">
        <f ca="1">IFERROR(__xludf.DUMMYFUNCTION("""COMPUTED_VALUE"""),42270.6666666666)</f>
        <v>42270.666666666599</v>
      </c>
      <c r="T101" s="3">
        <f ca="1">IFERROR(__xludf.DUMMYFUNCTION("""COMPUTED_VALUE"""),63.03)</f>
        <v>63.03</v>
      </c>
      <c r="U101" s="3">
        <f ca="1">IFERROR(__xludf.DUMMYFUNCTION("""COMPUTED_VALUE"""),63.32)</f>
        <v>63.32</v>
      </c>
      <c r="V101" s="3">
        <f ca="1">IFERROR(__xludf.DUMMYFUNCTION("""COMPUTED_VALUE"""),61.95)</f>
        <v>61.95</v>
      </c>
      <c r="W101" s="3">
        <f ca="1">IFERROR(__xludf.DUMMYFUNCTION("""COMPUTED_VALUE"""),61.98)</f>
        <v>61.98</v>
      </c>
      <c r="X101" s="3">
        <f ca="1">IFERROR(__xludf.DUMMYFUNCTION("""COMPUTED_VALUE"""),13984709)</f>
        <v>13984709</v>
      </c>
      <c r="Y101" s="4">
        <f ca="1">IFERROR(__xludf.DUMMYFUNCTION("""COMPUTED_VALUE"""),42270.6666666666)</f>
        <v>42270.666666666599</v>
      </c>
      <c r="Z101" s="3">
        <f ca="1">IFERROR(__xludf.DUMMYFUNCTION("""COMPUTED_VALUE"""),18.38)</f>
        <v>18.38</v>
      </c>
      <c r="AA101" s="3">
        <f ca="1">IFERROR(__xludf.DUMMYFUNCTION("""COMPUTED_VALUE"""),18.45)</f>
        <v>18.45</v>
      </c>
      <c r="AB101" s="3">
        <f ca="1">IFERROR(__xludf.DUMMYFUNCTION("""COMPUTED_VALUE"""),18.28)</f>
        <v>18.28</v>
      </c>
      <c r="AC101" s="3">
        <f ca="1">IFERROR(__xludf.DUMMYFUNCTION("""COMPUTED_VALUE"""),18.38)</f>
        <v>18.38</v>
      </c>
      <c r="AD101" s="3">
        <f ca="1">IFERROR(__xludf.DUMMYFUNCTION("""COMPUTED_VALUE"""),28343744)</f>
        <v>28343744</v>
      </c>
      <c r="AE101" s="4">
        <f ca="1">IFERROR(__xludf.DUMMYFUNCTION("""COMPUTED_VALUE"""),42270.6666666666)</f>
        <v>42270.666666666599</v>
      </c>
      <c r="AF101" s="3">
        <f ca="1">IFERROR(__xludf.DUMMYFUNCTION("""COMPUTED_VALUE"""),69.6)</f>
        <v>69.599999999999994</v>
      </c>
      <c r="AG101" s="3">
        <f ca="1">IFERROR(__xludf.DUMMYFUNCTION("""COMPUTED_VALUE"""),70.12)</f>
        <v>70.12</v>
      </c>
      <c r="AH101" s="3">
        <f ca="1">IFERROR(__xludf.DUMMYFUNCTION("""COMPUTED_VALUE"""),69.11)</f>
        <v>69.11</v>
      </c>
      <c r="AI101" s="3">
        <f ca="1">IFERROR(__xludf.DUMMYFUNCTION("""COMPUTED_VALUE"""),69.47)</f>
        <v>69.47</v>
      </c>
      <c r="AJ101" s="3">
        <f ca="1">IFERROR(__xludf.DUMMYFUNCTION("""COMPUTED_VALUE"""),9578719)</f>
        <v>9578719</v>
      </c>
      <c r="AK101" s="4">
        <f ca="1">IFERROR(__xludf.DUMMYFUNCTION("""COMPUTED_VALUE"""),42270.6666666666)</f>
        <v>42270.666666666599</v>
      </c>
      <c r="AL101" s="3">
        <f ca="1">IFERROR(__xludf.DUMMYFUNCTION("""COMPUTED_VALUE"""),50.38)</f>
        <v>50.38</v>
      </c>
      <c r="AM101" s="3">
        <f ca="1">IFERROR(__xludf.DUMMYFUNCTION("""COMPUTED_VALUE"""),50.49)</f>
        <v>50.49</v>
      </c>
      <c r="AN101" s="3">
        <f ca="1">IFERROR(__xludf.DUMMYFUNCTION("""COMPUTED_VALUE"""),49.84)</f>
        <v>49.84</v>
      </c>
      <c r="AO101" s="3">
        <f ca="1">IFERROR(__xludf.DUMMYFUNCTION("""COMPUTED_VALUE"""),50.02)</f>
        <v>50.02</v>
      </c>
      <c r="AP101" s="3">
        <f ca="1">IFERROR(__xludf.DUMMYFUNCTION("""COMPUTED_VALUE"""),7970925)</f>
        <v>7970925</v>
      </c>
      <c r="AQ101" s="4">
        <f ca="1">IFERROR(__xludf.DUMMYFUNCTION("""COMPUTED_VALUE"""),42270.6666666666)</f>
        <v>42270.666666666599</v>
      </c>
      <c r="AR101" s="3">
        <f ca="1">IFERROR(__xludf.DUMMYFUNCTION("""COMPUTED_VALUE"""),41.3)</f>
        <v>41.3</v>
      </c>
      <c r="AS101" s="3">
        <f ca="1">IFERROR(__xludf.DUMMYFUNCTION("""COMPUTED_VALUE"""),41.32)</f>
        <v>41.32</v>
      </c>
      <c r="AT101" s="3">
        <f ca="1">IFERROR(__xludf.DUMMYFUNCTION("""COMPUTED_VALUE"""),40.3)</f>
        <v>40.299999999999997</v>
      </c>
      <c r="AU101" s="3">
        <f ca="1">IFERROR(__xludf.DUMMYFUNCTION("""COMPUTED_VALUE"""),40.36)</f>
        <v>40.36</v>
      </c>
      <c r="AV101" s="3">
        <f ca="1">IFERROR(__xludf.DUMMYFUNCTION("""COMPUTED_VALUE"""),6928079)</f>
        <v>6928079</v>
      </c>
      <c r="AW101" s="4">
        <f ca="1">IFERROR(__xludf.DUMMYFUNCTION("""COMPUTED_VALUE"""),42437.6666666666)</f>
        <v>42437.666666666599</v>
      </c>
      <c r="AX101" s="3">
        <f ca="1">IFERROR(__xludf.DUMMYFUNCTION("""COMPUTED_VALUE"""),30.45)</f>
        <v>30.45</v>
      </c>
      <c r="AY101" s="3">
        <f ca="1">IFERROR(__xludf.DUMMYFUNCTION("""COMPUTED_VALUE"""),30.45)</f>
        <v>30.45</v>
      </c>
      <c r="AZ101" s="3">
        <f ca="1">IFERROR(__xludf.DUMMYFUNCTION("""COMPUTED_VALUE"""),30.42)</f>
        <v>30.42</v>
      </c>
      <c r="BA101" s="3">
        <f ca="1">IFERROR(__xludf.DUMMYFUNCTION("""COMPUTED_VALUE"""),30.42)</f>
        <v>30.42</v>
      </c>
      <c r="BB101" s="3">
        <f ca="1">IFERROR(__xludf.DUMMYFUNCTION("""COMPUTED_VALUE"""),611)</f>
        <v>611</v>
      </c>
      <c r="BC101" s="4">
        <f ca="1">IFERROR(__xludf.DUMMYFUNCTION("""COMPUTED_VALUE"""),42270.6666666666)</f>
        <v>42270.666666666599</v>
      </c>
      <c r="BD101" s="3">
        <f ca="1">IFERROR(__xludf.DUMMYFUNCTION("""COMPUTED_VALUE"""),39.92)</f>
        <v>39.92</v>
      </c>
      <c r="BE101" s="3">
        <f ca="1">IFERROR(__xludf.DUMMYFUNCTION("""COMPUTED_VALUE"""),40.03)</f>
        <v>40.03</v>
      </c>
      <c r="BF101" s="3">
        <f ca="1">IFERROR(__xludf.DUMMYFUNCTION("""COMPUTED_VALUE"""),39.66)</f>
        <v>39.659999999999997</v>
      </c>
      <c r="BG101" s="3">
        <f ca="1">IFERROR(__xludf.DUMMYFUNCTION("""COMPUTED_VALUE"""),39.88)</f>
        <v>39.880000000000003</v>
      </c>
      <c r="BH101" s="3">
        <f ca="1">IFERROR(__xludf.DUMMYFUNCTION("""COMPUTED_VALUE"""),5678204)</f>
        <v>5678204</v>
      </c>
      <c r="BI101" s="4">
        <f ca="1">IFERROR(__xludf.DUMMYFUNCTION("""COMPUTED_VALUE"""),42270.6666666666)</f>
        <v>42270.666666666599</v>
      </c>
      <c r="BJ101" s="3">
        <f ca="1">IFERROR(__xludf.DUMMYFUNCTION("""COMPUTED_VALUE"""),41.88)</f>
        <v>41.88</v>
      </c>
      <c r="BK101" s="3">
        <f ca="1">IFERROR(__xludf.DUMMYFUNCTION("""COMPUTED_VALUE"""),42.08)</f>
        <v>42.08</v>
      </c>
      <c r="BL101" s="3">
        <f ca="1">IFERROR(__xludf.DUMMYFUNCTION("""COMPUTED_VALUE"""),41.73)</f>
        <v>41.73</v>
      </c>
      <c r="BM101" s="3">
        <f ca="1">IFERROR(__xludf.DUMMYFUNCTION("""COMPUTED_VALUE"""),41.98)</f>
        <v>41.98</v>
      </c>
      <c r="BN101" s="3">
        <f ca="1">IFERROR(__xludf.DUMMYFUNCTION("""COMPUTED_VALUE"""),5266549)</f>
        <v>5266549</v>
      </c>
    </row>
    <row r="102" spans="7:66" ht="13" x14ac:dyDescent="0.15">
      <c r="G102" s="4">
        <f ca="1">IFERROR(__xludf.DUMMYFUNCTION("""COMPUTED_VALUE"""),42271.6666666666)</f>
        <v>42271.666666666599</v>
      </c>
      <c r="H102" s="3">
        <f ca="1">IFERROR(__xludf.DUMMYFUNCTION("""COMPUTED_VALUE"""),74.47)</f>
        <v>74.47</v>
      </c>
      <c r="I102" s="3">
        <f ca="1">IFERROR(__xludf.DUMMYFUNCTION("""COMPUTED_VALUE"""),74.82)</f>
        <v>74.819999999999993</v>
      </c>
      <c r="J102" s="3">
        <f ca="1">IFERROR(__xludf.DUMMYFUNCTION("""COMPUTED_VALUE"""),73.68)</f>
        <v>73.680000000000007</v>
      </c>
      <c r="K102" s="3">
        <f ca="1">IFERROR(__xludf.DUMMYFUNCTION("""COMPUTED_VALUE"""),74.71)</f>
        <v>74.709999999999994</v>
      </c>
      <c r="L102" s="3">
        <f ca="1">IFERROR(__xludf.DUMMYFUNCTION("""COMPUTED_VALUE"""),6978707)</f>
        <v>6978707</v>
      </c>
      <c r="M102" s="4">
        <f ca="1">IFERROR(__xludf.DUMMYFUNCTION("""COMPUTED_VALUE"""),42271.6666666666)</f>
        <v>42271.666666666599</v>
      </c>
      <c r="N102" s="3">
        <f ca="1">IFERROR(__xludf.DUMMYFUNCTION("""COMPUTED_VALUE"""),46.75)</f>
        <v>46.75</v>
      </c>
      <c r="O102" s="3">
        <f ca="1">IFERROR(__xludf.DUMMYFUNCTION("""COMPUTED_VALUE"""),47.25)</f>
        <v>47.25</v>
      </c>
      <c r="P102" s="3">
        <f ca="1">IFERROR(__xludf.DUMMYFUNCTION("""COMPUTED_VALUE"""),46.73)</f>
        <v>46.73</v>
      </c>
      <c r="Q102" s="3">
        <f ca="1">IFERROR(__xludf.DUMMYFUNCTION("""COMPUTED_VALUE"""),47.18)</f>
        <v>47.18</v>
      </c>
      <c r="R102" s="3">
        <f ca="1">IFERROR(__xludf.DUMMYFUNCTION("""COMPUTED_VALUE"""),7740110)</f>
        <v>7740110</v>
      </c>
      <c r="S102" s="4">
        <f ca="1">IFERROR(__xludf.DUMMYFUNCTION("""COMPUTED_VALUE"""),42271.6666666666)</f>
        <v>42271.666666666599</v>
      </c>
      <c r="T102" s="3">
        <f ca="1">IFERROR(__xludf.DUMMYFUNCTION("""COMPUTED_VALUE"""),61.5)</f>
        <v>61.5</v>
      </c>
      <c r="U102" s="3">
        <f ca="1">IFERROR(__xludf.DUMMYFUNCTION("""COMPUTED_VALUE"""),62.69)</f>
        <v>62.69</v>
      </c>
      <c r="V102" s="3">
        <f ca="1">IFERROR(__xludf.DUMMYFUNCTION("""COMPUTED_VALUE"""),61.09)</f>
        <v>61.09</v>
      </c>
      <c r="W102" s="3">
        <f ca="1">IFERROR(__xludf.DUMMYFUNCTION("""COMPUTED_VALUE"""),62.25)</f>
        <v>62.25</v>
      </c>
      <c r="X102" s="3">
        <f ca="1">IFERROR(__xludf.DUMMYFUNCTION("""COMPUTED_VALUE"""),18911999)</f>
        <v>18911999</v>
      </c>
      <c r="Y102" s="4">
        <f ca="1">IFERROR(__xludf.DUMMYFUNCTION("""COMPUTED_VALUE"""),42271.6666666666)</f>
        <v>42271.666666666599</v>
      </c>
      <c r="Z102" s="3">
        <f ca="1">IFERROR(__xludf.DUMMYFUNCTION("""COMPUTED_VALUE"""),18.17)</f>
        <v>18.170000000000002</v>
      </c>
      <c r="AA102" s="3">
        <f ca="1">IFERROR(__xludf.DUMMYFUNCTION("""COMPUTED_VALUE"""),18.28)</f>
        <v>18.28</v>
      </c>
      <c r="AB102" s="3">
        <f ca="1">IFERROR(__xludf.DUMMYFUNCTION("""COMPUTED_VALUE"""),18.09)</f>
        <v>18.09</v>
      </c>
      <c r="AC102" s="3">
        <f ca="1">IFERROR(__xludf.DUMMYFUNCTION("""COMPUTED_VALUE"""),18.25)</f>
        <v>18.25</v>
      </c>
      <c r="AD102" s="3">
        <f ca="1">IFERROR(__xludf.DUMMYFUNCTION("""COMPUTED_VALUE"""),41649908)</f>
        <v>41649908</v>
      </c>
      <c r="AE102" s="4">
        <f ca="1">IFERROR(__xludf.DUMMYFUNCTION("""COMPUTED_VALUE"""),42271.6666666666)</f>
        <v>42271.666666666599</v>
      </c>
      <c r="AF102" s="3">
        <f ca="1">IFERROR(__xludf.DUMMYFUNCTION("""COMPUTED_VALUE"""),68.9)</f>
        <v>68.900000000000006</v>
      </c>
      <c r="AG102" s="3">
        <f ca="1">IFERROR(__xludf.DUMMYFUNCTION("""COMPUTED_VALUE"""),69.17)</f>
        <v>69.17</v>
      </c>
      <c r="AH102" s="3">
        <f ca="1">IFERROR(__xludf.DUMMYFUNCTION("""COMPUTED_VALUE"""),67.99)</f>
        <v>67.989999999999995</v>
      </c>
      <c r="AI102" s="3">
        <f ca="1">IFERROR(__xludf.DUMMYFUNCTION("""COMPUTED_VALUE"""),68.76)</f>
        <v>68.760000000000005</v>
      </c>
      <c r="AJ102" s="3">
        <f ca="1">IFERROR(__xludf.DUMMYFUNCTION("""COMPUTED_VALUE"""),20064475)</f>
        <v>20064475</v>
      </c>
      <c r="AK102" s="4">
        <f ca="1">IFERROR(__xludf.DUMMYFUNCTION("""COMPUTED_VALUE"""),42271.6666666666)</f>
        <v>42271.666666666599</v>
      </c>
      <c r="AL102" s="3">
        <f ca="1">IFERROR(__xludf.DUMMYFUNCTION("""COMPUTED_VALUE"""),49.43)</f>
        <v>49.43</v>
      </c>
      <c r="AM102" s="3">
        <f ca="1">IFERROR(__xludf.DUMMYFUNCTION("""COMPUTED_VALUE"""),49.83)</f>
        <v>49.83</v>
      </c>
      <c r="AN102" s="3">
        <f ca="1">IFERROR(__xludf.DUMMYFUNCTION("""COMPUTED_VALUE"""),49.04)</f>
        <v>49.04</v>
      </c>
      <c r="AO102" s="3">
        <f ca="1">IFERROR(__xludf.DUMMYFUNCTION("""COMPUTED_VALUE"""),49.71)</f>
        <v>49.71</v>
      </c>
      <c r="AP102" s="3">
        <f ca="1">IFERROR(__xludf.DUMMYFUNCTION("""COMPUTED_VALUE"""),13891631)</f>
        <v>13891631</v>
      </c>
      <c r="AQ102" s="4">
        <f ca="1">IFERROR(__xludf.DUMMYFUNCTION("""COMPUTED_VALUE"""),42271.6666666666)</f>
        <v>42271.666666666599</v>
      </c>
      <c r="AR102" s="3">
        <f ca="1">IFERROR(__xludf.DUMMYFUNCTION("""COMPUTED_VALUE"""),40.01)</f>
        <v>40.01</v>
      </c>
      <c r="AS102" s="3">
        <f ca="1">IFERROR(__xludf.DUMMYFUNCTION("""COMPUTED_VALUE"""),40.38)</f>
        <v>40.380000000000003</v>
      </c>
      <c r="AT102" s="3">
        <f ca="1">IFERROR(__xludf.DUMMYFUNCTION("""COMPUTED_VALUE"""),39.46)</f>
        <v>39.46</v>
      </c>
      <c r="AU102" s="3">
        <f ca="1">IFERROR(__xludf.DUMMYFUNCTION("""COMPUTED_VALUE"""),40.25)</f>
        <v>40.25</v>
      </c>
      <c r="AV102" s="3">
        <f ca="1">IFERROR(__xludf.DUMMYFUNCTION("""COMPUTED_VALUE"""),9294513)</f>
        <v>9294513</v>
      </c>
      <c r="AW102" s="4">
        <f ca="1">IFERROR(__xludf.DUMMYFUNCTION("""COMPUTED_VALUE"""),42438.6666666666)</f>
        <v>42438.666666666599</v>
      </c>
      <c r="AX102" s="3">
        <f ca="1">IFERROR(__xludf.DUMMYFUNCTION("""COMPUTED_VALUE"""),30.45)</f>
        <v>30.45</v>
      </c>
      <c r="AY102" s="3">
        <f ca="1">IFERROR(__xludf.DUMMYFUNCTION("""COMPUTED_VALUE"""),30.52)</f>
        <v>30.52</v>
      </c>
      <c r="AZ102" s="3">
        <f ca="1">IFERROR(__xludf.DUMMYFUNCTION("""COMPUTED_VALUE"""),30.25)</f>
        <v>30.25</v>
      </c>
      <c r="BA102" s="3">
        <f ca="1">IFERROR(__xludf.DUMMYFUNCTION("""COMPUTED_VALUE"""),30.33)</f>
        <v>30.33</v>
      </c>
      <c r="BB102" s="3">
        <f ca="1">IFERROR(__xludf.DUMMYFUNCTION("""COMPUTED_VALUE"""),3688)</f>
        <v>3688</v>
      </c>
      <c r="BC102" s="4">
        <f ca="1">IFERROR(__xludf.DUMMYFUNCTION("""COMPUTED_VALUE"""),42271.6666666666)</f>
        <v>42271.666666666599</v>
      </c>
      <c r="BD102" s="3">
        <f ca="1">IFERROR(__xludf.DUMMYFUNCTION("""COMPUTED_VALUE"""),39.43)</f>
        <v>39.43</v>
      </c>
      <c r="BE102" s="3">
        <f ca="1">IFERROR(__xludf.DUMMYFUNCTION("""COMPUTED_VALUE"""),39.99)</f>
        <v>39.99</v>
      </c>
      <c r="BF102" s="3">
        <f ca="1">IFERROR(__xludf.DUMMYFUNCTION("""COMPUTED_VALUE"""),39.22)</f>
        <v>39.22</v>
      </c>
      <c r="BG102" s="3">
        <f ca="1">IFERROR(__xludf.DUMMYFUNCTION("""COMPUTED_VALUE"""),39.88)</f>
        <v>39.880000000000003</v>
      </c>
      <c r="BH102" s="3">
        <f ca="1">IFERROR(__xludf.DUMMYFUNCTION("""COMPUTED_VALUE"""),11028166)</f>
        <v>11028166</v>
      </c>
      <c r="BI102" s="4">
        <f ca="1">IFERROR(__xludf.DUMMYFUNCTION("""COMPUTED_VALUE"""),42271.6666666666)</f>
        <v>42271.666666666599</v>
      </c>
      <c r="BJ102" s="3">
        <f ca="1">IFERROR(__xludf.DUMMYFUNCTION("""COMPUTED_VALUE"""),41.97)</f>
        <v>41.97</v>
      </c>
      <c r="BK102" s="3">
        <f ca="1">IFERROR(__xludf.DUMMYFUNCTION("""COMPUTED_VALUE"""),42.4)</f>
        <v>42.4</v>
      </c>
      <c r="BL102" s="3">
        <f ca="1">IFERROR(__xludf.DUMMYFUNCTION("""COMPUTED_VALUE"""),41.83)</f>
        <v>41.83</v>
      </c>
      <c r="BM102" s="3">
        <f ca="1">IFERROR(__xludf.DUMMYFUNCTION("""COMPUTED_VALUE"""),42.32)</f>
        <v>42.32</v>
      </c>
      <c r="BN102" s="3">
        <f ca="1">IFERROR(__xludf.DUMMYFUNCTION("""COMPUTED_VALUE"""),11326049)</f>
        <v>11326049</v>
      </c>
    </row>
    <row r="103" spans="7:66" ht="13" x14ac:dyDescent="0.15">
      <c r="G103" s="4">
        <f ca="1">IFERROR(__xludf.DUMMYFUNCTION("""COMPUTED_VALUE"""),42272.6666666666)</f>
        <v>42272.666666666599</v>
      </c>
      <c r="H103" s="3">
        <f ca="1">IFERROR(__xludf.DUMMYFUNCTION("""COMPUTED_VALUE"""),75.53)</f>
        <v>75.53</v>
      </c>
      <c r="I103" s="3">
        <f ca="1">IFERROR(__xludf.DUMMYFUNCTION("""COMPUTED_VALUE"""),75.7)</f>
        <v>75.7</v>
      </c>
      <c r="J103" s="3">
        <f ca="1">IFERROR(__xludf.DUMMYFUNCTION("""COMPUTED_VALUE"""),74.34)</f>
        <v>74.34</v>
      </c>
      <c r="K103" s="3">
        <f ca="1">IFERROR(__xludf.DUMMYFUNCTION("""COMPUTED_VALUE"""),74.7)</f>
        <v>74.7</v>
      </c>
      <c r="L103" s="3">
        <f ca="1">IFERROR(__xludf.DUMMYFUNCTION("""COMPUTED_VALUE"""),5854032)</f>
        <v>5854032</v>
      </c>
      <c r="M103" s="4">
        <f ca="1">IFERROR(__xludf.DUMMYFUNCTION("""COMPUTED_VALUE"""),42272.6666666666)</f>
        <v>42272.666666666599</v>
      </c>
      <c r="N103" s="3">
        <f ca="1">IFERROR(__xludf.DUMMYFUNCTION("""COMPUTED_VALUE"""),47.45)</f>
        <v>47.45</v>
      </c>
      <c r="O103" s="3">
        <f ca="1">IFERROR(__xludf.DUMMYFUNCTION("""COMPUTED_VALUE"""),47.96)</f>
        <v>47.96</v>
      </c>
      <c r="P103" s="3">
        <f ca="1">IFERROR(__xludf.DUMMYFUNCTION("""COMPUTED_VALUE"""),47.3)</f>
        <v>47.3</v>
      </c>
      <c r="Q103" s="3">
        <f ca="1">IFERROR(__xludf.DUMMYFUNCTION("""COMPUTED_VALUE"""),47.48)</f>
        <v>47.48</v>
      </c>
      <c r="R103" s="3">
        <f ca="1">IFERROR(__xludf.DUMMYFUNCTION("""COMPUTED_VALUE"""),12257293)</f>
        <v>12257293</v>
      </c>
      <c r="S103" s="4">
        <f ca="1">IFERROR(__xludf.DUMMYFUNCTION("""COMPUTED_VALUE"""),42272.6666666666)</f>
        <v>42272.666666666599</v>
      </c>
      <c r="T103" s="3">
        <f ca="1">IFERROR(__xludf.DUMMYFUNCTION("""COMPUTED_VALUE"""),62.94)</f>
        <v>62.94</v>
      </c>
      <c r="U103" s="3">
        <f ca="1">IFERROR(__xludf.DUMMYFUNCTION("""COMPUTED_VALUE"""),62.94)</f>
        <v>62.94</v>
      </c>
      <c r="V103" s="3">
        <f ca="1">IFERROR(__xludf.DUMMYFUNCTION("""COMPUTED_VALUE"""),61.81)</f>
        <v>61.81</v>
      </c>
      <c r="W103" s="3">
        <f ca="1">IFERROR(__xludf.DUMMYFUNCTION("""COMPUTED_VALUE"""),62.37)</f>
        <v>62.37</v>
      </c>
      <c r="X103" s="3">
        <f ca="1">IFERROR(__xludf.DUMMYFUNCTION("""COMPUTED_VALUE"""),15833436)</f>
        <v>15833436</v>
      </c>
      <c r="Y103" s="4">
        <f ca="1">IFERROR(__xludf.DUMMYFUNCTION("""COMPUTED_VALUE"""),42272.6666666666)</f>
        <v>42272.666666666599</v>
      </c>
      <c r="Z103" s="3">
        <f ca="1">IFERROR(__xludf.DUMMYFUNCTION("""COMPUTED_VALUE"""),18.51)</f>
        <v>18.510000000000002</v>
      </c>
      <c r="AA103" s="3">
        <f ca="1">IFERROR(__xludf.DUMMYFUNCTION("""COMPUTED_VALUE"""),18.64)</f>
        <v>18.64</v>
      </c>
      <c r="AB103" s="3">
        <f ca="1">IFERROR(__xludf.DUMMYFUNCTION("""COMPUTED_VALUE"""),18.43)</f>
        <v>18.43</v>
      </c>
      <c r="AC103" s="3">
        <f ca="1">IFERROR(__xludf.DUMMYFUNCTION("""COMPUTED_VALUE"""),18.52)</f>
        <v>18.52</v>
      </c>
      <c r="AD103" s="3">
        <f ca="1">IFERROR(__xludf.DUMMYFUNCTION("""COMPUTED_VALUE"""),45017222)</f>
        <v>45017222</v>
      </c>
      <c r="AE103" s="4">
        <f ca="1">IFERROR(__xludf.DUMMYFUNCTION("""COMPUTED_VALUE"""),42272.6666666666)</f>
        <v>42272.666666666599</v>
      </c>
      <c r="AF103" s="3">
        <f ca="1">IFERROR(__xludf.DUMMYFUNCTION("""COMPUTED_VALUE"""),69.31)</f>
        <v>69.31</v>
      </c>
      <c r="AG103" s="3">
        <f ca="1">IFERROR(__xludf.DUMMYFUNCTION("""COMPUTED_VALUE"""),69.52)</f>
        <v>69.52</v>
      </c>
      <c r="AH103" s="3">
        <f ca="1">IFERROR(__xludf.DUMMYFUNCTION("""COMPUTED_VALUE"""),66.35)</f>
        <v>66.349999999999994</v>
      </c>
      <c r="AI103" s="3">
        <f ca="1">IFERROR(__xludf.DUMMYFUNCTION("""COMPUTED_VALUE"""),66.88)</f>
        <v>66.88</v>
      </c>
      <c r="AJ103" s="3">
        <f ca="1">IFERROR(__xludf.DUMMYFUNCTION("""COMPUTED_VALUE"""),30973747)</f>
        <v>30973747</v>
      </c>
      <c r="AK103" s="4">
        <f ca="1">IFERROR(__xludf.DUMMYFUNCTION("""COMPUTED_VALUE"""),42272.6666666666)</f>
        <v>42272.666666666599</v>
      </c>
      <c r="AL103" s="3">
        <f ca="1">IFERROR(__xludf.DUMMYFUNCTION("""COMPUTED_VALUE"""),50.22)</f>
        <v>50.22</v>
      </c>
      <c r="AM103" s="3">
        <f ca="1">IFERROR(__xludf.DUMMYFUNCTION("""COMPUTED_VALUE"""),50.22)</f>
        <v>50.22</v>
      </c>
      <c r="AN103" s="3">
        <f ca="1">IFERROR(__xludf.DUMMYFUNCTION("""COMPUTED_VALUE"""),49.6)</f>
        <v>49.6</v>
      </c>
      <c r="AO103" s="3">
        <f ca="1">IFERROR(__xludf.DUMMYFUNCTION("""COMPUTED_VALUE"""),49.81)</f>
        <v>49.81</v>
      </c>
      <c r="AP103" s="3">
        <f ca="1">IFERROR(__xludf.DUMMYFUNCTION("""COMPUTED_VALUE"""),10210312)</f>
        <v>10210312</v>
      </c>
      <c r="AQ103" s="4">
        <f ca="1">IFERROR(__xludf.DUMMYFUNCTION("""COMPUTED_VALUE"""),42272.6666666666)</f>
        <v>42272.666666666599</v>
      </c>
      <c r="AR103" s="3">
        <f ca="1">IFERROR(__xludf.DUMMYFUNCTION("""COMPUTED_VALUE"""),40.63)</f>
        <v>40.630000000000003</v>
      </c>
      <c r="AS103" s="3">
        <f ca="1">IFERROR(__xludf.DUMMYFUNCTION("""COMPUTED_VALUE"""),40.63)</f>
        <v>40.630000000000003</v>
      </c>
      <c r="AT103" s="3">
        <f ca="1">IFERROR(__xludf.DUMMYFUNCTION("""COMPUTED_VALUE"""),39.96)</f>
        <v>39.96</v>
      </c>
      <c r="AU103" s="3">
        <f ca="1">IFERROR(__xludf.DUMMYFUNCTION("""COMPUTED_VALUE"""),40.2)</f>
        <v>40.200000000000003</v>
      </c>
      <c r="AV103" s="3">
        <f ca="1">IFERROR(__xludf.DUMMYFUNCTION("""COMPUTED_VALUE"""),7317050)</f>
        <v>7317050</v>
      </c>
      <c r="AW103" s="4">
        <f ca="1">IFERROR(__xludf.DUMMYFUNCTION("""COMPUTED_VALUE"""),42439.6666666666)</f>
        <v>42439.666666666599</v>
      </c>
      <c r="AX103" s="3">
        <f ca="1">IFERROR(__xludf.DUMMYFUNCTION("""COMPUTED_VALUE"""),30.65)</f>
        <v>30.65</v>
      </c>
      <c r="AY103" s="3">
        <f ca="1">IFERROR(__xludf.DUMMYFUNCTION("""COMPUTED_VALUE"""),30.65)</f>
        <v>30.65</v>
      </c>
      <c r="AZ103" s="3">
        <f ca="1">IFERROR(__xludf.DUMMYFUNCTION("""COMPUTED_VALUE"""),30.19)</f>
        <v>30.19</v>
      </c>
      <c r="BA103" s="3">
        <f ca="1">IFERROR(__xludf.DUMMYFUNCTION("""COMPUTED_VALUE"""),30.19)</f>
        <v>30.19</v>
      </c>
      <c r="BB103" s="3">
        <f ca="1">IFERROR(__xludf.DUMMYFUNCTION("""COMPUTED_VALUE"""),1001)</f>
        <v>1001</v>
      </c>
      <c r="BC103" s="4">
        <f ca="1">IFERROR(__xludf.DUMMYFUNCTION("""COMPUTED_VALUE"""),42272.6666666666)</f>
        <v>42272.666666666599</v>
      </c>
      <c r="BD103" s="3">
        <f ca="1">IFERROR(__xludf.DUMMYFUNCTION("""COMPUTED_VALUE"""),40.25)</f>
        <v>40.25</v>
      </c>
      <c r="BE103" s="3">
        <f ca="1">IFERROR(__xludf.DUMMYFUNCTION("""COMPUTED_VALUE"""),40.3)</f>
        <v>40.299999999999997</v>
      </c>
      <c r="BF103" s="3">
        <f ca="1">IFERROR(__xludf.DUMMYFUNCTION("""COMPUTED_VALUE"""),39.63)</f>
        <v>39.630000000000003</v>
      </c>
      <c r="BG103" s="3">
        <f ca="1">IFERROR(__xludf.DUMMYFUNCTION("""COMPUTED_VALUE"""),39.81)</f>
        <v>39.81</v>
      </c>
      <c r="BH103" s="3">
        <f ca="1">IFERROR(__xludf.DUMMYFUNCTION("""COMPUTED_VALUE"""),10828935)</f>
        <v>10828935</v>
      </c>
      <c r="BI103" s="4">
        <f ca="1">IFERROR(__xludf.DUMMYFUNCTION("""COMPUTED_VALUE"""),42272.6666666666)</f>
        <v>42272.666666666599</v>
      </c>
      <c r="BJ103" s="3">
        <f ca="1">IFERROR(__xludf.DUMMYFUNCTION("""COMPUTED_VALUE"""),42.4)</f>
        <v>42.4</v>
      </c>
      <c r="BK103" s="3">
        <f ca="1">IFERROR(__xludf.DUMMYFUNCTION("""COMPUTED_VALUE"""),43.15)</f>
        <v>43.15</v>
      </c>
      <c r="BL103" s="3">
        <f ca="1">IFERROR(__xludf.DUMMYFUNCTION("""COMPUTED_VALUE"""),42.2)</f>
        <v>42.2</v>
      </c>
      <c r="BM103" s="3">
        <f ca="1">IFERROR(__xludf.DUMMYFUNCTION("""COMPUTED_VALUE"""),42.73)</f>
        <v>42.73</v>
      </c>
      <c r="BN103" s="3">
        <f ca="1">IFERROR(__xludf.DUMMYFUNCTION("""COMPUTED_VALUE"""),9505005)</f>
        <v>9505005</v>
      </c>
    </row>
    <row r="104" spans="7:66" ht="13" x14ac:dyDescent="0.15">
      <c r="G104" s="4">
        <f ca="1">IFERROR(__xludf.DUMMYFUNCTION("""COMPUTED_VALUE"""),42275.6666666666)</f>
        <v>42275.666666666599</v>
      </c>
      <c r="H104" s="3">
        <f ca="1">IFERROR(__xludf.DUMMYFUNCTION("""COMPUTED_VALUE"""),74.19)</f>
        <v>74.19</v>
      </c>
      <c r="I104" s="3">
        <f ca="1">IFERROR(__xludf.DUMMYFUNCTION("""COMPUTED_VALUE"""),74.46)</f>
        <v>74.459999999999994</v>
      </c>
      <c r="J104" s="3">
        <f ca="1">IFERROR(__xludf.DUMMYFUNCTION("""COMPUTED_VALUE"""),72.37)</f>
        <v>72.37</v>
      </c>
      <c r="K104" s="3">
        <f ca="1">IFERROR(__xludf.DUMMYFUNCTION("""COMPUTED_VALUE"""),72.55)</f>
        <v>72.55</v>
      </c>
      <c r="L104" s="3">
        <f ca="1">IFERROR(__xludf.DUMMYFUNCTION("""COMPUTED_VALUE"""),12015407)</f>
        <v>12015407</v>
      </c>
      <c r="M104" s="4">
        <f ca="1">IFERROR(__xludf.DUMMYFUNCTION("""COMPUTED_VALUE"""),42275.6666666666)</f>
        <v>42275.666666666599</v>
      </c>
      <c r="N104" s="3">
        <f ca="1">IFERROR(__xludf.DUMMYFUNCTION("""COMPUTED_VALUE"""),47.36)</f>
        <v>47.36</v>
      </c>
      <c r="O104" s="3">
        <f ca="1">IFERROR(__xludf.DUMMYFUNCTION("""COMPUTED_VALUE"""),47.46)</f>
        <v>47.46</v>
      </c>
      <c r="P104" s="3">
        <f ca="1">IFERROR(__xludf.DUMMYFUNCTION("""COMPUTED_VALUE"""),46.69)</f>
        <v>46.69</v>
      </c>
      <c r="Q104" s="3">
        <f ca="1">IFERROR(__xludf.DUMMYFUNCTION("""COMPUTED_VALUE"""),46.78)</f>
        <v>46.78</v>
      </c>
      <c r="R104" s="3">
        <f ca="1">IFERROR(__xludf.DUMMYFUNCTION("""COMPUTED_VALUE"""),15815963)</f>
        <v>15815963</v>
      </c>
      <c r="S104" s="4">
        <f ca="1">IFERROR(__xludf.DUMMYFUNCTION("""COMPUTED_VALUE"""),42275.6666666666)</f>
        <v>42275.666666666599</v>
      </c>
      <c r="T104" s="3">
        <f ca="1">IFERROR(__xludf.DUMMYFUNCTION("""COMPUTED_VALUE"""),61.72)</f>
        <v>61.72</v>
      </c>
      <c r="U104" s="3">
        <f ca="1">IFERROR(__xludf.DUMMYFUNCTION("""COMPUTED_VALUE"""),61.72)</f>
        <v>61.72</v>
      </c>
      <c r="V104" s="3">
        <f ca="1">IFERROR(__xludf.DUMMYFUNCTION("""COMPUTED_VALUE"""),59.83)</f>
        <v>59.83</v>
      </c>
      <c r="W104" s="3">
        <f ca="1">IFERROR(__xludf.DUMMYFUNCTION("""COMPUTED_VALUE"""),59.88)</f>
        <v>59.88</v>
      </c>
      <c r="X104" s="3">
        <f ca="1">IFERROR(__xludf.DUMMYFUNCTION("""COMPUTED_VALUE"""),16351433)</f>
        <v>16351433</v>
      </c>
      <c r="Y104" s="4">
        <f ca="1">IFERROR(__xludf.DUMMYFUNCTION("""COMPUTED_VALUE"""),42275.6666666666)</f>
        <v>42275.666666666599</v>
      </c>
      <c r="Z104" s="3">
        <f ca="1">IFERROR(__xludf.DUMMYFUNCTION("""COMPUTED_VALUE"""),18.39)</f>
        <v>18.39</v>
      </c>
      <c r="AA104" s="3">
        <f ca="1">IFERROR(__xludf.DUMMYFUNCTION("""COMPUTED_VALUE"""),18.43)</f>
        <v>18.43</v>
      </c>
      <c r="AB104" s="3">
        <f ca="1">IFERROR(__xludf.DUMMYFUNCTION("""COMPUTED_VALUE"""),18.04)</f>
        <v>18.04</v>
      </c>
      <c r="AC104" s="3">
        <f ca="1">IFERROR(__xludf.DUMMYFUNCTION("""COMPUTED_VALUE"""),18.09)</f>
        <v>18.09</v>
      </c>
      <c r="AD104" s="3">
        <f ca="1">IFERROR(__xludf.DUMMYFUNCTION("""COMPUTED_VALUE"""),47459728)</f>
        <v>47459728</v>
      </c>
      <c r="AE104" s="4">
        <f ca="1">IFERROR(__xludf.DUMMYFUNCTION("""COMPUTED_VALUE"""),42275.6666666666)</f>
        <v>42275.666666666599</v>
      </c>
      <c r="AF104" s="3">
        <f ca="1">IFERROR(__xludf.DUMMYFUNCTION("""COMPUTED_VALUE"""),66.46)</f>
        <v>66.459999999999994</v>
      </c>
      <c r="AG104" s="3">
        <f ca="1">IFERROR(__xludf.DUMMYFUNCTION("""COMPUTED_VALUE"""),66.6)</f>
        <v>66.599999999999994</v>
      </c>
      <c r="AH104" s="3">
        <f ca="1">IFERROR(__xludf.DUMMYFUNCTION("""COMPUTED_VALUE"""),63.73)</f>
        <v>63.73</v>
      </c>
      <c r="AI104" s="3">
        <f ca="1">IFERROR(__xludf.DUMMYFUNCTION("""COMPUTED_VALUE"""),64.29)</f>
        <v>64.290000000000006</v>
      </c>
      <c r="AJ104" s="3">
        <f ca="1">IFERROR(__xludf.DUMMYFUNCTION("""COMPUTED_VALUE"""),66470176)</f>
        <v>66470176</v>
      </c>
      <c r="AK104" s="4">
        <f ca="1">IFERROR(__xludf.DUMMYFUNCTION("""COMPUTED_VALUE"""),42275.6666666666)</f>
        <v>42275.666666666599</v>
      </c>
      <c r="AL104" s="3">
        <f ca="1">IFERROR(__xludf.DUMMYFUNCTION("""COMPUTED_VALUE"""),49.53)</f>
        <v>49.53</v>
      </c>
      <c r="AM104" s="3">
        <f ca="1">IFERROR(__xludf.DUMMYFUNCTION("""COMPUTED_VALUE"""),49.59)</f>
        <v>49.59</v>
      </c>
      <c r="AN104" s="3">
        <f ca="1">IFERROR(__xludf.DUMMYFUNCTION("""COMPUTED_VALUE"""),48.83)</f>
        <v>48.83</v>
      </c>
      <c r="AO104" s="3">
        <f ca="1">IFERROR(__xludf.DUMMYFUNCTION("""COMPUTED_VALUE"""),48.83)</f>
        <v>48.83</v>
      </c>
      <c r="AP104" s="3">
        <f ca="1">IFERROR(__xludf.DUMMYFUNCTION("""COMPUTED_VALUE"""),14443677)</f>
        <v>14443677</v>
      </c>
      <c r="AQ104" s="4">
        <f ca="1">IFERROR(__xludf.DUMMYFUNCTION("""COMPUTED_VALUE"""),42275.6666666666)</f>
        <v>42275.666666666599</v>
      </c>
      <c r="AR104" s="3">
        <f ca="1">IFERROR(__xludf.DUMMYFUNCTION("""COMPUTED_VALUE"""),40.02)</f>
        <v>40.020000000000003</v>
      </c>
      <c r="AS104" s="3">
        <f ca="1">IFERROR(__xludf.DUMMYFUNCTION("""COMPUTED_VALUE"""),40.03)</f>
        <v>40.03</v>
      </c>
      <c r="AT104" s="3">
        <f ca="1">IFERROR(__xludf.DUMMYFUNCTION("""COMPUTED_VALUE"""),38.85)</f>
        <v>38.85</v>
      </c>
      <c r="AU104" s="3">
        <f ca="1">IFERROR(__xludf.DUMMYFUNCTION("""COMPUTED_VALUE"""),38.95)</f>
        <v>38.950000000000003</v>
      </c>
      <c r="AV104" s="3">
        <f ca="1">IFERROR(__xludf.DUMMYFUNCTION("""COMPUTED_VALUE"""),12341760)</f>
        <v>12341760</v>
      </c>
      <c r="AW104" s="4">
        <f ca="1">IFERROR(__xludf.DUMMYFUNCTION("""COMPUTED_VALUE"""),42440.6666666666)</f>
        <v>42440.666666666599</v>
      </c>
      <c r="AX104" s="3">
        <f ca="1">IFERROR(__xludf.DUMMYFUNCTION("""COMPUTED_VALUE"""),30.78)</f>
        <v>30.78</v>
      </c>
      <c r="AY104" s="3">
        <f ca="1">IFERROR(__xludf.DUMMYFUNCTION("""COMPUTED_VALUE"""),30.89)</f>
        <v>30.89</v>
      </c>
      <c r="AZ104" s="3">
        <f ca="1">IFERROR(__xludf.DUMMYFUNCTION("""COMPUTED_VALUE"""),30.78)</f>
        <v>30.78</v>
      </c>
      <c r="BA104" s="3">
        <f ca="1">IFERROR(__xludf.DUMMYFUNCTION("""COMPUTED_VALUE"""),30.89)</f>
        <v>30.89</v>
      </c>
      <c r="BB104" s="3">
        <f ca="1">IFERROR(__xludf.DUMMYFUNCTION("""COMPUTED_VALUE"""),410)</f>
        <v>410</v>
      </c>
      <c r="BC104" s="4">
        <f ca="1">IFERROR(__xludf.DUMMYFUNCTION("""COMPUTED_VALUE"""),42275.6666666666)</f>
        <v>42275.666666666599</v>
      </c>
      <c r="BD104" s="3">
        <f ca="1">IFERROR(__xludf.DUMMYFUNCTION("""COMPUTED_VALUE"""),39.64)</f>
        <v>39.64</v>
      </c>
      <c r="BE104" s="3">
        <f ca="1">IFERROR(__xludf.DUMMYFUNCTION("""COMPUTED_VALUE"""),39.7)</f>
        <v>39.700000000000003</v>
      </c>
      <c r="BF104" s="3">
        <f ca="1">IFERROR(__xludf.DUMMYFUNCTION("""COMPUTED_VALUE"""),38.88)</f>
        <v>38.880000000000003</v>
      </c>
      <c r="BG104" s="3">
        <f ca="1">IFERROR(__xludf.DUMMYFUNCTION("""COMPUTED_VALUE"""),38.9)</f>
        <v>38.9</v>
      </c>
      <c r="BH104" s="3">
        <f ca="1">IFERROR(__xludf.DUMMYFUNCTION("""COMPUTED_VALUE"""),12583343)</f>
        <v>12583343</v>
      </c>
      <c r="BI104" s="4">
        <f ca="1">IFERROR(__xludf.DUMMYFUNCTION("""COMPUTED_VALUE"""),42275.6666666666)</f>
        <v>42275.666666666599</v>
      </c>
      <c r="BJ104" s="3">
        <f ca="1">IFERROR(__xludf.DUMMYFUNCTION("""COMPUTED_VALUE"""),42.73)</f>
        <v>42.73</v>
      </c>
      <c r="BK104" s="3">
        <f ca="1">IFERROR(__xludf.DUMMYFUNCTION("""COMPUTED_VALUE"""),42.99)</f>
        <v>42.99</v>
      </c>
      <c r="BL104" s="3">
        <f ca="1">IFERROR(__xludf.DUMMYFUNCTION("""COMPUTED_VALUE"""),42.44)</f>
        <v>42.44</v>
      </c>
      <c r="BM104" s="3">
        <f ca="1">IFERROR(__xludf.DUMMYFUNCTION("""COMPUTED_VALUE"""),42.52)</f>
        <v>42.52</v>
      </c>
      <c r="BN104" s="3">
        <f ca="1">IFERROR(__xludf.DUMMYFUNCTION("""COMPUTED_VALUE"""),9506950)</f>
        <v>9506950</v>
      </c>
    </row>
    <row r="105" spans="7:66" ht="13" x14ac:dyDescent="0.15">
      <c r="G105" s="4">
        <f ca="1">IFERROR(__xludf.DUMMYFUNCTION("""COMPUTED_VALUE"""),42276.6666666666)</f>
        <v>42276.666666666599</v>
      </c>
      <c r="H105" s="3">
        <f ca="1">IFERROR(__xludf.DUMMYFUNCTION("""COMPUTED_VALUE"""),72.58)</f>
        <v>72.58</v>
      </c>
      <c r="I105" s="3">
        <f ca="1">IFERROR(__xludf.DUMMYFUNCTION("""COMPUTED_VALUE"""),73.1)</f>
        <v>73.099999999999994</v>
      </c>
      <c r="J105" s="3">
        <f ca="1">IFERROR(__xludf.DUMMYFUNCTION("""COMPUTED_VALUE"""),71.86)</f>
        <v>71.86</v>
      </c>
      <c r="K105" s="3">
        <f ca="1">IFERROR(__xludf.DUMMYFUNCTION("""COMPUTED_VALUE"""),72.31)</f>
        <v>72.31</v>
      </c>
      <c r="L105" s="3">
        <f ca="1">IFERROR(__xludf.DUMMYFUNCTION("""COMPUTED_VALUE"""),6177144)</f>
        <v>6177144</v>
      </c>
      <c r="M105" s="4">
        <f ca="1">IFERROR(__xludf.DUMMYFUNCTION("""COMPUTED_VALUE"""),42276.6666666666)</f>
        <v>42276.666666666599</v>
      </c>
      <c r="N105" s="3">
        <f ca="1">IFERROR(__xludf.DUMMYFUNCTION("""COMPUTED_VALUE"""),46.91)</f>
        <v>46.91</v>
      </c>
      <c r="O105" s="3">
        <f ca="1">IFERROR(__xludf.DUMMYFUNCTION("""COMPUTED_VALUE"""),46.93)</f>
        <v>46.93</v>
      </c>
      <c r="P105" s="3">
        <f ca="1">IFERROR(__xludf.DUMMYFUNCTION("""COMPUTED_VALUE"""),46.48)</f>
        <v>46.48</v>
      </c>
      <c r="Q105" s="3">
        <f ca="1">IFERROR(__xludf.DUMMYFUNCTION("""COMPUTED_VALUE"""),46.76)</f>
        <v>46.76</v>
      </c>
      <c r="R105" s="3">
        <f ca="1">IFERROR(__xludf.DUMMYFUNCTION("""COMPUTED_VALUE"""),15304069)</f>
        <v>15304069</v>
      </c>
      <c r="S105" s="4">
        <f ca="1">IFERROR(__xludf.DUMMYFUNCTION("""COMPUTED_VALUE"""),42276.6666666666)</f>
        <v>42276.666666666599</v>
      </c>
      <c r="T105" s="3">
        <f ca="1">IFERROR(__xludf.DUMMYFUNCTION("""COMPUTED_VALUE"""),60.17)</f>
        <v>60.17</v>
      </c>
      <c r="U105" s="3">
        <f ca="1">IFERROR(__xludf.DUMMYFUNCTION("""COMPUTED_VALUE"""),60.66)</f>
        <v>60.66</v>
      </c>
      <c r="V105" s="3">
        <f ca="1">IFERROR(__xludf.DUMMYFUNCTION("""COMPUTED_VALUE"""),59.39)</f>
        <v>59.39</v>
      </c>
      <c r="W105" s="3">
        <f ca="1">IFERROR(__xludf.DUMMYFUNCTION("""COMPUTED_VALUE"""),59.79)</f>
        <v>59.79</v>
      </c>
      <c r="X105" s="3">
        <f ca="1">IFERROR(__xludf.DUMMYFUNCTION("""COMPUTED_VALUE"""),18881223)</f>
        <v>18881223</v>
      </c>
      <c r="Y105" s="4">
        <f ca="1">IFERROR(__xludf.DUMMYFUNCTION("""COMPUTED_VALUE"""),42276.6666666666)</f>
        <v>42276.666666666599</v>
      </c>
      <c r="Z105" s="3">
        <f ca="1">IFERROR(__xludf.DUMMYFUNCTION("""COMPUTED_VALUE"""),18.11)</f>
        <v>18.11</v>
      </c>
      <c r="AA105" s="3">
        <f ca="1">IFERROR(__xludf.DUMMYFUNCTION("""COMPUTED_VALUE"""),18.18)</f>
        <v>18.18</v>
      </c>
      <c r="AB105" s="3">
        <f ca="1">IFERROR(__xludf.DUMMYFUNCTION("""COMPUTED_VALUE"""),17.96)</f>
        <v>17.96</v>
      </c>
      <c r="AC105" s="3">
        <f ca="1">IFERROR(__xludf.DUMMYFUNCTION("""COMPUTED_VALUE"""),18.12)</f>
        <v>18.12</v>
      </c>
      <c r="AD105" s="3">
        <f ca="1">IFERROR(__xludf.DUMMYFUNCTION("""COMPUTED_VALUE"""),39207385)</f>
        <v>39207385</v>
      </c>
      <c r="AE105" s="4">
        <f ca="1">IFERROR(__xludf.DUMMYFUNCTION("""COMPUTED_VALUE"""),42276.6666666666)</f>
        <v>42276.666666666599</v>
      </c>
      <c r="AF105" s="3">
        <f ca="1">IFERROR(__xludf.DUMMYFUNCTION("""COMPUTED_VALUE"""),64.46)</f>
        <v>64.459999999999994</v>
      </c>
      <c r="AG105" s="3">
        <f ca="1">IFERROR(__xludf.DUMMYFUNCTION("""COMPUTED_VALUE"""),65.98)</f>
        <v>65.98</v>
      </c>
      <c r="AH105" s="3">
        <f ca="1">IFERROR(__xludf.DUMMYFUNCTION("""COMPUTED_VALUE"""),64.08)</f>
        <v>64.08</v>
      </c>
      <c r="AI105" s="3">
        <f ca="1">IFERROR(__xludf.DUMMYFUNCTION("""COMPUTED_VALUE"""),64.88)</f>
        <v>64.88</v>
      </c>
      <c r="AJ105" s="3">
        <f ca="1">IFERROR(__xludf.DUMMYFUNCTION("""COMPUTED_VALUE"""),31776031)</f>
        <v>31776031</v>
      </c>
      <c r="AK105" s="4">
        <f ca="1">IFERROR(__xludf.DUMMYFUNCTION("""COMPUTED_VALUE"""),42276.6666666666)</f>
        <v>42276.666666666599</v>
      </c>
      <c r="AL105" s="3">
        <f ca="1">IFERROR(__xludf.DUMMYFUNCTION("""COMPUTED_VALUE"""),49.09)</f>
        <v>49.09</v>
      </c>
      <c r="AM105" s="3">
        <f ca="1">IFERROR(__xludf.DUMMYFUNCTION("""COMPUTED_VALUE"""),49.33)</f>
        <v>49.33</v>
      </c>
      <c r="AN105" s="3">
        <f ca="1">IFERROR(__xludf.DUMMYFUNCTION("""COMPUTED_VALUE"""),48.81)</f>
        <v>48.81</v>
      </c>
      <c r="AO105" s="3">
        <f ca="1">IFERROR(__xludf.DUMMYFUNCTION("""COMPUTED_VALUE"""),49.15)</f>
        <v>49.15</v>
      </c>
      <c r="AP105" s="3">
        <f ca="1">IFERROR(__xludf.DUMMYFUNCTION("""COMPUTED_VALUE"""),15337797)</f>
        <v>15337797</v>
      </c>
      <c r="AQ105" s="4">
        <f ca="1">IFERROR(__xludf.DUMMYFUNCTION("""COMPUTED_VALUE"""),42276.6666666666)</f>
        <v>42276.666666666599</v>
      </c>
      <c r="AR105" s="3">
        <f ca="1">IFERROR(__xludf.DUMMYFUNCTION("""COMPUTED_VALUE"""),39.14)</f>
        <v>39.14</v>
      </c>
      <c r="AS105" s="3">
        <f ca="1">IFERROR(__xludf.DUMMYFUNCTION("""COMPUTED_VALUE"""),39.45)</f>
        <v>39.450000000000003</v>
      </c>
      <c r="AT105" s="3">
        <f ca="1">IFERROR(__xludf.DUMMYFUNCTION("""COMPUTED_VALUE"""),38.83)</f>
        <v>38.83</v>
      </c>
      <c r="AU105" s="3">
        <f ca="1">IFERROR(__xludf.DUMMYFUNCTION("""COMPUTED_VALUE"""),39.1)</f>
        <v>39.1</v>
      </c>
      <c r="AV105" s="3">
        <f ca="1">IFERROR(__xludf.DUMMYFUNCTION("""COMPUTED_VALUE"""),13472105)</f>
        <v>13472105</v>
      </c>
      <c r="AW105" s="4">
        <f ca="1">IFERROR(__xludf.DUMMYFUNCTION("""COMPUTED_VALUE"""),42443.6666666666)</f>
        <v>42443.666666666599</v>
      </c>
      <c r="AX105" s="3">
        <f ca="1">IFERROR(__xludf.DUMMYFUNCTION("""COMPUTED_VALUE"""),31.04)</f>
        <v>31.04</v>
      </c>
      <c r="AY105" s="3">
        <f ca="1">IFERROR(__xludf.DUMMYFUNCTION("""COMPUTED_VALUE"""),31.1)</f>
        <v>31.1</v>
      </c>
      <c r="AZ105" s="3">
        <f ca="1">IFERROR(__xludf.DUMMYFUNCTION("""COMPUTED_VALUE"""),30.99)</f>
        <v>30.99</v>
      </c>
      <c r="BA105" s="3">
        <f ca="1">IFERROR(__xludf.DUMMYFUNCTION("""COMPUTED_VALUE"""),30.99)</f>
        <v>30.99</v>
      </c>
      <c r="BB105" s="3">
        <f ca="1">IFERROR(__xludf.DUMMYFUNCTION("""COMPUTED_VALUE"""),3010)</f>
        <v>3010</v>
      </c>
      <c r="BC105" s="4">
        <f ca="1">IFERROR(__xludf.DUMMYFUNCTION("""COMPUTED_VALUE"""),42276.6666666666)</f>
        <v>42276.666666666599</v>
      </c>
      <c r="BD105" s="3">
        <f ca="1">IFERROR(__xludf.DUMMYFUNCTION("""COMPUTED_VALUE"""),39)</f>
        <v>39</v>
      </c>
      <c r="BE105" s="3">
        <f ca="1">IFERROR(__xludf.DUMMYFUNCTION("""COMPUTED_VALUE"""),39.26)</f>
        <v>39.26</v>
      </c>
      <c r="BF105" s="3">
        <f ca="1">IFERROR(__xludf.DUMMYFUNCTION("""COMPUTED_VALUE"""),38.45)</f>
        <v>38.450000000000003</v>
      </c>
      <c r="BG105" s="3">
        <f ca="1">IFERROR(__xludf.DUMMYFUNCTION("""COMPUTED_VALUE"""),38.73)</f>
        <v>38.729999999999997</v>
      </c>
      <c r="BH105" s="3">
        <f ca="1">IFERROR(__xludf.DUMMYFUNCTION("""COMPUTED_VALUE"""),13103413)</f>
        <v>13103413</v>
      </c>
      <c r="BI105" s="4">
        <f ca="1">IFERROR(__xludf.DUMMYFUNCTION("""COMPUTED_VALUE"""),42276.6666666666)</f>
        <v>42276.666666666599</v>
      </c>
      <c r="BJ105" s="3">
        <f ca="1">IFERROR(__xludf.DUMMYFUNCTION("""COMPUTED_VALUE"""),42.6)</f>
        <v>42.6</v>
      </c>
      <c r="BK105" s="3">
        <f ca="1">IFERROR(__xludf.DUMMYFUNCTION("""COMPUTED_VALUE"""),42.78)</f>
        <v>42.78</v>
      </c>
      <c r="BL105" s="3">
        <f ca="1">IFERROR(__xludf.DUMMYFUNCTION("""COMPUTED_VALUE"""),42.36)</f>
        <v>42.36</v>
      </c>
      <c r="BM105" s="3">
        <f ca="1">IFERROR(__xludf.DUMMYFUNCTION("""COMPUTED_VALUE"""),42.53)</f>
        <v>42.53</v>
      </c>
      <c r="BN105" s="3">
        <f ca="1">IFERROR(__xludf.DUMMYFUNCTION("""COMPUTED_VALUE"""),8681435)</f>
        <v>8681435</v>
      </c>
    </row>
    <row r="106" spans="7:66" ht="13" x14ac:dyDescent="0.15">
      <c r="G106" s="4">
        <f ca="1">IFERROR(__xludf.DUMMYFUNCTION("""COMPUTED_VALUE"""),42277.6666666666)</f>
        <v>42277.666666666599</v>
      </c>
      <c r="H106" s="3">
        <f ca="1">IFERROR(__xludf.DUMMYFUNCTION("""COMPUTED_VALUE"""),73.38)</f>
        <v>73.38</v>
      </c>
      <c r="I106" s="3">
        <f ca="1">IFERROR(__xludf.DUMMYFUNCTION("""COMPUTED_VALUE"""),74.34)</f>
        <v>74.34</v>
      </c>
      <c r="J106" s="3">
        <f ca="1">IFERROR(__xludf.DUMMYFUNCTION("""COMPUTED_VALUE"""),73.04)</f>
        <v>73.040000000000006</v>
      </c>
      <c r="K106" s="3">
        <f ca="1">IFERROR(__xludf.DUMMYFUNCTION("""COMPUTED_VALUE"""),74.26)</f>
        <v>74.260000000000005</v>
      </c>
      <c r="L106" s="3">
        <f ca="1">IFERROR(__xludf.DUMMYFUNCTION("""COMPUTED_VALUE"""),10798607)</f>
        <v>10798607</v>
      </c>
      <c r="M106" s="4">
        <f ca="1">IFERROR(__xludf.DUMMYFUNCTION("""COMPUTED_VALUE"""),42277.6666666666)</f>
        <v>42277.666666666599</v>
      </c>
      <c r="N106" s="3">
        <f ca="1">IFERROR(__xludf.DUMMYFUNCTION("""COMPUTED_VALUE"""),46.95)</f>
        <v>46.95</v>
      </c>
      <c r="O106" s="3">
        <f ca="1">IFERROR(__xludf.DUMMYFUNCTION("""COMPUTED_VALUE"""),47.35)</f>
        <v>47.35</v>
      </c>
      <c r="P106" s="3">
        <f ca="1">IFERROR(__xludf.DUMMYFUNCTION("""COMPUTED_VALUE"""),46.87)</f>
        <v>46.87</v>
      </c>
      <c r="Q106" s="3">
        <f ca="1">IFERROR(__xludf.DUMMYFUNCTION("""COMPUTED_VALUE"""),47.19)</f>
        <v>47.19</v>
      </c>
      <c r="R106" s="3">
        <f ca="1">IFERROR(__xludf.DUMMYFUNCTION("""COMPUTED_VALUE"""),12715608)</f>
        <v>12715608</v>
      </c>
      <c r="S106" s="4">
        <f ca="1">IFERROR(__xludf.DUMMYFUNCTION("""COMPUTED_VALUE"""),42277.6666666666)</f>
        <v>42277.666666666599</v>
      </c>
      <c r="T106" s="3">
        <f ca="1">IFERROR(__xludf.DUMMYFUNCTION("""COMPUTED_VALUE"""),60.34)</f>
        <v>60.34</v>
      </c>
      <c r="U106" s="3">
        <f ca="1">IFERROR(__xludf.DUMMYFUNCTION("""COMPUTED_VALUE"""),61.43)</f>
        <v>61.43</v>
      </c>
      <c r="V106" s="3">
        <f ca="1">IFERROR(__xludf.DUMMYFUNCTION("""COMPUTED_VALUE"""),60.27)</f>
        <v>60.27</v>
      </c>
      <c r="W106" s="3">
        <f ca="1">IFERROR(__xludf.DUMMYFUNCTION("""COMPUTED_VALUE"""),61.2)</f>
        <v>61.2</v>
      </c>
      <c r="X106" s="3">
        <f ca="1">IFERROR(__xludf.DUMMYFUNCTION("""COMPUTED_VALUE"""),16128089)</f>
        <v>16128089</v>
      </c>
      <c r="Y106" s="4">
        <f ca="1">IFERROR(__xludf.DUMMYFUNCTION("""COMPUTED_VALUE"""),42277.6666666666)</f>
        <v>42277.666666666599</v>
      </c>
      <c r="Z106" s="3">
        <f ca="1">IFERROR(__xludf.DUMMYFUNCTION("""COMPUTED_VALUE"""),18.37)</f>
        <v>18.37</v>
      </c>
      <c r="AA106" s="3">
        <f ca="1">IFERROR(__xludf.DUMMYFUNCTION("""COMPUTED_VALUE"""),18.4)</f>
        <v>18.399999999999999</v>
      </c>
      <c r="AB106" s="3">
        <f ca="1">IFERROR(__xludf.DUMMYFUNCTION("""COMPUTED_VALUE"""),18.18)</f>
        <v>18.18</v>
      </c>
      <c r="AC106" s="3">
        <f ca="1">IFERROR(__xludf.DUMMYFUNCTION("""COMPUTED_VALUE"""),18.4)</f>
        <v>18.399999999999999</v>
      </c>
      <c r="AD106" s="3">
        <f ca="1">IFERROR(__xludf.DUMMYFUNCTION("""COMPUTED_VALUE"""),39875522)</f>
        <v>39875522</v>
      </c>
      <c r="AE106" s="4">
        <f ca="1">IFERROR(__xludf.DUMMYFUNCTION("""COMPUTED_VALUE"""),42277.6666666666)</f>
        <v>42277.666666666599</v>
      </c>
      <c r="AF106" s="3">
        <f ca="1">IFERROR(__xludf.DUMMYFUNCTION("""COMPUTED_VALUE"""),65.84)</f>
        <v>65.84</v>
      </c>
      <c r="AG106" s="3">
        <f ca="1">IFERROR(__xludf.DUMMYFUNCTION("""COMPUTED_VALUE"""),66.42)</f>
        <v>66.42</v>
      </c>
      <c r="AH106" s="3">
        <f ca="1">IFERROR(__xludf.DUMMYFUNCTION("""COMPUTED_VALUE"""),65.38)</f>
        <v>65.38</v>
      </c>
      <c r="AI106" s="3">
        <f ca="1">IFERROR(__xludf.DUMMYFUNCTION("""COMPUTED_VALUE"""),66.23)</f>
        <v>66.23</v>
      </c>
      <c r="AJ106" s="3">
        <f ca="1">IFERROR(__xludf.DUMMYFUNCTION("""COMPUTED_VALUE"""),26565616)</f>
        <v>26565616</v>
      </c>
      <c r="AK106" s="4">
        <f ca="1">IFERROR(__xludf.DUMMYFUNCTION("""COMPUTED_VALUE"""),42277.6666666666)</f>
        <v>42277.666666666599</v>
      </c>
      <c r="AL106" s="3">
        <f ca="1">IFERROR(__xludf.DUMMYFUNCTION("""COMPUTED_VALUE"""),49.55)</f>
        <v>49.55</v>
      </c>
      <c r="AM106" s="3">
        <f ca="1">IFERROR(__xludf.DUMMYFUNCTION("""COMPUTED_VALUE"""),49.95)</f>
        <v>49.95</v>
      </c>
      <c r="AN106" s="3">
        <f ca="1">IFERROR(__xludf.DUMMYFUNCTION("""COMPUTED_VALUE"""),49.27)</f>
        <v>49.27</v>
      </c>
      <c r="AO106" s="3">
        <f ca="1">IFERROR(__xludf.DUMMYFUNCTION("""COMPUTED_VALUE"""),49.89)</f>
        <v>49.89</v>
      </c>
      <c r="AP106" s="3">
        <f ca="1">IFERROR(__xludf.DUMMYFUNCTION("""COMPUTED_VALUE"""),17662407)</f>
        <v>17662407</v>
      </c>
      <c r="AQ106" s="4">
        <f ca="1">IFERROR(__xludf.DUMMYFUNCTION("""COMPUTED_VALUE"""),42277.6666666666)</f>
        <v>42277.666666666599</v>
      </c>
      <c r="AR106" s="3">
        <f ca="1">IFERROR(__xludf.DUMMYFUNCTION("""COMPUTED_VALUE"""),39.58)</f>
        <v>39.58</v>
      </c>
      <c r="AS106" s="3">
        <f ca="1">IFERROR(__xludf.DUMMYFUNCTION("""COMPUTED_VALUE"""),40)</f>
        <v>40</v>
      </c>
      <c r="AT106" s="3">
        <f ca="1">IFERROR(__xludf.DUMMYFUNCTION("""COMPUTED_VALUE"""),39.4)</f>
        <v>39.4</v>
      </c>
      <c r="AU106" s="3">
        <f ca="1">IFERROR(__xludf.DUMMYFUNCTION("""COMPUTED_VALUE"""),39.92)</f>
        <v>39.92</v>
      </c>
      <c r="AV106" s="3">
        <f ca="1">IFERROR(__xludf.DUMMYFUNCTION("""COMPUTED_VALUE"""),7652233)</f>
        <v>7652233</v>
      </c>
      <c r="AW106" s="4">
        <f ca="1">IFERROR(__xludf.DUMMYFUNCTION("""COMPUTED_VALUE"""),42444.6666666666)</f>
        <v>42444.666666666599</v>
      </c>
      <c r="AX106" s="3">
        <f ca="1">IFERROR(__xludf.DUMMYFUNCTION("""COMPUTED_VALUE"""),31)</f>
        <v>31</v>
      </c>
      <c r="AY106" s="3">
        <f ca="1">IFERROR(__xludf.DUMMYFUNCTION("""COMPUTED_VALUE"""),31.2)</f>
        <v>31.2</v>
      </c>
      <c r="AZ106" s="3">
        <f ca="1">IFERROR(__xludf.DUMMYFUNCTION("""COMPUTED_VALUE"""),31)</f>
        <v>31</v>
      </c>
      <c r="BA106" s="3">
        <f ca="1">IFERROR(__xludf.DUMMYFUNCTION("""COMPUTED_VALUE"""),31.2)</f>
        <v>31.2</v>
      </c>
      <c r="BB106" s="3">
        <f ca="1">IFERROR(__xludf.DUMMYFUNCTION("""COMPUTED_VALUE"""),2258)</f>
        <v>2258</v>
      </c>
      <c r="BC106" s="4">
        <f ca="1">IFERROR(__xludf.DUMMYFUNCTION("""COMPUTED_VALUE"""),42277.6666666666)</f>
        <v>42277.666666666599</v>
      </c>
      <c r="BD106" s="3">
        <f ca="1">IFERROR(__xludf.DUMMYFUNCTION("""COMPUTED_VALUE"""),39.2)</f>
        <v>39.200000000000003</v>
      </c>
      <c r="BE106" s="3">
        <f ca="1">IFERROR(__xludf.DUMMYFUNCTION("""COMPUTED_VALUE"""),39.56)</f>
        <v>39.56</v>
      </c>
      <c r="BF106" s="3">
        <f ca="1">IFERROR(__xludf.DUMMYFUNCTION("""COMPUTED_VALUE"""),39.09)</f>
        <v>39.090000000000003</v>
      </c>
      <c r="BG106" s="3">
        <f ca="1">IFERROR(__xludf.DUMMYFUNCTION("""COMPUTED_VALUE"""),39.5)</f>
        <v>39.5</v>
      </c>
      <c r="BH106" s="3">
        <f ca="1">IFERROR(__xludf.DUMMYFUNCTION("""COMPUTED_VALUE"""),12466813)</f>
        <v>12466813</v>
      </c>
      <c r="BI106" s="4">
        <f ca="1">IFERROR(__xludf.DUMMYFUNCTION("""COMPUTED_VALUE"""),42277.6666666666)</f>
        <v>42277.666666666599</v>
      </c>
      <c r="BJ106" s="3">
        <f ca="1">IFERROR(__xludf.DUMMYFUNCTION("""COMPUTED_VALUE"""),42.62)</f>
        <v>42.62</v>
      </c>
      <c r="BK106" s="3">
        <f ca="1">IFERROR(__xludf.DUMMYFUNCTION("""COMPUTED_VALUE"""),43.34)</f>
        <v>43.34</v>
      </c>
      <c r="BL106" s="3">
        <f ca="1">IFERROR(__xludf.DUMMYFUNCTION("""COMPUTED_VALUE"""),42.61)</f>
        <v>42.61</v>
      </c>
      <c r="BM106" s="3">
        <f ca="1">IFERROR(__xludf.DUMMYFUNCTION("""COMPUTED_VALUE"""),43.29)</f>
        <v>43.29</v>
      </c>
      <c r="BN106" s="3">
        <f ca="1">IFERROR(__xludf.DUMMYFUNCTION("""COMPUTED_VALUE"""),9637983)</f>
        <v>9637983</v>
      </c>
    </row>
    <row r="107" spans="7:66" ht="13" x14ac:dyDescent="0.15">
      <c r="G107" s="4">
        <f ca="1">IFERROR(__xludf.DUMMYFUNCTION("""COMPUTED_VALUE"""),42278.6666666666)</f>
        <v>42278.666666666599</v>
      </c>
      <c r="H107" s="3">
        <f ca="1">IFERROR(__xludf.DUMMYFUNCTION("""COMPUTED_VALUE"""),74.3)</f>
        <v>74.3</v>
      </c>
      <c r="I107" s="3">
        <f ca="1">IFERROR(__xludf.DUMMYFUNCTION("""COMPUTED_VALUE"""),74.82)</f>
        <v>74.819999999999993</v>
      </c>
      <c r="J107" s="3">
        <f ca="1">IFERROR(__xludf.DUMMYFUNCTION("""COMPUTED_VALUE"""),73.67)</f>
        <v>73.67</v>
      </c>
      <c r="K107" s="3">
        <f ca="1">IFERROR(__xludf.DUMMYFUNCTION("""COMPUTED_VALUE"""),74.81)</f>
        <v>74.81</v>
      </c>
      <c r="L107" s="3">
        <f ca="1">IFERROR(__xludf.DUMMYFUNCTION("""COMPUTED_VALUE"""),8362690)</f>
        <v>8362690</v>
      </c>
      <c r="M107" s="4">
        <f ca="1">IFERROR(__xludf.DUMMYFUNCTION("""COMPUTED_VALUE"""),42278.6666666666)</f>
        <v>42278.666666666599</v>
      </c>
      <c r="N107" s="3">
        <f ca="1">IFERROR(__xludf.DUMMYFUNCTION("""COMPUTED_VALUE"""),47.22)</f>
        <v>47.22</v>
      </c>
      <c r="O107" s="3">
        <f ca="1">IFERROR(__xludf.DUMMYFUNCTION("""COMPUTED_VALUE"""),47.33)</f>
        <v>47.33</v>
      </c>
      <c r="P107" s="3">
        <f ca="1">IFERROR(__xludf.DUMMYFUNCTION("""COMPUTED_VALUE"""),46.84)</f>
        <v>46.84</v>
      </c>
      <c r="Q107" s="3">
        <f ca="1">IFERROR(__xludf.DUMMYFUNCTION("""COMPUTED_VALUE"""),47.19)</f>
        <v>47.19</v>
      </c>
      <c r="R107" s="3">
        <f ca="1">IFERROR(__xludf.DUMMYFUNCTION("""COMPUTED_VALUE"""),13766236)</f>
        <v>13766236</v>
      </c>
      <c r="S107" s="4">
        <f ca="1">IFERROR(__xludf.DUMMYFUNCTION("""COMPUTED_VALUE"""),42278.6666666666)</f>
        <v>42278.666666666599</v>
      </c>
      <c r="T107" s="3">
        <f ca="1">IFERROR(__xludf.DUMMYFUNCTION("""COMPUTED_VALUE"""),61.98)</f>
        <v>61.98</v>
      </c>
      <c r="U107" s="3">
        <f ca="1">IFERROR(__xludf.DUMMYFUNCTION("""COMPUTED_VALUE"""),62.66)</f>
        <v>62.66</v>
      </c>
      <c r="V107" s="3">
        <f ca="1">IFERROR(__xludf.DUMMYFUNCTION("""COMPUTED_VALUE"""),60.77)</f>
        <v>60.77</v>
      </c>
      <c r="W107" s="3">
        <f ca="1">IFERROR(__xludf.DUMMYFUNCTION("""COMPUTED_VALUE"""),61.32)</f>
        <v>61.32</v>
      </c>
      <c r="X107" s="3">
        <f ca="1">IFERROR(__xludf.DUMMYFUNCTION("""COMPUTED_VALUE"""),17445508)</f>
        <v>17445508</v>
      </c>
      <c r="Y107" s="4">
        <f ca="1">IFERROR(__xludf.DUMMYFUNCTION("""COMPUTED_VALUE"""),42278.6666666666)</f>
        <v>42278.666666666599</v>
      </c>
      <c r="Z107" s="3">
        <f ca="1">IFERROR(__xludf.DUMMYFUNCTION("""COMPUTED_VALUE"""),18.39)</f>
        <v>18.39</v>
      </c>
      <c r="AA107" s="3">
        <f ca="1">IFERROR(__xludf.DUMMYFUNCTION("""COMPUTED_VALUE"""),18.48)</f>
        <v>18.48</v>
      </c>
      <c r="AB107" s="3">
        <f ca="1">IFERROR(__xludf.DUMMYFUNCTION("""COMPUTED_VALUE"""),18.21)</f>
        <v>18.21</v>
      </c>
      <c r="AC107" s="3">
        <f ca="1">IFERROR(__xludf.DUMMYFUNCTION("""COMPUTED_VALUE"""),18.41)</f>
        <v>18.41</v>
      </c>
      <c r="AD107" s="3">
        <f ca="1">IFERROR(__xludf.DUMMYFUNCTION("""COMPUTED_VALUE"""),39409430)</f>
        <v>39409430</v>
      </c>
      <c r="AE107" s="4">
        <f ca="1">IFERROR(__xludf.DUMMYFUNCTION("""COMPUTED_VALUE"""),42278.6666666666)</f>
        <v>42278.666666666599</v>
      </c>
      <c r="AF107" s="3">
        <f ca="1">IFERROR(__xludf.DUMMYFUNCTION("""COMPUTED_VALUE"""),66.39)</f>
        <v>66.39</v>
      </c>
      <c r="AG107" s="3">
        <f ca="1">IFERROR(__xludf.DUMMYFUNCTION("""COMPUTED_VALUE"""),66.95)</f>
        <v>66.95</v>
      </c>
      <c r="AH107" s="3">
        <f ca="1">IFERROR(__xludf.DUMMYFUNCTION("""COMPUTED_VALUE"""),65.75)</f>
        <v>65.75</v>
      </c>
      <c r="AI107" s="3">
        <f ca="1">IFERROR(__xludf.DUMMYFUNCTION("""COMPUTED_VALUE"""),66.9)</f>
        <v>66.900000000000006</v>
      </c>
      <c r="AJ107" s="3">
        <f ca="1">IFERROR(__xludf.DUMMYFUNCTION("""COMPUTED_VALUE"""),19853143)</f>
        <v>19853143</v>
      </c>
      <c r="AK107" s="4">
        <f ca="1">IFERROR(__xludf.DUMMYFUNCTION("""COMPUTED_VALUE"""),42278.6666666666)</f>
        <v>42278.666666666599</v>
      </c>
      <c r="AL107" s="3">
        <f ca="1">IFERROR(__xludf.DUMMYFUNCTION("""COMPUTED_VALUE"""),49.82)</f>
        <v>49.82</v>
      </c>
      <c r="AM107" s="3">
        <f ca="1">IFERROR(__xludf.DUMMYFUNCTION("""COMPUTED_VALUE"""),50.13)</f>
        <v>50.13</v>
      </c>
      <c r="AN107" s="3">
        <f ca="1">IFERROR(__xludf.DUMMYFUNCTION("""COMPUTED_VALUE"""),49.31)</f>
        <v>49.31</v>
      </c>
      <c r="AO107" s="3">
        <f ca="1">IFERROR(__xludf.DUMMYFUNCTION("""COMPUTED_VALUE"""),49.78)</f>
        <v>49.78</v>
      </c>
      <c r="AP107" s="3">
        <f ca="1">IFERROR(__xludf.DUMMYFUNCTION("""COMPUTED_VALUE"""),10529662)</f>
        <v>10529662</v>
      </c>
      <c r="AQ107" s="4">
        <f ca="1">IFERROR(__xludf.DUMMYFUNCTION("""COMPUTED_VALUE"""),42278.6666666666)</f>
        <v>42278.666666666599</v>
      </c>
      <c r="AR107" s="3">
        <f ca="1">IFERROR(__xludf.DUMMYFUNCTION("""COMPUTED_VALUE"""),40.08)</f>
        <v>40.08</v>
      </c>
      <c r="AS107" s="3">
        <f ca="1">IFERROR(__xludf.DUMMYFUNCTION("""COMPUTED_VALUE"""),40.37)</f>
        <v>40.369999999999997</v>
      </c>
      <c r="AT107" s="3">
        <f ca="1">IFERROR(__xludf.DUMMYFUNCTION("""COMPUTED_VALUE"""),39.56)</f>
        <v>39.56</v>
      </c>
      <c r="AU107" s="3">
        <f ca="1">IFERROR(__xludf.DUMMYFUNCTION("""COMPUTED_VALUE"""),40.37)</f>
        <v>40.369999999999997</v>
      </c>
      <c r="AV107" s="3">
        <f ca="1">IFERROR(__xludf.DUMMYFUNCTION("""COMPUTED_VALUE"""),9613097)</f>
        <v>9613097</v>
      </c>
      <c r="AW107" s="4">
        <f ca="1">IFERROR(__xludf.DUMMYFUNCTION("""COMPUTED_VALUE"""),42445.6666666666)</f>
        <v>42445.666666666599</v>
      </c>
      <c r="AX107" s="3">
        <f ca="1">IFERROR(__xludf.DUMMYFUNCTION("""COMPUTED_VALUE"""),31.2)</f>
        <v>31.2</v>
      </c>
      <c r="AY107" s="3">
        <f ca="1">IFERROR(__xludf.DUMMYFUNCTION("""COMPUTED_VALUE"""),31.21)</f>
        <v>31.21</v>
      </c>
      <c r="AZ107" s="3">
        <f ca="1">IFERROR(__xludf.DUMMYFUNCTION("""COMPUTED_VALUE"""),30.96)</f>
        <v>30.96</v>
      </c>
      <c r="BA107" s="3">
        <f ca="1">IFERROR(__xludf.DUMMYFUNCTION("""COMPUTED_VALUE"""),30.96)</f>
        <v>30.96</v>
      </c>
      <c r="BB107" s="3">
        <f ca="1">IFERROR(__xludf.DUMMYFUNCTION("""COMPUTED_VALUE"""),1537)</f>
        <v>1537</v>
      </c>
      <c r="BC107" s="4">
        <f ca="1">IFERROR(__xludf.DUMMYFUNCTION("""COMPUTED_VALUE"""),42278.6666666666)</f>
        <v>42278.666666666599</v>
      </c>
      <c r="BD107" s="3">
        <f ca="1">IFERROR(__xludf.DUMMYFUNCTION("""COMPUTED_VALUE"""),39.5)</f>
        <v>39.5</v>
      </c>
      <c r="BE107" s="3">
        <f ca="1">IFERROR(__xludf.DUMMYFUNCTION("""COMPUTED_VALUE"""),39.64)</f>
        <v>39.64</v>
      </c>
      <c r="BF107" s="3">
        <f ca="1">IFERROR(__xludf.DUMMYFUNCTION("""COMPUTED_VALUE"""),38.99)</f>
        <v>38.99</v>
      </c>
      <c r="BG107" s="3">
        <f ca="1">IFERROR(__xludf.DUMMYFUNCTION("""COMPUTED_VALUE"""),39.52)</f>
        <v>39.520000000000003</v>
      </c>
      <c r="BH107" s="3">
        <f ca="1">IFERROR(__xludf.DUMMYFUNCTION("""COMPUTED_VALUE"""),13518040)</f>
        <v>13518040</v>
      </c>
      <c r="BI107" s="4">
        <f ca="1">IFERROR(__xludf.DUMMYFUNCTION("""COMPUTED_VALUE"""),42278.6666666666)</f>
        <v>42278.666666666599</v>
      </c>
      <c r="BJ107" s="3">
        <f ca="1">IFERROR(__xludf.DUMMYFUNCTION("""COMPUTED_VALUE"""),43.39)</f>
        <v>43.39</v>
      </c>
      <c r="BK107" s="3">
        <f ca="1">IFERROR(__xludf.DUMMYFUNCTION("""COMPUTED_VALUE"""),43.45)</f>
        <v>43.45</v>
      </c>
      <c r="BL107" s="3">
        <f ca="1">IFERROR(__xludf.DUMMYFUNCTION("""COMPUTED_VALUE"""),42.46)</f>
        <v>42.46</v>
      </c>
      <c r="BM107" s="3">
        <f ca="1">IFERROR(__xludf.DUMMYFUNCTION("""COMPUTED_VALUE"""),42.78)</f>
        <v>42.78</v>
      </c>
      <c r="BN107" s="3">
        <f ca="1">IFERROR(__xludf.DUMMYFUNCTION("""COMPUTED_VALUE"""),15645955)</f>
        <v>15645955</v>
      </c>
    </row>
    <row r="108" spans="7:66" ht="13" x14ac:dyDescent="0.15">
      <c r="G108" s="4">
        <f ca="1">IFERROR(__xludf.DUMMYFUNCTION("""COMPUTED_VALUE"""),42279.6666666666)</f>
        <v>42279.666666666599</v>
      </c>
      <c r="H108" s="3">
        <f ca="1">IFERROR(__xludf.DUMMYFUNCTION("""COMPUTED_VALUE"""),73.65)</f>
        <v>73.650000000000006</v>
      </c>
      <c r="I108" s="3">
        <f ca="1">IFERROR(__xludf.DUMMYFUNCTION("""COMPUTED_VALUE"""),75.88)</f>
        <v>75.88</v>
      </c>
      <c r="J108" s="3">
        <f ca="1">IFERROR(__xludf.DUMMYFUNCTION("""COMPUTED_VALUE"""),73.55)</f>
        <v>73.55</v>
      </c>
      <c r="K108" s="3">
        <f ca="1">IFERROR(__xludf.DUMMYFUNCTION("""COMPUTED_VALUE"""),75.88)</f>
        <v>75.88</v>
      </c>
      <c r="L108" s="3">
        <f ca="1">IFERROR(__xludf.DUMMYFUNCTION("""COMPUTED_VALUE"""),8201806)</f>
        <v>8201806</v>
      </c>
      <c r="M108" s="4">
        <f ca="1">IFERROR(__xludf.DUMMYFUNCTION("""COMPUTED_VALUE"""),42279.6666666666)</f>
        <v>42279.666666666599</v>
      </c>
      <c r="N108" s="3">
        <f ca="1">IFERROR(__xludf.DUMMYFUNCTION("""COMPUTED_VALUE"""),46.93)</f>
        <v>46.93</v>
      </c>
      <c r="O108" s="3">
        <f ca="1">IFERROR(__xludf.DUMMYFUNCTION("""COMPUTED_VALUE"""),47.86)</f>
        <v>47.86</v>
      </c>
      <c r="P108" s="3">
        <f ca="1">IFERROR(__xludf.DUMMYFUNCTION("""COMPUTED_VALUE"""),46.69)</f>
        <v>46.69</v>
      </c>
      <c r="Q108" s="3">
        <f ca="1">IFERROR(__xludf.DUMMYFUNCTION("""COMPUTED_VALUE"""),47.84)</f>
        <v>47.84</v>
      </c>
      <c r="R108" s="3">
        <f ca="1">IFERROR(__xludf.DUMMYFUNCTION("""COMPUTED_VALUE"""),13196654)</f>
        <v>13196654</v>
      </c>
      <c r="S108" s="4">
        <f ca="1">IFERROR(__xludf.DUMMYFUNCTION("""COMPUTED_VALUE"""),42279.6666666666)</f>
        <v>42279.666666666599</v>
      </c>
      <c r="T108" s="3">
        <f ca="1">IFERROR(__xludf.DUMMYFUNCTION("""COMPUTED_VALUE"""),60.62)</f>
        <v>60.62</v>
      </c>
      <c r="U108" s="3">
        <f ca="1">IFERROR(__xludf.DUMMYFUNCTION("""COMPUTED_VALUE"""),63.89)</f>
        <v>63.89</v>
      </c>
      <c r="V108" s="3">
        <f ca="1">IFERROR(__xludf.DUMMYFUNCTION("""COMPUTED_VALUE"""),60.51)</f>
        <v>60.51</v>
      </c>
      <c r="W108" s="3">
        <f ca="1">IFERROR(__xludf.DUMMYFUNCTION("""COMPUTED_VALUE"""),63.85)</f>
        <v>63.85</v>
      </c>
      <c r="X108" s="3">
        <f ca="1">IFERROR(__xludf.DUMMYFUNCTION("""COMPUTED_VALUE"""),19929759)</f>
        <v>19929759</v>
      </c>
      <c r="Y108" s="4">
        <f ca="1">IFERROR(__xludf.DUMMYFUNCTION("""COMPUTED_VALUE"""),42279.6666666666)</f>
        <v>42279.666666666599</v>
      </c>
      <c r="Z108" s="3">
        <f ca="1">IFERROR(__xludf.DUMMYFUNCTION("""COMPUTED_VALUE"""),18.01)</f>
        <v>18.010000000000002</v>
      </c>
      <c r="AA108" s="3">
        <f ca="1">IFERROR(__xludf.DUMMYFUNCTION("""COMPUTED_VALUE"""),18.43)</f>
        <v>18.43</v>
      </c>
      <c r="AB108" s="3">
        <f ca="1">IFERROR(__xludf.DUMMYFUNCTION("""COMPUTED_VALUE"""),17.85)</f>
        <v>17.850000000000001</v>
      </c>
      <c r="AC108" s="3">
        <f ca="1">IFERROR(__xludf.DUMMYFUNCTION("""COMPUTED_VALUE"""),18.43)</f>
        <v>18.43</v>
      </c>
      <c r="AD108" s="3">
        <f ca="1">IFERROR(__xludf.DUMMYFUNCTION("""COMPUTED_VALUE"""),61207244)</f>
        <v>61207244</v>
      </c>
      <c r="AE108" s="4">
        <f ca="1">IFERROR(__xludf.DUMMYFUNCTION("""COMPUTED_VALUE"""),42279.6666666666)</f>
        <v>42279.666666666599</v>
      </c>
      <c r="AF108" s="3">
        <f ca="1">IFERROR(__xludf.DUMMYFUNCTION("""COMPUTED_VALUE"""),66.03)</f>
        <v>66.03</v>
      </c>
      <c r="AG108" s="3">
        <f ca="1">IFERROR(__xludf.DUMMYFUNCTION("""COMPUTED_VALUE"""),68.3)</f>
        <v>68.3</v>
      </c>
      <c r="AH108" s="3">
        <f ca="1">IFERROR(__xludf.DUMMYFUNCTION("""COMPUTED_VALUE"""),65.72)</f>
        <v>65.72</v>
      </c>
      <c r="AI108" s="3">
        <f ca="1">IFERROR(__xludf.DUMMYFUNCTION("""COMPUTED_VALUE"""),68.29)</f>
        <v>68.290000000000006</v>
      </c>
      <c r="AJ108" s="3">
        <f ca="1">IFERROR(__xludf.DUMMYFUNCTION("""COMPUTED_VALUE"""),23741758)</f>
        <v>23741758</v>
      </c>
      <c r="AK108" s="4">
        <f ca="1">IFERROR(__xludf.DUMMYFUNCTION("""COMPUTED_VALUE"""),42279.6666666666)</f>
        <v>42279.666666666599</v>
      </c>
      <c r="AL108" s="3">
        <f ca="1">IFERROR(__xludf.DUMMYFUNCTION("""COMPUTED_VALUE"""),49.12)</f>
        <v>49.12</v>
      </c>
      <c r="AM108" s="3">
        <f ca="1">IFERROR(__xludf.DUMMYFUNCTION("""COMPUTED_VALUE"""),50.41)</f>
        <v>50.41</v>
      </c>
      <c r="AN108" s="3">
        <f ca="1">IFERROR(__xludf.DUMMYFUNCTION("""COMPUTED_VALUE"""),48.99)</f>
        <v>48.99</v>
      </c>
      <c r="AO108" s="3">
        <f ca="1">IFERROR(__xludf.DUMMYFUNCTION("""COMPUTED_VALUE"""),50.41)</f>
        <v>50.41</v>
      </c>
      <c r="AP108" s="3">
        <f ca="1">IFERROR(__xludf.DUMMYFUNCTION("""COMPUTED_VALUE"""),12274554)</f>
        <v>12274554</v>
      </c>
      <c r="AQ108" s="4">
        <f ca="1">IFERROR(__xludf.DUMMYFUNCTION("""COMPUTED_VALUE"""),42279.6666666666)</f>
        <v>42279.666666666599</v>
      </c>
      <c r="AR108" s="3">
        <f ca="1">IFERROR(__xludf.DUMMYFUNCTION("""COMPUTED_VALUE"""),39.69)</f>
        <v>39.69</v>
      </c>
      <c r="AS108" s="3">
        <f ca="1">IFERROR(__xludf.DUMMYFUNCTION("""COMPUTED_VALUE"""),41.36)</f>
        <v>41.36</v>
      </c>
      <c r="AT108" s="3">
        <f ca="1">IFERROR(__xludf.DUMMYFUNCTION("""COMPUTED_VALUE"""),39.69)</f>
        <v>39.69</v>
      </c>
      <c r="AU108" s="3">
        <f ca="1">IFERROR(__xludf.DUMMYFUNCTION("""COMPUTED_VALUE"""),41.36)</f>
        <v>41.36</v>
      </c>
      <c r="AV108" s="3">
        <f ca="1">IFERROR(__xludf.DUMMYFUNCTION("""COMPUTED_VALUE"""),23138028)</f>
        <v>23138028</v>
      </c>
      <c r="AW108" s="4">
        <f ca="1">IFERROR(__xludf.DUMMYFUNCTION("""COMPUTED_VALUE"""),42446.6666666666)</f>
        <v>42446.666666666599</v>
      </c>
      <c r="AX108" s="3">
        <f ca="1">IFERROR(__xludf.DUMMYFUNCTION("""COMPUTED_VALUE"""),31.99)</f>
        <v>31.99</v>
      </c>
      <c r="AY108" s="3">
        <f ca="1">IFERROR(__xludf.DUMMYFUNCTION("""COMPUTED_VALUE"""),32.05)</f>
        <v>32.049999999999997</v>
      </c>
      <c r="AZ108" s="3">
        <f ca="1">IFERROR(__xludf.DUMMYFUNCTION("""COMPUTED_VALUE"""),31.98)</f>
        <v>31.98</v>
      </c>
      <c r="BA108" s="3">
        <f ca="1">IFERROR(__xludf.DUMMYFUNCTION("""COMPUTED_VALUE"""),32)</f>
        <v>32</v>
      </c>
      <c r="BB108" s="3">
        <f ca="1">IFERROR(__xludf.DUMMYFUNCTION("""COMPUTED_VALUE"""),13610)</f>
        <v>13610</v>
      </c>
      <c r="BC108" s="4">
        <f ca="1">IFERROR(__xludf.DUMMYFUNCTION("""COMPUTED_VALUE"""),42279.6666666666)</f>
        <v>42279.666666666599</v>
      </c>
      <c r="BD108" s="3">
        <f ca="1">IFERROR(__xludf.DUMMYFUNCTION("""COMPUTED_VALUE"""),39.06)</f>
        <v>39.06</v>
      </c>
      <c r="BE108" s="3">
        <f ca="1">IFERROR(__xludf.DUMMYFUNCTION("""COMPUTED_VALUE"""),40.08)</f>
        <v>40.08</v>
      </c>
      <c r="BF108" s="3">
        <f ca="1">IFERROR(__xludf.DUMMYFUNCTION("""COMPUTED_VALUE"""),38.92)</f>
        <v>38.92</v>
      </c>
      <c r="BG108" s="3">
        <f ca="1">IFERROR(__xludf.DUMMYFUNCTION("""COMPUTED_VALUE"""),40.08)</f>
        <v>40.08</v>
      </c>
      <c r="BH108" s="3">
        <f ca="1">IFERROR(__xludf.DUMMYFUNCTION("""COMPUTED_VALUE"""),14917041)</f>
        <v>14917041</v>
      </c>
      <c r="BI108" s="4">
        <f ca="1">IFERROR(__xludf.DUMMYFUNCTION("""COMPUTED_VALUE"""),42279.6666666666)</f>
        <v>42279.666666666599</v>
      </c>
      <c r="BJ108" s="3">
        <f ca="1">IFERROR(__xludf.DUMMYFUNCTION("""COMPUTED_VALUE"""),43.1)</f>
        <v>43.1</v>
      </c>
      <c r="BK108" s="3">
        <f ca="1">IFERROR(__xludf.DUMMYFUNCTION("""COMPUTED_VALUE"""),43.35)</f>
        <v>43.35</v>
      </c>
      <c r="BL108" s="3">
        <f ca="1">IFERROR(__xludf.DUMMYFUNCTION("""COMPUTED_VALUE"""),42.71)</f>
        <v>42.71</v>
      </c>
      <c r="BM108" s="3">
        <f ca="1">IFERROR(__xludf.DUMMYFUNCTION("""COMPUTED_VALUE"""),43.35)</f>
        <v>43.35</v>
      </c>
      <c r="BN108" s="3">
        <f ca="1">IFERROR(__xludf.DUMMYFUNCTION("""COMPUTED_VALUE"""),13198358)</f>
        <v>13198358</v>
      </c>
    </row>
    <row r="109" spans="7:66" ht="13" x14ac:dyDescent="0.15">
      <c r="G109" s="4">
        <f ca="1">IFERROR(__xludf.DUMMYFUNCTION("""COMPUTED_VALUE"""),42282.6666666666)</f>
        <v>42282.666666666599</v>
      </c>
      <c r="H109" s="3">
        <f ca="1">IFERROR(__xludf.DUMMYFUNCTION("""COMPUTED_VALUE"""),76.43)</f>
        <v>76.430000000000007</v>
      </c>
      <c r="I109" s="3">
        <f ca="1">IFERROR(__xludf.DUMMYFUNCTION("""COMPUTED_VALUE"""),77.14)</f>
        <v>77.14</v>
      </c>
      <c r="J109" s="3">
        <f ca="1">IFERROR(__xludf.DUMMYFUNCTION("""COMPUTED_VALUE"""),76.17)</f>
        <v>76.17</v>
      </c>
      <c r="K109" s="3">
        <f ca="1">IFERROR(__xludf.DUMMYFUNCTION("""COMPUTED_VALUE"""),77)</f>
        <v>77</v>
      </c>
      <c r="L109" s="3">
        <f ca="1">IFERROR(__xludf.DUMMYFUNCTION("""COMPUTED_VALUE"""),7018012)</f>
        <v>7018012</v>
      </c>
      <c r="M109" s="4">
        <f ca="1">IFERROR(__xludf.DUMMYFUNCTION("""COMPUTED_VALUE"""),42282.6666666666)</f>
        <v>42282.666666666599</v>
      </c>
      <c r="N109" s="3">
        <f ca="1">IFERROR(__xludf.DUMMYFUNCTION("""COMPUTED_VALUE"""),48.19)</f>
        <v>48.19</v>
      </c>
      <c r="O109" s="3">
        <f ca="1">IFERROR(__xludf.DUMMYFUNCTION("""COMPUTED_VALUE"""),48.72)</f>
        <v>48.72</v>
      </c>
      <c r="P109" s="3">
        <f ca="1">IFERROR(__xludf.DUMMYFUNCTION("""COMPUTED_VALUE"""),48.04)</f>
        <v>48.04</v>
      </c>
      <c r="Q109" s="3">
        <f ca="1">IFERROR(__xludf.DUMMYFUNCTION("""COMPUTED_VALUE"""),48.66)</f>
        <v>48.66</v>
      </c>
      <c r="R109" s="3">
        <f ca="1">IFERROR(__xludf.DUMMYFUNCTION("""COMPUTED_VALUE"""),10515836)</f>
        <v>10515836</v>
      </c>
      <c r="S109" s="4">
        <f ca="1">IFERROR(__xludf.DUMMYFUNCTION("""COMPUTED_VALUE"""),42282.6666666666)</f>
        <v>42282.666666666599</v>
      </c>
      <c r="T109" s="3">
        <f ca="1">IFERROR(__xludf.DUMMYFUNCTION("""COMPUTED_VALUE"""),64.65)</f>
        <v>64.650000000000006</v>
      </c>
      <c r="U109" s="3">
        <f ca="1">IFERROR(__xludf.DUMMYFUNCTION("""COMPUTED_VALUE"""),66)</f>
        <v>66</v>
      </c>
      <c r="V109" s="3">
        <f ca="1">IFERROR(__xludf.DUMMYFUNCTION("""COMPUTED_VALUE"""),64.59)</f>
        <v>64.59</v>
      </c>
      <c r="W109" s="3">
        <f ca="1">IFERROR(__xludf.DUMMYFUNCTION("""COMPUTED_VALUE"""),65.78)</f>
        <v>65.78</v>
      </c>
      <c r="X109" s="3">
        <f ca="1">IFERROR(__xludf.DUMMYFUNCTION("""COMPUTED_VALUE"""),23806985)</f>
        <v>23806985</v>
      </c>
      <c r="Y109" s="4">
        <f ca="1">IFERROR(__xludf.DUMMYFUNCTION("""COMPUTED_VALUE"""),42282.6666666666)</f>
        <v>42282.666666666599</v>
      </c>
      <c r="Z109" s="3">
        <f ca="1">IFERROR(__xludf.DUMMYFUNCTION("""COMPUTED_VALUE"""),18.56)</f>
        <v>18.559999999999999</v>
      </c>
      <c r="AA109" s="3">
        <f ca="1">IFERROR(__xludf.DUMMYFUNCTION("""COMPUTED_VALUE"""),18.85)</f>
        <v>18.850000000000001</v>
      </c>
      <c r="AB109" s="3">
        <f ca="1">IFERROR(__xludf.DUMMYFUNCTION("""COMPUTED_VALUE"""),18.55)</f>
        <v>18.55</v>
      </c>
      <c r="AC109" s="3">
        <f ca="1">IFERROR(__xludf.DUMMYFUNCTION("""COMPUTED_VALUE"""),18.82)</f>
        <v>18.82</v>
      </c>
      <c r="AD109" s="3">
        <f ca="1">IFERROR(__xludf.DUMMYFUNCTION("""COMPUTED_VALUE"""),38972776)</f>
        <v>38972776</v>
      </c>
      <c r="AE109" s="4">
        <f ca="1">IFERROR(__xludf.DUMMYFUNCTION("""COMPUTED_VALUE"""),42282.6666666666)</f>
        <v>42282.666666666599</v>
      </c>
      <c r="AF109" s="3">
        <f ca="1">IFERROR(__xludf.DUMMYFUNCTION("""COMPUTED_VALUE"""),68.88)</f>
        <v>68.88</v>
      </c>
      <c r="AG109" s="3">
        <f ca="1">IFERROR(__xludf.DUMMYFUNCTION("""COMPUTED_VALUE"""),69.02)</f>
        <v>69.02</v>
      </c>
      <c r="AH109" s="3">
        <f ca="1">IFERROR(__xludf.DUMMYFUNCTION("""COMPUTED_VALUE"""),67.8)</f>
        <v>67.8</v>
      </c>
      <c r="AI109" s="3">
        <f ca="1">IFERROR(__xludf.DUMMYFUNCTION("""COMPUTED_VALUE"""),68.47)</f>
        <v>68.47</v>
      </c>
      <c r="AJ109" s="3">
        <f ca="1">IFERROR(__xludf.DUMMYFUNCTION("""COMPUTED_VALUE"""),18389806)</f>
        <v>18389806</v>
      </c>
      <c r="AK109" s="4">
        <f ca="1">IFERROR(__xludf.DUMMYFUNCTION("""COMPUTED_VALUE"""),42282.6666666666)</f>
        <v>42282.666666666599</v>
      </c>
      <c r="AL109" s="3">
        <f ca="1">IFERROR(__xludf.DUMMYFUNCTION("""COMPUTED_VALUE"""),51.15)</f>
        <v>51.15</v>
      </c>
      <c r="AM109" s="3">
        <f ca="1">IFERROR(__xludf.DUMMYFUNCTION("""COMPUTED_VALUE"""),51.96)</f>
        <v>51.96</v>
      </c>
      <c r="AN109" s="3">
        <f ca="1">IFERROR(__xludf.DUMMYFUNCTION("""COMPUTED_VALUE"""),50.71)</f>
        <v>50.71</v>
      </c>
      <c r="AO109" s="3">
        <f ca="1">IFERROR(__xludf.DUMMYFUNCTION("""COMPUTED_VALUE"""),51.84)</f>
        <v>51.84</v>
      </c>
      <c r="AP109" s="3">
        <f ca="1">IFERROR(__xludf.DUMMYFUNCTION("""COMPUTED_VALUE"""),10410502)</f>
        <v>10410502</v>
      </c>
      <c r="AQ109" s="4">
        <f ca="1">IFERROR(__xludf.DUMMYFUNCTION("""COMPUTED_VALUE"""),42282.6666666666)</f>
        <v>42282.666666666599</v>
      </c>
      <c r="AR109" s="3">
        <f ca="1">IFERROR(__xludf.DUMMYFUNCTION("""COMPUTED_VALUE"""),41.8)</f>
        <v>41.8</v>
      </c>
      <c r="AS109" s="3">
        <f ca="1">IFERROR(__xludf.DUMMYFUNCTION("""COMPUTED_VALUE"""),42.45)</f>
        <v>42.45</v>
      </c>
      <c r="AT109" s="3">
        <f ca="1">IFERROR(__xludf.DUMMYFUNCTION("""COMPUTED_VALUE"""),41.44)</f>
        <v>41.44</v>
      </c>
      <c r="AU109" s="3">
        <f ca="1">IFERROR(__xludf.DUMMYFUNCTION("""COMPUTED_VALUE"""),42.44)</f>
        <v>42.44</v>
      </c>
      <c r="AV109" s="3">
        <f ca="1">IFERROR(__xludf.DUMMYFUNCTION("""COMPUTED_VALUE"""),13911977)</f>
        <v>13911977</v>
      </c>
      <c r="AW109" s="4">
        <f ca="1">IFERROR(__xludf.DUMMYFUNCTION("""COMPUTED_VALUE"""),42447.6666666666)</f>
        <v>42447.666666666599</v>
      </c>
      <c r="AX109" s="3">
        <f ca="1">IFERROR(__xludf.DUMMYFUNCTION("""COMPUTED_VALUE"""),31.69)</f>
        <v>31.69</v>
      </c>
      <c r="AY109" s="3">
        <f ca="1">IFERROR(__xludf.DUMMYFUNCTION("""COMPUTED_VALUE"""),31.78)</f>
        <v>31.78</v>
      </c>
      <c r="AZ109" s="3">
        <f ca="1">IFERROR(__xludf.DUMMYFUNCTION("""COMPUTED_VALUE"""),31.43)</f>
        <v>31.43</v>
      </c>
      <c r="BA109" s="3">
        <f ca="1">IFERROR(__xludf.DUMMYFUNCTION("""COMPUTED_VALUE"""),31.47)</f>
        <v>31.47</v>
      </c>
      <c r="BB109" s="3">
        <f ca="1">IFERROR(__xludf.DUMMYFUNCTION("""COMPUTED_VALUE"""),136356)</f>
        <v>136356</v>
      </c>
      <c r="BC109" s="4">
        <f ca="1">IFERROR(__xludf.DUMMYFUNCTION("""COMPUTED_VALUE"""),42282.6666666666)</f>
        <v>42282.666666666599</v>
      </c>
      <c r="BD109" s="3">
        <f ca="1">IFERROR(__xludf.DUMMYFUNCTION("""COMPUTED_VALUE"""),40.33)</f>
        <v>40.33</v>
      </c>
      <c r="BE109" s="3">
        <f ca="1">IFERROR(__xludf.DUMMYFUNCTION("""COMPUTED_VALUE"""),40.97)</f>
        <v>40.97</v>
      </c>
      <c r="BF109" s="3">
        <f ca="1">IFERROR(__xludf.DUMMYFUNCTION("""COMPUTED_VALUE"""),40.25)</f>
        <v>40.25</v>
      </c>
      <c r="BG109" s="3">
        <f ca="1">IFERROR(__xludf.DUMMYFUNCTION("""COMPUTED_VALUE"""),40.87)</f>
        <v>40.869999999999997</v>
      </c>
      <c r="BH109" s="3">
        <f ca="1">IFERROR(__xludf.DUMMYFUNCTION("""COMPUTED_VALUE"""),8568850)</f>
        <v>8568850</v>
      </c>
      <c r="BI109" s="4">
        <f ca="1">IFERROR(__xludf.DUMMYFUNCTION("""COMPUTED_VALUE"""),42282.6666666666)</f>
        <v>42282.666666666599</v>
      </c>
      <c r="BJ109" s="3">
        <f ca="1">IFERROR(__xludf.DUMMYFUNCTION("""COMPUTED_VALUE"""),43.47)</f>
        <v>43.47</v>
      </c>
      <c r="BK109" s="3">
        <f ca="1">IFERROR(__xludf.DUMMYFUNCTION("""COMPUTED_VALUE"""),43.98)</f>
        <v>43.98</v>
      </c>
      <c r="BL109" s="3">
        <f ca="1">IFERROR(__xludf.DUMMYFUNCTION("""COMPUTED_VALUE"""),43.31)</f>
        <v>43.31</v>
      </c>
      <c r="BM109" s="3">
        <f ca="1">IFERROR(__xludf.DUMMYFUNCTION("""COMPUTED_VALUE"""),43.91)</f>
        <v>43.91</v>
      </c>
      <c r="BN109" s="3">
        <f ca="1">IFERROR(__xludf.DUMMYFUNCTION("""COMPUTED_VALUE"""),12011182)</f>
        <v>12011182</v>
      </c>
    </row>
    <row r="110" spans="7:66" ht="13" x14ac:dyDescent="0.15">
      <c r="G110" s="4">
        <f ca="1">IFERROR(__xludf.DUMMYFUNCTION("""COMPUTED_VALUE"""),42283.6666666666)</f>
        <v>42283.666666666599</v>
      </c>
      <c r="H110" s="3">
        <f ca="1">IFERROR(__xludf.DUMMYFUNCTION("""COMPUTED_VALUE"""),76.75)</f>
        <v>76.75</v>
      </c>
      <c r="I110" s="3">
        <f ca="1">IFERROR(__xludf.DUMMYFUNCTION("""COMPUTED_VALUE"""),77.26)</f>
        <v>77.260000000000005</v>
      </c>
      <c r="J110" s="3">
        <f ca="1">IFERROR(__xludf.DUMMYFUNCTION("""COMPUTED_VALUE"""),76.07)</f>
        <v>76.069999999999993</v>
      </c>
      <c r="K110" s="3">
        <f ca="1">IFERROR(__xludf.DUMMYFUNCTION("""COMPUTED_VALUE"""),76.43)</f>
        <v>76.430000000000007</v>
      </c>
      <c r="L110" s="3">
        <f ca="1">IFERROR(__xludf.DUMMYFUNCTION("""COMPUTED_VALUE"""),9086048)</f>
        <v>9086048</v>
      </c>
      <c r="M110" s="4">
        <f ca="1">IFERROR(__xludf.DUMMYFUNCTION("""COMPUTED_VALUE"""),42283.6666666666)</f>
        <v>42283.666666666599</v>
      </c>
      <c r="N110" s="3">
        <f ca="1">IFERROR(__xludf.DUMMYFUNCTION("""COMPUTED_VALUE"""),48.56)</f>
        <v>48.56</v>
      </c>
      <c r="O110" s="3">
        <f ca="1">IFERROR(__xludf.DUMMYFUNCTION("""COMPUTED_VALUE"""),48.73)</f>
        <v>48.73</v>
      </c>
      <c r="P110" s="3">
        <f ca="1">IFERROR(__xludf.DUMMYFUNCTION("""COMPUTED_VALUE"""),48.31)</f>
        <v>48.31</v>
      </c>
      <c r="Q110" s="3">
        <f ca="1">IFERROR(__xludf.DUMMYFUNCTION("""COMPUTED_VALUE"""),48.33)</f>
        <v>48.33</v>
      </c>
      <c r="R110" s="3">
        <f ca="1">IFERROR(__xludf.DUMMYFUNCTION("""COMPUTED_VALUE"""),9443980)</f>
        <v>9443980</v>
      </c>
      <c r="S110" s="4">
        <f ca="1">IFERROR(__xludf.DUMMYFUNCTION("""COMPUTED_VALUE"""),42283.6666666666)</f>
        <v>42283.666666666599</v>
      </c>
      <c r="T110" s="3">
        <f ca="1">IFERROR(__xludf.DUMMYFUNCTION("""COMPUTED_VALUE"""),66.01)</f>
        <v>66.010000000000005</v>
      </c>
      <c r="U110" s="3">
        <f ca="1">IFERROR(__xludf.DUMMYFUNCTION("""COMPUTED_VALUE"""),67.74)</f>
        <v>67.739999999999995</v>
      </c>
      <c r="V110" s="3">
        <f ca="1">IFERROR(__xludf.DUMMYFUNCTION("""COMPUTED_VALUE"""),65.66)</f>
        <v>65.66</v>
      </c>
      <c r="W110" s="3">
        <f ca="1">IFERROR(__xludf.DUMMYFUNCTION("""COMPUTED_VALUE"""),67.24)</f>
        <v>67.239999999999995</v>
      </c>
      <c r="X110" s="3">
        <f ca="1">IFERROR(__xludf.DUMMYFUNCTION("""COMPUTED_VALUE"""),27466390)</f>
        <v>27466390</v>
      </c>
      <c r="Y110" s="4">
        <f ca="1">IFERROR(__xludf.DUMMYFUNCTION("""COMPUTED_VALUE"""),42283.6666666666)</f>
        <v>42283.666666666599</v>
      </c>
      <c r="Z110" s="3">
        <f ca="1">IFERROR(__xludf.DUMMYFUNCTION("""COMPUTED_VALUE"""),18.78)</f>
        <v>18.78</v>
      </c>
      <c r="AA110" s="3">
        <f ca="1">IFERROR(__xludf.DUMMYFUNCTION("""COMPUTED_VALUE"""),18.85)</f>
        <v>18.850000000000001</v>
      </c>
      <c r="AB110" s="3">
        <f ca="1">IFERROR(__xludf.DUMMYFUNCTION("""COMPUTED_VALUE"""),18.7)</f>
        <v>18.7</v>
      </c>
      <c r="AC110" s="3">
        <f ca="1">IFERROR(__xludf.DUMMYFUNCTION("""COMPUTED_VALUE"""),18.73)</f>
        <v>18.73</v>
      </c>
      <c r="AD110" s="3">
        <f ca="1">IFERROR(__xludf.DUMMYFUNCTION("""COMPUTED_VALUE"""),29800939)</f>
        <v>29800939</v>
      </c>
      <c r="AE110" s="4">
        <f ca="1">IFERROR(__xludf.DUMMYFUNCTION("""COMPUTED_VALUE"""),42283.6666666666)</f>
        <v>42283.666666666599</v>
      </c>
      <c r="AF110" s="3">
        <f ca="1">IFERROR(__xludf.DUMMYFUNCTION("""COMPUTED_VALUE"""),68.25)</f>
        <v>68.25</v>
      </c>
      <c r="AG110" s="3">
        <f ca="1">IFERROR(__xludf.DUMMYFUNCTION("""COMPUTED_VALUE"""),68.45)</f>
        <v>68.45</v>
      </c>
      <c r="AH110" s="3">
        <f ca="1">IFERROR(__xludf.DUMMYFUNCTION("""COMPUTED_VALUE"""),65.91)</f>
        <v>65.91</v>
      </c>
      <c r="AI110" s="3">
        <f ca="1">IFERROR(__xludf.DUMMYFUNCTION("""COMPUTED_VALUE"""),66.86)</f>
        <v>66.86</v>
      </c>
      <c r="AJ110" s="3">
        <f ca="1">IFERROR(__xludf.DUMMYFUNCTION("""COMPUTED_VALUE"""),30431551)</f>
        <v>30431551</v>
      </c>
      <c r="AK110" s="4">
        <f ca="1">IFERROR(__xludf.DUMMYFUNCTION("""COMPUTED_VALUE"""),42283.6666666666)</f>
        <v>42283.666666666599</v>
      </c>
      <c r="AL110" s="3">
        <f ca="1">IFERROR(__xludf.DUMMYFUNCTION("""COMPUTED_VALUE"""),51.75)</f>
        <v>51.75</v>
      </c>
      <c r="AM110" s="3">
        <f ca="1">IFERROR(__xludf.DUMMYFUNCTION("""COMPUTED_VALUE"""),52.11)</f>
        <v>52.11</v>
      </c>
      <c r="AN110" s="3">
        <f ca="1">IFERROR(__xludf.DUMMYFUNCTION("""COMPUTED_VALUE"""),51.72)</f>
        <v>51.72</v>
      </c>
      <c r="AO110" s="3">
        <f ca="1">IFERROR(__xludf.DUMMYFUNCTION("""COMPUTED_VALUE"""),51.79)</f>
        <v>51.79</v>
      </c>
      <c r="AP110" s="3">
        <f ca="1">IFERROR(__xludf.DUMMYFUNCTION("""COMPUTED_VALUE"""),11798622)</f>
        <v>11798622</v>
      </c>
      <c r="AQ110" s="4">
        <f ca="1">IFERROR(__xludf.DUMMYFUNCTION("""COMPUTED_VALUE"""),42283.6666666666)</f>
        <v>42283.666666666599</v>
      </c>
      <c r="AR110" s="3">
        <f ca="1">IFERROR(__xludf.DUMMYFUNCTION("""COMPUTED_VALUE"""),42.7)</f>
        <v>42.7</v>
      </c>
      <c r="AS110" s="3">
        <f ca="1">IFERROR(__xludf.DUMMYFUNCTION("""COMPUTED_VALUE"""),43.32)</f>
        <v>43.32</v>
      </c>
      <c r="AT110" s="3">
        <f ca="1">IFERROR(__xludf.DUMMYFUNCTION("""COMPUTED_VALUE"""),42.65)</f>
        <v>42.65</v>
      </c>
      <c r="AU110" s="3">
        <f ca="1">IFERROR(__xludf.DUMMYFUNCTION("""COMPUTED_VALUE"""),42.99)</f>
        <v>42.99</v>
      </c>
      <c r="AV110" s="3">
        <f ca="1">IFERROR(__xludf.DUMMYFUNCTION("""COMPUTED_VALUE"""),14076648)</f>
        <v>14076648</v>
      </c>
      <c r="AW110" s="4">
        <f ca="1">IFERROR(__xludf.DUMMYFUNCTION("""COMPUTED_VALUE"""),42450.6666666666)</f>
        <v>42450.666666666599</v>
      </c>
      <c r="AX110" s="3">
        <f ca="1">IFERROR(__xludf.DUMMYFUNCTION("""COMPUTED_VALUE"""),31.62)</f>
        <v>31.62</v>
      </c>
      <c r="AY110" s="3">
        <f ca="1">IFERROR(__xludf.DUMMYFUNCTION("""COMPUTED_VALUE"""),31.62)</f>
        <v>31.62</v>
      </c>
      <c r="AZ110" s="3">
        <f ca="1">IFERROR(__xludf.DUMMYFUNCTION("""COMPUTED_VALUE"""),31.26)</f>
        <v>31.26</v>
      </c>
      <c r="BA110" s="3">
        <f ca="1">IFERROR(__xludf.DUMMYFUNCTION("""COMPUTED_VALUE"""),31.31)</f>
        <v>31.31</v>
      </c>
      <c r="BB110" s="3">
        <f ca="1">IFERROR(__xludf.DUMMYFUNCTION("""COMPUTED_VALUE"""),3413)</f>
        <v>3413</v>
      </c>
      <c r="BC110" s="4">
        <f ca="1">IFERROR(__xludf.DUMMYFUNCTION("""COMPUTED_VALUE"""),42283.6666666666)</f>
        <v>42283.666666666599</v>
      </c>
      <c r="BD110" s="3">
        <f ca="1">IFERROR(__xludf.DUMMYFUNCTION("""COMPUTED_VALUE"""),40.73)</f>
        <v>40.729999999999997</v>
      </c>
      <c r="BE110" s="3">
        <f ca="1">IFERROR(__xludf.DUMMYFUNCTION("""COMPUTED_VALUE"""),41.01)</f>
        <v>41.01</v>
      </c>
      <c r="BF110" s="3">
        <f ca="1">IFERROR(__xludf.DUMMYFUNCTION("""COMPUTED_VALUE"""),40.72)</f>
        <v>40.72</v>
      </c>
      <c r="BG110" s="3">
        <f ca="1">IFERROR(__xludf.DUMMYFUNCTION("""COMPUTED_VALUE"""),40.92)</f>
        <v>40.92</v>
      </c>
      <c r="BH110" s="3">
        <f ca="1">IFERROR(__xludf.DUMMYFUNCTION("""COMPUTED_VALUE"""),9857852)</f>
        <v>9857852</v>
      </c>
      <c r="BI110" s="4">
        <f ca="1">IFERROR(__xludf.DUMMYFUNCTION("""COMPUTED_VALUE"""),42283.6666666666)</f>
        <v>42283.666666666599</v>
      </c>
      <c r="BJ110" s="3">
        <f ca="1">IFERROR(__xludf.DUMMYFUNCTION("""COMPUTED_VALUE"""),43.82)</f>
        <v>43.82</v>
      </c>
      <c r="BK110" s="3">
        <f ca="1">IFERROR(__xludf.DUMMYFUNCTION("""COMPUTED_VALUE"""),43.95)</f>
        <v>43.95</v>
      </c>
      <c r="BL110" s="3">
        <f ca="1">IFERROR(__xludf.DUMMYFUNCTION("""COMPUTED_VALUE"""),43.34)</f>
        <v>43.34</v>
      </c>
      <c r="BM110" s="3">
        <f ca="1">IFERROR(__xludf.DUMMYFUNCTION("""COMPUTED_VALUE"""),43.61)</f>
        <v>43.61</v>
      </c>
      <c r="BN110" s="3">
        <f ca="1">IFERROR(__xludf.DUMMYFUNCTION("""COMPUTED_VALUE"""),11521938)</f>
        <v>11521938</v>
      </c>
    </row>
    <row r="111" spans="7:66" ht="13" x14ac:dyDescent="0.15">
      <c r="G111" s="4">
        <f ca="1">IFERROR(__xludf.DUMMYFUNCTION("""COMPUTED_VALUE"""),42284.6666666666)</f>
        <v>42284.666666666599</v>
      </c>
      <c r="H111" s="3">
        <f ca="1">IFERROR(__xludf.DUMMYFUNCTION("""COMPUTED_VALUE"""),76.6)</f>
        <v>76.599999999999994</v>
      </c>
      <c r="I111" s="3">
        <f ca="1">IFERROR(__xludf.DUMMYFUNCTION("""COMPUTED_VALUE"""),76.88)</f>
        <v>76.88</v>
      </c>
      <c r="J111" s="3">
        <f ca="1">IFERROR(__xludf.DUMMYFUNCTION("""COMPUTED_VALUE"""),75.95)</f>
        <v>75.95</v>
      </c>
      <c r="K111" s="3">
        <f ca="1">IFERROR(__xludf.DUMMYFUNCTION("""COMPUTED_VALUE"""),76.69)</f>
        <v>76.69</v>
      </c>
      <c r="L111" s="3">
        <f ca="1">IFERROR(__xludf.DUMMYFUNCTION("""COMPUTED_VALUE"""),7794334)</f>
        <v>7794334</v>
      </c>
      <c r="M111" s="4">
        <f ca="1">IFERROR(__xludf.DUMMYFUNCTION("""COMPUTED_VALUE"""),42284.6666666666)</f>
        <v>42284.666666666599</v>
      </c>
      <c r="N111" s="3">
        <f ca="1">IFERROR(__xludf.DUMMYFUNCTION("""COMPUTED_VALUE"""),48.56)</f>
        <v>48.56</v>
      </c>
      <c r="O111" s="3">
        <f ca="1">IFERROR(__xludf.DUMMYFUNCTION("""COMPUTED_VALUE"""),48.86)</f>
        <v>48.86</v>
      </c>
      <c r="P111" s="3">
        <f ca="1">IFERROR(__xludf.DUMMYFUNCTION("""COMPUTED_VALUE"""),48.4)</f>
        <v>48.4</v>
      </c>
      <c r="Q111" s="3">
        <f ca="1">IFERROR(__xludf.DUMMYFUNCTION("""COMPUTED_VALUE"""),48.77)</f>
        <v>48.77</v>
      </c>
      <c r="R111" s="3">
        <f ca="1">IFERROR(__xludf.DUMMYFUNCTION("""COMPUTED_VALUE"""),11943952)</f>
        <v>11943952</v>
      </c>
      <c r="S111" s="4">
        <f ca="1">IFERROR(__xludf.DUMMYFUNCTION("""COMPUTED_VALUE"""),42284.6666666666)</f>
        <v>42284.666666666599</v>
      </c>
      <c r="T111" s="3">
        <f ca="1">IFERROR(__xludf.DUMMYFUNCTION("""COMPUTED_VALUE"""),68.1)</f>
        <v>68.099999999999994</v>
      </c>
      <c r="U111" s="3">
        <f ca="1">IFERROR(__xludf.DUMMYFUNCTION("""COMPUTED_VALUE"""),68.94)</f>
        <v>68.94</v>
      </c>
      <c r="V111" s="3">
        <f ca="1">IFERROR(__xludf.DUMMYFUNCTION("""COMPUTED_VALUE"""),66.7)</f>
        <v>66.7</v>
      </c>
      <c r="W111" s="3">
        <f ca="1">IFERROR(__xludf.DUMMYFUNCTION("""COMPUTED_VALUE"""),68.09)</f>
        <v>68.09</v>
      </c>
      <c r="X111" s="3">
        <f ca="1">IFERROR(__xludf.DUMMYFUNCTION("""COMPUTED_VALUE"""),40003076)</f>
        <v>40003076</v>
      </c>
      <c r="Y111" s="4">
        <f ca="1">IFERROR(__xludf.DUMMYFUNCTION("""COMPUTED_VALUE"""),42284.6666666666)</f>
        <v>42284.666666666599</v>
      </c>
      <c r="Z111" s="3">
        <f ca="1">IFERROR(__xludf.DUMMYFUNCTION("""COMPUTED_VALUE"""),18.86)</f>
        <v>18.86</v>
      </c>
      <c r="AA111" s="3">
        <f ca="1">IFERROR(__xludf.DUMMYFUNCTION("""COMPUTED_VALUE"""),18.99)</f>
        <v>18.989999999999998</v>
      </c>
      <c r="AB111" s="3">
        <f ca="1">IFERROR(__xludf.DUMMYFUNCTION("""COMPUTED_VALUE"""),18.74)</f>
        <v>18.739999999999998</v>
      </c>
      <c r="AC111" s="3">
        <f ca="1">IFERROR(__xludf.DUMMYFUNCTION("""COMPUTED_VALUE"""),18.88)</f>
        <v>18.88</v>
      </c>
      <c r="AD111" s="3">
        <f ca="1">IFERROR(__xludf.DUMMYFUNCTION("""COMPUTED_VALUE"""),31354208)</f>
        <v>31354208</v>
      </c>
      <c r="AE111" s="4">
        <f ca="1">IFERROR(__xludf.DUMMYFUNCTION("""COMPUTED_VALUE"""),42284.6666666666)</f>
        <v>42284.666666666599</v>
      </c>
      <c r="AF111" s="3">
        <f ca="1">IFERROR(__xludf.DUMMYFUNCTION("""COMPUTED_VALUE"""),67.35)</f>
        <v>67.349999999999994</v>
      </c>
      <c r="AG111" s="3">
        <f ca="1">IFERROR(__xludf.DUMMYFUNCTION("""COMPUTED_VALUE"""),68.26)</f>
        <v>68.260000000000005</v>
      </c>
      <c r="AH111" s="3">
        <f ca="1">IFERROR(__xludf.DUMMYFUNCTION("""COMPUTED_VALUE"""),66.53)</f>
        <v>66.53</v>
      </c>
      <c r="AI111" s="3">
        <f ca="1">IFERROR(__xludf.DUMMYFUNCTION("""COMPUTED_VALUE"""),67.93)</f>
        <v>67.930000000000007</v>
      </c>
      <c r="AJ111" s="3">
        <f ca="1">IFERROR(__xludf.DUMMYFUNCTION("""COMPUTED_VALUE"""),27466142)</f>
        <v>27466142</v>
      </c>
      <c r="AK111" s="4">
        <f ca="1">IFERROR(__xludf.DUMMYFUNCTION("""COMPUTED_VALUE"""),42284.6666666666)</f>
        <v>42284.666666666599</v>
      </c>
      <c r="AL111" s="3">
        <f ca="1">IFERROR(__xludf.DUMMYFUNCTION("""COMPUTED_VALUE"""),52.06)</f>
        <v>52.06</v>
      </c>
      <c r="AM111" s="3">
        <f ca="1">IFERROR(__xludf.DUMMYFUNCTION("""COMPUTED_VALUE"""),52.71)</f>
        <v>52.71</v>
      </c>
      <c r="AN111" s="3">
        <f ca="1">IFERROR(__xludf.DUMMYFUNCTION("""COMPUTED_VALUE"""),51.96)</f>
        <v>51.96</v>
      </c>
      <c r="AO111" s="3">
        <f ca="1">IFERROR(__xludf.DUMMYFUNCTION("""COMPUTED_VALUE"""),52.47)</f>
        <v>52.47</v>
      </c>
      <c r="AP111" s="3">
        <f ca="1">IFERROR(__xludf.DUMMYFUNCTION("""COMPUTED_VALUE"""),15540397)</f>
        <v>15540397</v>
      </c>
      <c r="AQ111" s="4">
        <f ca="1">IFERROR(__xludf.DUMMYFUNCTION("""COMPUTED_VALUE"""),42284.6666666666)</f>
        <v>42284.666666666599</v>
      </c>
      <c r="AR111" s="3">
        <f ca="1">IFERROR(__xludf.DUMMYFUNCTION("""COMPUTED_VALUE"""),43.11)</f>
        <v>43.11</v>
      </c>
      <c r="AS111" s="3">
        <f ca="1">IFERROR(__xludf.DUMMYFUNCTION("""COMPUTED_VALUE"""),43.69)</f>
        <v>43.69</v>
      </c>
      <c r="AT111" s="3">
        <f ca="1">IFERROR(__xludf.DUMMYFUNCTION("""COMPUTED_VALUE"""),42.89)</f>
        <v>42.89</v>
      </c>
      <c r="AU111" s="3">
        <f ca="1">IFERROR(__xludf.DUMMYFUNCTION("""COMPUTED_VALUE"""),43.56)</f>
        <v>43.56</v>
      </c>
      <c r="AV111" s="3">
        <f ca="1">IFERROR(__xludf.DUMMYFUNCTION("""COMPUTED_VALUE"""),15933032)</f>
        <v>15933032</v>
      </c>
      <c r="AW111" s="4">
        <f ca="1">IFERROR(__xludf.DUMMYFUNCTION("""COMPUTED_VALUE"""),42451.6666666666)</f>
        <v>42451.666666666599</v>
      </c>
      <c r="AX111" s="3">
        <f ca="1">IFERROR(__xludf.DUMMYFUNCTION("""COMPUTED_VALUE"""),31.22)</f>
        <v>31.22</v>
      </c>
      <c r="AY111" s="3">
        <f ca="1">IFERROR(__xludf.DUMMYFUNCTION("""COMPUTED_VALUE"""),31.41)</f>
        <v>31.41</v>
      </c>
      <c r="AZ111" s="3">
        <f ca="1">IFERROR(__xludf.DUMMYFUNCTION("""COMPUTED_VALUE"""),31.21)</f>
        <v>31.21</v>
      </c>
      <c r="BA111" s="3">
        <f ca="1">IFERROR(__xludf.DUMMYFUNCTION("""COMPUTED_VALUE"""),31.26)</f>
        <v>31.26</v>
      </c>
      <c r="BB111" s="3">
        <f ca="1">IFERROR(__xludf.DUMMYFUNCTION("""COMPUTED_VALUE"""),1576)</f>
        <v>1576</v>
      </c>
      <c r="BC111" s="4">
        <f ca="1">IFERROR(__xludf.DUMMYFUNCTION("""COMPUTED_VALUE"""),42284.6666666666)</f>
        <v>42284.666666666599</v>
      </c>
      <c r="BD111" s="3">
        <f ca="1">IFERROR(__xludf.DUMMYFUNCTION("""COMPUTED_VALUE"""),41.14)</f>
        <v>41.14</v>
      </c>
      <c r="BE111" s="3">
        <f ca="1">IFERROR(__xludf.DUMMYFUNCTION("""COMPUTED_VALUE"""),41.28)</f>
        <v>41.28</v>
      </c>
      <c r="BF111" s="3">
        <f ca="1">IFERROR(__xludf.DUMMYFUNCTION("""COMPUTED_VALUE"""),40.62)</f>
        <v>40.619999999999997</v>
      </c>
      <c r="BG111" s="3">
        <f ca="1">IFERROR(__xludf.DUMMYFUNCTION("""COMPUTED_VALUE"""),41.11)</f>
        <v>41.11</v>
      </c>
      <c r="BH111" s="3">
        <f ca="1">IFERROR(__xludf.DUMMYFUNCTION("""COMPUTED_VALUE"""),15218922)</f>
        <v>15218922</v>
      </c>
      <c r="BI111" s="4">
        <f ca="1">IFERROR(__xludf.DUMMYFUNCTION("""COMPUTED_VALUE"""),42284.6666666666)</f>
        <v>42284.666666666599</v>
      </c>
      <c r="BJ111" s="3">
        <f ca="1">IFERROR(__xludf.DUMMYFUNCTION("""COMPUTED_VALUE"""),43.66)</f>
        <v>43.66</v>
      </c>
      <c r="BK111" s="3">
        <f ca="1">IFERROR(__xludf.DUMMYFUNCTION("""COMPUTED_VALUE"""),43.75)</f>
        <v>43.75</v>
      </c>
      <c r="BL111" s="3">
        <f ca="1">IFERROR(__xludf.DUMMYFUNCTION("""COMPUTED_VALUE"""),43.39)</f>
        <v>43.39</v>
      </c>
      <c r="BM111" s="3">
        <f ca="1">IFERROR(__xludf.DUMMYFUNCTION("""COMPUTED_VALUE"""),43.46)</f>
        <v>43.46</v>
      </c>
      <c r="BN111" s="3">
        <f ca="1">IFERROR(__xludf.DUMMYFUNCTION("""COMPUTED_VALUE"""),9528416)</f>
        <v>9528416</v>
      </c>
    </row>
    <row r="112" spans="7:66" ht="13" x14ac:dyDescent="0.15">
      <c r="G112" s="4">
        <f ca="1">IFERROR(__xludf.DUMMYFUNCTION("""COMPUTED_VALUE"""),42285.6666666666)</f>
        <v>42285.666666666599</v>
      </c>
      <c r="H112" s="3">
        <f ca="1">IFERROR(__xludf.DUMMYFUNCTION("""COMPUTED_VALUE"""),76.36)</f>
        <v>76.36</v>
      </c>
      <c r="I112" s="3">
        <f ca="1">IFERROR(__xludf.DUMMYFUNCTION("""COMPUTED_VALUE"""),77.74)</f>
        <v>77.739999999999995</v>
      </c>
      <c r="J112" s="3">
        <f ca="1">IFERROR(__xludf.DUMMYFUNCTION("""COMPUTED_VALUE"""),76.33)</f>
        <v>76.33</v>
      </c>
      <c r="K112" s="3">
        <f ca="1">IFERROR(__xludf.DUMMYFUNCTION("""COMPUTED_VALUE"""),77.63)</f>
        <v>77.63</v>
      </c>
      <c r="L112" s="3">
        <f ca="1">IFERROR(__xludf.DUMMYFUNCTION("""COMPUTED_VALUE"""),6341600)</f>
        <v>6341600</v>
      </c>
      <c r="M112" s="4">
        <f ca="1">IFERROR(__xludf.DUMMYFUNCTION("""COMPUTED_VALUE"""),42285.6666666666)</f>
        <v>42285.666666666599</v>
      </c>
      <c r="N112" s="3">
        <f ca="1">IFERROR(__xludf.DUMMYFUNCTION("""COMPUTED_VALUE"""),48.7)</f>
        <v>48.7</v>
      </c>
      <c r="O112" s="3">
        <f ca="1">IFERROR(__xludf.DUMMYFUNCTION("""COMPUTED_VALUE"""),49.37)</f>
        <v>49.37</v>
      </c>
      <c r="P112" s="3">
        <f ca="1">IFERROR(__xludf.DUMMYFUNCTION("""COMPUTED_VALUE"""),48.61)</f>
        <v>48.61</v>
      </c>
      <c r="Q112" s="3">
        <f ca="1">IFERROR(__xludf.DUMMYFUNCTION("""COMPUTED_VALUE"""),49.35)</f>
        <v>49.35</v>
      </c>
      <c r="R112" s="3">
        <f ca="1">IFERROR(__xludf.DUMMYFUNCTION("""COMPUTED_VALUE"""),12447140)</f>
        <v>12447140</v>
      </c>
      <c r="S112" s="4">
        <f ca="1">IFERROR(__xludf.DUMMYFUNCTION("""COMPUTED_VALUE"""),42285.6666666666)</f>
        <v>42285.666666666599</v>
      </c>
      <c r="T112" s="3">
        <f ca="1">IFERROR(__xludf.DUMMYFUNCTION("""COMPUTED_VALUE"""),67.96)</f>
        <v>67.959999999999994</v>
      </c>
      <c r="U112" s="3">
        <f ca="1">IFERROR(__xludf.DUMMYFUNCTION("""COMPUTED_VALUE"""),69.67)</f>
        <v>69.67</v>
      </c>
      <c r="V112" s="3">
        <f ca="1">IFERROR(__xludf.DUMMYFUNCTION("""COMPUTED_VALUE"""),67.54)</f>
        <v>67.540000000000006</v>
      </c>
      <c r="W112" s="3">
        <f ca="1">IFERROR(__xludf.DUMMYFUNCTION("""COMPUTED_VALUE"""),69.39)</f>
        <v>69.39</v>
      </c>
      <c r="X112" s="3">
        <f ca="1">IFERROR(__xludf.DUMMYFUNCTION("""COMPUTED_VALUE"""),27071722)</f>
        <v>27071722</v>
      </c>
      <c r="Y112" s="4">
        <f ca="1">IFERROR(__xludf.DUMMYFUNCTION("""COMPUTED_VALUE"""),42285.6666666666)</f>
        <v>42285.666666666599</v>
      </c>
      <c r="Z112" s="3">
        <f ca="1">IFERROR(__xludf.DUMMYFUNCTION("""COMPUTED_VALUE"""),18.81)</f>
        <v>18.809999999999999</v>
      </c>
      <c r="AA112" s="3">
        <f ca="1">IFERROR(__xludf.DUMMYFUNCTION("""COMPUTED_VALUE"""),19.01)</f>
        <v>19.010000000000002</v>
      </c>
      <c r="AB112" s="3">
        <f ca="1">IFERROR(__xludf.DUMMYFUNCTION("""COMPUTED_VALUE"""),18.77)</f>
        <v>18.77</v>
      </c>
      <c r="AC112" s="3">
        <f ca="1">IFERROR(__xludf.DUMMYFUNCTION("""COMPUTED_VALUE"""),18.99)</f>
        <v>18.989999999999998</v>
      </c>
      <c r="AD112" s="3">
        <f ca="1">IFERROR(__xludf.DUMMYFUNCTION("""COMPUTED_VALUE"""),30249370)</f>
        <v>30249370</v>
      </c>
      <c r="AE112" s="4">
        <f ca="1">IFERROR(__xludf.DUMMYFUNCTION("""COMPUTED_VALUE"""),42285.6666666666)</f>
        <v>42285.666666666599</v>
      </c>
      <c r="AF112" s="3">
        <f ca="1">IFERROR(__xludf.DUMMYFUNCTION("""COMPUTED_VALUE"""),67.54)</f>
        <v>67.540000000000006</v>
      </c>
      <c r="AG112" s="3">
        <f ca="1">IFERROR(__xludf.DUMMYFUNCTION("""COMPUTED_VALUE"""),68.35)</f>
        <v>68.349999999999994</v>
      </c>
      <c r="AH112" s="3">
        <f ca="1">IFERROR(__xludf.DUMMYFUNCTION("""COMPUTED_VALUE"""),66.87)</f>
        <v>66.87</v>
      </c>
      <c r="AI112" s="3">
        <f ca="1">IFERROR(__xludf.DUMMYFUNCTION("""COMPUTED_VALUE"""),68.13)</f>
        <v>68.13</v>
      </c>
      <c r="AJ112" s="3">
        <f ca="1">IFERROR(__xludf.DUMMYFUNCTION("""COMPUTED_VALUE"""),23182733)</f>
        <v>23182733</v>
      </c>
      <c r="AK112" s="4">
        <f ca="1">IFERROR(__xludf.DUMMYFUNCTION("""COMPUTED_VALUE"""),42285.6666666666)</f>
        <v>42285.666666666599</v>
      </c>
      <c r="AL112" s="3">
        <f ca="1">IFERROR(__xludf.DUMMYFUNCTION("""COMPUTED_VALUE"""),52.2)</f>
        <v>52.2</v>
      </c>
      <c r="AM112" s="3">
        <f ca="1">IFERROR(__xludf.DUMMYFUNCTION("""COMPUTED_VALUE"""),53.36)</f>
        <v>53.36</v>
      </c>
      <c r="AN112" s="3">
        <f ca="1">IFERROR(__xludf.DUMMYFUNCTION("""COMPUTED_VALUE"""),52.18)</f>
        <v>52.18</v>
      </c>
      <c r="AO112" s="3">
        <f ca="1">IFERROR(__xludf.DUMMYFUNCTION("""COMPUTED_VALUE"""),53.2)</f>
        <v>53.2</v>
      </c>
      <c r="AP112" s="3">
        <f ca="1">IFERROR(__xludf.DUMMYFUNCTION("""COMPUTED_VALUE"""),21823062)</f>
        <v>21823062</v>
      </c>
      <c r="AQ112" s="4">
        <f ca="1">IFERROR(__xludf.DUMMYFUNCTION("""COMPUTED_VALUE"""),42285.6666666666)</f>
        <v>42285.666666666599</v>
      </c>
      <c r="AR112" s="3">
        <f ca="1">IFERROR(__xludf.DUMMYFUNCTION("""COMPUTED_VALUE"""),43.38)</f>
        <v>43.38</v>
      </c>
      <c r="AS112" s="3">
        <f ca="1">IFERROR(__xludf.DUMMYFUNCTION("""COMPUTED_VALUE"""),44.3)</f>
        <v>44.3</v>
      </c>
      <c r="AT112" s="3">
        <f ca="1">IFERROR(__xludf.DUMMYFUNCTION("""COMPUTED_VALUE"""),43.38)</f>
        <v>43.38</v>
      </c>
      <c r="AU112" s="3">
        <f ca="1">IFERROR(__xludf.DUMMYFUNCTION("""COMPUTED_VALUE"""),44.17)</f>
        <v>44.17</v>
      </c>
      <c r="AV112" s="3">
        <f ca="1">IFERROR(__xludf.DUMMYFUNCTION("""COMPUTED_VALUE"""),13994886)</f>
        <v>13994886</v>
      </c>
      <c r="AW112" s="4">
        <f ca="1">IFERROR(__xludf.DUMMYFUNCTION("""COMPUTED_VALUE"""),42452.6666666666)</f>
        <v>42452.666666666599</v>
      </c>
      <c r="AX112" s="3">
        <f ca="1">IFERROR(__xludf.DUMMYFUNCTION("""COMPUTED_VALUE"""),31.27)</f>
        <v>31.27</v>
      </c>
      <c r="AY112" s="3">
        <f ca="1">IFERROR(__xludf.DUMMYFUNCTION("""COMPUTED_VALUE"""),31.34)</f>
        <v>31.34</v>
      </c>
      <c r="AZ112" s="3">
        <f ca="1">IFERROR(__xludf.DUMMYFUNCTION("""COMPUTED_VALUE"""),31.14)</f>
        <v>31.14</v>
      </c>
      <c r="BA112" s="3">
        <f ca="1">IFERROR(__xludf.DUMMYFUNCTION("""COMPUTED_VALUE"""),31.14)</f>
        <v>31.14</v>
      </c>
      <c r="BB112" s="3">
        <f ca="1">IFERROR(__xludf.DUMMYFUNCTION("""COMPUTED_VALUE"""),2642)</f>
        <v>2642</v>
      </c>
      <c r="BC112" s="4">
        <f ca="1">IFERROR(__xludf.DUMMYFUNCTION("""COMPUTED_VALUE"""),42285.6666666666)</f>
        <v>42285.666666666599</v>
      </c>
      <c r="BD112" s="3">
        <f ca="1">IFERROR(__xludf.DUMMYFUNCTION("""COMPUTED_VALUE"""),40.95)</f>
        <v>40.950000000000003</v>
      </c>
      <c r="BE112" s="3">
        <f ca="1">IFERROR(__xludf.DUMMYFUNCTION("""COMPUTED_VALUE"""),41.38)</f>
        <v>41.38</v>
      </c>
      <c r="BF112" s="3">
        <f ca="1">IFERROR(__xludf.DUMMYFUNCTION("""COMPUTED_VALUE"""),40.75)</f>
        <v>40.75</v>
      </c>
      <c r="BG112" s="3">
        <f ca="1">IFERROR(__xludf.DUMMYFUNCTION("""COMPUTED_VALUE"""),41.3)</f>
        <v>41.3</v>
      </c>
      <c r="BH112" s="3">
        <f ca="1">IFERROR(__xludf.DUMMYFUNCTION("""COMPUTED_VALUE"""),15374751)</f>
        <v>15374751</v>
      </c>
      <c r="BI112" s="4">
        <f ca="1">IFERROR(__xludf.DUMMYFUNCTION("""COMPUTED_VALUE"""),42285.6666666666)</f>
        <v>42285.666666666599</v>
      </c>
      <c r="BJ112" s="3">
        <f ca="1">IFERROR(__xludf.DUMMYFUNCTION("""COMPUTED_VALUE"""),43.43)</f>
        <v>43.43</v>
      </c>
      <c r="BK112" s="3">
        <f ca="1">IFERROR(__xludf.DUMMYFUNCTION("""COMPUTED_VALUE"""),44.07)</f>
        <v>44.07</v>
      </c>
      <c r="BL112" s="3">
        <f ca="1">IFERROR(__xludf.DUMMYFUNCTION("""COMPUTED_VALUE"""),43.3)</f>
        <v>43.3</v>
      </c>
      <c r="BM112" s="3">
        <f ca="1">IFERROR(__xludf.DUMMYFUNCTION("""COMPUTED_VALUE"""),44)</f>
        <v>44</v>
      </c>
      <c r="BN112" s="3">
        <f ca="1">IFERROR(__xludf.DUMMYFUNCTION("""COMPUTED_VALUE"""),10530352)</f>
        <v>10530352</v>
      </c>
    </row>
    <row r="113" spans="7:66" ht="13" x14ac:dyDescent="0.15">
      <c r="G113" s="4">
        <f ca="1">IFERROR(__xludf.DUMMYFUNCTION("""COMPUTED_VALUE"""),42286.6666666666)</f>
        <v>42286.666666666599</v>
      </c>
      <c r="H113" s="3">
        <f ca="1">IFERROR(__xludf.DUMMYFUNCTION("""COMPUTED_VALUE"""),77.65)</f>
        <v>77.650000000000006</v>
      </c>
      <c r="I113" s="3">
        <f ca="1">IFERROR(__xludf.DUMMYFUNCTION("""COMPUTED_VALUE"""),77.79)</f>
        <v>77.790000000000006</v>
      </c>
      <c r="J113" s="3">
        <f ca="1">IFERROR(__xludf.DUMMYFUNCTION("""COMPUTED_VALUE"""),77.28)</f>
        <v>77.28</v>
      </c>
      <c r="K113" s="3">
        <f ca="1">IFERROR(__xludf.DUMMYFUNCTION("""COMPUTED_VALUE"""),77.72)</f>
        <v>77.72</v>
      </c>
      <c r="L113" s="3">
        <f ca="1">IFERROR(__xludf.DUMMYFUNCTION("""COMPUTED_VALUE"""),8352650)</f>
        <v>8352650</v>
      </c>
      <c r="M113" s="4">
        <f ca="1">IFERROR(__xludf.DUMMYFUNCTION("""COMPUTED_VALUE"""),42286.6666666666)</f>
        <v>42286.666666666599</v>
      </c>
      <c r="N113" s="3">
        <f ca="1">IFERROR(__xludf.DUMMYFUNCTION("""COMPUTED_VALUE"""),49.44)</f>
        <v>49.44</v>
      </c>
      <c r="O113" s="3">
        <f ca="1">IFERROR(__xludf.DUMMYFUNCTION("""COMPUTED_VALUE"""),49.61)</f>
        <v>49.61</v>
      </c>
      <c r="P113" s="3">
        <f ca="1">IFERROR(__xludf.DUMMYFUNCTION("""COMPUTED_VALUE"""),49.3)</f>
        <v>49.3</v>
      </c>
      <c r="Q113" s="3">
        <f ca="1">IFERROR(__xludf.DUMMYFUNCTION("""COMPUTED_VALUE"""),49.46)</f>
        <v>49.46</v>
      </c>
      <c r="R113" s="3">
        <f ca="1">IFERROR(__xludf.DUMMYFUNCTION("""COMPUTED_VALUE"""),12459529)</f>
        <v>12459529</v>
      </c>
      <c r="S113" s="4">
        <f ca="1">IFERROR(__xludf.DUMMYFUNCTION("""COMPUTED_VALUE"""),42286.6666666666)</f>
        <v>42286.666666666599</v>
      </c>
      <c r="T113" s="3">
        <f ca="1">IFERROR(__xludf.DUMMYFUNCTION("""COMPUTED_VALUE"""),69.54)</f>
        <v>69.540000000000006</v>
      </c>
      <c r="U113" s="3">
        <f ca="1">IFERROR(__xludf.DUMMYFUNCTION("""COMPUTED_VALUE"""),69.62)</f>
        <v>69.62</v>
      </c>
      <c r="V113" s="3">
        <f ca="1">IFERROR(__xludf.DUMMYFUNCTION("""COMPUTED_VALUE"""),68.51)</f>
        <v>68.510000000000005</v>
      </c>
      <c r="W113" s="3">
        <f ca="1">IFERROR(__xludf.DUMMYFUNCTION("""COMPUTED_VALUE"""),68.94)</f>
        <v>68.94</v>
      </c>
      <c r="X113" s="3">
        <f ca="1">IFERROR(__xludf.DUMMYFUNCTION("""COMPUTED_VALUE"""),25985668)</f>
        <v>25985668</v>
      </c>
      <c r="Y113" s="4">
        <f ca="1">IFERROR(__xludf.DUMMYFUNCTION("""COMPUTED_VALUE"""),42286.6666666666)</f>
        <v>42286.666666666599</v>
      </c>
      <c r="Z113" s="3">
        <f ca="1">IFERROR(__xludf.DUMMYFUNCTION("""COMPUTED_VALUE"""),19.03)</f>
        <v>19.03</v>
      </c>
      <c r="AA113" s="3">
        <f ca="1">IFERROR(__xludf.DUMMYFUNCTION("""COMPUTED_VALUE"""),19.05)</f>
        <v>19.05</v>
      </c>
      <c r="AB113" s="3">
        <f ca="1">IFERROR(__xludf.DUMMYFUNCTION("""COMPUTED_VALUE"""),18.79)</f>
        <v>18.79</v>
      </c>
      <c r="AC113" s="3">
        <f ca="1">IFERROR(__xludf.DUMMYFUNCTION("""COMPUTED_VALUE"""),18.87)</f>
        <v>18.87</v>
      </c>
      <c r="AD113" s="3">
        <f ca="1">IFERROR(__xludf.DUMMYFUNCTION("""COMPUTED_VALUE"""),47391690)</f>
        <v>47391690</v>
      </c>
      <c r="AE113" s="4">
        <f ca="1">IFERROR(__xludf.DUMMYFUNCTION("""COMPUTED_VALUE"""),42286.6666666666)</f>
        <v>42286.666666666599</v>
      </c>
      <c r="AF113" s="3">
        <f ca="1">IFERROR(__xludf.DUMMYFUNCTION("""COMPUTED_VALUE"""),68.24)</f>
        <v>68.239999999999995</v>
      </c>
      <c r="AG113" s="3">
        <f ca="1">IFERROR(__xludf.DUMMYFUNCTION("""COMPUTED_VALUE"""),68.73)</f>
        <v>68.73</v>
      </c>
      <c r="AH113" s="3">
        <f ca="1">IFERROR(__xludf.DUMMYFUNCTION("""COMPUTED_VALUE"""),67.94)</f>
        <v>67.94</v>
      </c>
      <c r="AI113" s="3">
        <f ca="1">IFERROR(__xludf.DUMMYFUNCTION("""COMPUTED_VALUE"""),68.44)</f>
        <v>68.44</v>
      </c>
      <c r="AJ113" s="3">
        <f ca="1">IFERROR(__xludf.DUMMYFUNCTION("""COMPUTED_VALUE"""),13890014)</f>
        <v>13890014</v>
      </c>
      <c r="AK113" s="4">
        <f ca="1">IFERROR(__xludf.DUMMYFUNCTION("""COMPUTED_VALUE"""),42286.6666666666)</f>
        <v>42286.666666666599</v>
      </c>
      <c r="AL113" s="3">
        <f ca="1">IFERROR(__xludf.DUMMYFUNCTION("""COMPUTED_VALUE"""),53.76)</f>
        <v>53.76</v>
      </c>
      <c r="AM113" s="3">
        <f ca="1">IFERROR(__xludf.DUMMYFUNCTION("""COMPUTED_VALUE"""),53.76)</f>
        <v>53.76</v>
      </c>
      <c r="AN113" s="3">
        <f ca="1">IFERROR(__xludf.DUMMYFUNCTION("""COMPUTED_VALUE"""),53.21)</f>
        <v>53.21</v>
      </c>
      <c r="AO113" s="3">
        <f ca="1">IFERROR(__xludf.DUMMYFUNCTION("""COMPUTED_VALUE"""),53.38)</f>
        <v>53.38</v>
      </c>
      <c r="AP113" s="3">
        <f ca="1">IFERROR(__xludf.DUMMYFUNCTION("""COMPUTED_VALUE"""),33291022)</f>
        <v>33291022</v>
      </c>
      <c r="AQ113" s="4">
        <f ca="1">IFERROR(__xludf.DUMMYFUNCTION("""COMPUTED_VALUE"""),42286.6666666666)</f>
        <v>42286.666666666599</v>
      </c>
      <c r="AR113" s="3">
        <f ca="1">IFERROR(__xludf.DUMMYFUNCTION("""COMPUTED_VALUE"""),44.53)</f>
        <v>44.53</v>
      </c>
      <c r="AS113" s="3">
        <f ca="1">IFERROR(__xludf.DUMMYFUNCTION("""COMPUTED_VALUE"""),44.56)</f>
        <v>44.56</v>
      </c>
      <c r="AT113" s="3">
        <f ca="1">IFERROR(__xludf.DUMMYFUNCTION("""COMPUTED_VALUE"""),43.99)</f>
        <v>43.99</v>
      </c>
      <c r="AU113" s="3">
        <f ca="1">IFERROR(__xludf.DUMMYFUNCTION("""COMPUTED_VALUE"""),44.15)</f>
        <v>44.15</v>
      </c>
      <c r="AV113" s="3">
        <f ca="1">IFERROR(__xludf.DUMMYFUNCTION("""COMPUTED_VALUE"""),9076572)</f>
        <v>9076572</v>
      </c>
      <c r="AW113" s="4">
        <f ca="1">IFERROR(__xludf.DUMMYFUNCTION("""COMPUTED_VALUE"""),42453.6666666666)</f>
        <v>42453.666666666599</v>
      </c>
      <c r="AX113" s="3">
        <f ca="1">IFERROR(__xludf.DUMMYFUNCTION("""COMPUTED_VALUE"""),31.01)</f>
        <v>31.01</v>
      </c>
      <c r="AY113" s="3">
        <f ca="1">IFERROR(__xludf.DUMMYFUNCTION("""COMPUTED_VALUE"""),31.19)</f>
        <v>31.19</v>
      </c>
      <c r="AZ113" s="3">
        <f ca="1">IFERROR(__xludf.DUMMYFUNCTION("""COMPUTED_VALUE"""),30.98)</f>
        <v>30.98</v>
      </c>
      <c r="BA113" s="3">
        <f ca="1">IFERROR(__xludf.DUMMYFUNCTION("""COMPUTED_VALUE"""),31.19)</f>
        <v>31.19</v>
      </c>
      <c r="BB113" s="3">
        <f ca="1">IFERROR(__xludf.DUMMYFUNCTION("""COMPUTED_VALUE"""),2197)</f>
        <v>2197</v>
      </c>
      <c r="BC113" s="4">
        <f ca="1">IFERROR(__xludf.DUMMYFUNCTION("""COMPUTED_VALUE"""),42286.6666666666)</f>
        <v>42286.666666666599</v>
      </c>
      <c r="BD113" s="3">
        <f ca="1">IFERROR(__xludf.DUMMYFUNCTION("""COMPUTED_VALUE"""),41.42)</f>
        <v>41.42</v>
      </c>
      <c r="BE113" s="3">
        <f ca="1">IFERROR(__xludf.DUMMYFUNCTION("""COMPUTED_VALUE"""),41.51)</f>
        <v>41.51</v>
      </c>
      <c r="BF113" s="3">
        <f ca="1">IFERROR(__xludf.DUMMYFUNCTION("""COMPUTED_VALUE"""),41.25)</f>
        <v>41.25</v>
      </c>
      <c r="BG113" s="3">
        <f ca="1">IFERROR(__xludf.DUMMYFUNCTION("""COMPUTED_VALUE"""),41.48)</f>
        <v>41.48</v>
      </c>
      <c r="BH113" s="3">
        <f ca="1">IFERROR(__xludf.DUMMYFUNCTION("""COMPUTED_VALUE"""),11376513)</f>
        <v>11376513</v>
      </c>
      <c r="BI113" s="4">
        <f ca="1">IFERROR(__xludf.DUMMYFUNCTION("""COMPUTED_VALUE"""),42286.6666666666)</f>
        <v>42286.666666666599</v>
      </c>
      <c r="BJ113" s="3">
        <f ca="1">IFERROR(__xludf.DUMMYFUNCTION("""COMPUTED_VALUE"""),43.99)</f>
        <v>43.99</v>
      </c>
      <c r="BK113" s="3">
        <f ca="1">IFERROR(__xludf.DUMMYFUNCTION("""COMPUTED_VALUE"""),44.03)</f>
        <v>44.03</v>
      </c>
      <c r="BL113" s="3">
        <f ca="1">IFERROR(__xludf.DUMMYFUNCTION("""COMPUTED_VALUE"""),43.65)</f>
        <v>43.65</v>
      </c>
      <c r="BM113" s="3">
        <f ca="1">IFERROR(__xludf.DUMMYFUNCTION("""COMPUTED_VALUE"""),43.79)</f>
        <v>43.79</v>
      </c>
      <c r="BN113" s="3">
        <f ca="1">IFERROR(__xludf.DUMMYFUNCTION("""COMPUTED_VALUE"""),13095140)</f>
        <v>13095140</v>
      </c>
    </row>
    <row r="114" spans="7:66" ht="13" x14ac:dyDescent="0.15">
      <c r="G114" s="4">
        <f ca="1">IFERROR(__xludf.DUMMYFUNCTION("""COMPUTED_VALUE"""),42289.6666666666)</f>
        <v>42289.666666666599</v>
      </c>
      <c r="H114" s="3">
        <f ca="1">IFERROR(__xludf.DUMMYFUNCTION("""COMPUTED_VALUE"""),77.77)</f>
        <v>77.77</v>
      </c>
      <c r="I114" s="3">
        <f ca="1">IFERROR(__xludf.DUMMYFUNCTION("""COMPUTED_VALUE"""),78.3)</f>
        <v>78.3</v>
      </c>
      <c r="J114" s="3">
        <f ca="1">IFERROR(__xludf.DUMMYFUNCTION("""COMPUTED_VALUE"""),77.76)</f>
        <v>77.760000000000005</v>
      </c>
      <c r="K114" s="3">
        <f ca="1">IFERROR(__xludf.DUMMYFUNCTION("""COMPUTED_VALUE"""),78.09)</f>
        <v>78.09</v>
      </c>
      <c r="L114" s="3">
        <f ca="1">IFERROR(__xludf.DUMMYFUNCTION("""COMPUTED_VALUE"""),5488967)</f>
        <v>5488967</v>
      </c>
      <c r="M114" s="4">
        <f ca="1">IFERROR(__xludf.DUMMYFUNCTION("""COMPUTED_VALUE"""),42289.6666666666)</f>
        <v>42289.666666666599</v>
      </c>
      <c r="N114" s="3">
        <f ca="1">IFERROR(__xludf.DUMMYFUNCTION("""COMPUTED_VALUE"""),49.48)</f>
        <v>49.48</v>
      </c>
      <c r="O114" s="3">
        <f ca="1">IFERROR(__xludf.DUMMYFUNCTION("""COMPUTED_VALUE"""),49.7)</f>
        <v>49.7</v>
      </c>
      <c r="P114" s="3">
        <f ca="1">IFERROR(__xludf.DUMMYFUNCTION("""COMPUTED_VALUE"""),49.43)</f>
        <v>49.43</v>
      </c>
      <c r="Q114" s="3">
        <f ca="1">IFERROR(__xludf.DUMMYFUNCTION("""COMPUTED_VALUE"""),49.59)</f>
        <v>49.59</v>
      </c>
      <c r="R114" s="3">
        <f ca="1">IFERROR(__xludf.DUMMYFUNCTION("""COMPUTED_VALUE"""),5652597)</f>
        <v>5652597</v>
      </c>
      <c r="S114" s="4">
        <f ca="1">IFERROR(__xludf.DUMMYFUNCTION("""COMPUTED_VALUE"""),42289.6666666666)</f>
        <v>42289.666666666599</v>
      </c>
      <c r="T114" s="3">
        <f ca="1">IFERROR(__xludf.DUMMYFUNCTION("""COMPUTED_VALUE"""),69.05)</f>
        <v>69.05</v>
      </c>
      <c r="U114" s="3">
        <f ca="1">IFERROR(__xludf.DUMMYFUNCTION("""COMPUTED_VALUE"""),69.06)</f>
        <v>69.06</v>
      </c>
      <c r="V114" s="3">
        <f ca="1">IFERROR(__xludf.DUMMYFUNCTION("""COMPUTED_VALUE"""),67.43)</f>
        <v>67.430000000000007</v>
      </c>
      <c r="W114" s="3">
        <f ca="1">IFERROR(__xludf.DUMMYFUNCTION("""COMPUTED_VALUE"""),68.05)</f>
        <v>68.05</v>
      </c>
      <c r="X114" s="3">
        <f ca="1">IFERROR(__xludf.DUMMYFUNCTION("""COMPUTED_VALUE"""),21746249)</f>
        <v>21746249</v>
      </c>
      <c r="Y114" s="4">
        <f ca="1">IFERROR(__xludf.DUMMYFUNCTION("""COMPUTED_VALUE"""),42289.6666666666)</f>
        <v>42289.666666666599</v>
      </c>
      <c r="Z114" s="3">
        <f ca="1">IFERROR(__xludf.DUMMYFUNCTION("""COMPUTED_VALUE"""),18.86)</f>
        <v>18.86</v>
      </c>
      <c r="AA114" s="3">
        <f ca="1">IFERROR(__xludf.DUMMYFUNCTION("""COMPUTED_VALUE"""),18.92)</f>
        <v>18.920000000000002</v>
      </c>
      <c r="AB114" s="3">
        <f ca="1">IFERROR(__xludf.DUMMYFUNCTION("""COMPUTED_VALUE"""),18.82)</f>
        <v>18.82</v>
      </c>
      <c r="AC114" s="3">
        <f ca="1">IFERROR(__xludf.DUMMYFUNCTION("""COMPUTED_VALUE"""),18.89)</f>
        <v>18.89</v>
      </c>
      <c r="AD114" s="3">
        <f ca="1">IFERROR(__xludf.DUMMYFUNCTION("""COMPUTED_VALUE"""),20562280)</f>
        <v>20562280</v>
      </c>
      <c r="AE114" s="4">
        <f ca="1">IFERROR(__xludf.DUMMYFUNCTION("""COMPUTED_VALUE"""),42289.6666666666)</f>
        <v>42289.666666666599</v>
      </c>
      <c r="AF114" s="3">
        <f ca="1">IFERROR(__xludf.DUMMYFUNCTION("""COMPUTED_VALUE"""),68.14)</f>
        <v>68.14</v>
      </c>
      <c r="AG114" s="3">
        <f ca="1">IFERROR(__xludf.DUMMYFUNCTION("""COMPUTED_VALUE"""),68.84)</f>
        <v>68.84</v>
      </c>
      <c r="AH114" s="3">
        <f ca="1">IFERROR(__xludf.DUMMYFUNCTION("""COMPUTED_VALUE"""),68.05)</f>
        <v>68.05</v>
      </c>
      <c r="AI114" s="3">
        <f ca="1">IFERROR(__xludf.DUMMYFUNCTION("""COMPUTED_VALUE"""),68.62)</f>
        <v>68.62</v>
      </c>
      <c r="AJ114" s="3">
        <f ca="1">IFERROR(__xludf.DUMMYFUNCTION("""COMPUTED_VALUE"""),11074523)</f>
        <v>11074523</v>
      </c>
      <c r="AK114" s="4">
        <f ca="1">IFERROR(__xludf.DUMMYFUNCTION("""COMPUTED_VALUE"""),42289.6666666666)</f>
        <v>42289.666666666599</v>
      </c>
      <c r="AL114" s="3">
        <f ca="1">IFERROR(__xludf.DUMMYFUNCTION("""COMPUTED_VALUE"""),53.34)</f>
        <v>53.34</v>
      </c>
      <c r="AM114" s="3">
        <f ca="1">IFERROR(__xludf.DUMMYFUNCTION("""COMPUTED_VALUE"""),53.44)</f>
        <v>53.44</v>
      </c>
      <c r="AN114" s="3">
        <f ca="1">IFERROR(__xludf.DUMMYFUNCTION("""COMPUTED_VALUE"""),53.12)</f>
        <v>53.12</v>
      </c>
      <c r="AO114" s="3">
        <f ca="1">IFERROR(__xludf.DUMMYFUNCTION("""COMPUTED_VALUE"""),53.39)</f>
        <v>53.39</v>
      </c>
      <c r="AP114" s="3">
        <f ca="1">IFERROR(__xludf.DUMMYFUNCTION("""COMPUTED_VALUE"""),9030828)</f>
        <v>9030828</v>
      </c>
      <c r="AQ114" s="4">
        <f ca="1">IFERROR(__xludf.DUMMYFUNCTION("""COMPUTED_VALUE"""),42289.6666666666)</f>
        <v>42289.666666666599</v>
      </c>
      <c r="AR114" s="3">
        <f ca="1">IFERROR(__xludf.DUMMYFUNCTION("""COMPUTED_VALUE"""),44.24)</f>
        <v>44.24</v>
      </c>
      <c r="AS114" s="3">
        <f ca="1">IFERROR(__xludf.DUMMYFUNCTION("""COMPUTED_VALUE"""),44.24)</f>
        <v>44.24</v>
      </c>
      <c r="AT114" s="3">
        <f ca="1">IFERROR(__xludf.DUMMYFUNCTION("""COMPUTED_VALUE"""),43.56)</f>
        <v>43.56</v>
      </c>
      <c r="AU114" s="3">
        <f ca="1">IFERROR(__xludf.DUMMYFUNCTION("""COMPUTED_VALUE"""),43.77)</f>
        <v>43.77</v>
      </c>
      <c r="AV114" s="3">
        <f ca="1">IFERROR(__xludf.DUMMYFUNCTION("""COMPUTED_VALUE"""),7412814)</f>
        <v>7412814</v>
      </c>
      <c r="AW114" s="4">
        <f ca="1">IFERROR(__xludf.DUMMYFUNCTION("""COMPUTED_VALUE"""),42457.6666666666)</f>
        <v>42457.666666666599</v>
      </c>
      <c r="AX114" s="3">
        <f ca="1">IFERROR(__xludf.DUMMYFUNCTION("""COMPUTED_VALUE"""),31.01)</f>
        <v>31.01</v>
      </c>
      <c r="AY114" s="3">
        <f ca="1">IFERROR(__xludf.DUMMYFUNCTION("""COMPUTED_VALUE"""),31.47)</f>
        <v>31.47</v>
      </c>
      <c r="AZ114" s="3">
        <f ca="1">IFERROR(__xludf.DUMMYFUNCTION("""COMPUTED_VALUE"""),31.01)</f>
        <v>31.01</v>
      </c>
      <c r="BA114" s="3">
        <f ca="1">IFERROR(__xludf.DUMMYFUNCTION("""COMPUTED_VALUE"""),31.39)</f>
        <v>31.39</v>
      </c>
      <c r="BB114" s="3">
        <f ca="1">IFERROR(__xludf.DUMMYFUNCTION("""COMPUTED_VALUE"""),2583)</f>
        <v>2583</v>
      </c>
      <c r="BC114" s="4">
        <f ca="1">IFERROR(__xludf.DUMMYFUNCTION("""COMPUTED_VALUE"""),42289.6666666666)</f>
        <v>42289.666666666599</v>
      </c>
      <c r="BD114" s="3">
        <f ca="1">IFERROR(__xludf.DUMMYFUNCTION("""COMPUTED_VALUE"""),41.57)</f>
        <v>41.57</v>
      </c>
      <c r="BE114" s="3">
        <f ca="1">IFERROR(__xludf.DUMMYFUNCTION("""COMPUTED_VALUE"""),41.6)</f>
        <v>41.6</v>
      </c>
      <c r="BF114" s="3">
        <f ca="1">IFERROR(__xludf.DUMMYFUNCTION("""COMPUTED_VALUE"""),41.35)</f>
        <v>41.35</v>
      </c>
      <c r="BG114" s="3">
        <f ca="1">IFERROR(__xludf.DUMMYFUNCTION("""COMPUTED_VALUE"""),41.53)</f>
        <v>41.53</v>
      </c>
      <c r="BH114" s="3">
        <f ca="1">IFERROR(__xludf.DUMMYFUNCTION("""COMPUTED_VALUE"""),6343682)</f>
        <v>6343682</v>
      </c>
      <c r="BI114" s="4">
        <f ca="1">IFERROR(__xludf.DUMMYFUNCTION("""COMPUTED_VALUE"""),42289.6666666666)</f>
        <v>42289.666666666599</v>
      </c>
      <c r="BJ114" s="3">
        <f ca="1">IFERROR(__xludf.DUMMYFUNCTION("""COMPUTED_VALUE"""),43.95)</f>
        <v>43.95</v>
      </c>
      <c r="BK114" s="3">
        <f ca="1">IFERROR(__xludf.DUMMYFUNCTION("""COMPUTED_VALUE"""),44.44)</f>
        <v>44.44</v>
      </c>
      <c r="BL114" s="3">
        <f ca="1">IFERROR(__xludf.DUMMYFUNCTION("""COMPUTED_VALUE"""),43.8)</f>
        <v>43.8</v>
      </c>
      <c r="BM114" s="3">
        <f ca="1">IFERROR(__xludf.DUMMYFUNCTION("""COMPUTED_VALUE"""),44.18)</f>
        <v>44.18</v>
      </c>
      <c r="BN114" s="3">
        <f ca="1">IFERROR(__xludf.DUMMYFUNCTION("""COMPUTED_VALUE"""),7493026)</f>
        <v>7493026</v>
      </c>
    </row>
    <row r="115" spans="7:66" ht="13" x14ac:dyDescent="0.15">
      <c r="G115" s="4">
        <f ca="1">IFERROR(__xludf.DUMMYFUNCTION("""COMPUTED_VALUE"""),42290.6666666666)</f>
        <v>42290.666666666599</v>
      </c>
      <c r="H115" s="3">
        <f ca="1">IFERROR(__xludf.DUMMYFUNCTION("""COMPUTED_VALUE"""),77.83)</f>
        <v>77.83</v>
      </c>
      <c r="I115" s="3">
        <f ca="1">IFERROR(__xludf.DUMMYFUNCTION("""COMPUTED_VALUE"""),78.5)</f>
        <v>78.5</v>
      </c>
      <c r="J115" s="3">
        <f ca="1">IFERROR(__xludf.DUMMYFUNCTION("""COMPUTED_VALUE"""),77.57)</f>
        <v>77.569999999999993</v>
      </c>
      <c r="K115" s="3">
        <f ca="1">IFERROR(__xludf.DUMMYFUNCTION("""COMPUTED_VALUE"""),77.67)</f>
        <v>77.67</v>
      </c>
      <c r="L115" s="3">
        <f ca="1">IFERROR(__xludf.DUMMYFUNCTION("""COMPUTED_VALUE"""),7581497)</f>
        <v>7581497</v>
      </c>
      <c r="M115" s="4">
        <f ca="1">IFERROR(__xludf.DUMMYFUNCTION("""COMPUTED_VALUE"""),42290.6666666666)</f>
        <v>42290.666666666599</v>
      </c>
      <c r="N115" s="3">
        <f ca="1">IFERROR(__xludf.DUMMYFUNCTION("""COMPUTED_VALUE"""),49.5)</f>
        <v>49.5</v>
      </c>
      <c r="O115" s="3">
        <f ca="1">IFERROR(__xludf.DUMMYFUNCTION("""COMPUTED_VALUE"""),49.57)</f>
        <v>49.57</v>
      </c>
      <c r="P115" s="3">
        <f ca="1">IFERROR(__xludf.DUMMYFUNCTION("""COMPUTED_VALUE"""),49.22)</f>
        <v>49.22</v>
      </c>
      <c r="Q115" s="3">
        <f ca="1">IFERROR(__xludf.DUMMYFUNCTION("""COMPUTED_VALUE"""),49.29)</f>
        <v>49.29</v>
      </c>
      <c r="R115" s="3">
        <f ca="1">IFERROR(__xludf.DUMMYFUNCTION("""COMPUTED_VALUE"""),10162638)</f>
        <v>10162638</v>
      </c>
      <c r="S115" s="4">
        <f ca="1">IFERROR(__xludf.DUMMYFUNCTION("""COMPUTED_VALUE"""),42290.6666666666)</f>
        <v>42290.666666666599</v>
      </c>
      <c r="T115" s="3">
        <f ca="1">IFERROR(__xludf.DUMMYFUNCTION("""COMPUTED_VALUE"""),67.53)</f>
        <v>67.53</v>
      </c>
      <c r="U115" s="3">
        <f ca="1">IFERROR(__xludf.DUMMYFUNCTION("""COMPUTED_VALUE"""),68.35)</f>
        <v>68.349999999999994</v>
      </c>
      <c r="V115" s="3">
        <f ca="1">IFERROR(__xludf.DUMMYFUNCTION("""COMPUTED_VALUE"""),67.15)</f>
        <v>67.150000000000006</v>
      </c>
      <c r="W115" s="3">
        <f ca="1">IFERROR(__xludf.DUMMYFUNCTION("""COMPUTED_VALUE"""),67.34)</f>
        <v>67.34</v>
      </c>
      <c r="X115" s="3">
        <f ca="1">IFERROR(__xludf.DUMMYFUNCTION("""COMPUTED_VALUE"""),20837816)</f>
        <v>20837816</v>
      </c>
      <c r="Y115" s="4">
        <f ca="1">IFERROR(__xludf.DUMMYFUNCTION("""COMPUTED_VALUE"""),42290.6666666666)</f>
        <v>42290.666666666599</v>
      </c>
      <c r="Z115" s="3">
        <f ca="1">IFERROR(__xludf.DUMMYFUNCTION("""COMPUTED_VALUE"""),18.82)</f>
        <v>18.82</v>
      </c>
      <c r="AA115" s="3">
        <f ca="1">IFERROR(__xludf.DUMMYFUNCTION("""COMPUTED_VALUE"""),18.94)</f>
        <v>18.940000000000001</v>
      </c>
      <c r="AB115" s="3">
        <f ca="1">IFERROR(__xludf.DUMMYFUNCTION("""COMPUTED_VALUE"""),18.74)</f>
        <v>18.739999999999998</v>
      </c>
      <c r="AC115" s="3">
        <f ca="1">IFERROR(__xludf.DUMMYFUNCTION("""COMPUTED_VALUE"""),18.74)</f>
        <v>18.739999999999998</v>
      </c>
      <c r="AD115" s="3">
        <f ca="1">IFERROR(__xludf.DUMMYFUNCTION("""COMPUTED_VALUE"""),34485788)</f>
        <v>34485788</v>
      </c>
      <c r="AE115" s="4">
        <f ca="1">IFERROR(__xludf.DUMMYFUNCTION("""COMPUTED_VALUE"""),42290.6666666666)</f>
        <v>42290.666666666599</v>
      </c>
      <c r="AF115" s="3">
        <f ca="1">IFERROR(__xludf.DUMMYFUNCTION("""COMPUTED_VALUE"""),68.31)</f>
        <v>68.31</v>
      </c>
      <c r="AG115" s="3">
        <f ca="1">IFERROR(__xludf.DUMMYFUNCTION("""COMPUTED_VALUE"""),69.19)</f>
        <v>69.19</v>
      </c>
      <c r="AH115" s="3">
        <f ca="1">IFERROR(__xludf.DUMMYFUNCTION("""COMPUTED_VALUE"""),67.69)</f>
        <v>67.69</v>
      </c>
      <c r="AI115" s="3">
        <f ca="1">IFERROR(__xludf.DUMMYFUNCTION("""COMPUTED_VALUE"""),67.76)</f>
        <v>67.760000000000005</v>
      </c>
      <c r="AJ115" s="3">
        <f ca="1">IFERROR(__xludf.DUMMYFUNCTION("""COMPUTED_VALUE"""),17273345)</f>
        <v>17273345</v>
      </c>
      <c r="AK115" s="4">
        <f ca="1">IFERROR(__xludf.DUMMYFUNCTION("""COMPUTED_VALUE"""),42290.6666666666)</f>
        <v>42290.666666666599</v>
      </c>
      <c r="AL115" s="3">
        <f ca="1">IFERROR(__xludf.DUMMYFUNCTION("""COMPUTED_VALUE"""),53)</f>
        <v>53</v>
      </c>
      <c r="AM115" s="3">
        <f ca="1">IFERROR(__xludf.DUMMYFUNCTION("""COMPUTED_VALUE"""),53.31)</f>
        <v>53.31</v>
      </c>
      <c r="AN115" s="3">
        <f ca="1">IFERROR(__xludf.DUMMYFUNCTION("""COMPUTED_VALUE"""),52.8)</f>
        <v>52.8</v>
      </c>
      <c r="AO115" s="3">
        <f ca="1">IFERROR(__xludf.DUMMYFUNCTION("""COMPUTED_VALUE"""),52.82)</f>
        <v>52.82</v>
      </c>
      <c r="AP115" s="3">
        <f ca="1">IFERROR(__xludf.DUMMYFUNCTION("""COMPUTED_VALUE"""),10302451)</f>
        <v>10302451</v>
      </c>
      <c r="AQ115" s="4">
        <f ca="1">IFERROR(__xludf.DUMMYFUNCTION("""COMPUTED_VALUE"""),42290.6666666666)</f>
        <v>42290.666666666599</v>
      </c>
      <c r="AR115" s="3">
        <f ca="1">IFERROR(__xludf.DUMMYFUNCTION("""COMPUTED_VALUE"""),43.47)</f>
        <v>43.47</v>
      </c>
      <c r="AS115" s="3">
        <f ca="1">IFERROR(__xludf.DUMMYFUNCTION("""COMPUTED_VALUE"""),43.92)</f>
        <v>43.92</v>
      </c>
      <c r="AT115" s="3">
        <f ca="1">IFERROR(__xludf.DUMMYFUNCTION("""COMPUTED_VALUE"""),43.27)</f>
        <v>43.27</v>
      </c>
      <c r="AU115" s="3">
        <f ca="1">IFERROR(__xludf.DUMMYFUNCTION("""COMPUTED_VALUE"""),43.6)</f>
        <v>43.6</v>
      </c>
      <c r="AV115" s="3">
        <f ca="1">IFERROR(__xludf.DUMMYFUNCTION("""COMPUTED_VALUE"""),8663546)</f>
        <v>8663546</v>
      </c>
      <c r="AW115" s="4">
        <f ca="1">IFERROR(__xludf.DUMMYFUNCTION("""COMPUTED_VALUE"""),42458.6666666666)</f>
        <v>42458.666666666599</v>
      </c>
      <c r="AX115" s="3">
        <f ca="1">IFERROR(__xludf.DUMMYFUNCTION("""COMPUTED_VALUE"""),31.72)</f>
        <v>31.72</v>
      </c>
      <c r="AY115" s="3">
        <f ca="1">IFERROR(__xludf.DUMMYFUNCTION("""COMPUTED_VALUE"""),32.07)</f>
        <v>32.07</v>
      </c>
      <c r="AZ115" s="3">
        <f ca="1">IFERROR(__xludf.DUMMYFUNCTION("""COMPUTED_VALUE"""),31.51)</f>
        <v>31.51</v>
      </c>
      <c r="BA115" s="3">
        <f ca="1">IFERROR(__xludf.DUMMYFUNCTION("""COMPUTED_VALUE"""),32.07)</f>
        <v>32.07</v>
      </c>
      <c r="BB115" s="3">
        <f ca="1">IFERROR(__xludf.DUMMYFUNCTION("""COMPUTED_VALUE"""),17268)</f>
        <v>17268</v>
      </c>
      <c r="BC115" s="4">
        <f ca="1">IFERROR(__xludf.DUMMYFUNCTION("""COMPUTED_VALUE"""),42290.6666666666)</f>
        <v>42290.666666666599</v>
      </c>
      <c r="BD115" s="3">
        <f ca="1">IFERROR(__xludf.DUMMYFUNCTION("""COMPUTED_VALUE"""),41.31)</f>
        <v>41.31</v>
      </c>
      <c r="BE115" s="3">
        <f ca="1">IFERROR(__xludf.DUMMYFUNCTION("""COMPUTED_VALUE"""),41.69)</f>
        <v>41.69</v>
      </c>
      <c r="BF115" s="3">
        <f ca="1">IFERROR(__xludf.DUMMYFUNCTION("""COMPUTED_VALUE"""),41.3)</f>
        <v>41.3</v>
      </c>
      <c r="BG115" s="3">
        <f ca="1">IFERROR(__xludf.DUMMYFUNCTION("""COMPUTED_VALUE"""),41.44)</f>
        <v>41.44</v>
      </c>
      <c r="BH115" s="3">
        <f ca="1">IFERROR(__xludf.DUMMYFUNCTION("""COMPUTED_VALUE"""),8951820)</f>
        <v>8951820</v>
      </c>
      <c r="BI115" s="4">
        <f ca="1">IFERROR(__xludf.DUMMYFUNCTION("""COMPUTED_VALUE"""),42290.6666666666)</f>
        <v>42290.666666666599</v>
      </c>
      <c r="BJ115" s="3">
        <f ca="1">IFERROR(__xludf.DUMMYFUNCTION("""COMPUTED_VALUE"""),44.14)</f>
        <v>44.14</v>
      </c>
      <c r="BK115" s="3">
        <f ca="1">IFERROR(__xludf.DUMMYFUNCTION("""COMPUTED_VALUE"""),44.33)</f>
        <v>44.33</v>
      </c>
      <c r="BL115" s="3">
        <f ca="1">IFERROR(__xludf.DUMMYFUNCTION("""COMPUTED_VALUE"""),43.99)</f>
        <v>43.99</v>
      </c>
      <c r="BM115" s="3">
        <f ca="1">IFERROR(__xludf.DUMMYFUNCTION("""COMPUTED_VALUE"""),44.08)</f>
        <v>44.08</v>
      </c>
      <c r="BN115" s="3">
        <f ca="1">IFERROR(__xludf.DUMMYFUNCTION("""COMPUTED_VALUE"""),9573413)</f>
        <v>9573413</v>
      </c>
    </row>
    <row r="116" spans="7:66" ht="13" x14ac:dyDescent="0.15">
      <c r="G116" s="4">
        <f ca="1">IFERROR(__xludf.DUMMYFUNCTION("""COMPUTED_VALUE"""),42291.6666666666)</f>
        <v>42291.666666666599</v>
      </c>
      <c r="H116" s="3">
        <f ca="1">IFERROR(__xludf.DUMMYFUNCTION("""COMPUTED_VALUE"""),77.67)</f>
        <v>77.67</v>
      </c>
      <c r="I116" s="3">
        <f ca="1">IFERROR(__xludf.DUMMYFUNCTION("""COMPUTED_VALUE"""),77.94)</f>
        <v>77.94</v>
      </c>
      <c r="J116" s="3">
        <f ca="1">IFERROR(__xludf.DUMMYFUNCTION("""COMPUTED_VALUE"""),76.71)</f>
        <v>76.709999999999994</v>
      </c>
      <c r="K116" s="3">
        <f ca="1">IFERROR(__xludf.DUMMYFUNCTION("""COMPUTED_VALUE"""),76.88)</f>
        <v>76.88</v>
      </c>
      <c r="L116" s="3">
        <f ca="1">IFERROR(__xludf.DUMMYFUNCTION("""COMPUTED_VALUE"""),7015941)</f>
        <v>7015941</v>
      </c>
      <c r="M116" s="4">
        <f ca="1">IFERROR(__xludf.DUMMYFUNCTION("""COMPUTED_VALUE"""),42291.6666666666)</f>
        <v>42291.666666666599</v>
      </c>
      <c r="N116" s="3">
        <f ca="1">IFERROR(__xludf.DUMMYFUNCTION("""COMPUTED_VALUE"""),49.2)</f>
        <v>49.2</v>
      </c>
      <c r="O116" s="3">
        <f ca="1">IFERROR(__xludf.DUMMYFUNCTION("""COMPUTED_VALUE"""),49.4)</f>
        <v>49.4</v>
      </c>
      <c r="P116" s="3">
        <f ca="1">IFERROR(__xludf.DUMMYFUNCTION("""COMPUTED_VALUE"""),48.61)</f>
        <v>48.61</v>
      </c>
      <c r="Q116" s="3">
        <f ca="1">IFERROR(__xludf.DUMMYFUNCTION("""COMPUTED_VALUE"""),48.72)</f>
        <v>48.72</v>
      </c>
      <c r="R116" s="3">
        <f ca="1">IFERROR(__xludf.DUMMYFUNCTION("""COMPUTED_VALUE"""),10771192)</f>
        <v>10771192</v>
      </c>
      <c r="S116" s="4">
        <f ca="1">IFERROR(__xludf.DUMMYFUNCTION("""COMPUTED_VALUE"""),42291.6666666666)</f>
        <v>42291.666666666599</v>
      </c>
      <c r="T116" s="3">
        <f ca="1">IFERROR(__xludf.DUMMYFUNCTION("""COMPUTED_VALUE"""),67.19)</f>
        <v>67.19</v>
      </c>
      <c r="U116" s="3">
        <f ca="1">IFERROR(__xludf.DUMMYFUNCTION("""COMPUTED_VALUE"""),68.17)</f>
        <v>68.17</v>
      </c>
      <c r="V116" s="3">
        <f ca="1">IFERROR(__xludf.DUMMYFUNCTION("""COMPUTED_VALUE"""),67.04)</f>
        <v>67.040000000000006</v>
      </c>
      <c r="W116" s="3">
        <f ca="1">IFERROR(__xludf.DUMMYFUNCTION("""COMPUTED_VALUE"""),67.92)</f>
        <v>67.92</v>
      </c>
      <c r="X116" s="3">
        <f ca="1">IFERROR(__xludf.DUMMYFUNCTION("""COMPUTED_VALUE"""),15176740)</f>
        <v>15176740</v>
      </c>
      <c r="Y116" s="4">
        <f ca="1">IFERROR(__xludf.DUMMYFUNCTION("""COMPUTED_VALUE"""),42291.6666666666)</f>
        <v>42291.666666666599</v>
      </c>
      <c r="Z116" s="3">
        <f ca="1">IFERROR(__xludf.DUMMYFUNCTION("""COMPUTED_VALUE"""),18.75)</f>
        <v>18.75</v>
      </c>
      <c r="AA116" s="3">
        <f ca="1">IFERROR(__xludf.DUMMYFUNCTION("""COMPUTED_VALUE"""),18.78)</f>
        <v>18.78</v>
      </c>
      <c r="AB116" s="3">
        <f ca="1">IFERROR(__xludf.DUMMYFUNCTION("""COMPUTED_VALUE"""),18.56)</f>
        <v>18.559999999999999</v>
      </c>
      <c r="AC116" s="3">
        <f ca="1">IFERROR(__xludf.DUMMYFUNCTION("""COMPUTED_VALUE"""),18.59)</f>
        <v>18.59</v>
      </c>
      <c r="AD116" s="3">
        <f ca="1">IFERROR(__xludf.DUMMYFUNCTION("""COMPUTED_VALUE"""),36363816)</f>
        <v>36363816</v>
      </c>
      <c r="AE116" s="4">
        <f ca="1">IFERROR(__xludf.DUMMYFUNCTION("""COMPUTED_VALUE"""),42291.6666666666)</f>
        <v>42291.666666666599</v>
      </c>
      <c r="AF116" s="3">
        <f ca="1">IFERROR(__xludf.DUMMYFUNCTION("""COMPUTED_VALUE"""),68.12)</f>
        <v>68.12</v>
      </c>
      <c r="AG116" s="3">
        <f ca="1">IFERROR(__xludf.DUMMYFUNCTION("""COMPUTED_VALUE"""),68.68)</f>
        <v>68.680000000000007</v>
      </c>
      <c r="AH116" s="3">
        <f ca="1">IFERROR(__xludf.DUMMYFUNCTION("""COMPUTED_VALUE"""),67.44)</f>
        <v>67.44</v>
      </c>
      <c r="AI116" s="3">
        <f ca="1">IFERROR(__xludf.DUMMYFUNCTION("""COMPUTED_VALUE"""),67.63)</f>
        <v>67.63</v>
      </c>
      <c r="AJ116" s="3">
        <f ca="1">IFERROR(__xludf.DUMMYFUNCTION("""COMPUTED_VALUE"""),21786239)</f>
        <v>21786239</v>
      </c>
      <c r="AK116" s="4">
        <f ca="1">IFERROR(__xludf.DUMMYFUNCTION("""COMPUTED_VALUE"""),42291.6666666666)</f>
        <v>42291.666666666599</v>
      </c>
      <c r="AL116" s="3">
        <f ca="1">IFERROR(__xludf.DUMMYFUNCTION("""COMPUTED_VALUE"""),52.65)</f>
        <v>52.65</v>
      </c>
      <c r="AM116" s="3">
        <f ca="1">IFERROR(__xludf.DUMMYFUNCTION("""COMPUTED_VALUE"""),52.92)</f>
        <v>52.92</v>
      </c>
      <c r="AN116" s="3">
        <f ca="1">IFERROR(__xludf.DUMMYFUNCTION("""COMPUTED_VALUE"""),52.17)</f>
        <v>52.17</v>
      </c>
      <c r="AO116" s="3">
        <f ca="1">IFERROR(__xludf.DUMMYFUNCTION("""COMPUTED_VALUE"""),52.25)</f>
        <v>52.25</v>
      </c>
      <c r="AP116" s="3">
        <f ca="1">IFERROR(__xludf.DUMMYFUNCTION("""COMPUTED_VALUE"""),11827855)</f>
        <v>11827855</v>
      </c>
      <c r="AQ116" s="4">
        <f ca="1">IFERROR(__xludf.DUMMYFUNCTION("""COMPUTED_VALUE"""),42291.6666666666)</f>
        <v>42291.666666666599</v>
      </c>
      <c r="AR116" s="3">
        <f ca="1">IFERROR(__xludf.DUMMYFUNCTION("""COMPUTED_VALUE"""),43.61)</f>
        <v>43.61</v>
      </c>
      <c r="AS116" s="3">
        <f ca="1">IFERROR(__xludf.DUMMYFUNCTION("""COMPUTED_VALUE"""),44.18)</f>
        <v>44.18</v>
      </c>
      <c r="AT116" s="3">
        <f ca="1">IFERROR(__xludf.DUMMYFUNCTION("""COMPUTED_VALUE"""),43.52)</f>
        <v>43.52</v>
      </c>
      <c r="AU116" s="3">
        <f ca="1">IFERROR(__xludf.DUMMYFUNCTION("""COMPUTED_VALUE"""),43.95)</f>
        <v>43.95</v>
      </c>
      <c r="AV116" s="3">
        <f ca="1">IFERROR(__xludf.DUMMYFUNCTION("""COMPUTED_VALUE"""),6692997)</f>
        <v>6692997</v>
      </c>
      <c r="AW116" s="4">
        <f ca="1">IFERROR(__xludf.DUMMYFUNCTION("""COMPUTED_VALUE"""),42459.6666666666)</f>
        <v>42459.666666666599</v>
      </c>
      <c r="AX116" s="3">
        <f ca="1">IFERROR(__xludf.DUMMYFUNCTION("""COMPUTED_VALUE"""),32.33)</f>
        <v>32.33</v>
      </c>
      <c r="AY116" s="3">
        <f ca="1">IFERROR(__xludf.DUMMYFUNCTION("""COMPUTED_VALUE"""),32.33)</f>
        <v>32.33</v>
      </c>
      <c r="AZ116" s="3">
        <f ca="1">IFERROR(__xludf.DUMMYFUNCTION("""COMPUTED_VALUE"""),32)</f>
        <v>32</v>
      </c>
      <c r="BA116" s="3">
        <f ca="1">IFERROR(__xludf.DUMMYFUNCTION("""COMPUTED_VALUE"""),32)</f>
        <v>32</v>
      </c>
      <c r="BB116" s="3">
        <f ca="1">IFERROR(__xludf.DUMMYFUNCTION("""COMPUTED_VALUE"""),4165)</f>
        <v>4165</v>
      </c>
      <c r="BC116" s="4">
        <f ca="1">IFERROR(__xludf.DUMMYFUNCTION("""COMPUTED_VALUE"""),42291.6666666666)</f>
        <v>42291.666666666599</v>
      </c>
      <c r="BD116" s="3">
        <f ca="1">IFERROR(__xludf.DUMMYFUNCTION("""COMPUTED_VALUE"""),41.32)</f>
        <v>41.32</v>
      </c>
      <c r="BE116" s="3">
        <f ca="1">IFERROR(__xludf.DUMMYFUNCTION("""COMPUTED_VALUE"""),41.61)</f>
        <v>41.61</v>
      </c>
      <c r="BF116" s="3">
        <f ca="1">IFERROR(__xludf.DUMMYFUNCTION("""COMPUTED_VALUE"""),41.25)</f>
        <v>41.25</v>
      </c>
      <c r="BG116" s="3">
        <f ca="1">IFERROR(__xludf.DUMMYFUNCTION("""COMPUTED_VALUE"""),41.36)</f>
        <v>41.36</v>
      </c>
      <c r="BH116" s="3">
        <f ca="1">IFERROR(__xludf.DUMMYFUNCTION("""COMPUTED_VALUE"""),12756050)</f>
        <v>12756050</v>
      </c>
      <c r="BI116" s="4">
        <f ca="1">IFERROR(__xludf.DUMMYFUNCTION("""COMPUTED_VALUE"""),42291.6666666666)</f>
        <v>42291.666666666599</v>
      </c>
      <c r="BJ116" s="3">
        <f ca="1">IFERROR(__xludf.DUMMYFUNCTION("""COMPUTED_VALUE"""),44.28)</f>
        <v>44.28</v>
      </c>
      <c r="BK116" s="3">
        <f ca="1">IFERROR(__xludf.DUMMYFUNCTION("""COMPUTED_VALUE"""),44.4)</f>
        <v>44.4</v>
      </c>
      <c r="BL116" s="3">
        <f ca="1">IFERROR(__xludf.DUMMYFUNCTION("""COMPUTED_VALUE"""),44.01)</f>
        <v>44.01</v>
      </c>
      <c r="BM116" s="3">
        <f ca="1">IFERROR(__xludf.DUMMYFUNCTION("""COMPUTED_VALUE"""),44.07)</f>
        <v>44.07</v>
      </c>
      <c r="BN116" s="3">
        <f ca="1">IFERROR(__xludf.DUMMYFUNCTION("""COMPUTED_VALUE"""),7845465)</f>
        <v>7845465</v>
      </c>
    </row>
    <row r="117" spans="7:66" ht="13" x14ac:dyDescent="0.15">
      <c r="G117" s="4">
        <f ca="1">IFERROR(__xludf.DUMMYFUNCTION("""COMPUTED_VALUE"""),42292.6666666666)</f>
        <v>42292.666666666599</v>
      </c>
      <c r="H117" s="3">
        <f ca="1">IFERROR(__xludf.DUMMYFUNCTION("""COMPUTED_VALUE"""),77.31)</f>
        <v>77.31</v>
      </c>
      <c r="I117" s="3">
        <f ca="1">IFERROR(__xludf.DUMMYFUNCTION("""COMPUTED_VALUE"""),77.89)</f>
        <v>77.89</v>
      </c>
      <c r="J117" s="3">
        <f ca="1">IFERROR(__xludf.DUMMYFUNCTION("""COMPUTED_VALUE"""),76.72)</f>
        <v>76.72</v>
      </c>
      <c r="K117" s="3">
        <f ca="1">IFERROR(__xludf.DUMMYFUNCTION("""COMPUTED_VALUE"""),77.88)</f>
        <v>77.88</v>
      </c>
      <c r="L117" s="3">
        <f ca="1">IFERROR(__xludf.DUMMYFUNCTION("""COMPUTED_VALUE"""),5703160)</f>
        <v>5703160</v>
      </c>
      <c r="M117" s="4">
        <f ca="1">IFERROR(__xludf.DUMMYFUNCTION("""COMPUTED_VALUE"""),42292.6666666666)</f>
        <v>42292.666666666599</v>
      </c>
      <c r="N117" s="3">
        <f ca="1">IFERROR(__xludf.DUMMYFUNCTION("""COMPUTED_VALUE"""),49.02)</f>
        <v>49.02</v>
      </c>
      <c r="O117" s="3">
        <f ca="1">IFERROR(__xludf.DUMMYFUNCTION("""COMPUTED_VALUE"""),49.19)</f>
        <v>49.19</v>
      </c>
      <c r="P117" s="3">
        <f ca="1">IFERROR(__xludf.DUMMYFUNCTION("""COMPUTED_VALUE"""),48.82)</f>
        <v>48.82</v>
      </c>
      <c r="Q117" s="3">
        <f ca="1">IFERROR(__xludf.DUMMYFUNCTION("""COMPUTED_VALUE"""),49.16)</f>
        <v>49.16</v>
      </c>
      <c r="R117" s="3">
        <f ca="1">IFERROR(__xludf.DUMMYFUNCTION("""COMPUTED_VALUE"""),5255634)</f>
        <v>5255634</v>
      </c>
      <c r="S117" s="4">
        <f ca="1">IFERROR(__xludf.DUMMYFUNCTION("""COMPUTED_VALUE"""),42292.6666666666)</f>
        <v>42292.666666666599</v>
      </c>
      <c r="T117" s="3">
        <f ca="1">IFERROR(__xludf.DUMMYFUNCTION("""COMPUTED_VALUE"""),67.61)</f>
        <v>67.61</v>
      </c>
      <c r="U117" s="3">
        <f ca="1">IFERROR(__xludf.DUMMYFUNCTION("""COMPUTED_VALUE"""),69.17)</f>
        <v>69.17</v>
      </c>
      <c r="V117" s="3">
        <f ca="1">IFERROR(__xludf.DUMMYFUNCTION("""COMPUTED_VALUE"""),67.38)</f>
        <v>67.38</v>
      </c>
      <c r="W117" s="3">
        <f ca="1">IFERROR(__xludf.DUMMYFUNCTION("""COMPUTED_VALUE"""),69.14)</f>
        <v>69.14</v>
      </c>
      <c r="X117" s="3">
        <f ca="1">IFERROR(__xludf.DUMMYFUNCTION("""COMPUTED_VALUE"""),19508207)</f>
        <v>19508207</v>
      </c>
      <c r="Y117" s="4">
        <f ca="1">IFERROR(__xludf.DUMMYFUNCTION("""COMPUTED_VALUE"""),42292.6666666666)</f>
        <v>42292.666666666599</v>
      </c>
      <c r="Z117" s="3">
        <f ca="1">IFERROR(__xludf.DUMMYFUNCTION("""COMPUTED_VALUE"""),18.69)</f>
        <v>18.690000000000001</v>
      </c>
      <c r="AA117" s="3">
        <f ca="1">IFERROR(__xludf.DUMMYFUNCTION("""COMPUTED_VALUE"""),19.03)</f>
        <v>19.03</v>
      </c>
      <c r="AB117" s="3">
        <f ca="1">IFERROR(__xludf.DUMMYFUNCTION("""COMPUTED_VALUE"""),18.68)</f>
        <v>18.68</v>
      </c>
      <c r="AC117" s="3">
        <f ca="1">IFERROR(__xludf.DUMMYFUNCTION("""COMPUTED_VALUE"""),19.01)</f>
        <v>19.010000000000002</v>
      </c>
      <c r="AD117" s="3">
        <f ca="1">IFERROR(__xludf.DUMMYFUNCTION("""COMPUTED_VALUE"""),45209158)</f>
        <v>45209158</v>
      </c>
      <c r="AE117" s="4">
        <f ca="1">IFERROR(__xludf.DUMMYFUNCTION("""COMPUTED_VALUE"""),42292.6666666666)</f>
        <v>42292.666666666599</v>
      </c>
      <c r="AF117" s="3">
        <f ca="1">IFERROR(__xludf.DUMMYFUNCTION("""COMPUTED_VALUE"""),67.26)</f>
        <v>67.260000000000005</v>
      </c>
      <c r="AG117" s="3">
        <f ca="1">IFERROR(__xludf.DUMMYFUNCTION("""COMPUTED_VALUE"""),69.14)</f>
        <v>69.14</v>
      </c>
      <c r="AH117" s="3">
        <f ca="1">IFERROR(__xludf.DUMMYFUNCTION("""COMPUTED_VALUE"""),67.19)</f>
        <v>67.19</v>
      </c>
      <c r="AI117" s="3">
        <f ca="1">IFERROR(__xludf.DUMMYFUNCTION("""COMPUTED_VALUE"""),69.14)</f>
        <v>69.14</v>
      </c>
      <c r="AJ117" s="3">
        <f ca="1">IFERROR(__xludf.DUMMYFUNCTION("""COMPUTED_VALUE"""),22133323)</f>
        <v>22133323</v>
      </c>
      <c r="AK117" s="4">
        <f ca="1">IFERROR(__xludf.DUMMYFUNCTION("""COMPUTED_VALUE"""),42292.6666666666)</f>
        <v>42292.666666666599</v>
      </c>
      <c r="AL117" s="3">
        <f ca="1">IFERROR(__xludf.DUMMYFUNCTION("""COMPUTED_VALUE"""),52.63)</f>
        <v>52.63</v>
      </c>
      <c r="AM117" s="3">
        <f ca="1">IFERROR(__xludf.DUMMYFUNCTION("""COMPUTED_VALUE"""),52.85)</f>
        <v>52.85</v>
      </c>
      <c r="AN117" s="3">
        <f ca="1">IFERROR(__xludf.DUMMYFUNCTION("""COMPUTED_VALUE"""),52.2)</f>
        <v>52.2</v>
      </c>
      <c r="AO117" s="3">
        <f ca="1">IFERROR(__xludf.DUMMYFUNCTION("""COMPUTED_VALUE"""),52.82)</f>
        <v>52.82</v>
      </c>
      <c r="AP117" s="3">
        <f ca="1">IFERROR(__xludf.DUMMYFUNCTION("""COMPUTED_VALUE"""),13924821)</f>
        <v>13924821</v>
      </c>
      <c r="AQ117" s="4">
        <f ca="1">IFERROR(__xludf.DUMMYFUNCTION("""COMPUTED_VALUE"""),42292.6666666666)</f>
        <v>42292.666666666599</v>
      </c>
      <c r="AR117" s="3">
        <f ca="1">IFERROR(__xludf.DUMMYFUNCTION("""COMPUTED_VALUE"""),43.99)</f>
        <v>43.99</v>
      </c>
      <c r="AS117" s="3">
        <f ca="1">IFERROR(__xludf.DUMMYFUNCTION("""COMPUTED_VALUE"""),44.29)</f>
        <v>44.29</v>
      </c>
      <c r="AT117" s="3">
        <f ca="1">IFERROR(__xludf.DUMMYFUNCTION("""COMPUTED_VALUE"""),43.5)</f>
        <v>43.5</v>
      </c>
      <c r="AU117" s="3">
        <f ca="1">IFERROR(__xludf.DUMMYFUNCTION("""COMPUTED_VALUE"""),44.07)</f>
        <v>44.07</v>
      </c>
      <c r="AV117" s="3">
        <f ca="1">IFERROR(__xludf.DUMMYFUNCTION("""COMPUTED_VALUE"""),4576519)</f>
        <v>4576519</v>
      </c>
      <c r="AW117" s="4">
        <f ca="1">IFERROR(__xludf.DUMMYFUNCTION("""COMPUTED_VALUE"""),42460.6666666666)</f>
        <v>42460.666666666599</v>
      </c>
      <c r="AX117" s="3">
        <f ca="1">IFERROR(__xludf.DUMMYFUNCTION("""COMPUTED_VALUE"""),32)</f>
        <v>32</v>
      </c>
      <c r="AY117" s="3">
        <f ca="1">IFERROR(__xludf.DUMMYFUNCTION("""COMPUTED_VALUE"""),32.16)</f>
        <v>32.159999999999997</v>
      </c>
      <c r="AZ117" s="3">
        <f ca="1">IFERROR(__xludf.DUMMYFUNCTION("""COMPUTED_VALUE"""),32)</f>
        <v>32</v>
      </c>
      <c r="BA117" s="3">
        <f ca="1">IFERROR(__xludf.DUMMYFUNCTION("""COMPUTED_VALUE"""),32.16)</f>
        <v>32.159999999999997</v>
      </c>
      <c r="BB117" s="3">
        <f ca="1">IFERROR(__xludf.DUMMYFUNCTION("""COMPUTED_VALUE"""),11342)</f>
        <v>11342</v>
      </c>
      <c r="BC117" s="4">
        <f ca="1">IFERROR(__xludf.DUMMYFUNCTION("""COMPUTED_VALUE"""),42292.6666666666)</f>
        <v>42292.666666666599</v>
      </c>
      <c r="BD117" s="3">
        <f ca="1">IFERROR(__xludf.DUMMYFUNCTION("""COMPUTED_VALUE"""),41.53)</f>
        <v>41.53</v>
      </c>
      <c r="BE117" s="3">
        <f ca="1">IFERROR(__xludf.DUMMYFUNCTION("""COMPUTED_VALUE"""),41.91)</f>
        <v>41.91</v>
      </c>
      <c r="BF117" s="3">
        <f ca="1">IFERROR(__xludf.DUMMYFUNCTION("""COMPUTED_VALUE"""),41.51)</f>
        <v>41.51</v>
      </c>
      <c r="BG117" s="3">
        <f ca="1">IFERROR(__xludf.DUMMYFUNCTION("""COMPUTED_VALUE"""),41.89)</f>
        <v>41.89</v>
      </c>
      <c r="BH117" s="3">
        <f ca="1">IFERROR(__xludf.DUMMYFUNCTION("""COMPUTED_VALUE"""),8421884)</f>
        <v>8421884</v>
      </c>
      <c r="BI117" s="4">
        <f ca="1">IFERROR(__xludf.DUMMYFUNCTION("""COMPUTED_VALUE"""),42292.6666666666)</f>
        <v>42292.666666666599</v>
      </c>
      <c r="BJ117" s="3">
        <f ca="1">IFERROR(__xludf.DUMMYFUNCTION("""COMPUTED_VALUE"""),44.24)</f>
        <v>44.24</v>
      </c>
      <c r="BK117" s="3">
        <f ca="1">IFERROR(__xludf.DUMMYFUNCTION("""COMPUTED_VALUE"""),44.8)</f>
        <v>44.8</v>
      </c>
      <c r="BL117" s="3">
        <f ca="1">IFERROR(__xludf.DUMMYFUNCTION("""COMPUTED_VALUE"""),44.03)</f>
        <v>44.03</v>
      </c>
      <c r="BM117" s="3">
        <f ca="1">IFERROR(__xludf.DUMMYFUNCTION("""COMPUTED_VALUE"""),44.72)</f>
        <v>44.72</v>
      </c>
      <c r="BN117" s="3">
        <f ca="1">IFERROR(__xludf.DUMMYFUNCTION("""COMPUTED_VALUE"""),8284123)</f>
        <v>8284123</v>
      </c>
    </row>
    <row r="118" spans="7:66" ht="13" x14ac:dyDescent="0.15">
      <c r="G118" s="4">
        <f ca="1">IFERROR(__xludf.DUMMYFUNCTION("""COMPUTED_VALUE"""),42293.6666666666)</f>
        <v>42293.666666666599</v>
      </c>
      <c r="H118" s="3">
        <f ca="1">IFERROR(__xludf.DUMMYFUNCTION("""COMPUTED_VALUE"""),77.85)</f>
        <v>77.849999999999994</v>
      </c>
      <c r="I118" s="3">
        <f ca="1">IFERROR(__xludf.DUMMYFUNCTION("""COMPUTED_VALUE"""),78.32)</f>
        <v>78.319999999999993</v>
      </c>
      <c r="J118" s="3">
        <f ca="1">IFERROR(__xludf.DUMMYFUNCTION("""COMPUTED_VALUE"""),77.8)</f>
        <v>77.8</v>
      </c>
      <c r="K118" s="3">
        <f ca="1">IFERROR(__xludf.DUMMYFUNCTION("""COMPUTED_VALUE"""),78.29)</f>
        <v>78.290000000000006</v>
      </c>
      <c r="L118" s="3">
        <f ca="1">IFERROR(__xludf.DUMMYFUNCTION("""COMPUTED_VALUE"""),5319156)</f>
        <v>5319156</v>
      </c>
      <c r="M118" s="4">
        <f ca="1">IFERROR(__xludf.DUMMYFUNCTION("""COMPUTED_VALUE"""),42293.6666666666)</f>
        <v>42293.666666666599</v>
      </c>
      <c r="N118" s="3">
        <f ca="1">IFERROR(__xludf.DUMMYFUNCTION("""COMPUTED_VALUE"""),49.2)</f>
        <v>49.2</v>
      </c>
      <c r="O118" s="3">
        <f ca="1">IFERROR(__xludf.DUMMYFUNCTION("""COMPUTED_VALUE"""),49.68)</f>
        <v>49.68</v>
      </c>
      <c r="P118" s="3">
        <f ca="1">IFERROR(__xludf.DUMMYFUNCTION("""COMPUTED_VALUE"""),49.19)</f>
        <v>49.19</v>
      </c>
      <c r="Q118" s="3">
        <f ca="1">IFERROR(__xludf.DUMMYFUNCTION("""COMPUTED_VALUE"""),49.63)</f>
        <v>49.63</v>
      </c>
      <c r="R118" s="3">
        <f ca="1">IFERROR(__xludf.DUMMYFUNCTION("""COMPUTED_VALUE"""),6921941)</f>
        <v>6921941</v>
      </c>
      <c r="S118" s="4">
        <f ca="1">IFERROR(__xludf.DUMMYFUNCTION("""COMPUTED_VALUE"""),42293.6666666666)</f>
        <v>42293.666666666599</v>
      </c>
      <c r="T118" s="3">
        <f ca="1">IFERROR(__xludf.DUMMYFUNCTION("""COMPUTED_VALUE"""),69.38)</f>
        <v>69.38</v>
      </c>
      <c r="U118" s="3">
        <f ca="1">IFERROR(__xludf.DUMMYFUNCTION("""COMPUTED_VALUE"""),69.56)</f>
        <v>69.56</v>
      </c>
      <c r="V118" s="3">
        <f ca="1">IFERROR(__xludf.DUMMYFUNCTION("""COMPUTED_VALUE"""),68.28)</f>
        <v>68.28</v>
      </c>
      <c r="W118" s="3">
        <f ca="1">IFERROR(__xludf.DUMMYFUNCTION("""COMPUTED_VALUE"""),69.23)</f>
        <v>69.23</v>
      </c>
      <c r="X118" s="3">
        <f ca="1">IFERROR(__xludf.DUMMYFUNCTION("""COMPUTED_VALUE"""),20031249)</f>
        <v>20031249</v>
      </c>
      <c r="Y118" s="4">
        <f ca="1">IFERROR(__xludf.DUMMYFUNCTION("""COMPUTED_VALUE"""),42293.6666666666)</f>
        <v>42293.666666666599</v>
      </c>
      <c r="Z118" s="3">
        <f ca="1">IFERROR(__xludf.DUMMYFUNCTION("""COMPUTED_VALUE"""),19.07)</f>
        <v>19.07</v>
      </c>
      <c r="AA118" s="3">
        <f ca="1">IFERROR(__xludf.DUMMYFUNCTION("""COMPUTED_VALUE"""),19.16)</f>
        <v>19.16</v>
      </c>
      <c r="AB118" s="3">
        <f ca="1">IFERROR(__xludf.DUMMYFUNCTION("""COMPUTED_VALUE"""),19.03)</f>
        <v>19.03</v>
      </c>
      <c r="AC118" s="3">
        <f ca="1">IFERROR(__xludf.DUMMYFUNCTION("""COMPUTED_VALUE"""),19.12)</f>
        <v>19.12</v>
      </c>
      <c r="AD118" s="3">
        <f ca="1">IFERROR(__xludf.DUMMYFUNCTION("""COMPUTED_VALUE"""),29685046)</f>
        <v>29685046</v>
      </c>
      <c r="AE118" s="4">
        <f ca="1">IFERROR(__xludf.DUMMYFUNCTION("""COMPUTED_VALUE"""),42293.6666666666)</f>
        <v>42293.666666666599</v>
      </c>
      <c r="AF118" s="3">
        <f ca="1">IFERROR(__xludf.DUMMYFUNCTION("""COMPUTED_VALUE"""),69.33)</f>
        <v>69.33</v>
      </c>
      <c r="AG118" s="3">
        <f ca="1">IFERROR(__xludf.DUMMYFUNCTION("""COMPUTED_VALUE"""),69.86)</f>
        <v>69.86</v>
      </c>
      <c r="AH118" s="3">
        <f ca="1">IFERROR(__xludf.DUMMYFUNCTION("""COMPUTED_VALUE"""),69.16)</f>
        <v>69.16</v>
      </c>
      <c r="AI118" s="3">
        <f ca="1">IFERROR(__xludf.DUMMYFUNCTION("""COMPUTED_VALUE"""),69.76)</f>
        <v>69.760000000000005</v>
      </c>
      <c r="AJ118" s="3">
        <f ca="1">IFERROR(__xludf.DUMMYFUNCTION("""COMPUTED_VALUE"""),17656979)</f>
        <v>17656979</v>
      </c>
      <c r="AK118" s="4">
        <f ca="1">IFERROR(__xludf.DUMMYFUNCTION("""COMPUTED_VALUE"""),42293.6666666666)</f>
        <v>42293.666666666599</v>
      </c>
      <c r="AL118" s="3">
        <f ca="1">IFERROR(__xludf.DUMMYFUNCTION("""COMPUTED_VALUE"""),53)</f>
        <v>53</v>
      </c>
      <c r="AM118" s="3">
        <f ca="1">IFERROR(__xludf.DUMMYFUNCTION("""COMPUTED_VALUE"""),53)</f>
        <v>53</v>
      </c>
      <c r="AN118" s="3">
        <f ca="1">IFERROR(__xludf.DUMMYFUNCTION("""COMPUTED_VALUE"""),52.32)</f>
        <v>52.32</v>
      </c>
      <c r="AO118" s="3">
        <f ca="1">IFERROR(__xludf.DUMMYFUNCTION("""COMPUTED_VALUE"""),52.55)</f>
        <v>52.55</v>
      </c>
      <c r="AP118" s="3">
        <f ca="1">IFERROR(__xludf.DUMMYFUNCTION("""COMPUTED_VALUE"""),13954707)</f>
        <v>13954707</v>
      </c>
      <c r="AQ118" s="4">
        <f ca="1">IFERROR(__xludf.DUMMYFUNCTION("""COMPUTED_VALUE"""),42293.6666666666)</f>
        <v>42293.666666666599</v>
      </c>
      <c r="AR118" s="3">
        <f ca="1">IFERROR(__xludf.DUMMYFUNCTION("""COMPUTED_VALUE"""),44.28)</f>
        <v>44.28</v>
      </c>
      <c r="AS118" s="3">
        <f ca="1">IFERROR(__xludf.DUMMYFUNCTION("""COMPUTED_VALUE"""),44.39)</f>
        <v>44.39</v>
      </c>
      <c r="AT118" s="3">
        <f ca="1">IFERROR(__xludf.DUMMYFUNCTION("""COMPUTED_VALUE"""),43.78)</f>
        <v>43.78</v>
      </c>
      <c r="AU118" s="3">
        <f ca="1">IFERROR(__xludf.DUMMYFUNCTION("""COMPUTED_VALUE"""),44.09)</f>
        <v>44.09</v>
      </c>
      <c r="AV118" s="3">
        <f ca="1">IFERROR(__xludf.DUMMYFUNCTION("""COMPUTED_VALUE"""),7240531)</f>
        <v>7240531</v>
      </c>
      <c r="AW118" s="4">
        <f ca="1">IFERROR(__xludf.DUMMYFUNCTION("""COMPUTED_VALUE"""),42461.6666666666)</f>
        <v>42461.666666666599</v>
      </c>
      <c r="AX118" s="3">
        <f ca="1">IFERROR(__xludf.DUMMYFUNCTION("""COMPUTED_VALUE"""),32.02)</f>
        <v>32.020000000000003</v>
      </c>
      <c r="AY118" s="3">
        <f ca="1">IFERROR(__xludf.DUMMYFUNCTION("""COMPUTED_VALUE"""),32.23)</f>
        <v>32.229999999999997</v>
      </c>
      <c r="AZ118" s="3">
        <f ca="1">IFERROR(__xludf.DUMMYFUNCTION("""COMPUTED_VALUE"""),32.02)</f>
        <v>32.020000000000003</v>
      </c>
      <c r="BA118" s="3">
        <f ca="1">IFERROR(__xludf.DUMMYFUNCTION("""COMPUTED_VALUE"""),32.23)</f>
        <v>32.229999999999997</v>
      </c>
      <c r="BB118" s="3">
        <f ca="1">IFERROR(__xludf.DUMMYFUNCTION("""COMPUTED_VALUE"""),658)</f>
        <v>658</v>
      </c>
      <c r="BC118" s="4">
        <f ca="1">IFERROR(__xludf.DUMMYFUNCTION("""COMPUTED_VALUE"""),42293.6666666666)</f>
        <v>42293.666666666599</v>
      </c>
      <c r="BD118" s="3">
        <f ca="1">IFERROR(__xludf.DUMMYFUNCTION("""COMPUTED_VALUE"""),42)</f>
        <v>42</v>
      </c>
      <c r="BE118" s="3">
        <f ca="1">IFERROR(__xludf.DUMMYFUNCTION("""COMPUTED_VALUE"""),42)</f>
        <v>42</v>
      </c>
      <c r="BF118" s="3">
        <f ca="1">IFERROR(__xludf.DUMMYFUNCTION("""COMPUTED_VALUE"""),41.72)</f>
        <v>41.72</v>
      </c>
      <c r="BG118" s="3">
        <f ca="1">IFERROR(__xludf.DUMMYFUNCTION("""COMPUTED_VALUE"""),41.97)</f>
        <v>41.97</v>
      </c>
      <c r="BH118" s="3">
        <f ca="1">IFERROR(__xludf.DUMMYFUNCTION("""COMPUTED_VALUE"""),7486266)</f>
        <v>7486266</v>
      </c>
      <c r="BI118" s="4">
        <f ca="1">IFERROR(__xludf.DUMMYFUNCTION("""COMPUTED_VALUE"""),42293.6666666666)</f>
        <v>42293.666666666599</v>
      </c>
      <c r="BJ118" s="3">
        <f ca="1">IFERROR(__xludf.DUMMYFUNCTION("""COMPUTED_VALUE"""),44.76)</f>
        <v>44.76</v>
      </c>
      <c r="BK118" s="3">
        <f ca="1">IFERROR(__xludf.DUMMYFUNCTION("""COMPUTED_VALUE"""),45.06)</f>
        <v>45.06</v>
      </c>
      <c r="BL118" s="3">
        <f ca="1">IFERROR(__xludf.DUMMYFUNCTION("""COMPUTED_VALUE"""),44.64)</f>
        <v>44.64</v>
      </c>
      <c r="BM118" s="3">
        <f ca="1">IFERROR(__xludf.DUMMYFUNCTION("""COMPUTED_VALUE"""),44.78)</f>
        <v>44.78</v>
      </c>
      <c r="BN118" s="3">
        <f ca="1">IFERROR(__xludf.DUMMYFUNCTION("""COMPUTED_VALUE"""),9408665)</f>
        <v>9408665</v>
      </c>
    </row>
    <row r="119" spans="7:66" ht="13" x14ac:dyDescent="0.15">
      <c r="G119" s="4">
        <f ca="1">IFERROR(__xludf.DUMMYFUNCTION("""COMPUTED_VALUE"""),42296.6666666666)</f>
        <v>42296.666666666599</v>
      </c>
      <c r="H119" s="3">
        <f ca="1">IFERROR(__xludf.DUMMYFUNCTION("""COMPUTED_VALUE"""),78.07)</f>
        <v>78.069999999999993</v>
      </c>
      <c r="I119" s="3">
        <f ca="1">IFERROR(__xludf.DUMMYFUNCTION("""COMPUTED_VALUE"""),78.71)</f>
        <v>78.709999999999994</v>
      </c>
      <c r="J119" s="3">
        <f ca="1">IFERROR(__xludf.DUMMYFUNCTION("""COMPUTED_VALUE"""),78)</f>
        <v>78</v>
      </c>
      <c r="K119" s="3">
        <f ca="1">IFERROR(__xludf.DUMMYFUNCTION("""COMPUTED_VALUE"""),78.66)</f>
        <v>78.66</v>
      </c>
      <c r="L119" s="3">
        <f ca="1">IFERROR(__xludf.DUMMYFUNCTION("""COMPUTED_VALUE"""),4928655)</f>
        <v>4928655</v>
      </c>
      <c r="M119" s="4">
        <f ca="1">IFERROR(__xludf.DUMMYFUNCTION("""COMPUTED_VALUE"""),42296.6666666666)</f>
        <v>42296.666666666599</v>
      </c>
      <c r="N119" s="3">
        <f ca="1">IFERROR(__xludf.DUMMYFUNCTION("""COMPUTED_VALUE"""),49.63)</f>
        <v>49.63</v>
      </c>
      <c r="O119" s="3">
        <f ca="1">IFERROR(__xludf.DUMMYFUNCTION("""COMPUTED_VALUE"""),49.86)</f>
        <v>49.86</v>
      </c>
      <c r="P119" s="3">
        <f ca="1">IFERROR(__xludf.DUMMYFUNCTION("""COMPUTED_VALUE"""),49.48)</f>
        <v>49.48</v>
      </c>
      <c r="Q119" s="3">
        <f ca="1">IFERROR(__xludf.DUMMYFUNCTION("""COMPUTED_VALUE"""),49.85)</f>
        <v>49.85</v>
      </c>
      <c r="R119" s="3">
        <f ca="1">IFERROR(__xludf.DUMMYFUNCTION("""COMPUTED_VALUE"""),6284328)</f>
        <v>6284328</v>
      </c>
      <c r="S119" s="4">
        <f ca="1">IFERROR(__xludf.DUMMYFUNCTION("""COMPUTED_VALUE"""),42296.6666666666)</f>
        <v>42296.666666666599</v>
      </c>
      <c r="T119" s="3">
        <f ca="1">IFERROR(__xludf.DUMMYFUNCTION("""COMPUTED_VALUE"""),68.54)</f>
        <v>68.540000000000006</v>
      </c>
      <c r="U119" s="3">
        <f ca="1">IFERROR(__xludf.DUMMYFUNCTION("""COMPUTED_VALUE"""),68.58)</f>
        <v>68.58</v>
      </c>
      <c r="V119" s="3">
        <f ca="1">IFERROR(__xludf.DUMMYFUNCTION("""COMPUTED_VALUE"""),67.5)</f>
        <v>67.5</v>
      </c>
      <c r="W119" s="3">
        <f ca="1">IFERROR(__xludf.DUMMYFUNCTION("""COMPUTED_VALUE"""),67.86)</f>
        <v>67.86</v>
      </c>
      <c r="X119" s="3">
        <f ca="1">IFERROR(__xludf.DUMMYFUNCTION("""COMPUTED_VALUE"""),19500234)</f>
        <v>19500234</v>
      </c>
      <c r="Y119" s="4">
        <f ca="1">IFERROR(__xludf.DUMMYFUNCTION("""COMPUTED_VALUE"""),42296.6666666666)</f>
        <v>42296.666666666599</v>
      </c>
      <c r="Z119" s="3">
        <f ca="1">IFERROR(__xludf.DUMMYFUNCTION("""COMPUTED_VALUE"""),19)</f>
        <v>19</v>
      </c>
      <c r="AA119" s="3">
        <f ca="1">IFERROR(__xludf.DUMMYFUNCTION("""COMPUTED_VALUE"""),19.15)</f>
        <v>19.149999999999999</v>
      </c>
      <c r="AB119" s="3">
        <f ca="1">IFERROR(__xludf.DUMMYFUNCTION("""COMPUTED_VALUE"""),18.99)</f>
        <v>18.989999999999998</v>
      </c>
      <c r="AC119" s="3">
        <f ca="1">IFERROR(__xludf.DUMMYFUNCTION("""COMPUTED_VALUE"""),19.11)</f>
        <v>19.11</v>
      </c>
      <c r="AD119" s="3">
        <f ca="1">IFERROR(__xludf.DUMMYFUNCTION("""COMPUTED_VALUE"""),26555900)</f>
        <v>26555900</v>
      </c>
      <c r="AE119" s="4">
        <f ca="1">IFERROR(__xludf.DUMMYFUNCTION("""COMPUTED_VALUE"""),42296.6666666666)</f>
        <v>42296.666666666599</v>
      </c>
      <c r="AF119" s="3">
        <f ca="1">IFERROR(__xludf.DUMMYFUNCTION("""COMPUTED_VALUE"""),69.53)</f>
        <v>69.53</v>
      </c>
      <c r="AG119" s="3">
        <f ca="1">IFERROR(__xludf.DUMMYFUNCTION("""COMPUTED_VALUE"""),70.2)</f>
        <v>70.2</v>
      </c>
      <c r="AH119" s="3">
        <f ca="1">IFERROR(__xludf.DUMMYFUNCTION("""COMPUTED_VALUE"""),69.15)</f>
        <v>69.150000000000006</v>
      </c>
      <c r="AI119" s="3">
        <f ca="1">IFERROR(__xludf.DUMMYFUNCTION("""COMPUTED_VALUE"""),70.01)</f>
        <v>70.010000000000005</v>
      </c>
      <c r="AJ119" s="3">
        <f ca="1">IFERROR(__xludf.DUMMYFUNCTION("""COMPUTED_VALUE"""),15694684)</f>
        <v>15694684</v>
      </c>
      <c r="AK119" s="4">
        <f ca="1">IFERROR(__xludf.DUMMYFUNCTION("""COMPUTED_VALUE"""),42296.6666666666)</f>
        <v>42296.666666666599</v>
      </c>
      <c r="AL119" s="3">
        <f ca="1">IFERROR(__xludf.DUMMYFUNCTION("""COMPUTED_VALUE"""),52.35)</f>
        <v>52.35</v>
      </c>
      <c r="AM119" s="3">
        <f ca="1">IFERROR(__xludf.DUMMYFUNCTION("""COMPUTED_VALUE"""),52.68)</f>
        <v>52.68</v>
      </c>
      <c r="AN119" s="3">
        <f ca="1">IFERROR(__xludf.DUMMYFUNCTION("""COMPUTED_VALUE"""),52.27)</f>
        <v>52.27</v>
      </c>
      <c r="AO119" s="3">
        <f ca="1">IFERROR(__xludf.DUMMYFUNCTION("""COMPUTED_VALUE"""),52.62)</f>
        <v>52.62</v>
      </c>
      <c r="AP119" s="3">
        <f ca="1">IFERROR(__xludf.DUMMYFUNCTION("""COMPUTED_VALUE"""),8112310)</f>
        <v>8112310</v>
      </c>
      <c r="AQ119" s="4">
        <f ca="1">IFERROR(__xludf.DUMMYFUNCTION("""COMPUTED_VALUE"""),42296.6666666666)</f>
        <v>42296.666666666599</v>
      </c>
      <c r="AR119" s="3">
        <f ca="1">IFERROR(__xludf.DUMMYFUNCTION("""COMPUTED_VALUE"""),43.79)</f>
        <v>43.79</v>
      </c>
      <c r="AS119" s="3">
        <f ca="1">IFERROR(__xludf.DUMMYFUNCTION("""COMPUTED_VALUE"""),43.96)</f>
        <v>43.96</v>
      </c>
      <c r="AT119" s="3">
        <f ca="1">IFERROR(__xludf.DUMMYFUNCTION("""COMPUTED_VALUE"""),43.56)</f>
        <v>43.56</v>
      </c>
      <c r="AU119" s="3">
        <f ca="1">IFERROR(__xludf.DUMMYFUNCTION("""COMPUTED_VALUE"""),43.78)</f>
        <v>43.78</v>
      </c>
      <c r="AV119" s="3">
        <f ca="1">IFERROR(__xludf.DUMMYFUNCTION("""COMPUTED_VALUE"""),3904967)</f>
        <v>3904967</v>
      </c>
      <c r="AW119" s="4">
        <f ca="1">IFERROR(__xludf.DUMMYFUNCTION("""COMPUTED_VALUE"""),42464.6666666666)</f>
        <v>42464.666666666599</v>
      </c>
      <c r="AX119" s="3">
        <f ca="1">IFERROR(__xludf.DUMMYFUNCTION("""COMPUTED_VALUE"""),32.27)</f>
        <v>32.270000000000003</v>
      </c>
      <c r="AY119" s="3">
        <f ca="1">IFERROR(__xludf.DUMMYFUNCTION("""COMPUTED_VALUE"""),32.27)</f>
        <v>32.270000000000003</v>
      </c>
      <c r="AZ119" s="3">
        <f ca="1">IFERROR(__xludf.DUMMYFUNCTION("""COMPUTED_VALUE"""),32.1)</f>
        <v>32.1</v>
      </c>
      <c r="BA119" s="3">
        <f ca="1">IFERROR(__xludf.DUMMYFUNCTION("""COMPUTED_VALUE"""),32.18)</f>
        <v>32.18</v>
      </c>
      <c r="BB119" s="3">
        <f ca="1">IFERROR(__xludf.DUMMYFUNCTION("""COMPUTED_VALUE"""),5325)</f>
        <v>5325</v>
      </c>
      <c r="BC119" s="4">
        <f ca="1">IFERROR(__xludf.DUMMYFUNCTION("""COMPUTED_VALUE"""),42296.6666666666)</f>
        <v>42296.666666666599</v>
      </c>
      <c r="BD119" s="3">
        <f ca="1">IFERROR(__xludf.DUMMYFUNCTION("""COMPUTED_VALUE"""),41.88)</f>
        <v>41.88</v>
      </c>
      <c r="BE119" s="3">
        <f ca="1">IFERROR(__xludf.DUMMYFUNCTION("""COMPUTED_VALUE"""),42.13)</f>
        <v>42.13</v>
      </c>
      <c r="BF119" s="3">
        <f ca="1">IFERROR(__xludf.DUMMYFUNCTION("""COMPUTED_VALUE"""),41.76)</f>
        <v>41.76</v>
      </c>
      <c r="BG119" s="3">
        <f ca="1">IFERROR(__xludf.DUMMYFUNCTION("""COMPUTED_VALUE"""),42.13)</f>
        <v>42.13</v>
      </c>
      <c r="BH119" s="3">
        <f ca="1">IFERROR(__xludf.DUMMYFUNCTION("""COMPUTED_VALUE"""),7092059)</f>
        <v>7092059</v>
      </c>
      <c r="BI119" s="4">
        <f ca="1">IFERROR(__xludf.DUMMYFUNCTION("""COMPUTED_VALUE"""),42296.6666666666)</f>
        <v>42296.666666666599</v>
      </c>
      <c r="BJ119" s="3">
        <f ca="1">IFERROR(__xludf.DUMMYFUNCTION("""COMPUTED_VALUE"""),44.74)</f>
        <v>44.74</v>
      </c>
      <c r="BK119" s="3">
        <f ca="1">IFERROR(__xludf.DUMMYFUNCTION("""COMPUTED_VALUE"""),44.83)</f>
        <v>44.83</v>
      </c>
      <c r="BL119" s="3">
        <f ca="1">IFERROR(__xludf.DUMMYFUNCTION("""COMPUTED_VALUE"""),44.36)</f>
        <v>44.36</v>
      </c>
      <c r="BM119" s="3">
        <f ca="1">IFERROR(__xludf.DUMMYFUNCTION("""COMPUTED_VALUE"""),44.81)</f>
        <v>44.81</v>
      </c>
      <c r="BN119" s="3">
        <f ca="1">IFERROR(__xludf.DUMMYFUNCTION("""COMPUTED_VALUE"""),10216241)</f>
        <v>10216241</v>
      </c>
    </row>
    <row r="120" spans="7:66" ht="13" x14ac:dyDescent="0.15">
      <c r="G120" s="4">
        <f ca="1">IFERROR(__xludf.DUMMYFUNCTION("""COMPUTED_VALUE"""),42297.6666666666)</f>
        <v>42297.666666666599</v>
      </c>
      <c r="H120" s="3">
        <f ca="1">IFERROR(__xludf.DUMMYFUNCTION("""COMPUTED_VALUE"""),78.55)</f>
        <v>78.55</v>
      </c>
      <c r="I120" s="3">
        <f ca="1">IFERROR(__xludf.DUMMYFUNCTION("""COMPUTED_VALUE"""),78.91)</f>
        <v>78.91</v>
      </c>
      <c r="J120" s="3">
        <f ca="1">IFERROR(__xludf.DUMMYFUNCTION("""COMPUTED_VALUE"""),78.31)</f>
        <v>78.31</v>
      </c>
      <c r="K120" s="3">
        <f ca="1">IFERROR(__xludf.DUMMYFUNCTION("""COMPUTED_VALUE"""),78.56)</f>
        <v>78.56</v>
      </c>
      <c r="L120" s="3">
        <f ca="1">IFERROR(__xludf.DUMMYFUNCTION("""COMPUTED_VALUE"""),5013842)</f>
        <v>5013842</v>
      </c>
      <c r="M120" s="4">
        <f ca="1">IFERROR(__xludf.DUMMYFUNCTION("""COMPUTED_VALUE"""),42297.6666666666)</f>
        <v>42297.666666666599</v>
      </c>
      <c r="N120" s="3">
        <f ca="1">IFERROR(__xludf.DUMMYFUNCTION("""COMPUTED_VALUE"""),49.84)</f>
        <v>49.84</v>
      </c>
      <c r="O120" s="3">
        <f ca="1">IFERROR(__xludf.DUMMYFUNCTION("""COMPUTED_VALUE"""),49.91)</f>
        <v>49.91</v>
      </c>
      <c r="P120" s="3">
        <f ca="1">IFERROR(__xludf.DUMMYFUNCTION("""COMPUTED_VALUE"""),49.74)</f>
        <v>49.74</v>
      </c>
      <c r="Q120" s="3">
        <f ca="1">IFERROR(__xludf.DUMMYFUNCTION("""COMPUTED_VALUE"""),49.82)</f>
        <v>49.82</v>
      </c>
      <c r="R120" s="3">
        <f ca="1">IFERROR(__xludf.DUMMYFUNCTION("""COMPUTED_VALUE"""),6078420)</f>
        <v>6078420</v>
      </c>
      <c r="S120" s="4">
        <f ca="1">IFERROR(__xludf.DUMMYFUNCTION("""COMPUTED_VALUE"""),42297.6666666666)</f>
        <v>42297.666666666599</v>
      </c>
      <c r="T120" s="3">
        <f ca="1">IFERROR(__xludf.DUMMYFUNCTION("""COMPUTED_VALUE"""),67.72)</f>
        <v>67.72</v>
      </c>
      <c r="U120" s="3">
        <f ca="1">IFERROR(__xludf.DUMMYFUNCTION("""COMPUTED_VALUE"""),68.37)</f>
        <v>68.37</v>
      </c>
      <c r="V120" s="3">
        <f ca="1">IFERROR(__xludf.DUMMYFUNCTION("""COMPUTED_VALUE"""),67.36)</f>
        <v>67.36</v>
      </c>
      <c r="W120" s="3">
        <f ca="1">IFERROR(__xludf.DUMMYFUNCTION("""COMPUTED_VALUE"""),68.05)</f>
        <v>68.05</v>
      </c>
      <c r="X120" s="3">
        <f ca="1">IFERROR(__xludf.DUMMYFUNCTION("""COMPUTED_VALUE"""),13756519)</f>
        <v>13756519</v>
      </c>
      <c r="Y120" s="4">
        <f ca="1">IFERROR(__xludf.DUMMYFUNCTION("""COMPUTED_VALUE"""),42297.6666666666)</f>
        <v>42297.666666666599</v>
      </c>
      <c r="Z120" s="3">
        <f ca="1">IFERROR(__xludf.DUMMYFUNCTION("""COMPUTED_VALUE"""),19.11)</f>
        <v>19.11</v>
      </c>
      <c r="AA120" s="3">
        <f ca="1">IFERROR(__xludf.DUMMYFUNCTION("""COMPUTED_VALUE"""),19.25)</f>
        <v>19.25</v>
      </c>
      <c r="AB120" s="3">
        <f ca="1">IFERROR(__xludf.DUMMYFUNCTION("""COMPUTED_VALUE"""),19.09)</f>
        <v>19.09</v>
      </c>
      <c r="AC120" s="3">
        <f ca="1">IFERROR(__xludf.DUMMYFUNCTION("""COMPUTED_VALUE"""),19.22)</f>
        <v>19.22</v>
      </c>
      <c r="AD120" s="3">
        <f ca="1">IFERROR(__xludf.DUMMYFUNCTION("""COMPUTED_VALUE"""),19448771)</f>
        <v>19448771</v>
      </c>
      <c r="AE120" s="4">
        <f ca="1">IFERROR(__xludf.DUMMYFUNCTION("""COMPUTED_VALUE"""),42297.6666666666)</f>
        <v>42297.666666666599</v>
      </c>
      <c r="AF120" s="3">
        <f ca="1">IFERROR(__xludf.DUMMYFUNCTION("""COMPUTED_VALUE"""),69.79)</f>
        <v>69.790000000000006</v>
      </c>
      <c r="AG120" s="3">
        <f ca="1">IFERROR(__xludf.DUMMYFUNCTION("""COMPUTED_VALUE"""),70.01)</f>
        <v>70.010000000000005</v>
      </c>
      <c r="AH120" s="3">
        <f ca="1">IFERROR(__xludf.DUMMYFUNCTION("""COMPUTED_VALUE"""),68.61)</f>
        <v>68.61</v>
      </c>
      <c r="AI120" s="3">
        <f ca="1">IFERROR(__xludf.DUMMYFUNCTION("""COMPUTED_VALUE"""),68.91)</f>
        <v>68.91</v>
      </c>
      <c r="AJ120" s="3">
        <f ca="1">IFERROR(__xludf.DUMMYFUNCTION("""COMPUTED_VALUE"""),14802071)</f>
        <v>14802071</v>
      </c>
      <c r="AK120" s="4">
        <f ca="1">IFERROR(__xludf.DUMMYFUNCTION("""COMPUTED_VALUE"""),42297.6666666666)</f>
        <v>42297.666666666599</v>
      </c>
      <c r="AL120" s="3">
        <f ca="1">IFERROR(__xludf.DUMMYFUNCTION("""COMPUTED_VALUE"""),52.44)</f>
        <v>52.44</v>
      </c>
      <c r="AM120" s="3">
        <f ca="1">IFERROR(__xludf.DUMMYFUNCTION("""COMPUTED_VALUE"""),53.14)</f>
        <v>53.14</v>
      </c>
      <c r="AN120" s="3">
        <f ca="1">IFERROR(__xludf.DUMMYFUNCTION("""COMPUTED_VALUE"""),52.34)</f>
        <v>52.34</v>
      </c>
      <c r="AO120" s="3">
        <f ca="1">IFERROR(__xludf.DUMMYFUNCTION("""COMPUTED_VALUE"""),52.97)</f>
        <v>52.97</v>
      </c>
      <c r="AP120" s="3">
        <f ca="1">IFERROR(__xludf.DUMMYFUNCTION("""COMPUTED_VALUE"""),11314683)</f>
        <v>11314683</v>
      </c>
      <c r="AQ120" s="4">
        <f ca="1">IFERROR(__xludf.DUMMYFUNCTION("""COMPUTED_VALUE"""),42297.6666666666)</f>
        <v>42297.666666666599</v>
      </c>
      <c r="AR120" s="3">
        <f ca="1">IFERROR(__xludf.DUMMYFUNCTION("""COMPUTED_VALUE"""),43.73)</f>
        <v>43.73</v>
      </c>
      <c r="AS120" s="3">
        <f ca="1">IFERROR(__xludf.DUMMYFUNCTION("""COMPUTED_VALUE"""),44.23)</f>
        <v>44.23</v>
      </c>
      <c r="AT120" s="3">
        <f ca="1">IFERROR(__xludf.DUMMYFUNCTION("""COMPUTED_VALUE"""),43.65)</f>
        <v>43.65</v>
      </c>
      <c r="AU120" s="3">
        <f ca="1">IFERROR(__xludf.DUMMYFUNCTION("""COMPUTED_VALUE"""),43.85)</f>
        <v>43.85</v>
      </c>
      <c r="AV120" s="3">
        <f ca="1">IFERROR(__xludf.DUMMYFUNCTION("""COMPUTED_VALUE"""),3809202)</f>
        <v>3809202</v>
      </c>
      <c r="AW120" s="4">
        <f ca="1">IFERROR(__xludf.DUMMYFUNCTION("""COMPUTED_VALUE"""),42465.6666666666)</f>
        <v>42465.666666666599</v>
      </c>
      <c r="AX120" s="3">
        <f ca="1">IFERROR(__xludf.DUMMYFUNCTION("""COMPUTED_VALUE"""),31.9)</f>
        <v>31.9</v>
      </c>
      <c r="AY120" s="3">
        <f ca="1">IFERROR(__xludf.DUMMYFUNCTION("""COMPUTED_VALUE"""),31.9)</f>
        <v>31.9</v>
      </c>
      <c r="AZ120" s="3">
        <f ca="1">IFERROR(__xludf.DUMMYFUNCTION("""COMPUTED_VALUE"""),31.88)</f>
        <v>31.88</v>
      </c>
      <c r="BA120" s="3">
        <f ca="1">IFERROR(__xludf.DUMMYFUNCTION("""COMPUTED_VALUE"""),31.89)</f>
        <v>31.89</v>
      </c>
      <c r="BB120" s="3">
        <f ca="1">IFERROR(__xludf.DUMMYFUNCTION("""COMPUTED_VALUE"""),310)</f>
        <v>310</v>
      </c>
      <c r="BC120" s="4">
        <f ca="1">IFERROR(__xludf.DUMMYFUNCTION("""COMPUTED_VALUE"""),42297.6666666666)</f>
        <v>42297.666666666599</v>
      </c>
      <c r="BD120" s="3">
        <f ca="1">IFERROR(__xludf.DUMMYFUNCTION("""COMPUTED_VALUE"""),41.96)</f>
        <v>41.96</v>
      </c>
      <c r="BE120" s="3">
        <f ca="1">IFERROR(__xludf.DUMMYFUNCTION("""COMPUTED_VALUE"""),42.14)</f>
        <v>42.14</v>
      </c>
      <c r="BF120" s="3">
        <f ca="1">IFERROR(__xludf.DUMMYFUNCTION("""COMPUTED_VALUE"""),41.85)</f>
        <v>41.85</v>
      </c>
      <c r="BG120" s="3">
        <f ca="1">IFERROR(__xludf.DUMMYFUNCTION("""COMPUTED_VALUE"""),42.02)</f>
        <v>42.02</v>
      </c>
      <c r="BH120" s="3">
        <f ca="1">IFERROR(__xludf.DUMMYFUNCTION("""COMPUTED_VALUE"""),5928927)</f>
        <v>5928927</v>
      </c>
      <c r="BI120" s="4">
        <f ca="1">IFERROR(__xludf.DUMMYFUNCTION("""COMPUTED_VALUE"""),42297.6666666666)</f>
        <v>42297.666666666599</v>
      </c>
      <c r="BJ120" s="3">
        <f ca="1">IFERROR(__xludf.DUMMYFUNCTION("""COMPUTED_VALUE"""),44.67)</f>
        <v>44.67</v>
      </c>
      <c r="BK120" s="3">
        <f ca="1">IFERROR(__xludf.DUMMYFUNCTION("""COMPUTED_VALUE"""),45.15)</f>
        <v>45.15</v>
      </c>
      <c r="BL120" s="3">
        <f ca="1">IFERROR(__xludf.DUMMYFUNCTION("""COMPUTED_VALUE"""),44.64)</f>
        <v>44.64</v>
      </c>
      <c r="BM120" s="3">
        <f ca="1">IFERROR(__xludf.DUMMYFUNCTION("""COMPUTED_VALUE"""),44.96)</f>
        <v>44.96</v>
      </c>
      <c r="BN120" s="3">
        <f ca="1">IFERROR(__xludf.DUMMYFUNCTION("""COMPUTED_VALUE"""),9763097)</f>
        <v>9763097</v>
      </c>
    </row>
    <row r="121" spans="7:66" ht="13" x14ac:dyDescent="0.15">
      <c r="G121" s="4">
        <f ca="1">IFERROR(__xludf.DUMMYFUNCTION("""COMPUTED_VALUE"""),42298.6666666666)</f>
        <v>42298.666666666599</v>
      </c>
      <c r="H121" s="3">
        <f ca="1">IFERROR(__xludf.DUMMYFUNCTION("""COMPUTED_VALUE"""),78.76)</f>
        <v>78.760000000000005</v>
      </c>
      <c r="I121" s="3">
        <f ca="1">IFERROR(__xludf.DUMMYFUNCTION("""COMPUTED_VALUE"""),78.94)</f>
        <v>78.94</v>
      </c>
      <c r="J121" s="3">
        <f ca="1">IFERROR(__xludf.DUMMYFUNCTION("""COMPUTED_VALUE"""),78.11)</f>
        <v>78.11</v>
      </c>
      <c r="K121" s="3">
        <f ca="1">IFERROR(__xludf.DUMMYFUNCTION("""COMPUTED_VALUE"""),78.21)</f>
        <v>78.209999999999994</v>
      </c>
      <c r="L121" s="3">
        <f ca="1">IFERROR(__xludf.DUMMYFUNCTION("""COMPUTED_VALUE"""),5012405)</f>
        <v>5012405</v>
      </c>
      <c r="M121" s="4">
        <f ca="1">IFERROR(__xludf.DUMMYFUNCTION("""COMPUTED_VALUE"""),42298.6666666666)</f>
        <v>42298.666666666599</v>
      </c>
      <c r="N121" s="3">
        <f ca="1">IFERROR(__xludf.DUMMYFUNCTION("""COMPUTED_VALUE"""),49.73)</f>
        <v>49.73</v>
      </c>
      <c r="O121" s="3">
        <f ca="1">IFERROR(__xludf.DUMMYFUNCTION("""COMPUTED_VALUE"""),50.17)</f>
        <v>50.17</v>
      </c>
      <c r="P121" s="3">
        <f ca="1">IFERROR(__xludf.DUMMYFUNCTION("""COMPUTED_VALUE"""),49.73)</f>
        <v>49.73</v>
      </c>
      <c r="Q121" s="3">
        <f ca="1">IFERROR(__xludf.DUMMYFUNCTION("""COMPUTED_VALUE"""),49.83)</f>
        <v>49.83</v>
      </c>
      <c r="R121" s="3">
        <f ca="1">IFERROR(__xludf.DUMMYFUNCTION("""COMPUTED_VALUE"""),14418907)</f>
        <v>14418907</v>
      </c>
      <c r="S121" s="4">
        <f ca="1">IFERROR(__xludf.DUMMYFUNCTION("""COMPUTED_VALUE"""),42298.6666666666)</f>
        <v>42298.666666666599</v>
      </c>
      <c r="T121" s="3">
        <f ca="1">IFERROR(__xludf.DUMMYFUNCTION("""COMPUTED_VALUE"""),67.75)</f>
        <v>67.75</v>
      </c>
      <c r="U121" s="3">
        <f ca="1">IFERROR(__xludf.DUMMYFUNCTION("""COMPUTED_VALUE"""),68.08)</f>
        <v>68.08</v>
      </c>
      <c r="V121" s="3">
        <f ca="1">IFERROR(__xludf.DUMMYFUNCTION("""COMPUTED_VALUE"""),67.14)</f>
        <v>67.14</v>
      </c>
      <c r="W121" s="3">
        <f ca="1">IFERROR(__xludf.DUMMYFUNCTION("""COMPUTED_VALUE"""),67.21)</f>
        <v>67.209999999999994</v>
      </c>
      <c r="X121" s="3">
        <f ca="1">IFERROR(__xludf.DUMMYFUNCTION("""COMPUTED_VALUE"""),14662111)</f>
        <v>14662111</v>
      </c>
      <c r="Y121" s="4">
        <f ca="1">IFERROR(__xludf.DUMMYFUNCTION("""COMPUTED_VALUE"""),42298.6666666666)</f>
        <v>42298.666666666599</v>
      </c>
      <c r="Z121" s="3">
        <f ca="1">IFERROR(__xludf.DUMMYFUNCTION("""COMPUTED_VALUE"""),19.25)</f>
        <v>19.25</v>
      </c>
      <c r="AA121" s="3">
        <f ca="1">IFERROR(__xludf.DUMMYFUNCTION("""COMPUTED_VALUE"""),19.31)</f>
        <v>19.309999999999999</v>
      </c>
      <c r="AB121" s="3">
        <f ca="1">IFERROR(__xludf.DUMMYFUNCTION("""COMPUTED_VALUE"""),19.05)</f>
        <v>19.05</v>
      </c>
      <c r="AC121" s="3">
        <f ca="1">IFERROR(__xludf.DUMMYFUNCTION("""COMPUTED_VALUE"""),19.08)</f>
        <v>19.079999999999998</v>
      </c>
      <c r="AD121" s="3">
        <f ca="1">IFERROR(__xludf.DUMMYFUNCTION("""COMPUTED_VALUE"""),23732929)</f>
        <v>23732929</v>
      </c>
      <c r="AE121" s="4">
        <f ca="1">IFERROR(__xludf.DUMMYFUNCTION("""COMPUTED_VALUE"""),42298.6666666666)</f>
        <v>42298.666666666599</v>
      </c>
      <c r="AF121" s="3">
        <f ca="1">IFERROR(__xludf.DUMMYFUNCTION("""COMPUTED_VALUE"""),69.3)</f>
        <v>69.3</v>
      </c>
      <c r="AG121" s="3">
        <f ca="1">IFERROR(__xludf.DUMMYFUNCTION("""COMPUTED_VALUE"""),69.57)</f>
        <v>69.569999999999993</v>
      </c>
      <c r="AH121" s="3">
        <f ca="1">IFERROR(__xludf.DUMMYFUNCTION("""COMPUTED_VALUE"""),67.16)</f>
        <v>67.16</v>
      </c>
      <c r="AI121" s="3">
        <f ca="1">IFERROR(__xludf.DUMMYFUNCTION("""COMPUTED_VALUE"""),68.29)</f>
        <v>68.290000000000006</v>
      </c>
      <c r="AJ121" s="3">
        <f ca="1">IFERROR(__xludf.DUMMYFUNCTION("""COMPUTED_VALUE"""),36068323)</f>
        <v>36068323</v>
      </c>
      <c r="AK121" s="4">
        <f ca="1">IFERROR(__xludf.DUMMYFUNCTION("""COMPUTED_VALUE"""),42298.6666666666)</f>
        <v>42298.666666666599</v>
      </c>
      <c r="AL121" s="3">
        <f ca="1">IFERROR(__xludf.DUMMYFUNCTION("""COMPUTED_VALUE"""),53.03)</f>
        <v>53.03</v>
      </c>
      <c r="AM121" s="3">
        <f ca="1">IFERROR(__xludf.DUMMYFUNCTION("""COMPUTED_VALUE"""),53.58)</f>
        <v>53.58</v>
      </c>
      <c r="AN121" s="3">
        <f ca="1">IFERROR(__xludf.DUMMYFUNCTION("""COMPUTED_VALUE"""),52.91)</f>
        <v>52.91</v>
      </c>
      <c r="AO121" s="3">
        <f ca="1">IFERROR(__xludf.DUMMYFUNCTION("""COMPUTED_VALUE"""),52.98)</f>
        <v>52.98</v>
      </c>
      <c r="AP121" s="3">
        <f ca="1">IFERROR(__xludf.DUMMYFUNCTION("""COMPUTED_VALUE"""),16097800)</f>
        <v>16097800</v>
      </c>
      <c r="AQ121" s="4">
        <f ca="1">IFERROR(__xludf.DUMMYFUNCTION("""COMPUTED_VALUE"""),42298.6666666666)</f>
        <v>42298.666666666599</v>
      </c>
      <c r="AR121" s="3">
        <f ca="1">IFERROR(__xludf.DUMMYFUNCTION("""COMPUTED_VALUE"""),43.85)</f>
        <v>43.85</v>
      </c>
      <c r="AS121" s="3">
        <f ca="1">IFERROR(__xludf.DUMMYFUNCTION("""COMPUTED_VALUE"""),43.99)</f>
        <v>43.99</v>
      </c>
      <c r="AT121" s="3">
        <f ca="1">IFERROR(__xludf.DUMMYFUNCTION("""COMPUTED_VALUE"""),43.38)</f>
        <v>43.38</v>
      </c>
      <c r="AU121" s="3">
        <f ca="1">IFERROR(__xludf.DUMMYFUNCTION("""COMPUTED_VALUE"""),43.46)</f>
        <v>43.46</v>
      </c>
      <c r="AV121" s="3">
        <f ca="1">IFERROR(__xludf.DUMMYFUNCTION("""COMPUTED_VALUE"""),5516505)</f>
        <v>5516505</v>
      </c>
      <c r="AW121" s="4">
        <f ca="1">IFERROR(__xludf.DUMMYFUNCTION("""COMPUTED_VALUE"""),42466.6666666666)</f>
        <v>42466.666666666599</v>
      </c>
      <c r="AX121" s="3">
        <f ca="1">IFERROR(__xludf.DUMMYFUNCTION("""COMPUTED_VALUE"""),31.93)</f>
        <v>31.93</v>
      </c>
      <c r="AY121" s="3">
        <f ca="1">IFERROR(__xludf.DUMMYFUNCTION("""COMPUTED_VALUE"""),31.98)</f>
        <v>31.98</v>
      </c>
      <c r="AZ121" s="3">
        <f ca="1">IFERROR(__xludf.DUMMYFUNCTION("""COMPUTED_VALUE"""),31.85)</f>
        <v>31.85</v>
      </c>
      <c r="BA121" s="3">
        <f ca="1">IFERROR(__xludf.DUMMYFUNCTION("""COMPUTED_VALUE"""),31.98)</f>
        <v>31.98</v>
      </c>
      <c r="BB121" s="3">
        <f ca="1">IFERROR(__xludf.DUMMYFUNCTION("""COMPUTED_VALUE"""),588)</f>
        <v>588</v>
      </c>
      <c r="BC121" s="4">
        <f ca="1">IFERROR(__xludf.DUMMYFUNCTION("""COMPUTED_VALUE"""),42298.6666666666)</f>
        <v>42298.666666666599</v>
      </c>
      <c r="BD121" s="3">
        <f ca="1">IFERROR(__xludf.DUMMYFUNCTION("""COMPUTED_VALUE"""),42.11)</f>
        <v>42.11</v>
      </c>
      <c r="BE121" s="3">
        <f ca="1">IFERROR(__xludf.DUMMYFUNCTION("""COMPUTED_VALUE"""),42.22)</f>
        <v>42.22</v>
      </c>
      <c r="BF121" s="3">
        <f ca="1">IFERROR(__xludf.DUMMYFUNCTION("""COMPUTED_VALUE"""),41.65)</f>
        <v>41.65</v>
      </c>
      <c r="BG121" s="3">
        <f ca="1">IFERROR(__xludf.DUMMYFUNCTION("""COMPUTED_VALUE"""),41.7)</f>
        <v>41.7</v>
      </c>
      <c r="BH121" s="3">
        <f ca="1">IFERROR(__xludf.DUMMYFUNCTION("""COMPUTED_VALUE"""),9417169)</f>
        <v>9417169</v>
      </c>
      <c r="BI121" s="4">
        <f ca="1">IFERROR(__xludf.DUMMYFUNCTION("""COMPUTED_VALUE"""),42298.6666666666)</f>
        <v>42298.666666666599</v>
      </c>
      <c r="BJ121" s="3">
        <f ca="1">IFERROR(__xludf.DUMMYFUNCTION("""COMPUTED_VALUE"""),45.09)</f>
        <v>45.09</v>
      </c>
      <c r="BK121" s="3">
        <f ca="1">IFERROR(__xludf.DUMMYFUNCTION("""COMPUTED_VALUE"""),45.33)</f>
        <v>45.33</v>
      </c>
      <c r="BL121" s="3">
        <f ca="1">IFERROR(__xludf.DUMMYFUNCTION("""COMPUTED_VALUE"""),44.84)</f>
        <v>44.84</v>
      </c>
      <c r="BM121" s="3">
        <f ca="1">IFERROR(__xludf.DUMMYFUNCTION("""COMPUTED_VALUE"""),44.87)</f>
        <v>44.87</v>
      </c>
      <c r="BN121" s="3">
        <f ca="1">IFERROR(__xludf.DUMMYFUNCTION("""COMPUTED_VALUE"""),8411038)</f>
        <v>8411038</v>
      </c>
    </row>
    <row r="122" spans="7:66" ht="13" x14ac:dyDescent="0.15">
      <c r="G122" s="4">
        <f ca="1">IFERROR(__xludf.DUMMYFUNCTION("""COMPUTED_VALUE"""),42299.6666666666)</f>
        <v>42299.666666666599</v>
      </c>
      <c r="H122" s="3">
        <f ca="1">IFERROR(__xludf.DUMMYFUNCTION("""COMPUTED_VALUE"""),78.7)</f>
        <v>78.7</v>
      </c>
      <c r="I122" s="3">
        <f ca="1">IFERROR(__xludf.DUMMYFUNCTION("""COMPUTED_VALUE"""),79.39)</f>
        <v>79.39</v>
      </c>
      <c r="J122" s="3">
        <f ca="1">IFERROR(__xludf.DUMMYFUNCTION("""COMPUTED_VALUE"""),78.55)</f>
        <v>78.55</v>
      </c>
      <c r="K122" s="3">
        <f ca="1">IFERROR(__xludf.DUMMYFUNCTION("""COMPUTED_VALUE"""),79.24)</f>
        <v>79.239999999999995</v>
      </c>
      <c r="L122" s="3">
        <f ca="1">IFERROR(__xludf.DUMMYFUNCTION("""COMPUTED_VALUE"""),8227518)</f>
        <v>8227518</v>
      </c>
      <c r="M122" s="4">
        <f ca="1">IFERROR(__xludf.DUMMYFUNCTION("""COMPUTED_VALUE"""),42299.6666666666)</f>
        <v>42299.666666666599</v>
      </c>
      <c r="N122" s="3">
        <f ca="1">IFERROR(__xludf.DUMMYFUNCTION("""COMPUTED_VALUE"""),50.03)</f>
        <v>50.03</v>
      </c>
      <c r="O122" s="3">
        <f ca="1">IFERROR(__xludf.DUMMYFUNCTION("""COMPUTED_VALUE"""),50.89)</f>
        <v>50.89</v>
      </c>
      <c r="P122" s="3">
        <f ca="1">IFERROR(__xludf.DUMMYFUNCTION("""COMPUTED_VALUE"""),49.95)</f>
        <v>49.95</v>
      </c>
      <c r="Q122" s="3">
        <f ca="1">IFERROR(__xludf.DUMMYFUNCTION("""COMPUTED_VALUE"""),50.82)</f>
        <v>50.82</v>
      </c>
      <c r="R122" s="3">
        <f ca="1">IFERROR(__xludf.DUMMYFUNCTION("""COMPUTED_VALUE"""),13590342)</f>
        <v>13590342</v>
      </c>
      <c r="S122" s="4">
        <f ca="1">IFERROR(__xludf.DUMMYFUNCTION("""COMPUTED_VALUE"""),42299.6666666666)</f>
        <v>42299.666666666599</v>
      </c>
      <c r="T122" s="3">
        <f ca="1">IFERROR(__xludf.DUMMYFUNCTION("""COMPUTED_VALUE"""),67.58)</f>
        <v>67.58</v>
      </c>
      <c r="U122" s="3">
        <f ca="1">IFERROR(__xludf.DUMMYFUNCTION("""COMPUTED_VALUE"""),68.59)</f>
        <v>68.59</v>
      </c>
      <c r="V122" s="3">
        <f ca="1">IFERROR(__xludf.DUMMYFUNCTION("""COMPUTED_VALUE"""),67.55)</f>
        <v>67.55</v>
      </c>
      <c r="W122" s="3">
        <f ca="1">IFERROR(__xludf.DUMMYFUNCTION("""COMPUTED_VALUE"""),68.42)</f>
        <v>68.42</v>
      </c>
      <c r="X122" s="3">
        <f ca="1">IFERROR(__xludf.DUMMYFUNCTION("""COMPUTED_VALUE"""),18740747)</f>
        <v>18740747</v>
      </c>
      <c r="Y122" s="4">
        <f ca="1">IFERROR(__xludf.DUMMYFUNCTION("""COMPUTED_VALUE"""),42299.6666666666)</f>
        <v>42299.666666666599</v>
      </c>
      <c r="Z122" s="3">
        <f ca="1">IFERROR(__xludf.DUMMYFUNCTION("""COMPUTED_VALUE"""),19.12)</f>
        <v>19.12</v>
      </c>
      <c r="AA122" s="3">
        <f ca="1">IFERROR(__xludf.DUMMYFUNCTION("""COMPUTED_VALUE"""),19.46)</f>
        <v>19.46</v>
      </c>
      <c r="AB122" s="3">
        <f ca="1">IFERROR(__xludf.DUMMYFUNCTION("""COMPUTED_VALUE"""),19.12)</f>
        <v>19.12</v>
      </c>
      <c r="AC122" s="3">
        <f ca="1">IFERROR(__xludf.DUMMYFUNCTION("""COMPUTED_VALUE"""),19.39)</f>
        <v>19.39</v>
      </c>
      <c r="AD122" s="3">
        <f ca="1">IFERROR(__xludf.DUMMYFUNCTION("""COMPUTED_VALUE"""),49719160)</f>
        <v>49719160</v>
      </c>
      <c r="AE122" s="4">
        <f ca="1">IFERROR(__xludf.DUMMYFUNCTION("""COMPUTED_VALUE"""),42299.6666666666)</f>
        <v>42299.666666666599</v>
      </c>
      <c r="AF122" s="3">
        <f ca="1">IFERROR(__xludf.DUMMYFUNCTION("""COMPUTED_VALUE"""),68.39)</f>
        <v>68.39</v>
      </c>
      <c r="AG122" s="3">
        <f ca="1">IFERROR(__xludf.DUMMYFUNCTION("""COMPUTED_VALUE"""),68.5)</f>
        <v>68.5</v>
      </c>
      <c r="AH122" s="3">
        <f ca="1">IFERROR(__xludf.DUMMYFUNCTION("""COMPUTED_VALUE"""),67.03)</f>
        <v>67.03</v>
      </c>
      <c r="AI122" s="3">
        <f ca="1">IFERROR(__xludf.DUMMYFUNCTION("""COMPUTED_VALUE"""),67.88)</f>
        <v>67.88</v>
      </c>
      <c r="AJ122" s="3">
        <f ca="1">IFERROR(__xludf.DUMMYFUNCTION("""COMPUTED_VALUE"""),35524535)</f>
        <v>35524535</v>
      </c>
      <c r="AK122" s="4">
        <f ca="1">IFERROR(__xludf.DUMMYFUNCTION("""COMPUTED_VALUE"""),42299.6666666666)</f>
        <v>42299.666666666599</v>
      </c>
      <c r="AL122" s="3">
        <f ca="1">IFERROR(__xludf.DUMMYFUNCTION("""COMPUTED_VALUE"""),53.19)</f>
        <v>53.19</v>
      </c>
      <c r="AM122" s="3">
        <f ca="1">IFERROR(__xludf.DUMMYFUNCTION("""COMPUTED_VALUE"""),54.67)</f>
        <v>54.67</v>
      </c>
      <c r="AN122" s="3">
        <f ca="1">IFERROR(__xludf.DUMMYFUNCTION("""COMPUTED_VALUE"""),53.11)</f>
        <v>53.11</v>
      </c>
      <c r="AO122" s="3">
        <f ca="1">IFERROR(__xludf.DUMMYFUNCTION("""COMPUTED_VALUE"""),54.46)</f>
        <v>54.46</v>
      </c>
      <c r="AP122" s="3">
        <f ca="1">IFERROR(__xludf.DUMMYFUNCTION("""COMPUTED_VALUE"""),20908787)</f>
        <v>20908787</v>
      </c>
      <c r="AQ122" s="4">
        <f ca="1">IFERROR(__xludf.DUMMYFUNCTION("""COMPUTED_VALUE"""),42299.6666666666)</f>
        <v>42299.666666666599</v>
      </c>
      <c r="AR122" s="3">
        <f ca="1">IFERROR(__xludf.DUMMYFUNCTION("""COMPUTED_VALUE"""),43.98)</f>
        <v>43.98</v>
      </c>
      <c r="AS122" s="3">
        <f ca="1">IFERROR(__xludf.DUMMYFUNCTION("""COMPUTED_VALUE"""),44.69)</f>
        <v>44.69</v>
      </c>
      <c r="AT122" s="3">
        <f ca="1">IFERROR(__xludf.DUMMYFUNCTION("""COMPUTED_VALUE"""),43.87)</f>
        <v>43.87</v>
      </c>
      <c r="AU122" s="3">
        <f ca="1">IFERROR(__xludf.DUMMYFUNCTION("""COMPUTED_VALUE"""),44.65)</f>
        <v>44.65</v>
      </c>
      <c r="AV122" s="3">
        <f ca="1">IFERROR(__xludf.DUMMYFUNCTION("""COMPUTED_VALUE"""),7258997)</f>
        <v>7258997</v>
      </c>
      <c r="AW122" s="4">
        <f ca="1">IFERROR(__xludf.DUMMYFUNCTION("""COMPUTED_VALUE"""),42467.6666666666)</f>
        <v>42467.666666666599</v>
      </c>
      <c r="AX122" s="3">
        <f ca="1">IFERROR(__xludf.DUMMYFUNCTION("""COMPUTED_VALUE"""),32.03)</f>
        <v>32.03</v>
      </c>
      <c r="AY122" s="3">
        <f ca="1">IFERROR(__xludf.DUMMYFUNCTION("""COMPUTED_VALUE"""),32.03)</f>
        <v>32.03</v>
      </c>
      <c r="AZ122" s="3">
        <f ca="1">IFERROR(__xludf.DUMMYFUNCTION("""COMPUTED_VALUE"""),31.72)</f>
        <v>31.72</v>
      </c>
      <c r="BA122" s="3">
        <f ca="1">IFERROR(__xludf.DUMMYFUNCTION("""COMPUTED_VALUE"""),31.72)</f>
        <v>31.72</v>
      </c>
      <c r="BB122" s="3">
        <f ca="1">IFERROR(__xludf.DUMMYFUNCTION("""COMPUTED_VALUE"""),2124)</f>
        <v>2124</v>
      </c>
      <c r="BC122" s="4">
        <f ca="1">IFERROR(__xludf.DUMMYFUNCTION("""COMPUTED_VALUE"""),42299.6666666666)</f>
        <v>42299.666666666599</v>
      </c>
      <c r="BD122" s="3">
        <f ca="1">IFERROR(__xludf.DUMMYFUNCTION("""COMPUTED_VALUE"""),42)</f>
        <v>42</v>
      </c>
      <c r="BE122" s="3">
        <f ca="1">IFERROR(__xludf.DUMMYFUNCTION("""COMPUTED_VALUE"""),42.73)</f>
        <v>42.73</v>
      </c>
      <c r="BF122" s="3">
        <f ca="1">IFERROR(__xludf.DUMMYFUNCTION("""COMPUTED_VALUE"""),42)</f>
        <v>42</v>
      </c>
      <c r="BG122" s="3">
        <f ca="1">IFERROR(__xludf.DUMMYFUNCTION("""COMPUTED_VALUE"""),42.64)</f>
        <v>42.64</v>
      </c>
      <c r="BH122" s="3">
        <f ca="1">IFERROR(__xludf.DUMMYFUNCTION("""COMPUTED_VALUE"""),14236003)</f>
        <v>14236003</v>
      </c>
      <c r="BI122" s="4">
        <f ca="1">IFERROR(__xludf.DUMMYFUNCTION("""COMPUTED_VALUE"""),42299.6666666666)</f>
        <v>42299.666666666599</v>
      </c>
      <c r="BJ122" s="3">
        <f ca="1">IFERROR(__xludf.DUMMYFUNCTION("""COMPUTED_VALUE"""),45.06)</f>
        <v>45.06</v>
      </c>
      <c r="BK122" s="3">
        <f ca="1">IFERROR(__xludf.DUMMYFUNCTION("""COMPUTED_VALUE"""),45.52)</f>
        <v>45.52</v>
      </c>
      <c r="BL122" s="3">
        <f ca="1">IFERROR(__xludf.DUMMYFUNCTION("""COMPUTED_VALUE"""),44.9)</f>
        <v>44.9</v>
      </c>
      <c r="BM122" s="3">
        <f ca="1">IFERROR(__xludf.DUMMYFUNCTION("""COMPUTED_VALUE"""),45.39)</f>
        <v>45.39</v>
      </c>
      <c r="BN122" s="3">
        <f ca="1">IFERROR(__xludf.DUMMYFUNCTION("""COMPUTED_VALUE"""),13110028)</f>
        <v>13110028</v>
      </c>
    </row>
    <row r="123" spans="7:66" ht="13" x14ac:dyDescent="0.15">
      <c r="G123" s="4">
        <f ca="1">IFERROR(__xludf.DUMMYFUNCTION("""COMPUTED_VALUE"""),42300.6666666666)</f>
        <v>42300.666666666599</v>
      </c>
      <c r="H123" s="3">
        <f ca="1">IFERROR(__xludf.DUMMYFUNCTION("""COMPUTED_VALUE"""),80.34)</f>
        <v>80.34</v>
      </c>
      <c r="I123" s="3">
        <f ca="1">IFERROR(__xludf.DUMMYFUNCTION("""COMPUTED_VALUE"""),80.41)</f>
        <v>80.41</v>
      </c>
      <c r="J123" s="3">
        <f ca="1">IFERROR(__xludf.DUMMYFUNCTION("""COMPUTED_VALUE"""),79.21)</f>
        <v>79.209999999999994</v>
      </c>
      <c r="K123" s="3">
        <f ca="1">IFERROR(__xludf.DUMMYFUNCTION("""COMPUTED_VALUE"""),79.63)</f>
        <v>79.63</v>
      </c>
      <c r="L123" s="3">
        <f ca="1">IFERROR(__xludf.DUMMYFUNCTION("""COMPUTED_VALUE"""),7895090)</f>
        <v>7895090</v>
      </c>
      <c r="M123" s="4">
        <f ca="1">IFERROR(__xludf.DUMMYFUNCTION("""COMPUTED_VALUE"""),42300.6666666666)</f>
        <v>42300.666666666599</v>
      </c>
      <c r="N123" s="3">
        <f ca="1">IFERROR(__xludf.DUMMYFUNCTION("""COMPUTED_VALUE"""),51)</f>
        <v>51</v>
      </c>
      <c r="O123" s="3">
        <f ca="1">IFERROR(__xludf.DUMMYFUNCTION("""COMPUTED_VALUE"""),51.13)</f>
        <v>51.13</v>
      </c>
      <c r="P123" s="3">
        <f ca="1">IFERROR(__xludf.DUMMYFUNCTION("""COMPUTED_VALUE"""),50.46)</f>
        <v>50.46</v>
      </c>
      <c r="Q123" s="3">
        <f ca="1">IFERROR(__xludf.DUMMYFUNCTION("""COMPUTED_VALUE"""),50.74)</f>
        <v>50.74</v>
      </c>
      <c r="R123" s="3">
        <f ca="1">IFERROR(__xludf.DUMMYFUNCTION("""COMPUTED_VALUE"""),13360200)</f>
        <v>13360200</v>
      </c>
      <c r="S123" s="4">
        <f ca="1">IFERROR(__xludf.DUMMYFUNCTION("""COMPUTED_VALUE"""),42300.6666666666)</f>
        <v>42300.666666666599</v>
      </c>
      <c r="T123" s="3">
        <f ca="1">IFERROR(__xludf.DUMMYFUNCTION("""COMPUTED_VALUE"""),68.1)</f>
        <v>68.099999999999994</v>
      </c>
      <c r="U123" s="3">
        <f ca="1">IFERROR(__xludf.DUMMYFUNCTION("""COMPUTED_VALUE"""),68.9)</f>
        <v>68.900000000000006</v>
      </c>
      <c r="V123" s="3">
        <f ca="1">IFERROR(__xludf.DUMMYFUNCTION("""COMPUTED_VALUE"""),67.66)</f>
        <v>67.66</v>
      </c>
      <c r="W123" s="3">
        <f ca="1">IFERROR(__xludf.DUMMYFUNCTION("""COMPUTED_VALUE"""),68.26)</f>
        <v>68.260000000000005</v>
      </c>
      <c r="X123" s="3">
        <f ca="1">IFERROR(__xludf.DUMMYFUNCTION("""COMPUTED_VALUE"""),15631001)</f>
        <v>15631001</v>
      </c>
      <c r="Y123" s="4">
        <f ca="1">IFERROR(__xludf.DUMMYFUNCTION("""COMPUTED_VALUE"""),42300.6666666666)</f>
        <v>42300.666666666599</v>
      </c>
      <c r="Z123" s="3">
        <f ca="1">IFERROR(__xludf.DUMMYFUNCTION("""COMPUTED_VALUE"""),19.55)</f>
        <v>19.55</v>
      </c>
      <c r="AA123" s="3">
        <f ca="1">IFERROR(__xludf.DUMMYFUNCTION("""COMPUTED_VALUE"""),19.61)</f>
        <v>19.61</v>
      </c>
      <c r="AB123" s="3">
        <f ca="1">IFERROR(__xludf.DUMMYFUNCTION("""COMPUTED_VALUE"""),19.46)</f>
        <v>19.46</v>
      </c>
      <c r="AC123" s="3">
        <f ca="1">IFERROR(__xludf.DUMMYFUNCTION("""COMPUTED_VALUE"""),19.6)</f>
        <v>19.600000000000001</v>
      </c>
      <c r="AD123" s="3">
        <f ca="1">IFERROR(__xludf.DUMMYFUNCTION("""COMPUTED_VALUE"""),37289562)</f>
        <v>37289562</v>
      </c>
      <c r="AE123" s="4">
        <f ca="1">IFERROR(__xludf.DUMMYFUNCTION("""COMPUTED_VALUE"""),42300.6666666666)</f>
        <v>42300.666666666599</v>
      </c>
      <c r="AF123" s="3">
        <f ca="1">IFERROR(__xludf.DUMMYFUNCTION("""COMPUTED_VALUE"""),68.58)</f>
        <v>68.58</v>
      </c>
      <c r="AG123" s="3">
        <f ca="1">IFERROR(__xludf.DUMMYFUNCTION("""COMPUTED_VALUE"""),69.69)</f>
        <v>69.69</v>
      </c>
      <c r="AH123" s="3">
        <f ca="1">IFERROR(__xludf.DUMMYFUNCTION("""COMPUTED_VALUE"""),68.3)</f>
        <v>68.3</v>
      </c>
      <c r="AI123" s="3">
        <f ca="1">IFERROR(__xludf.DUMMYFUNCTION("""COMPUTED_VALUE"""),69.33)</f>
        <v>69.33</v>
      </c>
      <c r="AJ123" s="3">
        <f ca="1">IFERROR(__xludf.DUMMYFUNCTION("""COMPUTED_VALUE"""),26524171)</f>
        <v>26524171</v>
      </c>
      <c r="AK123" s="4">
        <f ca="1">IFERROR(__xludf.DUMMYFUNCTION("""COMPUTED_VALUE"""),42300.6666666666)</f>
        <v>42300.666666666599</v>
      </c>
      <c r="AL123" s="3">
        <f ca="1">IFERROR(__xludf.DUMMYFUNCTION("""COMPUTED_VALUE"""),54.78)</f>
        <v>54.78</v>
      </c>
      <c r="AM123" s="3">
        <f ca="1">IFERROR(__xludf.DUMMYFUNCTION("""COMPUTED_VALUE"""),54.86)</f>
        <v>54.86</v>
      </c>
      <c r="AN123" s="3">
        <f ca="1">IFERROR(__xludf.DUMMYFUNCTION("""COMPUTED_VALUE"""),54.31)</f>
        <v>54.31</v>
      </c>
      <c r="AO123" s="3">
        <f ca="1">IFERROR(__xludf.DUMMYFUNCTION("""COMPUTED_VALUE"""),54.66)</f>
        <v>54.66</v>
      </c>
      <c r="AP123" s="3">
        <f ca="1">IFERROR(__xludf.DUMMYFUNCTION("""COMPUTED_VALUE"""),13400850)</f>
        <v>13400850</v>
      </c>
      <c r="AQ123" s="4">
        <f ca="1">IFERROR(__xludf.DUMMYFUNCTION("""COMPUTED_VALUE"""),42300.6666666666)</f>
        <v>42300.666666666599</v>
      </c>
      <c r="AR123" s="3">
        <f ca="1">IFERROR(__xludf.DUMMYFUNCTION("""COMPUTED_VALUE"""),45.07)</f>
        <v>45.07</v>
      </c>
      <c r="AS123" s="3">
        <f ca="1">IFERROR(__xludf.DUMMYFUNCTION("""COMPUTED_VALUE"""),45.2)</f>
        <v>45.2</v>
      </c>
      <c r="AT123" s="3">
        <f ca="1">IFERROR(__xludf.DUMMYFUNCTION("""COMPUTED_VALUE"""),44.78)</f>
        <v>44.78</v>
      </c>
      <c r="AU123" s="3">
        <f ca="1">IFERROR(__xludf.DUMMYFUNCTION("""COMPUTED_VALUE"""),45.02)</f>
        <v>45.02</v>
      </c>
      <c r="AV123" s="3">
        <f ca="1">IFERROR(__xludf.DUMMYFUNCTION("""COMPUTED_VALUE"""),6506542)</f>
        <v>6506542</v>
      </c>
      <c r="AW123" s="4">
        <f ca="1">IFERROR(__xludf.DUMMYFUNCTION("""COMPUTED_VALUE"""),42468.6666666666)</f>
        <v>42468.666666666599</v>
      </c>
      <c r="AX123" s="3">
        <f ca="1">IFERROR(__xludf.DUMMYFUNCTION("""COMPUTED_VALUE"""),32.19)</f>
        <v>32.19</v>
      </c>
      <c r="AY123" s="3">
        <f ca="1">IFERROR(__xludf.DUMMYFUNCTION("""COMPUTED_VALUE"""),32.25)</f>
        <v>32.25</v>
      </c>
      <c r="AZ123" s="3">
        <f ca="1">IFERROR(__xludf.DUMMYFUNCTION("""COMPUTED_VALUE"""),32.02)</f>
        <v>32.020000000000003</v>
      </c>
      <c r="BA123" s="3">
        <f ca="1">IFERROR(__xludf.DUMMYFUNCTION("""COMPUTED_VALUE"""),32.02)</f>
        <v>32.020000000000003</v>
      </c>
      <c r="BB123" s="3">
        <f ca="1">IFERROR(__xludf.DUMMYFUNCTION("""COMPUTED_VALUE"""),1897)</f>
        <v>1897</v>
      </c>
      <c r="BC123" s="4">
        <f ca="1">IFERROR(__xludf.DUMMYFUNCTION("""COMPUTED_VALUE"""),42300.6666666666)</f>
        <v>42300.666666666599</v>
      </c>
      <c r="BD123" s="3">
        <f ca="1">IFERROR(__xludf.DUMMYFUNCTION("""COMPUTED_VALUE"""),43.7)</f>
        <v>43.7</v>
      </c>
      <c r="BE123" s="3">
        <f ca="1">IFERROR(__xludf.DUMMYFUNCTION("""COMPUTED_VALUE"""),44)</f>
        <v>44</v>
      </c>
      <c r="BF123" s="3">
        <f ca="1">IFERROR(__xludf.DUMMYFUNCTION("""COMPUTED_VALUE"""),43.56)</f>
        <v>43.56</v>
      </c>
      <c r="BG123" s="3">
        <f ca="1">IFERROR(__xludf.DUMMYFUNCTION("""COMPUTED_VALUE"""),43.83)</f>
        <v>43.83</v>
      </c>
      <c r="BH123" s="3">
        <f ca="1">IFERROR(__xludf.DUMMYFUNCTION("""COMPUTED_VALUE"""),16691718)</f>
        <v>16691718</v>
      </c>
      <c r="BI123" s="4">
        <f ca="1">IFERROR(__xludf.DUMMYFUNCTION("""COMPUTED_VALUE"""),42300.6666666666)</f>
        <v>42300.666666666599</v>
      </c>
      <c r="BJ123" s="3">
        <f ca="1">IFERROR(__xludf.DUMMYFUNCTION("""COMPUTED_VALUE"""),45.35)</f>
        <v>45.35</v>
      </c>
      <c r="BK123" s="3">
        <f ca="1">IFERROR(__xludf.DUMMYFUNCTION("""COMPUTED_VALUE"""),45.37)</f>
        <v>45.37</v>
      </c>
      <c r="BL123" s="3">
        <f ca="1">IFERROR(__xludf.DUMMYFUNCTION("""COMPUTED_VALUE"""),44.56)</f>
        <v>44.56</v>
      </c>
      <c r="BM123" s="3">
        <f ca="1">IFERROR(__xludf.DUMMYFUNCTION("""COMPUTED_VALUE"""),44.59)</f>
        <v>44.59</v>
      </c>
      <c r="BN123" s="3">
        <f ca="1">IFERROR(__xludf.DUMMYFUNCTION("""COMPUTED_VALUE"""),12585194)</f>
        <v>12585194</v>
      </c>
    </row>
    <row r="124" spans="7:66" ht="13" x14ac:dyDescent="0.15">
      <c r="G124" s="4">
        <f ca="1">IFERROR(__xludf.DUMMYFUNCTION("""COMPUTED_VALUE"""),42303.6666666666)</f>
        <v>42303.666666666599</v>
      </c>
      <c r="H124" s="3">
        <f ca="1">IFERROR(__xludf.DUMMYFUNCTION("""COMPUTED_VALUE"""),79.66)</f>
        <v>79.66</v>
      </c>
      <c r="I124" s="3">
        <f ca="1">IFERROR(__xludf.DUMMYFUNCTION("""COMPUTED_VALUE"""),80.33)</f>
        <v>80.33</v>
      </c>
      <c r="J124" s="3">
        <f ca="1">IFERROR(__xludf.DUMMYFUNCTION("""COMPUTED_VALUE"""),79.6)</f>
        <v>79.599999999999994</v>
      </c>
      <c r="K124" s="3">
        <f ca="1">IFERROR(__xludf.DUMMYFUNCTION("""COMPUTED_VALUE"""),80.19)</f>
        <v>80.19</v>
      </c>
      <c r="L124" s="3">
        <f ca="1">IFERROR(__xludf.DUMMYFUNCTION("""COMPUTED_VALUE"""),6025021)</f>
        <v>6025021</v>
      </c>
      <c r="M124" s="4">
        <f ca="1">IFERROR(__xludf.DUMMYFUNCTION("""COMPUTED_VALUE"""),42303.6666666666)</f>
        <v>42303.666666666599</v>
      </c>
      <c r="N124" s="3">
        <f ca="1">IFERROR(__xludf.DUMMYFUNCTION("""COMPUTED_VALUE"""),50.74)</f>
        <v>50.74</v>
      </c>
      <c r="O124" s="3">
        <f ca="1">IFERROR(__xludf.DUMMYFUNCTION("""COMPUTED_VALUE"""),50.84)</f>
        <v>50.84</v>
      </c>
      <c r="P124" s="3">
        <f ca="1">IFERROR(__xludf.DUMMYFUNCTION("""COMPUTED_VALUE"""),50.56)</f>
        <v>50.56</v>
      </c>
      <c r="Q124" s="3">
        <f ca="1">IFERROR(__xludf.DUMMYFUNCTION("""COMPUTED_VALUE"""),50.64)</f>
        <v>50.64</v>
      </c>
      <c r="R124" s="3">
        <f ca="1">IFERROR(__xludf.DUMMYFUNCTION("""COMPUTED_VALUE"""),8893020)</f>
        <v>8893020</v>
      </c>
      <c r="S124" s="4">
        <f ca="1">IFERROR(__xludf.DUMMYFUNCTION("""COMPUTED_VALUE"""),42303.6666666666)</f>
        <v>42303.666666666599</v>
      </c>
      <c r="T124" s="3">
        <f ca="1">IFERROR(__xludf.DUMMYFUNCTION("""COMPUTED_VALUE"""),68.13)</f>
        <v>68.13</v>
      </c>
      <c r="U124" s="3">
        <f ca="1">IFERROR(__xludf.DUMMYFUNCTION("""COMPUTED_VALUE"""),68.13)</f>
        <v>68.13</v>
      </c>
      <c r="V124" s="3">
        <f ca="1">IFERROR(__xludf.DUMMYFUNCTION("""COMPUTED_VALUE"""),66.57)</f>
        <v>66.569999999999993</v>
      </c>
      <c r="W124" s="3">
        <f ca="1">IFERROR(__xludf.DUMMYFUNCTION("""COMPUTED_VALUE"""),66.59)</f>
        <v>66.59</v>
      </c>
      <c r="X124" s="3">
        <f ca="1">IFERROR(__xludf.DUMMYFUNCTION("""COMPUTED_VALUE"""),11836061)</f>
        <v>11836061</v>
      </c>
      <c r="Y124" s="4">
        <f ca="1">IFERROR(__xludf.DUMMYFUNCTION("""COMPUTED_VALUE"""),42303.6666666666)</f>
        <v>42303.666666666599</v>
      </c>
      <c r="Z124" s="3">
        <f ca="1">IFERROR(__xludf.DUMMYFUNCTION("""COMPUTED_VALUE"""),19.6)</f>
        <v>19.600000000000001</v>
      </c>
      <c r="AA124" s="3">
        <f ca="1">IFERROR(__xludf.DUMMYFUNCTION("""COMPUTED_VALUE"""),19.6)</f>
        <v>19.600000000000001</v>
      </c>
      <c r="AB124" s="3">
        <f ca="1">IFERROR(__xludf.DUMMYFUNCTION("""COMPUTED_VALUE"""),19.45)</f>
        <v>19.45</v>
      </c>
      <c r="AC124" s="3">
        <f ca="1">IFERROR(__xludf.DUMMYFUNCTION("""COMPUTED_VALUE"""),19.52)</f>
        <v>19.52</v>
      </c>
      <c r="AD124" s="3">
        <f ca="1">IFERROR(__xludf.DUMMYFUNCTION("""COMPUTED_VALUE"""),19890927)</f>
        <v>19890927</v>
      </c>
      <c r="AE124" s="4">
        <f ca="1">IFERROR(__xludf.DUMMYFUNCTION("""COMPUTED_VALUE"""),42303.6666666666)</f>
        <v>42303.666666666599</v>
      </c>
      <c r="AF124" s="3">
        <f ca="1">IFERROR(__xludf.DUMMYFUNCTION("""COMPUTED_VALUE"""),69.16)</f>
        <v>69.16</v>
      </c>
      <c r="AG124" s="3">
        <f ca="1">IFERROR(__xludf.DUMMYFUNCTION("""COMPUTED_VALUE"""),70.07)</f>
        <v>70.069999999999993</v>
      </c>
      <c r="AH124" s="3">
        <f ca="1">IFERROR(__xludf.DUMMYFUNCTION("""COMPUTED_VALUE"""),68.93)</f>
        <v>68.930000000000007</v>
      </c>
      <c r="AI124" s="3">
        <f ca="1">IFERROR(__xludf.DUMMYFUNCTION("""COMPUTED_VALUE"""),69.6)</f>
        <v>69.599999999999994</v>
      </c>
      <c r="AJ124" s="3">
        <f ca="1">IFERROR(__xludf.DUMMYFUNCTION("""COMPUTED_VALUE"""),17831899)</f>
        <v>17831899</v>
      </c>
      <c r="AK124" s="4">
        <f ca="1">IFERROR(__xludf.DUMMYFUNCTION("""COMPUTED_VALUE"""),42303.6666666666)</f>
        <v>42303.666666666599</v>
      </c>
      <c r="AL124" s="3">
        <f ca="1">IFERROR(__xludf.DUMMYFUNCTION("""COMPUTED_VALUE"""),54.54)</f>
        <v>54.54</v>
      </c>
      <c r="AM124" s="3">
        <f ca="1">IFERROR(__xludf.DUMMYFUNCTION("""COMPUTED_VALUE"""),54.82)</f>
        <v>54.82</v>
      </c>
      <c r="AN124" s="3">
        <f ca="1">IFERROR(__xludf.DUMMYFUNCTION("""COMPUTED_VALUE"""),54.42)</f>
        <v>54.42</v>
      </c>
      <c r="AO124" s="3">
        <f ca="1">IFERROR(__xludf.DUMMYFUNCTION("""COMPUTED_VALUE"""),54.54)</f>
        <v>54.54</v>
      </c>
      <c r="AP124" s="3">
        <f ca="1">IFERROR(__xludf.DUMMYFUNCTION("""COMPUTED_VALUE"""),11294926)</f>
        <v>11294926</v>
      </c>
      <c r="AQ124" s="4">
        <f ca="1">IFERROR(__xludf.DUMMYFUNCTION("""COMPUTED_VALUE"""),42303.6666666666)</f>
        <v>42303.666666666599</v>
      </c>
      <c r="AR124" s="3">
        <f ca="1">IFERROR(__xludf.DUMMYFUNCTION("""COMPUTED_VALUE"""),44.95)</f>
        <v>44.95</v>
      </c>
      <c r="AS124" s="3">
        <f ca="1">IFERROR(__xludf.DUMMYFUNCTION("""COMPUTED_VALUE"""),45.08)</f>
        <v>45.08</v>
      </c>
      <c r="AT124" s="3">
        <f ca="1">IFERROR(__xludf.DUMMYFUNCTION("""COMPUTED_VALUE"""),44.64)</f>
        <v>44.64</v>
      </c>
      <c r="AU124" s="3">
        <f ca="1">IFERROR(__xludf.DUMMYFUNCTION("""COMPUTED_VALUE"""),44.65)</f>
        <v>44.65</v>
      </c>
      <c r="AV124" s="3">
        <f ca="1">IFERROR(__xludf.DUMMYFUNCTION("""COMPUTED_VALUE"""),3994551)</f>
        <v>3994551</v>
      </c>
      <c r="AW124" s="4">
        <f ca="1">IFERROR(__xludf.DUMMYFUNCTION("""COMPUTED_VALUE"""),42471.6666666666)</f>
        <v>42471.666666666599</v>
      </c>
      <c r="AX124" s="3">
        <f ca="1">IFERROR(__xludf.DUMMYFUNCTION("""COMPUTED_VALUE"""),32.06)</f>
        <v>32.06</v>
      </c>
      <c r="AY124" s="3">
        <f ca="1">IFERROR(__xludf.DUMMYFUNCTION("""COMPUTED_VALUE"""),32.2)</f>
        <v>32.200000000000003</v>
      </c>
      <c r="AZ124" s="3">
        <f ca="1">IFERROR(__xludf.DUMMYFUNCTION("""COMPUTED_VALUE"""),31.99)</f>
        <v>31.99</v>
      </c>
      <c r="BA124" s="3">
        <f ca="1">IFERROR(__xludf.DUMMYFUNCTION("""COMPUTED_VALUE"""),32)</f>
        <v>32</v>
      </c>
      <c r="BB124" s="3">
        <f ca="1">IFERROR(__xludf.DUMMYFUNCTION("""COMPUTED_VALUE"""),3141)</f>
        <v>3141</v>
      </c>
      <c r="BC124" s="4">
        <f ca="1">IFERROR(__xludf.DUMMYFUNCTION("""COMPUTED_VALUE"""),42303.6666666666)</f>
        <v>42303.666666666599</v>
      </c>
      <c r="BD124" s="3">
        <f ca="1">IFERROR(__xludf.DUMMYFUNCTION("""COMPUTED_VALUE"""),43.79)</f>
        <v>43.79</v>
      </c>
      <c r="BE124" s="3">
        <f ca="1">IFERROR(__xludf.DUMMYFUNCTION("""COMPUTED_VALUE"""),43.79)</f>
        <v>43.79</v>
      </c>
      <c r="BF124" s="3">
        <f ca="1">IFERROR(__xludf.DUMMYFUNCTION("""COMPUTED_VALUE"""),43.5)</f>
        <v>43.5</v>
      </c>
      <c r="BG124" s="3">
        <f ca="1">IFERROR(__xludf.DUMMYFUNCTION("""COMPUTED_VALUE"""),43.66)</f>
        <v>43.66</v>
      </c>
      <c r="BH124" s="3">
        <f ca="1">IFERROR(__xludf.DUMMYFUNCTION("""COMPUTED_VALUE"""),8288147)</f>
        <v>8288147</v>
      </c>
      <c r="BI124" s="4">
        <f ca="1">IFERROR(__xludf.DUMMYFUNCTION("""COMPUTED_VALUE"""),42303.6666666666)</f>
        <v>42303.666666666599</v>
      </c>
      <c r="BJ124" s="3">
        <f ca="1">IFERROR(__xludf.DUMMYFUNCTION("""COMPUTED_VALUE"""),44.69)</f>
        <v>44.69</v>
      </c>
      <c r="BK124" s="3">
        <f ca="1">IFERROR(__xludf.DUMMYFUNCTION("""COMPUTED_VALUE"""),44.72)</f>
        <v>44.72</v>
      </c>
      <c r="BL124" s="3">
        <f ca="1">IFERROR(__xludf.DUMMYFUNCTION("""COMPUTED_VALUE"""),44.08)</f>
        <v>44.08</v>
      </c>
      <c r="BM124" s="3">
        <f ca="1">IFERROR(__xludf.DUMMYFUNCTION("""COMPUTED_VALUE"""),44.43)</f>
        <v>44.43</v>
      </c>
      <c r="BN124" s="3">
        <f ca="1">IFERROR(__xludf.DUMMYFUNCTION("""COMPUTED_VALUE"""),11113530)</f>
        <v>11113530</v>
      </c>
    </row>
    <row r="125" spans="7:66" ht="13" x14ac:dyDescent="0.15">
      <c r="G125" s="4">
        <f ca="1">IFERROR(__xludf.DUMMYFUNCTION("""COMPUTED_VALUE"""),42304.6666666666)</f>
        <v>42304.666666666599</v>
      </c>
      <c r="H125" s="3">
        <f ca="1">IFERROR(__xludf.DUMMYFUNCTION("""COMPUTED_VALUE"""),80)</f>
        <v>80</v>
      </c>
      <c r="I125" s="3">
        <f ca="1">IFERROR(__xludf.DUMMYFUNCTION("""COMPUTED_VALUE"""),80.1)</f>
        <v>80.099999999999994</v>
      </c>
      <c r="J125" s="3">
        <f ca="1">IFERROR(__xludf.DUMMYFUNCTION("""COMPUTED_VALUE"""),79.47)</f>
        <v>79.47</v>
      </c>
      <c r="K125" s="3">
        <f ca="1">IFERROR(__xludf.DUMMYFUNCTION("""COMPUTED_VALUE"""),79.81)</f>
        <v>79.81</v>
      </c>
      <c r="L125" s="3">
        <f ca="1">IFERROR(__xludf.DUMMYFUNCTION("""COMPUTED_VALUE"""),4471166)</f>
        <v>4471166</v>
      </c>
      <c r="M125" s="4">
        <f ca="1">IFERROR(__xludf.DUMMYFUNCTION("""COMPUTED_VALUE"""),42304.6666666666)</f>
        <v>42304.666666666599</v>
      </c>
      <c r="N125" s="3">
        <f ca="1">IFERROR(__xludf.DUMMYFUNCTION("""COMPUTED_VALUE"""),50.48)</f>
        <v>50.48</v>
      </c>
      <c r="O125" s="3">
        <f ca="1">IFERROR(__xludf.DUMMYFUNCTION("""COMPUTED_VALUE"""),50.71)</f>
        <v>50.71</v>
      </c>
      <c r="P125" s="3">
        <f ca="1">IFERROR(__xludf.DUMMYFUNCTION("""COMPUTED_VALUE"""),50.32)</f>
        <v>50.32</v>
      </c>
      <c r="Q125" s="3">
        <f ca="1">IFERROR(__xludf.DUMMYFUNCTION("""COMPUTED_VALUE"""),50.71)</f>
        <v>50.71</v>
      </c>
      <c r="R125" s="3">
        <f ca="1">IFERROR(__xludf.DUMMYFUNCTION("""COMPUTED_VALUE"""),5126177)</f>
        <v>5126177</v>
      </c>
      <c r="S125" s="4">
        <f ca="1">IFERROR(__xludf.DUMMYFUNCTION("""COMPUTED_VALUE"""),42304.6666666666)</f>
        <v>42304.666666666599</v>
      </c>
      <c r="T125" s="3">
        <f ca="1">IFERROR(__xludf.DUMMYFUNCTION("""COMPUTED_VALUE"""),65.67)</f>
        <v>65.67</v>
      </c>
      <c r="U125" s="3">
        <f ca="1">IFERROR(__xludf.DUMMYFUNCTION("""COMPUTED_VALUE"""),66.01)</f>
        <v>66.010000000000005</v>
      </c>
      <c r="V125" s="3">
        <f ca="1">IFERROR(__xludf.DUMMYFUNCTION("""COMPUTED_VALUE"""),65.11)</f>
        <v>65.11</v>
      </c>
      <c r="W125" s="3">
        <f ca="1">IFERROR(__xludf.DUMMYFUNCTION("""COMPUTED_VALUE"""),65.79)</f>
        <v>65.790000000000006</v>
      </c>
      <c r="X125" s="3">
        <f ca="1">IFERROR(__xludf.DUMMYFUNCTION("""COMPUTED_VALUE"""),21107334)</f>
        <v>21107334</v>
      </c>
      <c r="Y125" s="4">
        <f ca="1">IFERROR(__xludf.DUMMYFUNCTION("""COMPUTED_VALUE"""),42304.6666666666)</f>
        <v>42304.666666666599</v>
      </c>
      <c r="Z125" s="3">
        <f ca="1">IFERROR(__xludf.DUMMYFUNCTION("""COMPUTED_VALUE"""),19.42)</f>
        <v>19.420000000000002</v>
      </c>
      <c r="AA125" s="3">
        <f ca="1">IFERROR(__xludf.DUMMYFUNCTION("""COMPUTED_VALUE"""),19.45)</f>
        <v>19.45</v>
      </c>
      <c r="AB125" s="3">
        <f ca="1">IFERROR(__xludf.DUMMYFUNCTION("""COMPUTED_VALUE"""),19.34)</f>
        <v>19.34</v>
      </c>
      <c r="AC125" s="3">
        <f ca="1">IFERROR(__xludf.DUMMYFUNCTION("""COMPUTED_VALUE"""),19.41)</f>
        <v>19.41</v>
      </c>
      <c r="AD125" s="3">
        <f ca="1">IFERROR(__xludf.DUMMYFUNCTION("""COMPUTED_VALUE"""),23285260)</f>
        <v>23285260</v>
      </c>
      <c r="AE125" s="4">
        <f ca="1">IFERROR(__xludf.DUMMYFUNCTION("""COMPUTED_VALUE"""),42304.6666666666)</f>
        <v>42304.666666666599</v>
      </c>
      <c r="AF125" s="3">
        <f ca="1">IFERROR(__xludf.DUMMYFUNCTION("""COMPUTED_VALUE"""),69.79)</f>
        <v>69.790000000000006</v>
      </c>
      <c r="AG125" s="3">
        <f ca="1">IFERROR(__xludf.DUMMYFUNCTION("""COMPUTED_VALUE"""),70.88)</f>
        <v>70.88</v>
      </c>
      <c r="AH125" s="3">
        <f ca="1">IFERROR(__xludf.DUMMYFUNCTION("""COMPUTED_VALUE"""),69.78)</f>
        <v>69.78</v>
      </c>
      <c r="AI125" s="3">
        <f ca="1">IFERROR(__xludf.DUMMYFUNCTION("""COMPUTED_VALUE"""),70.88)</f>
        <v>70.88</v>
      </c>
      <c r="AJ125" s="3">
        <f ca="1">IFERROR(__xludf.DUMMYFUNCTION("""COMPUTED_VALUE"""),25160920)</f>
        <v>25160920</v>
      </c>
      <c r="AK125" s="4">
        <f ca="1">IFERROR(__xludf.DUMMYFUNCTION("""COMPUTED_VALUE"""),42304.6666666666)</f>
        <v>42304.666666666599</v>
      </c>
      <c r="AL125" s="3">
        <f ca="1">IFERROR(__xludf.DUMMYFUNCTION("""COMPUTED_VALUE"""),54.09)</f>
        <v>54.09</v>
      </c>
      <c r="AM125" s="3">
        <f ca="1">IFERROR(__xludf.DUMMYFUNCTION("""COMPUTED_VALUE"""),54.2)</f>
        <v>54.2</v>
      </c>
      <c r="AN125" s="3">
        <f ca="1">IFERROR(__xludf.DUMMYFUNCTION("""COMPUTED_VALUE"""),53.83)</f>
        <v>53.83</v>
      </c>
      <c r="AO125" s="3">
        <f ca="1">IFERROR(__xludf.DUMMYFUNCTION("""COMPUTED_VALUE"""),53.94)</f>
        <v>53.94</v>
      </c>
      <c r="AP125" s="3">
        <f ca="1">IFERROR(__xludf.DUMMYFUNCTION("""COMPUTED_VALUE"""),14483647)</f>
        <v>14483647</v>
      </c>
      <c r="AQ125" s="4">
        <f ca="1">IFERROR(__xludf.DUMMYFUNCTION("""COMPUTED_VALUE"""),42304.6666666666)</f>
        <v>42304.666666666599</v>
      </c>
      <c r="AR125" s="3">
        <f ca="1">IFERROR(__xludf.DUMMYFUNCTION("""COMPUTED_VALUE"""),44.39)</f>
        <v>44.39</v>
      </c>
      <c r="AS125" s="3">
        <f ca="1">IFERROR(__xludf.DUMMYFUNCTION("""COMPUTED_VALUE"""),44.67)</f>
        <v>44.67</v>
      </c>
      <c r="AT125" s="3">
        <f ca="1">IFERROR(__xludf.DUMMYFUNCTION("""COMPUTED_VALUE"""),44.09)</f>
        <v>44.09</v>
      </c>
      <c r="AU125" s="3">
        <f ca="1">IFERROR(__xludf.DUMMYFUNCTION("""COMPUTED_VALUE"""),44.46)</f>
        <v>44.46</v>
      </c>
      <c r="AV125" s="3">
        <f ca="1">IFERROR(__xludf.DUMMYFUNCTION("""COMPUTED_VALUE"""),6166721)</f>
        <v>6166721</v>
      </c>
      <c r="AW125" s="4">
        <f ca="1">IFERROR(__xludf.DUMMYFUNCTION("""COMPUTED_VALUE"""),42472.6666666666)</f>
        <v>42472.666666666599</v>
      </c>
      <c r="AX125" s="3">
        <f ca="1">IFERROR(__xludf.DUMMYFUNCTION("""COMPUTED_VALUE"""),32.09)</f>
        <v>32.090000000000003</v>
      </c>
      <c r="AY125" s="3">
        <f ca="1">IFERROR(__xludf.DUMMYFUNCTION("""COMPUTED_VALUE"""),32.19)</f>
        <v>32.19</v>
      </c>
      <c r="AZ125" s="3">
        <f ca="1">IFERROR(__xludf.DUMMYFUNCTION("""COMPUTED_VALUE"""),32.09)</f>
        <v>32.090000000000003</v>
      </c>
      <c r="BA125" s="3">
        <f ca="1">IFERROR(__xludf.DUMMYFUNCTION("""COMPUTED_VALUE"""),32.14)</f>
        <v>32.14</v>
      </c>
      <c r="BB125" s="3">
        <f ca="1">IFERROR(__xludf.DUMMYFUNCTION("""COMPUTED_VALUE"""),1322)</f>
        <v>1322</v>
      </c>
      <c r="BC125" s="4">
        <f ca="1">IFERROR(__xludf.DUMMYFUNCTION("""COMPUTED_VALUE"""),42304.6666666666)</f>
        <v>42304.666666666599</v>
      </c>
      <c r="BD125" s="3">
        <f ca="1">IFERROR(__xludf.DUMMYFUNCTION("""COMPUTED_VALUE"""),43.56)</f>
        <v>43.56</v>
      </c>
      <c r="BE125" s="3">
        <f ca="1">IFERROR(__xludf.DUMMYFUNCTION("""COMPUTED_VALUE"""),43.68)</f>
        <v>43.68</v>
      </c>
      <c r="BF125" s="3">
        <f ca="1">IFERROR(__xludf.DUMMYFUNCTION("""COMPUTED_VALUE"""),43.36)</f>
        <v>43.36</v>
      </c>
      <c r="BG125" s="3">
        <f ca="1">IFERROR(__xludf.DUMMYFUNCTION("""COMPUTED_VALUE"""),43.41)</f>
        <v>43.41</v>
      </c>
      <c r="BH125" s="3">
        <f ca="1">IFERROR(__xludf.DUMMYFUNCTION("""COMPUTED_VALUE"""),7678977)</f>
        <v>7678977</v>
      </c>
      <c r="BI125" s="4">
        <f ca="1">IFERROR(__xludf.DUMMYFUNCTION("""COMPUTED_VALUE"""),42304.6666666666)</f>
        <v>42304.666666666599</v>
      </c>
      <c r="BJ125" s="3">
        <f ca="1">IFERROR(__xludf.DUMMYFUNCTION("""COMPUTED_VALUE"""),44.39)</f>
        <v>44.39</v>
      </c>
      <c r="BK125" s="3">
        <f ca="1">IFERROR(__xludf.DUMMYFUNCTION("""COMPUTED_VALUE"""),44.49)</f>
        <v>44.49</v>
      </c>
      <c r="BL125" s="3">
        <f ca="1">IFERROR(__xludf.DUMMYFUNCTION("""COMPUTED_VALUE"""),44.13)</f>
        <v>44.13</v>
      </c>
      <c r="BM125" s="3">
        <f ca="1">IFERROR(__xludf.DUMMYFUNCTION("""COMPUTED_VALUE"""),44.27)</f>
        <v>44.27</v>
      </c>
      <c r="BN125" s="3">
        <f ca="1">IFERROR(__xludf.DUMMYFUNCTION("""COMPUTED_VALUE"""),8496249)</f>
        <v>8496249</v>
      </c>
    </row>
    <row r="126" spans="7:66" ht="13" x14ac:dyDescent="0.15">
      <c r="G126" s="4">
        <f ca="1">IFERROR(__xludf.DUMMYFUNCTION("""COMPUTED_VALUE"""),42305.6666666666)</f>
        <v>42305.666666666599</v>
      </c>
      <c r="H126" s="3">
        <f ca="1">IFERROR(__xludf.DUMMYFUNCTION("""COMPUTED_VALUE"""),80.12)</f>
        <v>80.12</v>
      </c>
      <c r="I126" s="3">
        <f ca="1">IFERROR(__xludf.DUMMYFUNCTION("""COMPUTED_VALUE"""),80.57)</f>
        <v>80.569999999999993</v>
      </c>
      <c r="J126" s="3">
        <f ca="1">IFERROR(__xludf.DUMMYFUNCTION("""COMPUTED_VALUE"""),79.52)</f>
        <v>79.52</v>
      </c>
      <c r="K126" s="3">
        <f ca="1">IFERROR(__xludf.DUMMYFUNCTION("""COMPUTED_VALUE"""),80.57)</f>
        <v>80.569999999999993</v>
      </c>
      <c r="L126" s="3">
        <f ca="1">IFERROR(__xludf.DUMMYFUNCTION("""COMPUTED_VALUE"""),11357916)</f>
        <v>11357916</v>
      </c>
      <c r="M126" s="4">
        <f ca="1">IFERROR(__xludf.DUMMYFUNCTION("""COMPUTED_VALUE"""),42305.6666666666)</f>
        <v>42305.666666666599</v>
      </c>
      <c r="N126" s="3">
        <f ca="1">IFERROR(__xludf.DUMMYFUNCTION("""COMPUTED_VALUE"""),50.72)</f>
        <v>50.72</v>
      </c>
      <c r="O126" s="3">
        <f ca="1">IFERROR(__xludf.DUMMYFUNCTION("""COMPUTED_VALUE"""),50.73)</f>
        <v>50.73</v>
      </c>
      <c r="P126" s="3">
        <f ca="1">IFERROR(__xludf.DUMMYFUNCTION("""COMPUTED_VALUE"""),49.88)</f>
        <v>49.88</v>
      </c>
      <c r="Q126" s="3">
        <f ca="1">IFERROR(__xludf.DUMMYFUNCTION("""COMPUTED_VALUE"""),50.42)</f>
        <v>50.42</v>
      </c>
      <c r="R126" s="3">
        <f ca="1">IFERROR(__xludf.DUMMYFUNCTION("""COMPUTED_VALUE"""),10430877)</f>
        <v>10430877</v>
      </c>
      <c r="S126" s="4">
        <f ca="1">IFERROR(__xludf.DUMMYFUNCTION("""COMPUTED_VALUE"""),42305.6666666666)</f>
        <v>42305.666666666599</v>
      </c>
      <c r="T126" s="3">
        <f ca="1">IFERROR(__xludf.DUMMYFUNCTION("""COMPUTED_VALUE"""),66.25)</f>
        <v>66.25</v>
      </c>
      <c r="U126" s="3">
        <f ca="1">IFERROR(__xludf.DUMMYFUNCTION("""COMPUTED_VALUE"""),67.7)</f>
        <v>67.7</v>
      </c>
      <c r="V126" s="3">
        <f ca="1">IFERROR(__xludf.DUMMYFUNCTION("""COMPUTED_VALUE"""),65.72)</f>
        <v>65.72</v>
      </c>
      <c r="W126" s="3">
        <f ca="1">IFERROR(__xludf.DUMMYFUNCTION("""COMPUTED_VALUE"""),67.25)</f>
        <v>67.25</v>
      </c>
      <c r="X126" s="3">
        <f ca="1">IFERROR(__xludf.DUMMYFUNCTION("""COMPUTED_VALUE"""),19756479)</f>
        <v>19756479</v>
      </c>
      <c r="Y126" s="4">
        <f ca="1">IFERROR(__xludf.DUMMYFUNCTION("""COMPUTED_VALUE"""),42305.6666666666)</f>
        <v>42305.666666666599</v>
      </c>
      <c r="Z126" s="3">
        <f ca="1">IFERROR(__xludf.DUMMYFUNCTION("""COMPUTED_VALUE"""),19.45)</f>
        <v>19.45</v>
      </c>
      <c r="AA126" s="3">
        <f ca="1">IFERROR(__xludf.DUMMYFUNCTION("""COMPUTED_VALUE"""),19.9)</f>
        <v>19.899999999999999</v>
      </c>
      <c r="AB126" s="3">
        <f ca="1">IFERROR(__xludf.DUMMYFUNCTION("""COMPUTED_VALUE"""),19.45)</f>
        <v>19.45</v>
      </c>
      <c r="AC126" s="3">
        <f ca="1">IFERROR(__xludf.DUMMYFUNCTION("""COMPUTED_VALUE"""),19.86)</f>
        <v>19.86</v>
      </c>
      <c r="AD126" s="3">
        <f ca="1">IFERROR(__xludf.DUMMYFUNCTION("""COMPUTED_VALUE"""),91030257)</f>
        <v>91030257</v>
      </c>
      <c r="AE126" s="4">
        <f ca="1">IFERROR(__xludf.DUMMYFUNCTION("""COMPUTED_VALUE"""),42305.6666666666)</f>
        <v>42305.666666666599</v>
      </c>
      <c r="AF126" s="3">
        <f ca="1">IFERROR(__xludf.DUMMYFUNCTION("""COMPUTED_VALUE"""),70.77)</f>
        <v>70.77</v>
      </c>
      <c r="AG126" s="3">
        <f ca="1">IFERROR(__xludf.DUMMYFUNCTION("""COMPUTED_VALUE"""),71.51)</f>
        <v>71.510000000000005</v>
      </c>
      <c r="AH126" s="3">
        <f ca="1">IFERROR(__xludf.DUMMYFUNCTION("""COMPUTED_VALUE"""),70.14)</f>
        <v>70.14</v>
      </c>
      <c r="AI126" s="3">
        <f ca="1">IFERROR(__xludf.DUMMYFUNCTION("""COMPUTED_VALUE"""),71.47)</f>
        <v>71.47</v>
      </c>
      <c r="AJ126" s="3">
        <f ca="1">IFERROR(__xludf.DUMMYFUNCTION("""COMPUTED_VALUE"""),18157979)</f>
        <v>18157979</v>
      </c>
      <c r="AK126" s="4">
        <f ca="1">IFERROR(__xludf.DUMMYFUNCTION("""COMPUTED_VALUE"""),42305.6666666666)</f>
        <v>42305.666666666599</v>
      </c>
      <c r="AL126" s="3">
        <f ca="1">IFERROR(__xludf.DUMMYFUNCTION("""COMPUTED_VALUE"""),54.14)</f>
        <v>54.14</v>
      </c>
      <c r="AM126" s="3">
        <f ca="1">IFERROR(__xludf.DUMMYFUNCTION("""COMPUTED_VALUE"""),54.4)</f>
        <v>54.4</v>
      </c>
      <c r="AN126" s="3">
        <f ca="1">IFERROR(__xludf.DUMMYFUNCTION("""COMPUTED_VALUE"""),53.71)</f>
        <v>53.71</v>
      </c>
      <c r="AO126" s="3">
        <f ca="1">IFERROR(__xludf.DUMMYFUNCTION("""COMPUTED_VALUE"""),54.37)</f>
        <v>54.37</v>
      </c>
      <c r="AP126" s="3">
        <f ca="1">IFERROR(__xludf.DUMMYFUNCTION("""COMPUTED_VALUE"""),13933239)</f>
        <v>13933239</v>
      </c>
      <c r="AQ126" s="4">
        <f ca="1">IFERROR(__xludf.DUMMYFUNCTION("""COMPUTED_VALUE"""),42305.6666666666)</f>
        <v>42305.666666666599</v>
      </c>
      <c r="AR126" s="3">
        <f ca="1">IFERROR(__xludf.DUMMYFUNCTION("""COMPUTED_VALUE"""),44.39)</f>
        <v>44.39</v>
      </c>
      <c r="AS126" s="3">
        <f ca="1">IFERROR(__xludf.DUMMYFUNCTION("""COMPUTED_VALUE"""),45.22)</f>
        <v>45.22</v>
      </c>
      <c r="AT126" s="3">
        <f ca="1">IFERROR(__xludf.DUMMYFUNCTION("""COMPUTED_VALUE"""),44.39)</f>
        <v>44.39</v>
      </c>
      <c r="AU126" s="3">
        <f ca="1">IFERROR(__xludf.DUMMYFUNCTION("""COMPUTED_VALUE"""),45.13)</f>
        <v>45.13</v>
      </c>
      <c r="AV126" s="3">
        <f ca="1">IFERROR(__xludf.DUMMYFUNCTION("""COMPUTED_VALUE"""),7645518)</f>
        <v>7645518</v>
      </c>
      <c r="AW126" s="4">
        <f ca="1">IFERROR(__xludf.DUMMYFUNCTION("""COMPUTED_VALUE"""),42473.6666666666)</f>
        <v>42473.666666666599</v>
      </c>
      <c r="AX126" s="3">
        <f ca="1">IFERROR(__xludf.DUMMYFUNCTION("""COMPUTED_VALUE"""),32.14)</f>
        <v>32.14</v>
      </c>
      <c r="AY126" s="3">
        <f ca="1">IFERROR(__xludf.DUMMYFUNCTION("""COMPUTED_VALUE"""),32.16)</f>
        <v>32.159999999999997</v>
      </c>
      <c r="AZ126" s="3">
        <f ca="1">IFERROR(__xludf.DUMMYFUNCTION("""COMPUTED_VALUE"""),31.95)</f>
        <v>31.95</v>
      </c>
      <c r="BA126" s="3">
        <f ca="1">IFERROR(__xludf.DUMMYFUNCTION("""COMPUTED_VALUE"""),32.02)</f>
        <v>32.020000000000003</v>
      </c>
      <c r="BB126" s="3">
        <f ca="1">IFERROR(__xludf.DUMMYFUNCTION("""COMPUTED_VALUE"""),2847)</f>
        <v>2847</v>
      </c>
      <c r="BC126" s="4">
        <f ca="1">IFERROR(__xludf.DUMMYFUNCTION("""COMPUTED_VALUE"""),42305.6666666666)</f>
        <v>42305.666666666599</v>
      </c>
      <c r="BD126" s="3">
        <f ca="1">IFERROR(__xludf.DUMMYFUNCTION("""COMPUTED_VALUE"""),43.61)</f>
        <v>43.61</v>
      </c>
      <c r="BE126" s="3">
        <f ca="1">IFERROR(__xludf.DUMMYFUNCTION("""COMPUTED_VALUE"""),44.06)</f>
        <v>44.06</v>
      </c>
      <c r="BF126" s="3">
        <f ca="1">IFERROR(__xludf.DUMMYFUNCTION("""COMPUTED_VALUE"""),43.48)</f>
        <v>43.48</v>
      </c>
      <c r="BG126" s="3">
        <f ca="1">IFERROR(__xludf.DUMMYFUNCTION("""COMPUTED_VALUE"""),44.06)</f>
        <v>44.06</v>
      </c>
      <c r="BH126" s="3">
        <f ca="1">IFERROR(__xludf.DUMMYFUNCTION("""COMPUTED_VALUE"""),14779552)</f>
        <v>14779552</v>
      </c>
      <c r="BI126" s="4">
        <f ca="1">IFERROR(__xludf.DUMMYFUNCTION("""COMPUTED_VALUE"""),42305.6666666666)</f>
        <v>42305.666666666599</v>
      </c>
      <c r="BJ126" s="3">
        <f ca="1">IFERROR(__xludf.DUMMYFUNCTION("""COMPUTED_VALUE"""),44.28)</f>
        <v>44.28</v>
      </c>
      <c r="BK126" s="3">
        <f ca="1">IFERROR(__xludf.DUMMYFUNCTION("""COMPUTED_VALUE"""),44.45)</f>
        <v>44.45</v>
      </c>
      <c r="BL126" s="3">
        <f ca="1">IFERROR(__xludf.DUMMYFUNCTION("""COMPUTED_VALUE"""),43.31)</f>
        <v>43.31</v>
      </c>
      <c r="BM126" s="3">
        <f ca="1">IFERROR(__xludf.DUMMYFUNCTION("""COMPUTED_VALUE"""),43.8)</f>
        <v>43.8</v>
      </c>
      <c r="BN126" s="3">
        <f ca="1">IFERROR(__xludf.DUMMYFUNCTION("""COMPUTED_VALUE"""),17421132)</f>
        <v>17421132</v>
      </c>
    </row>
    <row r="127" spans="7:66" ht="13" x14ac:dyDescent="0.15">
      <c r="G127" s="4">
        <f ca="1">IFERROR(__xludf.DUMMYFUNCTION("""COMPUTED_VALUE"""),42306.6666666666)</f>
        <v>42306.666666666599</v>
      </c>
      <c r="H127" s="3">
        <f ca="1">IFERROR(__xludf.DUMMYFUNCTION("""COMPUTED_VALUE"""),80.46)</f>
        <v>80.459999999999994</v>
      </c>
      <c r="I127" s="3">
        <f ca="1">IFERROR(__xludf.DUMMYFUNCTION("""COMPUTED_VALUE"""),80.94)</f>
        <v>80.94</v>
      </c>
      <c r="J127" s="3">
        <f ca="1">IFERROR(__xludf.DUMMYFUNCTION("""COMPUTED_VALUE"""),79.69)</f>
        <v>79.69</v>
      </c>
      <c r="K127" s="3">
        <f ca="1">IFERROR(__xludf.DUMMYFUNCTION("""COMPUTED_VALUE"""),80.8)</f>
        <v>80.8</v>
      </c>
      <c r="L127" s="3">
        <f ca="1">IFERROR(__xludf.DUMMYFUNCTION("""COMPUTED_VALUE"""),4724772)</f>
        <v>4724772</v>
      </c>
      <c r="M127" s="4">
        <f ca="1">IFERROR(__xludf.DUMMYFUNCTION("""COMPUTED_VALUE"""),42306.6666666666)</f>
        <v>42306.666666666599</v>
      </c>
      <c r="N127" s="3">
        <f ca="1">IFERROR(__xludf.DUMMYFUNCTION("""COMPUTED_VALUE"""),50.4)</f>
        <v>50.4</v>
      </c>
      <c r="O127" s="3">
        <f ca="1">IFERROR(__xludf.DUMMYFUNCTION("""COMPUTED_VALUE"""),50.55)</f>
        <v>50.55</v>
      </c>
      <c r="P127" s="3">
        <f ca="1">IFERROR(__xludf.DUMMYFUNCTION("""COMPUTED_VALUE"""),50.16)</f>
        <v>50.16</v>
      </c>
      <c r="Q127" s="3">
        <f ca="1">IFERROR(__xludf.DUMMYFUNCTION("""COMPUTED_VALUE"""),50.44)</f>
        <v>50.44</v>
      </c>
      <c r="R127" s="3">
        <f ca="1">IFERROR(__xludf.DUMMYFUNCTION("""COMPUTED_VALUE"""),5606876)</f>
        <v>5606876</v>
      </c>
      <c r="S127" s="4">
        <f ca="1">IFERROR(__xludf.DUMMYFUNCTION("""COMPUTED_VALUE"""),42306.6666666666)</f>
        <v>42306.666666666599</v>
      </c>
      <c r="T127" s="3">
        <f ca="1">IFERROR(__xludf.DUMMYFUNCTION("""COMPUTED_VALUE"""),67)</f>
        <v>67</v>
      </c>
      <c r="U127" s="3">
        <f ca="1">IFERROR(__xludf.DUMMYFUNCTION("""COMPUTED_VALUE"""),68.22)</f>
        <v>68.22</v>
      </c>
      <c r="V127" s="3">
        <f ca="1">IFERROR(__xludf.DUMMYFUNCTION("""COMPUTED_VALUE"""),66.9)</f>
        <v>66.900000000000006</v>
      </c>
      <c r="W127" s="3">
        <f ca="1">IFERROR(__xludf.DUMMYFUNCTION("""COMPUTED_VALUE"""),67.59)</f>
        <v>67.59</v>
      </c>
      <c r="X127" s="3">
        <f ca="1">IFERROR(__xludf.DUMMYFUNCTION("""COMPUTED_VALUE"""),9753598)</f>
        <v>9753598</v>
      </c>
      <c r="Y127" s="4">
        <f ca="1">IFERROR(__xludf.DUMMYFUNCTION("""COMPUTED_VALUE"""),42306.6666666666)</f>
        <v>42306.666666666599</v>
      </c>
      <c r="Z127" s="3">
        <f ca="1">IFERROR(__xludf.DUMMYFUNCTION("""COMPUTED_VALUE"""),19.85)</f>
        <v>19.850000000000001</v>
      </c>
      <c r="AA127" s="3">
        <f ca="1">IFERROR(__xludf.DUMMYFUNCTION("""COMPUTED_VALUE"""),19.94)</f>
        <v>19.940000000000001</v>
      </c>
      <c r="AB127" s="3">
        <f ca="1">IFERROR(__xludf.DUMMYFUNCTION("""COMPUTED_VALUE"""),19.74)</f>
        <v>19.739999999999998</v>
      </c>
      <c r="AC127" s="3">
        <f ca="1">IFERROR(__xludf.DUMMYFUNCTION("""COMPUTED_VALUE"""),19.84)</f>
        <v>19.84</v>
      </c>
      <c r="AD127" s="3">
        <f ca="1">IFERROR(__xludf.DUMMYFUNCTION("""COMPUTED_VALUE"""),39382280)</f>
        <v>39382280</v>
      </c>
      <c r="AE127" s="4">
        <f ca="1">IFERROR(__xludf.DUMMYFUNCTION("""COMPUTED_VALUE"""),42306.6666666666)</f>
        <v>42306.666666666599</v>
      </c>
      <c r="AF127" s="3">
        <f ca="1">IFERROR(__xludf.DUMMYFUNCTION("""COMPUTED_VALUE"""),71.88)</f>
        <v>71.88</v>
      </c>
      <c r="AG127" s="3">
        <f ca="1">IFERROR(__xludf.DUMMYFUNCTION("""COMPUTED_VALUE"""),73)</f>
        <v>73</v>
      </c>
      <c r="AH127" s="3">
        <f ca="1">IFERROR(__xludf.DUMMYFUNCTION("""COMPUTED_VALUE"""),71.49)</f>
        <v>71.489999999999995</v>
      </c>
      <c r="AI127" s="3">
        <f ca="1">IFERROR(__xludf.DUMMYFUNCTION("""COMPUTED_VALUE"""),71.79)</f>
        <v>71.790000000000006</v>
      </c>
      <c r="AJ127" s="3">
        <f ca="1">IFERROR(__xludf.DUMMYFUNCTION("""COMPUTED_VALUE"""),22780683)</f>
        <v>22780683</v>
      </c>
      <c r="AK127" s="4">
        <f ca="1">IFERROR(__xludf.DUMMYFUNCTION("""COMPUTED_VALUE"""),42306.6666666666)</f>
        <v>42306.666666666599</v>
      </c>
      <c r="AL127" s="3">
        <f ca="1">IFERROR(__xludf.DUMMYFUNCTION("""COMPUTED_VALUE"""),54.05)</f>
        <v>54.05</v>
      </c>
      <c r="AM127" s="3">
        <f ca="1">IFERROR(__xludf.DUMMYFUNCTION("""COMPUTED_VALUE"""),54.42)</f>
        <v>54.42</v>
      </c>
      <c r="AN127" s="3">
        <f ca="1">IFERROR(__xludf.DUMMYFUNCTION("""COMPUTED_VALUE"""),54.03)</f>
        <v>54.03</v>
      </c>
      <c r="AO127" s="3">
        <f ca="1">IFERROR(__xludf.DUMMYFUNCTION("""COMPUTED_VALUE"""),54.34)</f>
        <v>54.34</v>
      </c>
      <c r="AP127" s="3">
        <f ca="1">IFERROR(__xludf.DUMMYFUNCTION("""COMPUTED_VALUE"""),13466132)</f>
        <v>13466132</v>
      </c>
      <c r="AQ127" s="4">
        <f ca="1">IFERROR(__xludf.DUMMYFUNCTION("""COMPUTED_VALUE"""),42306.6666666666)</f>
        <v>42306.666666666599</v>
      </c>
      <c r="AR127" s="3">
        <f ca="1">IFERROR(__xludf.DUMMYFUNCTION("""COMPUTED_VALUE"""),44.91)</f>
        <v>44.91</v>
      </c>
      <c r="AS127" s="3">
        <f ca="1">IFERROR(__xludf.DUMMYFUNCTION("""COMPUTED_VALUE"""),45.32)</f>
        <v>45.32</v>
      </c>
      <c r="AT127" s="3">
        <f ca="1">IFERROR(__xludf.DUMMYFUNCTION("""COMPUTED_VALUE"""),44.88)</f>
        <v>44.88</v>
      </c>
      <c r="AU127" s="3">
        <f ca="1">IFERROR(__xludf.DUMMYFUNCTION("""COMPUTED_VALUE"""),45.22)</f>
        <v>45.22</v>
      </c>
      <c r="AV127" s="3">
        <f ca="1">IFERROR(__xludf.DUMMYFUNCTION("""COMPUTED_VALUE"""),5368124)</f>
        <v>5368124</v>
      </c>
      <c r="AW127" s="4">
        <f ca="1">IFERROR(__xludf.DUMMYFUNCTION("""COMPUTED_VALUE"""),42474.6666666666)</f>
        <v>42474.666666666599</v>
      </c>
      <c r="AX127" s="3">
        <f ca="1">IFERROR(__xludf.DUMMYFUNCTION("""COMPUTED_VALUE"""),31.97)</f>
        <v>31.97</v>
      </c>
      <c r="AY127" s="3">
        <f ca="1">IFERROR(__xludf.DUMMYFUNCTION("""COMPUTED_VALUE"""),31.97)</f>
        <v>31.97</v>
      </c>
      <c r="AZ127" s="3">
        <f ca="1">IFERROR(__xludf.DUMMYFUNCTION("""COMPUTED_VALUE"""),31.84)</f>
        <v>31.84</v>
      </c>
      <c r="BA127" s="3">
        <f ca="1">IFERROR(__xludf.DUMMYFUNCTION("""COMPUTED_VALUE"""),31.89)</f>
        <v>31.89</v>
      </c>
      <c r="BB127" s="3">
        <f ca="1">IFERROR(__xludf.DUMMYFUNCTION("""COMPUTED_VALUE"""),3616)</f>
        <v>3616</v>
      </c>
      <c r="BC127" s="4">
        <f ca="1">IFERROR(__xludf.DUMMYFUNCTION("""COMPUTED_VALUE"""),42306.6666666666)</f>
        <v>42306.666666666599</v>
      </c>
      <c r="BD127" s="3">
        <f ca="1">IFERROR(__xludf.DUMMYFUNCTION("""COMPUTED_VALUE"""),43.8)</f>
        <v>43.8</v>
      </c>
      <c r="BE127" s="3">
        <f ca="1">IFERROR(__xludf.DUMMYFUNCTION("""COMPUTED_VALUE"""),44)</f>
        <v>44</v>
      </c>
      <c r="BF127" s="3">
        <f ca="1">IFERROR(__xludf.DUMMYFUNCTION("""COMPUTED_VALUE"""),43.67)</f>
        <v>43.67</v>
      </c>
      <c r="BG127" s="3">
        <f ca="1">IFERROR(__xludf.DUMMYFUNCTION("""COMPUTED_VALUE"""),43.94)</f>
        <v>43.94</v>
      </c>
      <c r="BH127" s="3">
        <f ca="1">IFERROR(__xludf.DUMMYFUNCTION("""COMPUTED_VALUE"""),7609015)</f>
        <v>7609015</v>
      </c>
      <c r="BI127" s="4">
        <f ca="1">IFERROR(__xludf.DUMMYFUNCTION("""COMPUTED_VALUE"""),42306.6666666666)</f>
        <v>42306.666666666599</v>
      </c>
      <c r="BJ127" s="3">
        <f ca="1">IFERROR(__xludf.DUMMYFUNCTION("""COMPUTED_VALUE"""),43.58)</f>
        <v>43.58</v>
      </c>
      <c r="BK127" s="3">
        <f ca="1">IFERROR(__xludf.DUMMYFUNCTION("""COMPUTED_VALUE"""),43.72)</f>
        <v>43.72</v>
      </c>
      <c r="BL127" s="3">
        <f ca="1">IFERROR(__xludf.DUMMYFUNCTION("""COMPUTED_VALUE"""),42.97)</f>
        <v>42.97</v>
      </c>
      <c r="BM127" s="3">
        <f ca="1">IFERROR(__xludf.DUMMYFUNCTION("""COMPUTED_VALUE"""),43.55)</f>
        <v>43.55</v>
      </c>
      <c r="BN127" s="3">
        <f ca="1">IFERROR(__xludf.DUMMYFUNCTION("""COMPUTED_VALUE"""),16289822)</f>
        <v>16289822</v>
      </c>
    </row>
    <row r="128" spans="7:66" ht="13" x14ac:dyDescent="0.15">
      <c r="G128" s="4">
        <f ca="1">IFERROR(__xludf.DUMMYFUNCTION("""COMPUTED_VALUE"""),42307.6666666666)</f>
        <v>42307.666666666599</v>
      </c>
      <c r="H128" s="3">
        <f ca="1">IFERROR(__xludf.DUMMYFUNCTION("""COMPUTED_VALUE"""),80.96)</f>
        <v>80.959999999999994</v>
      </c>
      <c r="I128" s="3">
        <f ca="1">IFERROR(__xludf.DUMMYFUNCTION("""COMPUTED_VALUE"""),81.51)</f>
        <v>81.510000000000005</v>
      </c>
      <c r="J128" s="3">
        <f ca="1">IFERROR(__xludf.DUMMYFUNCTION("""COMPUTED_VALUE"""),80.75)</f>
        <v>80.75</v>
      </c>
      <c r="K128" s="3">
        <f ca="1">IFERROR(__xludf.DUMMYFUNCTION("""COMPUTED_VALUE"""),80.97)</f>
        <v>80.97</v>
      </c>
      <c r="L128" s="3">
        <f ca="1">IFERROR(__xludf.DUMMYFUNCTION("""COMPUTED_VALUE"""),7771070)</f>
        <v>7771070</v>
      </c>
      <c r="M128" s="4">
        <f ca="1">IFERROR(__xludf.DUMMYFUNCTION("""COMPUTED_VALUE"""),42307.6666666666)</f>
        <v>42307.666666666599</v>
      </c>
      <c r="N128" s="3">
        <f ca="1">IFERROR(__xludf.DUMMYFUNCTION("""COMPUTED_VALUE"""),50.28)</f>
        <v>50.28</v>
      </c>
      <c r="O128" s="3">
        <f ca="1">IFERROR(__xludf.DUMMYFUNCTION("""COMPUTED_VALUE"""),50.28)</f>
        <v>50.28</v>
      </c>
      <c r="P128" s="3">
        <f ca="1">IFERROR(__xludf.DUMMYFUNCTION("""COMPUTED_VALUE"""),49.87)</f>
        <v>49.87</v>
      </c>
      <c r="Q128" s="3">
        <f ca="1">IFERROR(__xludf.DUMMYFUNCTION("""COMPUTED_VALUE"""),49.88)</f>
        <v>49.88</v>
      </c>
      <c r="R128" s="3">
        <f ca="1">IFERROR(__xludf.DUMMYFUNCTION("""COMPUTED_VALUE"""),8577051)</f>
        <v>8577051</v>
      </c>
      <c r="S128" s="4">
        <f ca="1">IFERROR(__xludf.DUMMYFUNCTION("""COMPUTED_VALUE"""),42307.6666666666)</f>
        <v>42307.666666666599</v>
      </c>
      <c r="T128" s="3">
        <f ca="1">IFERROR(__xludf.DUMMYFUNCTION("""COMPUTED_VALUE"""),67.95)</f>
        <v>67.95</v>
      </c>
      <c r="U128" s="3">
        <f ca="1">IFERROR(__xludf.DUMMYFUNCTION("""COMPUTED_VALUE"""),68.76)</f>
        <v>68.760000000000005</v>
      </c>
      <c r="V128" s="3">
        <f ca="1">IFERROR(__xludf.DUMMYFUNCTION("""COMPUTED_VALUE"""),67.15)</f>
        <v>67.150000000000006</v>
      </c>
      <c r="W128" s="3">
        <f ca="1">IFERROR(__xludf.DUMMYFUNCTION("""COMPUTED_VALUE"""),68.03)</f>
        <v>68.03</v>
      </c>
      <c r="X128" s="3">
        <f ca="1">IFERROR(__xludf.DUMMYFUNCTION("""COMPUTED_VALUE"""),14257248)</f>
        <v>14257248</v>
      </c>
      <c r="Y128" s="4">
        <f ca="1">IFERROR(__xludf.DUMMYFUNCTION("""COMPUTED_VALUE"""),42307.6666666666)</f>
        <v>42307.666666666599</v>
      </c>
      <c r="Z128" s="3">
        <f ca="1">IFERROR(__xludf.DUMMYFUNCTION("""COMPUTED_VALUE"""),19.79)</f>
        <v>19.79</v>
      </c>
      <c r="AA128" s="3">
        <f ca="1">IFERROR(__xludf.DUMMYFUNCTION("""COMPUTED_VALUE"""),19.81)</f>
        <v>19.809999999999999</v>
      </c>
      <c r="AB128" s="3">
        <f ca="1">IFERROR(__xludf.DUMMYFUNCTION("""COMPUTED_VALUE"""),19.53)</f>
        <v>19.53</v>
      </c>
      <c r="AC128" s="3">
        <f ca="1">IFERROR(__xludf.DUMMYFUNCTION("""COMPUTED_VALUE"""),19.55)</f>
        <v>19.55</v>
      </c>
      <c r="AD128" s="3">
        <f ca="1">IFERROR(__xludf.DUMMYFUNCTION("""COMPUTED_VALUE"""),51070358)</f>
        <v>51070358</v>
      </c>
      <c r="AE128" s="4">
        <f ca="1">IFERROR(__xludf.DUMMYFUNCTION("""COMPUTED_VALUE"""),42307.6666666666)</f>
        <v>42307.666666666599</v>
      </c>
      <c r="AF128" s="3">
        <f ca="1">IFERROR(__xludf.DUMMYFUNCTION("""COMPUTED_VALUE"""),72.01)</f>
        <v>72.010000000000005</v>
      </c>
      <c r="AG128" s="3">
        <f ca="1">IFERROR(__xludf.DUMMYFUNCTION("""COMPUTED_VALUE"""),72.21)</f>
        <v>72.209999999999994</v>
      </c>
      <c r="AH128" s="3">
        <f ca="1">IFERROR(__xludf.DUMMYFUNCTION("""COMPUTED_VALUE"""),71.34)</f>
        <v>71.34</v>
      </c>
      <c r="AI128" s="3">
        <f ca="1">IFERROR(__xludf.DUMMYFUNCTION("""COMPUTED_VALUE"""),71.34)</f>
        <v>71.34</v>
      </c>
      <c r="AJ128" s="3">
        <f ca="1">IFERROR(__xludf.DUMMYFUNCTION("""COMPUTED_VALUE"""),12427166)</f>
        <v>12427166</v>
      </c>
      <c r="AK128" s="4">
        <f ca="1">IFERROR(__xludf.DUMMYFUNCTION("""COMPUTED_VALUE"""),42307.6666666666)</f>
        <v>42307.666666666599</v>
      </c>
      <c r="AL128" s="3">
        <f ca="1">IFERROR(__xludf.DUMMYFUNCTION("""COMPUTED_VALUE"""),54.36)</f>
        <v>54.36</v>
      </c>
      <c r="AM128" s="3">
        <f ca="1">IFERROR(__xludf.DUMMYFUNCTION("""COMPUTED_VALUE"""),54.56)</f>
        <v>54.56</v>
      </c>
      <c r="AN128" s="3">
        <f ca="1">IFERROR(__xludf.DUMMYFUNCTION("""COMPUTED_VALUE"""),54.25)</f>
        <v>54.25</v>
      </c>
      <c r="AO128" s="3">
        <f ca="1">IFERROR(__xludf.DUMMYFUNCTION("""COMPUTED_VALUE"""),54.27)</f>
        <v>54.27</v>
      </c>
      <c r="AP128" s="3">
        <f ca="1">IFERROR(__xludf.DUMMYFUNCTION("""COMPUTED_VALUE"""),14763595)</f>
        <v>14763595</v>
      </c>
      <c r="AQ128" s="4">
        <f ca="1">IFERROR(__xludf.DUMMYFUNCTION("""COMPUTED_VALUE"""),42307.6666666666)</f>
        <v>42307.666666666599</v>
      </c>
      <c r="AR128" s="3">
        <f ca="1">IFERROR(__xludf.DUMMYFUNCTION("""COMPUTED_VALUE"""),45.2)</f>
        <v>45.2</v>
      </c>
      <c r="AS128" s="3">
        <f ca="1">IFERROR(__xludf.DUMMYFUNCTION("""COMPUTED_VALUE"""),45.66)</f>
        <v>45.66</v>
      </c>
      <c r="AT128" s="3">
        <f ca="1">IFERROR(__xludf.DUMMYFUNCTION("""COMPUTED_VALUE"""),45.15)</f>
        <v>45.15</v>
      </c>
      <c r="AU128" s="3">
        <f ca="1">IFERROR(__xludf.DUMMYFUNCTION("""COMPUTED_VALUE"""),45.28)</f>
        <v>45.28</v>
      </c>
      <c r="AV128" s="3">
        <f ca="1">IFERROR(__xludf.DUMMYFUNCTION("""COMPUTED_VALUE"""),6425067)</f>
        <v>6425067</v>
      </c>
      <c r="AW128" s="4">
        <f ca="1">IFERROR(__xludf.DUMMYFUNCTION("""COMPUTED_VALUE"""),42475.6666666666)</f>
        <v>42475.666666666599</v>
      </c>
      <c r="AX128" s="3">
        <f ca="1">IFERROR(__xludf.DUMMYFUNCTION("""COMPUTED_VALUE"""),31.89)</f>
        <v>31.89</v>
      </c>
      <c r="AY128" s="3">
        <f ca="1">IFERROR(__xludf.DUMMYFUNCTION("""COMPUTED_VALUE"""),32.11)</f>
        <v>32.11</v>
      </c>
      <c r="AZ128" s="3">
        <f ca="1">IFERROR(__xludf.DUMMYFUNCTION("""COMPUTED_VALUE"""),31.89)</f>
        <v>31.89</v>
      </c>
      <c r="BA128" s="3">
        <f ca="1">IFERROR(__xludf.DUMMYFUNCTION("""COMPUTED_VALUE"""),32.11)</f>
        <v>32.11</v>
      </c>
      <c r="BB128" s="3">
        <f ca="1">IFERROR(__xludf.DUMMYFUNCTION("""COMPUTED_VALUE"""),731)</f>
        <v>731</v>
      </c>
      <c r="BC128" s="4">
        <f ca="1">IFERROR(__xludf.DUMMYFUNCTION("""COMPUTED_VALUE"""),42307.6666666666)</f>
        <v>42307.666666666599</v>
      </c>
      <c r="BD128" s="3">
        <f ca="1">IFERROR(__xludf.DUMMYFUNCTION("""COMPUTED_VALUE"""),44.01)</f>
        <v>44.01</v>
      </c>
      <c r="BE128" s="3">
        <f ca="1">IFERROR(__xludf.DUMMYFUNCTION("""COMPUTED_VALUE"""),44.02)</f>
        <v>44.02</v>
      </c>
      <c r="BF128" s="3">
        <f ca="1">IFERROR(__xludf.DUMMYFUNCTION("""COMPUTED_VALUE"""),43.64)</f>
        <v>43.64</v>
      </c>
      <c r="BG128" s="3">
        <f ca="1">IFERROR(__xludf.DUMMYFUNCTION("""COMPUTED_VALUE"""),43.65)</f>
        <v>43.65</v>
      </c>
      <c r="BH128" s="3">
        <f ca="1">IFERROR(__xludf.DUMMYFUNCTION("""COMPUTED_VALUE"""),9339523)</f>
        <v>9339523</v>
      </c>
      <c r="BI128" s="4">
        <f ca="1">IFERROR(__xludf.DUMMYFUNCTION("""COMPUTED_VALUE"""),42307.6666666666)</f>
        <v>42307.666666666599</v>
      </c>
      <c r="BJ128" s="3">
        <f ca="1">IFERROR(__xludf.DUMMYFUNCTION("""COMPUTED_VALUE"""),43.6)</f>
        <v>43.6</v>
      </c>
      <c r="BK128" s="3">
        <f ca="1">IFERROR(__xludf.DUMMYFUNCTION("""COMPUTED_VALUE"""),43.92)</f>
        <v>43.92</v>
      </c>
      <c r="BL128" s="3">
        <f ca="1">IFERROR(__xludf.DUMMYFUNCTION("""COMPUTED_VALUE"""),43.44)</f>
        <v>43.44</v>
      </c>
      <c r="BM128" s="3">
        <f ca="1">IFERROR(__xludf.DUMMYFUNCTION("""COMPUTED_VALUE"""),43.75)</f>
        <v>43.75</v>
      </c>
      <c r="BN128" s="3">
        <f ca="1">IFERROR(__xludf.DUMMYFUNCTION("""COMPUTED_VALUE"""),11631691)</f>
        <v>11631691</v>
      </c>
    </row>
    <row r="129" spans="7:66" ht="13" x14ac:dyDescent="0.15">
      <c r="G129" s="4">
        <f ca="1">IFERROR(__xludf.DUMMYFUNCTION("""COMPUTED_VALUE"""),42310.6666666666)</f>
        <v>42310.666666666599</v>
      </c>
      <c r="H129" s="3">
        <f ca="1">IFERROR(__xludf.DUMMYFUNCTION("""COMPUTED_VALUE"""),81.26)</f>
        <v>81.260000000000005</v>
      </c>
      <c r="I129" s="3">
        <f ca="1">IFERROR(__xludf.DUMMYFUNCTION("""COMPUTED_VALUE"""),81.46)</f>
        <v>81.459999999999994</v>
      </c>
      <c r="J129" s="3">
        <f ca="1">IFERROR(__xludf.DUMMYFUNCTION("""COMPUTED_VALUE"""),80.75)</f>
        <v>80.75</v>
      </c>
      <c r="K129" s="3">
        <f ca="1">IFERROR(__xludf.DUMMYFUNCTION("""COMPUTED_VALUE"""),81.34)</f>
        <v>81.34</v>
      </c>
      <c r="L129" s="3">
        <f ca="1">IFERROR(__xludf.DUMMYFUNCTION("""COMPUTED_VALUE"""),7734965)</f>
        <v>7734965</v>
      </c>
      <c r="M129" s="4">
        <f ca="1">IFERROR(__xludf.DUMMYFUNCTION("""COMPUTED_VALUE"""),42310.6666666666)</f>
        <v>42310.666666666599</v>
      </c>
      <c r="N129" s="3">
        <f ca="1">IFERROR(__xludf.DUMMYFUNCTION("""COMPUTED_VALUE"""),49.91)</f>
        <v>49.91</v>
      </c>
      <c r="O129" s="3">
        <f ca="1">IFERROR(__xludf.DUMMYFUNCTION("""COMPUTED_VALUE"""),50.19)</f>
        <v>50.19</v>
      </c>
      <c r="P129" s="3">
        <f ca="1">IFERROR(__xludf.DUMMYFUNCTION("""COMPUTED_VALUE"""),49.84)</f>
        <v>49.84</v>
      </c>
      <c r="Q129" s="3">
        <f ca="1">IFERROR(__xludf.DUMMYFUNCTION("""COMPUTED_VALUE"""),50.18)</f>
        <v>50.18</v>
      </c>
      <c r="R129" s="3">
        <f ca="1">IFERROR(__xludf.DUMMYFUNCTION("""COMPUTED_VALUE"""),13054043)</f>
        <v>13054043</v>
      </c>
      <c r="S129" s="4">
        <f ca="1">IFERROR(__xludf.DUMMYFUNCTION("""COMPUTED_VALUE"""),42310.6666666666)</f>
        <v>42310.666666666599</v>
      </c>
      <c r="T129" s="3">
        <f ca="1">IFERROR(__xludf.DUMMYFUNCTION("""COMPUTED_VALUE"""),67.62)</f>
        <v>67.62</v>
      </c>
      <c r="U129" s="3">
        <f ca="1">IFERROR(__xludf.DUMMYFUNCTION("""COMPUTED_VALUE"""),69.98)</f>
        <v>69.98</v>
      </c>
      <c r="V129" s="3">
        <f ca="1">IFERROR(__xludf.DUMMYFUNCTION("""COMPUTED_VALUE"""),67.52)</f>
        <v>67.52</v>
      </c>
      <c r="W129" s="3">
        <f ca="1">IFERROR(__xludf.DUMMYFUNCTION("""COMPUTED_VALUE"""),69.62)</f>
        <v>69.62</v>
      </c>
      <c r="X129" s="3">
        <f ca="1">IFERROR(__xludf.DUMMYFUNCTION("""COMPUTED_VALUE"""),15386861)</f>
        <v>15386861</v>
      </c>
      <c r="Y129" s="4">
        <f ca="1">IFERROR(__xludf.DUMMYFUNCTION("""COMPUTED_VALUE"""),42310.6666666666)</f>
        <v>42310.666666666599</v>
      </c>
      <c r="Z129" s="3">
        <f ca="1">IFERROR(__xludf.DUMMYFUNCTION("""COMPUTED_VALUE"""),19.6)</f>
        <v>19.600000000000001</v>
      </c>
      <c r="AA129" s="3">
        <f ca="1">IFERROR(__xludf.DUMMYFUNCTION("""COMPUTED_VALUE"""),19.9)</f>
        <v>19.899999999999999</v>
      </c>
      <c r="AB129" s="3">
        <f ca="1">IFERROR(__xludf.DUMMYFUNCTION("""COMPUTED_VALUE"""),19.59)</f>
        <v>19.59</v>
      </c>
      <c r="AC129" s="3">
        <f ca="1">IFERROR(__xludf.DUMMYFUNCTION("""COMPUTED_VALUE"""),19.82)</f>
        <v>19.82</v>
      </c>
      <c r="AD129" s="3">
        <f ca="1">IFERROR(__xludf.DUMMYFUNCTION("""COMPUTED_VALUE"""),59733138)</f>
        <v>59733138</v>
      </c>
      <c r="AE129" s="4">
        <f ca="1">IFERROR(__xludf.DUMMYFUNCTION("""COMPUTED_VALUE"""),42310.6666666666)</f>
        <v>42310.666666666599</v>
      </c>
      <c r="AF129" s="3">
        <f ca="1">IFERROR(__xludf.DUMMYFUNCTION("""COMPUTED_VALUE"""),71.75)</f>
        <v>71.75</v>
      </c>
      <c r="AG129" s="3">
        <f ca="1">IFERROR(__xludf.DUMMYFUNCTION("""COMPUTED_VALUE"""),72.91)</f>
        <v>72.91</v>
      </c>
      <c r="AH129" s="3">
        <f ca="1">IFERROR(__xludf.DUMMYFUNCTION("""COMPUTED_VALUE"""),71.34)</f>
        <v>71.34</v>
      </c>
      <c r="AI129" s="3">
        <f ca="1">IFERROR(__xludf.DUMMYFUNCTION("""COMPUTED_VALUE"""),72.86)</f>
        <v>72.86</v>
      </c>
      <c r="AJ129" s="3">
        <f ca="1">IFERROR(__xludf.DUMMYFUNCTION("""COMPUTED_VALUE"""),18646619)</f>
        <v>18646619</v>
      </c>
      <c r="AK129" s="4">
        <f ca="1">IFERROR(__xludf.DUMMYFUNCTION("""COMPUTED_VALUE"""),42310.6666666666)</f>
        <v>42310.666666666599</v>
      </c>
      <c r="AL129" s="3">
        <f ca="1">IFERROR(__xludf.DUMMYFUNCTION("""COMPUTED_VALUE"""),54.28)</f>
        <v>54.28</v>
      </c>
      <c r="AM129" s="3">
        <f ca="1">IFERROR(__xludf.DUMMYFUNCTION("""COMPUTED_VALUE"""),55.01)</f>
        <v>55.01</v>
      </c>
      <c r="AN129" s="3">
        <f ca="1">IFERROR(__xludf.DUMMYFUNCTION("""COMPUTED_VALUE"""),54.28)</f>
        <v>54.28</v>
      </c>
      <c r="AO129" s="3">
        <f ca="1">IFERROR(__xludf.DUMMYFUNCTION("""COMPUTED_VALUE"""),54.9)</f>
        <v>54.9</v>
      </c>
      <c r="AP129" s="3">
        <f ca="1">IFERROR(__xludf.DUMMYFUNCTION("""COMPUTED_VALUE"""),15329028)</f>
        <v>15329028</v>
      </c>
      <c r="AQ129" s="4">
        <f ca="1">IFERROR(__xludf.DUMMYFUNCTION("""COMPUTED_VALUE"""),42310.6666666666)</f>
        <v>42310.666666666599</v>
      </c>
      <c r="AR129" s="3">
        <f ca="1">IFERROR(__xludf.DUMMYFUNCTION("""COMPUTED_VALUE"""),45.35)</f>
        <v>45.35</v>
      </c>
      <c r="AS129" s="3">
        <f ca="1">IFERROR(__xludf.DUMMYFUNCTION("""COMPUTED_VALUE"""),45.78)</f>
        <v>45.78</v>
      </c>
      <c r="AT129" s="3">
        <f ca="1">IFERROR(__xludf.DUMMYFUNCTION("""COMPUTED_VALUE"""),45.24)</f>
        <v>45.24</v>
      </c>
      <c r="AU129" s="3">
        <f ca="1">IFERROR(__xludf.DUMMYFUNCTION("""COMPUTED_VALUE"""),45.56)</f>
        <v>45.56</v>
      </c>
      <c r="AV129" s="3">
        <f ca="1">IFERROR(__xludf.DUMMYFUNCTION("""COMPUTED_VALUE"""),11350745)</f>
        <v>11350745</v>
      </c>
      <c r="AW129" s="4">
        <f ca="1">IFERROR(__xludf.DUMMYFUNCTION("""COMPUTED_VALUE"""),42478.6666666666)</f>
        <v>42478.666666666599</v>
      </c>
      <c r="AX129" s="3">
        <f ca="1">IFERROR(__xludf.DUMMYFUNCTION("""COMPUTED_VALUE"""),32.13)</f>
        <v>32.130000000000003</v>
      </c>
      <c r="AY129" s="3">
        <f ca="1">IFERROR(__xludf.DUMMYFUNCTION("""COMPUTED_VALUE"""),32.23)</f>
        <v>32.229999999999997</v>
      </c>
      <c r="AZ129" s="3">
        <f ca="1">IFERROR(__xludf.DUMMYFUNCTION("""COMPUTED_VALUE"""),31.85)</f>
        <v>31.85</v>
      </c>
      <c r="BA129" s="3">
        <f ca="1">IFERROR(__xludf.DUMMYFUNCTION("""COMPUTED_VALUE"""),32.23)</f>
        <v>32.229999999999997</v>
      </c>
      <c r="BB129" s="3">
        <f ca="1">IFERROR(__xludf.DUMMYFUNCTION("""COMPUTED_VALUE"""),959)</f>
        <v>959</v>
      </c>
      <c r="BC129" s="4">
        <f ca="1">IFERROR(__xludf.DUMMYFUNCTION("""COMPUTED_VALUE"""),42310.6666666666)</f>
        <v>42310.666666666599</v>
      </c>
      <c r="BD129" s="3">
        <f ca="1">IFERROR(__xludf.DUMMYFUNCTION("""COMPUTED_VALUE"""),43.73)</f>
        <v>43.73</v>
      </c>
      <c r="BE129" s="3">
        <f ca="1">IFERROR(__xludf.DUMMYFUNCTION("""COMPUTED_VALUE"""),44.06)</f>
        <v>44.06</v>
      </c>
      <c r="BF129" s="3">
        <f ca="1">IFERROR(__xludf.DUMMYFUNCTION("""COMPUTED_VALUE"""),43.62)</f>
        <v>43.62</v>
      </c>
      <c r="BG129" s="3">
        <f ca="1">IFERROR(__xludf.DUMMYFUNCTION("""COMPUTED_VALUE"""),44.04)</f>
        <v>44.04</v>
      </c>
      <c r="BH129" s="3">
        <f ca="1">IFERROR(__xludf.DUMMYFUNCTION("""COMPUTED_VALUE"""),13743283)</f>
        <v>13743283</v>
      </c>
      <c r="BI129" s="4">
        <f ca="1">IFERROR(__xludf.DUMMYFUNCTION("""COMPUTED_VALUE"""),42310.6666666666)</f>
        <v>42310.666666666599</v>
      </c>
      <c r="BJ129" s="3">
        <f ca="1">IFERROR(__xludf.DUMMYFUNCTION("""COMPUTED_VALUE"""),43.72)</f>
        <v>43.72</v>
      </c>
      <c r="BK129" s="3">
        <f ca="1">IFERROR(__xludf.DUMMYFUNCTION("""COMPUTED_VALUE"""),43.89)</f>
        <v>43.89</v>
      </c>
      <c r="BL129" s="3">
        <f ca="1">IFERROR(__xludf.DUMMYFUNCTION("""COMPUTED_VALUE"""),43.46)</f>
        <v>43.46</v>
      </c>
      <c r="BM129" s="3">
        <f ca="1">IFERROR(__xludf.DUMMYFUNCTION("""COMPUTED_VALUE"""),43.8)</f>
        <v>43.8</v>
      </c>
      <c r="BN129" s="3">
        <f ca="1">IFERROR(__xludf.DUMMYFUNCTION("""COMPUTED_VALUE"""),17436751)</f>
        <v>17436751</v>
      </c>
    </row>
    <row r="130" spans="7:66" ht="13" x14ac:dyDescent="0.15">
      <c r="G130" s="4">
        <f ca="1">IFERROR(__xludf.DUMMYFUNCTION("""COMPUTED_VALUE"""),42311.6666666666)</f>
        <v>42311.666666666599</v>
      </c>
      <c r="H130" s="3">
        <f ca="1">IFERROR(__xludf.DUMMYFUNCTION("""COMPUTED_VALUE"""),81.25)</f>
        <v>81.25</v>
      </c>
      <c r="I130" s="3">
        <f ca="1">IFERROR(__xludf.DUMMYFUNCTION("""COMPUTED_VALUE"""),81.86)</f>
        <v>81.86</v>
      </c>
      <c r="J130" s="3">
        <f ca="1">IFERROR(__xludf.DUMMYFUNCTION("""COMPUTED_VALUE"""),81.19)</f>
        <v>81.19</v>
      </c>
      <c r="K130" s="3">
        <f ca="1">IFERROR(__xludf.DUMMYFUNCTION("""COMPUTED_VALUE"""),81.65)</f>
        <v>81.650000000000006</v>
      </c>
      <c r="L130" s="3">
        <f ca="1">IFERROR(__xludf.DUMMYFUNCTION("""COMPUTED_VALUE"""),7283512)</f>
        <v>7283512</v>
      </c>
      <c r="M130" s="4">
        <f ca="1">IFERROR(__xludf.DUMMYFUNCTION("""COMPUTED_VALUE"""),42311.6666666666)</f>
        <v>42311.666666666599</v>
      </c>
      <c r="N130" s="3">
        <f ca="1">IFERROR(__xludf.DUMMYFUNCTION("""COMPUTED_VALUE"""),49.89)</f>
        <v>49.89</v>
      </c>
      <c r="O130" s="3">
        <f ca="1">IFERROR(__xludf.DUMMYFUNCTION("""COMPUTED_VALUE"""),50.07)</f>
        <v>50.07</v>
      </c>
      <c r="P130" s="3">
        <f ca="1">IFERROR(__xludf.DUMMYFUNCTION("""COMPUTED_VALUE"""),49.59)</f>
        <v>49.59</v>
      </c>
      <c r="Q130" s="3">
        <f ca="1">IFERROR(__xludf.DUMMYFUNCTION("""COMPUTED_VALUE"""),49.94)</f>
        <v>49.94</v>
      </c>
      <c r="R130" s="3">
        <f ca="1">IFERROR(__xludf.DUMMYFUNCTION("""COMPUTED_VALUE"""),12452943)</f>
        <v>12452943</v>
      </c>
      <c r="S130" s="4">
        <f ca="1">IFERROR(__xludf.DUMMYFUNCTION("""COMPUTED_VALUE"""),42311.6666666666)</f>
        <v>42311.666666666599</v>
      </c>
      <c r="T130" s="3">
        <f ca="1">IFERROR(__xludf.DUMMYFUNCTION("""COMPUTED_VALUE"""),70.11)</f>
        <v>70.11</v>
      </c>
      <c r="U130" s="3">
        <f ca="1">IFERROR(__xludf.DUMMYFUNCTION("""COMPUTED_VALUE"""),71.93)</f>
        <v>71.930000000000007</v>
      </c>
      <c r="V130" s="3">
        <f ca="1">IFERROR(__xludf.DUMMYFUNCTION("""COMPUTED_VALUE"""),70.08)</f>
        <v>70.08</v>
      </c>
      <c r="W130" s="3">
        <f ca="1">IFERROR(__xludf.DUMMYFUNCTION("""COMPUTED_VALUE"""),71.4)</f>
        <v>71.400000000000006</v>
      </c>
      <c r="X130" s="3">
        <f ca="1">IFERROR(__xludf.DUMMYFUNCTION("""COMPUTED_VALUE"""),21327171)</f>
        <v>21327171</v>
      </c>
      <c r="Y130" s="4">
        <f ca="1">IFERROR(__xludf.DUMMYFUNCTION("""COMPUTED_VALUE"""),42311.6666666666)</f>
        <v>42311.666666666599</v>
      </c>
      <c r="Z130" s="3">
        <f ca="1">IFERROR(__xludf.DUMMYFUNCTION("""COMPUTED_VALUE"""),19.81)</f>
        <v>19.809999999999999</v>
      </c>
      <c r="AA130" s="3">
        <f ca="1">IFERROR(__xludf.DUMMYFUNCTION("""COMPUTED_VALUE"""),19.92)</f>
        <v>19.920000000000002</v>
      </c>
      <c r="AB130" s="3">
        <f ca="1">IFERROR(__xludf.DUMMYFUNCTION("""COMPUTED_VALUE"""),19.72)</f>
        <v>19.72</v>
      </c>
      <c r="AC130" s="3">
        <f ca="1">IFERROR(__xludf.DUMMYFUNCTION("""COMPUTED_VALUE"""),19.85)</f>
        <v>19.850000000000001</v>
      </c>
      <c r="AD130" s="3">
        <f ca="1">IFERROR(__xludf.DUMMYFUNCTION("""COMPUTED_VALUE"""),34507885)</f>
        <v>34507885</v>
      </c>
      <c r="AE130" s="4">
        <f ca="1">IFERROR(__xludf.DUMMYFUNCTION("""COMPUTED_VALUE"""),42311.6666666666)</f>
        <v>42311.666666666599</v>
      </c>
      <c r="AF130" s="3">
        <f ca="1">IFERROR(__xludf.DUMMYFUNCTION("""COMPUTED_VALUE"""),72.67)</f>
        <v>72.67</v>
      </c>
      <c r="AG130" s="3">
        <f ca="1">IFERROR(__xludf.DUMMYFUNCTION("""COMPUTED_VALUE"""),72.83)</f>
        <v>72.83</v>
      </c>
      <c r="AH130" s="3">
        <f ca="1">IFERROR(__xludf.DUMMYFUNCTION("""COMPUTED_VALUE"""),72.09)</f>
        <v>72.09</v>
      </c>
      <c r="AI130" s="3">
        <f ca="1">IFERROR(__xludf.DUMMYFUNCTION("""COMPUTED_VALUE"""),72.6)</f>
        <v>72.599999999999994</v>
      </c>
      <c r="AJ130" s="3">
        <f ca="1">IFERROR(__xludf.DUMMYFUNCTION("""COMPUTED_VALUE"""),10428704)</f>
        <v>10428704</v>
      </c>
      <c r="AK130" s="4">
        <f ca="1">IFERROR(__xludf.DUMMYFUNCTION("""COMPUTED_VALUE"""),42311.6666666666)</f>
        <v>42311.666666666599</v>
      </c>
      <c r="AL130" s="3">
        <f ca="1">IFERROR(__xludf.DUMMYFUNCTION("""COMPUTED_VALUE"""),54.85)</f>
        <v>54.85</v>
      </c>
      <c r="AM130" s="3">
        <f ca="1">IFERROR(__xludf.DUMMYFUNCTION("""COMPUTED_VALUE"""),55.09)</f>
        <v>55.09</v>
      </c>
      <c r="AN130" s="3">
        <f ca="1">IFERROR(__xludf.DUMMYFUNCTION("""COMPUTED_VALUE"""),54.73)</f>
        <v>54.73</v>
      </c>
      <c r="AO130" s="3">
        <f ca="1">IFERROR(__xludf.DUMMYFUNCTION("""COMPUTED_VALUE"""),54.94)</f>
        <v>54.94</v>
      </c>
      <c r="AP130" s="3">
        <f ca="1">IFERROR(__xludf.DUMMYFUNCTION("""COMPUTED_VALUE"""),7486369)</f>
        <v>7486369</v>
      </c>
      <c r="AQ130" s="4">
        <f ca="1">IFERROR(__xludf.DUMMYFUNCTION("""COMPUTED_VALUE"""),42311.6666666666)</f>
        <v>42311.666666666599</v>
      </c>
      <c r="AR130" s="3">
        <f ca="1">IFERROR(__xludf.DUMMYFUNCTION("""COMPUTED_VALUE"""),45.44)</f>
        <v>45.44</v>
      </c>
      <c r="AS130" s="3">
        <f ca="1">IFERROR(__xludf.DUMMYFUNCTION("""COMPUTED_VALUE"""),46.09)</f>
        <v>46.09</v>
      </c>
      <c r="AT130" s="3">
        <f ca="1">IFERROR(__xludf.DUMMYFUNCTION("""COMPUTED_VALUE"""),45.41)</f>
        <v>45.41</v>
      </c>
      <c r="AU130" s="3">
        <f ca="1">IFERROR(__xludf.DUMMYFUNCTION("""COMPUTED_VALUE"""),45.74)</f>
        <v>45.74</v>
      </c>
      <c r="AV130" s="3">
        <f ca="1">IFERROR(__xludf.DUMMYFUNCTION("""COMPUTED_VALUE"""),7603936)</f>
        <v>7603936</v>
      </c>
      <c r="AW130" s="4">
        <f ca="1">IFERROR(__xludf.DUMMYFUNCTION("""COMPUTED_VALUE"""),42479.6666666666)</f>
        <v>42479.666666666599</v>
      </c>
      <c r="AX130" s="3">
        <f ca="1">IFERROR(__xludf.DUMMYFUNCTION("""COMPUTED_VALUE"""),32.41)</f>
        <v>32.409999999999997</v>
      </c>
      <c r="AY130" s="3">
        <f ca="1">IFERROR(__xludf.DUMMYFUNCTION("""COMPUTED_VALUE"""),32.41)</f>
        <v>32.409999999999997</v>
      </c>
      <c r="AZ130" s="3">
        <f ca="1">IFERROR(__xludf.DUMMYFUNCTION("""COMPUTED_VALUE"""),32.05)</f>
        <v>32.049999999999997</v>
      </c>
      <c r="BA130" s="3">
        <f ca="1">IFERROR(__xludf.DUMMYFUNCTION("""COMPUTED_VALUE"""),32.12)</f>
        <v>32.119999999999997</v>
      </c>
      <c r="BB130" s="3">
        <f ca="1">IFERROR(__xludf.DUMMYFUNCTION("""COMPUTED_VALUE"""),32759)</f>
        <v>32759</v>
      </c>
      <c r="BC130" s="4">
        <f ca="1">IFERROR(__xludf.DUMMYFUNCTION("""COMPUTED_VALUE"""),42311.6666666666)</f>
        <v>42311.666666666599</v>
      </c>
      <c r="BD130" s="3">
        <f ca="1">IFERROR(__xludf.DUMMYFUNCTION("""COMPUTED_VALUE"""),43.9)</f>
        <v>43.9</v>
      </c>
      <c r="BE130" s="3">
        <f ca="1">IFERROR(__xludf.DUMMYFUNCTION("""COMPUTED_VALUE"""),44.43)</f>
        <v>44.43</v>
      </c>
      <c r="BF130" s="3">
        <f ca="1">IFERROR(__xludf.DUMMYFUNCTION("""COMPUTED_VALUE"""),43.82)</f>
        <v>43.82</v>
      </c>
      <c r="BG130" s="3">
        <f ca="1">IFERROR(__xludf.DUMMYFUNCTION("""COMPUTED_VALUE"""),44.27)</f>
        <v>44.27</v>
      </c>
      <c r="BH130" s="3">
        <f ca="1">IFERROR(__xludf.DUMMYFUNCTION("""COMPUTED_VALUE"""),6879046)</f>
        <v>6879046</v>
      </c>
      <c r="BI130" s="4">
        <f ca="1">IFERROR(__xludf.DUMMYFUNCTION("""COMPUTED_VALUE"""),42311.6666666666)</f>
        <v>42311.666666666599</v>
      </c>
      <c r="BJ130" s="3">
        <f ca="1">IFERROR(__xludf.DUMMYFUNCTION("""COMPUTED_VALUE"""),43.64)</f>
        <v>43.64</v>
      </c>
      <c r="BK130" s="3">
        <f ca="1">IFERROR(__xludf.DUMMYFUNCTION("""COMPUTED_VALUE"""),43.98)</f>
        <v>43.98</v>
      </c>
      <c r="BL130" s="3">
        <f ca="1">IFERROR(__xludf.DUMMYFUNCTION("""COMPUTED_VALUE"""),43.52)</f>
        <v>43.52</v>
      </c>
      <c r="BM130" s="3">
        <f ca="1">IFERROR(__xludf.DUMMYFUNCTION("""COMPUTED_VALUE"""),43.93)</f>
        <v>43.93</v>
      </c>
      <c r="BN130" s="3">
        <f ca="1">IFERROR(__xludf.DUMMYFUNCTION("""COMPUTED_VALUE"""),12433217)</f>
        <v>12433217</v>
      </c>
    </row>
    <row r="131" spans="7:66" ht="13" x14ac:dyDescent="0.15">
      <c r="G131" s="4">
        <f ca="1">IFERROR(__xludf.DUMMYFUNCTION("""COMPUTED_VALUE"""),42312.6666666666)</f>
        <v>42312.666666666599</v>
      </c>
      <c r="H131" s="3">
        <f ca="1">IFERROR(__xludf.DUMMYFUNCTION("""COMPUTED_VALUE"""),81.79)</f>
        <v>81.790000000000006</v>
      </c>
      <c r="I131" s="3">
        <f ca="1">IFERROR(__xludf.DUMMYFUNCTION("""COMPUTED_VALUE"""),81.87)</f>
        <v>81.87</v>
      </c>
      <c r="J131" s="3">
        <f ca="1">IFERROR(__xludf.DUMMYFUNCTION("""COMPUTED_VALUE"""),80.71)</f>
        <v>80.709999999999994</v>
      </c>
      <c r="K131" s="3">
        <f ca="1">IFERROR(__xludf.DUMMYFUNCTION("""COMPUTED_VALUE"""),81.12)</f>
        <v>81.12</v>
      </c>
      <c r="L131" s="3">
        <f ca="1">IFERROR(__xludf.DUMMYFUNCTION("""COMPUTED_VALUE"""),6265877)</f>
        <v>6265877</v>
      </c>
      <c r="M131" s="4">
        <f ca="1">IFERROR(__xludf.DUMMYFUNCTION("""COMPUTED_VALUE"""),42312.6666666666)</f>
        <v>42312.666666666599</v>
      </c>
      <c r="N131" s="3">
        <f ca="1">IFERROR(__xludf.DUMMYFUNCTION("""COMPUTED_VALUE"""),50)</f>
        <v>50</v>
      </c>
      <c r="O131" s="3">
        <f ca="1">IFERROR(__xludf.DUMMYFUNCTION("""COMPUTED_VALUE"""),50.09)</f>
        <v>50.09</v>
      </c>
      <c r="P131" s="3">
        <f ca="1">IFERROR(__xludf.DUMMYFUNCTION("""COMPUTED_VALUE"""),49.54)</f>
        <v>49.54</v>
      </c>
      <c r="Q131" s="3">
        <f ca="1">IFERROR(__xludf.DUMMYFUNCTION("""COMPUTED_VALUE"""),49.73)</f>
        <v>49.73</v>
      </c>
      <c r="R131" s="3">
        <f ca="1">IFERROR(__xludf.DUMMYFUNCTION("""COMPUTED_VALUE"""),8067588)</f>
        <v>8067588</v>
      </c>
      <c r="S131" s="4">
        <f ca="1">IFERROR(__xludf.DUMMYFUNCTION("""COMPUTED_VALUE"""),42312.6666666666)</f>
        <v>42312.666666666599</v>
      </c>
      <c r="T131" s="3">
        <f ca="1">IFERROR(__xludf.DUMMYFUNCTION("""COMPUTED_VALUE"""),71.47)</f>
        <v>71.47</v>
      </c>
      <c r="U131" s="3">
        <f ca="1">IFERROR(__xludf.DUMMYFUNCTION("""COMPUTED_VALUE"""),71.67)</f>
        <v>71.67</v>
      </c>
      <c r="V131" s="3">
        <f ca="1">IFERROR(__xludf.DUMMYFUNCTION("""COMPUTED_VALUE"""),70.23)</f>
        <v>70.23</v>
      </c>
      <c r="W131" s="3">
        <f ca="1">IFERROR(__xludf.DUMMYFUNCTION("""COMPUTED_VALUE"""),70.76)</f>
        <v>70.760000000000005</v>
      </c>
      <c r="X131" s="3">
        <f ca="1">IFERROR(__xludf.DUMMYFUNCTION("""COMPUTED_VALUE"""),17718800)</f>
        <v>17718800</v>
      </c>
      <c r="Y131" s="4">
        <f ca="1">IFERROR(__xludf.DUMMYFUNCTION("""COMPUTED_VALUE"""),42312.6666666666)</f>
        <v>42312.666666666599</v>
      </c>
      <c r="Z131" s="3">
        <f ca="1">IFERROR(__xludf.DUMMYFUNCTION("""COMPUTED_VALUE"""),19.85)</f>
        <v>19.850000000000001</v>
      </c>
      <c r="AA131" s="3">
        <f ca="1">IFERROR(__xludf.DUMMYFUNCTION("""COMPUTED_VALUE"""),19.9)</f>
        <v>19.899999999999999</v>
      </c>
      <c r="AB131" s="3">
        <f ca="1">IFERROR(__xludf.DUMMYFUNCTION("""COMPUTED_VALUE"""),19.74)</f>
        <v>19.739999999999998</v>
      </c>
      <c r="AC131" s="3">
        <f ca="1">IFERROR(__xludf.DUMMYFUNCTION("""COMPUTED_VALUE"""),19.8)</f>
        <v>19.8</v>
      </c>
      <c r="AD131" s="3">
        <f ca="1">IFERROR(__xludf.DUMMYFUNCTION("""COMPUTED_VALUE"""),32575609)</f>
        <v>32575609</v>
      </c>
      <c r="AE131" s="4">
        <f ca="1">IFERROR(__xludf.DUMMYFUNCTION("""COMPUTED_VALUE"""),42312.6666666666)</f>
        <v>42312.666666666599</v>
      </c>
      <c r="AF131" s="3">
        <f ca="1">IFERROR(__xludf.DUMMYFUNCTION("""COMPUTED_VALUE"""),72.86)</f>
        <v>72.86</v>
      </c>
      <c r="AG131" s="3">
        <f ca="1">IFERROR(__xludf.DUMMYFUNCTION("""COMPUTED_VALUE"""),72.88)</f>
        <v>72.88</v>
      </c>
      <c r="AH131" s="3">
        <f ca="1">IFERROR(__xludf.DUMMYFUNCTION("""COMPUTED_VALUE"""),71.84)</f>
        <v>71.84</v>
      </c>
      <c r="AI131" s="3">
        <f ca="1">IFERROR(__xludf.DUMMYFUNCTION("""COMPUTED_VALUE"""),72.28)</f>
        <v>72.28</v>
      </c>
      <c r="AJ131" s="3">
        <f ca="1">IFERROR(__xludf.DUMMYFUNCTION("""COMPUTED_VALUE"""),11533043)</f>
        <v>11533043</v>
      </c>
      <c r="AK131" s="4">
        <f ca="1">IFERROR(__xludf.DUMMYFUNCTION("""COMPUTED_VALUE"""),42312.6666666666)</f>
        <v>42312.666666666599</v>
      </c>
      <c r="AL131" s="3">
        <f ca="1">IFERROR(__xludf.DUMMYFUNCTION("""COMPUTED_VALUE"""),54.91)</f>
        <v>54.91</v>
      </c>
      <c r="AM131" s="3">
        <f ca="1">IFERROR(__xludf.DUMMYFUNCTION("""COMPUTED_VALUE"""),55.1)</f>
        <v>55.1</v>
      </c>
      <c r="AN131" s="3">
        <f ca="1">IFERROR(__xludf.DUMMYFUNCTION("""COMPUTED_VALUE"""),54.68)</f>
        <v>54.68</v>
      </c>
      <c r="AO131" s="3">
        <f ca="1">IFERROR(__xludf.DUMMYFUNCTION("""COMPUTED_VALUE"""),54.79)</f>
        <v>54.79</v>
      </c>
      <c r="AP131" s="3">
        <f ca="1">IFERROR(__xludf.DUMMYFUNCTION("""COMPUTED_VALUE"""),9670911)</f>
        <v>9670911</v>
      </c>
      <c r="AQ131" s="4">
        <f ca="1">IFERROR(__xludf.DUMMYFUNCTION("""COMPUTED_VALUE"""),42312.6666666666)</f>
        <v>42312.666666666599</v>
      </c>
      <c r="AR131" s="3">
        <f ca="1">IFERROR(__xludf.DUMMYFUNCTION("""COMPUTED_VALUE"""),45.66)</f>
        <v>45.66</v>
      </c>
      <c r="AS131" s="3">
        <f ca="1">IFERROR(__xludf.DUMMYFUNCTION("""COMPUTED_VALUE"""),45.98)</f>
        <v>45.98</v>
      </c>
      <c r="AT131" s="3">
        <f ca="1">IFERROR(__xludf.DUMMYFUNCTION("""COMPUTED_VALUE"""),45.42)</f>
        <v>45.42</v>
      </c>
      <c r="AU131" s="3">
        <f ca="1">IFERROR(__xludf.DUMMYFUNCTION("""COMPUTED_VALUE"""),45.44)</f>
        <v>45.44</v>
      </c>
      <c r="AV131" s="3">
        <f ca="1">IFERROR(__xludf.DUMMYFUNCTION("""COMPUTED_VALUE"""),6841179)</f>
        <v>6841179</v>
      </c>
      <c r="AW131" s="4">
        <f ca="1">IFERROR(__xludf.DUMMYFUNCTION("""COMPUTED_VALUE"""),42480.6666666666)</f>
        <v>42480.666666666599</v>
      </c>
      <c r="AX131" s="3">
        <f ca="1">IFERROR(__xludf.DUMMYFUNCTION("""COMPUTED_VALUE"""),32.01)</f>
        <v>32.01</v>
      </c>
      <c r="AY131" s="3">
        <f ca="1">IFERROR(__xludf.DUMMYFUNCTION("""COMPUTED_VALUE"""),32.02)</f>
        <v>32.020000000000003</v>
      </c>
      <c r="AZ131" s="3">
        <f ca="1">IFERROR(__xludf.DUMMYFUNCTION("""COMPUTED_VALUE"""),31.76)</f>
        <v>31.76</v>
      </c>
      <c r="BA131" s="3">
        <f ca="1">IFERROR(__xludf.DUMMYFUNCTION("""COMPUTED_VALUE"""),31.8)</f>
        <v>31.8</v>
      </c>
      <c r="BB131" s="3">
        <f ca="1">IFERROR(__xludf.DUMMYFUNCTION("""COMPUTED_VALUE"""),1880)</f>
        <v>1880</v>
      </c>
      <c r="BC131" s="4">
        <f ca="1">IFERROR(__xludf.DUMMYFUNCTION("""COMPUTED_VALUE"""),42312.6666666666)</f>
        <v>42312.666666666599</v>
      </c>
      <c r="BD131" s="3">
        <f ca="1">IFERROR(__xludf.DUMMYFUNCTION("""COMPUTED_VALUE"""),44.37)</f>
        <v>44.37</v>
      </c>
      <c r="BE131" s="3">
        <f ca="1">IFERROR(__xludf.DUMMYFUNCTION("""COMPUTED_VALUE"""),44.44)</f>
        <v>44.44</v>
      </c>
      <c r="BF131" s="3">
        <f ca="1">IFERROR(__xludf.DUMMYFUNCTION("""COMPUTED_VALUE"""),44.21)</f>
        <v>44.21</v>
      </c>
      <c r="BG131" s="3">
        <f ca="1">IFERROR(__xludf.DUMMYFUNCTION("""COMPUTED_VALUE"""),44.32)</f>
        <v>44.32</v>
      </c>
      <c r="BH131" s="3">
        <f ca="1">IFERROR(__xludf.DUMMYFUNCTION("""COMPUTED_VALUE"""),7298611)</f>
        <v>7298611</v>
      </c>
      <c r="BI131" s="4">
        <f ca="1">IFERROR(__xludf.DUMMYFUNCTION("""COMPUTED_VALUE"""),42312.6666666666)</f>
        <v>42312.666666666599</v>
      </c>
      <c r="BJ131" s="3">
        <f ca="1">IFERROR(__xludf.DUMMYFUNCTION("""COMPUTED_VALUE"""),43.88)</f>
        <v>43.88</v>
      </c>
      <c r="BK131" s="3">
        <f ca="1">IFERROR(__xludf.DUMMYFUNCTION("""COMPUTED_VALUE"""),44.3)</f>
        <v>44.3</v>
      </c>
      <c r="BL131" s="3">
        <f ca="1">IFERROR(__xludf.DUMMYFUNCTION("""COMPUTED_VALUE"""),43.88)</f>
        <v>43.88</v>
      </c>
      <c r="BM131" s="3">
        <f ca="1">IFERROR(__xludf.DUMMYFUNCTION("""COMPUTED_VALUE"""),44.16)</f>
        <v>44.16</v>
      </c>
      <c r="BN131" s="3">
        <f ca="1">IFERROR(__xludf.DUMMYFUNCTION("""COMPUTED_VALUE"""),10718938)</f>
        <v>10718938</v>
      </c>
    </row>
    <row r="132" spans="7:66" ht="13" x14ac:dyDescent="0.15">
      <c r="G132" s="4">
        <f ca="1">IFERROR(__xludf.DUMMYFUNCTION("""COMPUTED_VALUE"""),42313.6666666666)</f>
        <v>42313.666666666599</v>
      </c>
      <c r="H132" s="3">
        <f ca="1">IFERROR(__xludf.DUMMYFUNCTION("""COMPUTED_VALUE"""),81.24)</f>
        <v>81.239999999999995</v>
      </c>
      <c r="I132" s="3">
        <f ca="1">IFERROR(__xludf.DUMMYFUNCTION("""COMPUTED_VALUE"""),81.65)</f>
        <v>81.650000000000006</v>
      </c>
      <c r="J132" s="3">
        <f ca="1">IFERROR(__xludf.DUMMYFUNCTION("""COMPUTED_VALUE"""),80.81)</f>
        <v>80.81</v>
      </c>
      <c r="K132" s="3">
        <f ca="1">IFERROR(__xludf.DUMMYFUNCTION("""COMPUTED_VALUE"""),81.41)</f>
        <v>81.41</v>
      </c>
      <c r="L132" s="3">
        <f ca="1">IFERROR(__xludf.DUMMYFUNCTION("""COMPUTED_VALUE"""),6964685)</f>
        <v>6964685</v>
      </c>
      <c r="M132" s="4">
        <f ca="1">IFERROR(__xludf.DUMMYFUNCTION("""COMPUTED_VALUE"""),42313.6666666666)</f>
        <v>42313.666666666599</v>
      </c>
      <c r="N132" s="3">
        <f ca="1">IFERROR(__xludf.DUMMYFUNCTION("""COMPUTED_VALUE"""),49.68)</f>
        <v>49.68</v>
      </c>
      <c r="O132" s="3">
        <f ca="1">IFERROR(__xludf.DUMMYFUNCTION("""COMPUTED_VALUE"""),49.8)</f>
        <v>49.8</v>
      </c>
      <c r="P132" s="3">
        <f ca="1">IFERROR(__xludf.DUMMYFUNCTION("""COMPUTED_VALUE"""),49.44)</f>
        <v>49.44</v>
      </c>
      <c r="Q132" s="3">
        <f ca="1">IFERROR(__xludf.DUMMYFUNCTION("""COMPUTED_VALUE"""),49.72)</f>
        <v>49.72</v>
      </c>
      <c r="R132" s="3">
        <f ca="1">IFERROR(__xludf.DUMMYFUNCTION("""COMPUTED_VALUE"""),9691771)</f>
        <v>9691771</v>
      </c>
      <c r="S132" s="4">
        <f ca="1">IFERROR(__xludf.DUMMYFUNCTION("""COMPUTED_VALUE"""),42313.6666666666)</f>
        <v>42313.666666666599</v>
      </c>
      <c r="T132" s="3">
        <f ca="1">IFERROR(__xludf.DUMMYFUNCTION("""COMPUTED_VALUE"""),70.41)</f>
        <v>70.41</v>
      </c>
      <c r="U132" s="3">
        <f ca="1">IFERROR(__xludf.DUMMYFUNCTION("""COMPUTED_VALUE"""),71.19)</f>
        <v>71.19</v>
      </c>
      <c r="V132" s="3">
        <f ca="1">IFERROR(__xludf.DUMMYFUNCTION("""COMPUTED_VALUE"""),69.84)</f>
        <v>69.84</v>
      </c>
      <c r="W132" s="3">
        <f ca="1">IFERROR(__xludf.DUMMYFUNCTION("""COMPUTED_VALUE"""),70.16)</f>
        <v>70.16</v>
      </c>
      <c r="X132" s="3">
        <f ca="1">IFERROR(__xludf.DUMMYFUNCTION("""COMPUTED_VALUE"""),16233508)</f>
        <v>16233508</v>
      </c>
      <c r="Y132" s="4">
        <f ca="1">IFERROR(__xludf.DUMMYFUNCTION("""COMPUTED_VALUE"""),42313.6666666666)</f>
        <v>42313.666666666599</v>
      </c>
      <c r="Z132" s="3">
        <f ca="1">IFERROR(__xludf.DUMMYFUNCTION("""COMPUTED_VALUE"""),19.8)</f>
        <v>19.8</v>
      </c>
      <c r="AA132" s="3">
        <f ca="1">IFERROR(__xludf.DUMMYFUNCTION("""COMPUTED_VALUE"""),19.91)</f>
        <v>19.91</v>
      </c>
      <c r="AB132" s="3">
        <f ca="1">IFERROR(__xludf.DUMMYFUNCTION("""COMPUTED_VALUE"""),19.77)</f>
        <v>19.77</v>
      </c>
      <c r="AC132" s="3">
        <f ca="1">IFERROR(__xludf.DUMMYFUNCTION("""COMPUTED_VALUE"""),19.88)</f>
        <v>19.88</v>
      </c>
      <c r="AD132" s="3">
        <f ca="1">IFERROR(__xludf.DUMMYFUNCTION("""COMPUTED_VALUE"""),36748012)</f>
        <v>36748012</v>
      </c>
      <c r="AE132" s="4">
        <f ca="1">IFERROR(__xludf.DUMMYFUNCTION("""COMPUTED_VALUE"""),42313.6666666666)</f>
        <v>42313.666666666599</v>
      </c>
      <c r="AF132" s="3">
        <f ca="1">IFERROR(__xludf.DUMMYFUNCTION("""COMPUTED_VALUE"""),72.33)</f>
        <v>72.33</v>
      </c>
      <c r="AG132" s="3">
        <f ca="1">IFERROR(__xludf.DUMMYFUNCTION("""COMPUTED_VALUE"""),72.35)</f>
        <v>72.349999999999994</v>
      </c>
      <c r="AH132" s="3">
        <f ca="1">IFERROR(__xludf.DUMMYFUNCTION("""COMPUTED_VALUE"""),71.37)</f>
        <v>71.37</v>
      </c>
      <c r="AI132" s="3">
        <f ca="1">IFERROR(__xludf.DUMMYFUNCTION("""COMPUTED_VALUE"""),72.05)</f>
        <v>72.05</v>
      </c>
      <c r="AJ132" s="3">
        <f ca="1">IFERROR(__xludf.DUMMYFUNCTION("""COMPUTED_VALUE"""),9171965)</f>
        <v>9171965</v>
      </c>
      <c r="AK132" s="4">
        <f ca="1">IFERROR(__xludf.DUMMYFUNCTION("""COMPUTED_VALUE"""),42313.6666666666)</f>
        <v>42313.666666666599</v>
      </c>
      <c r="AL132" s="3">
        <f ca="1">IFERROR(__xludf.DUMMYFUNCTION("""COMPUTED_VALUE"""),54.77)</f>
        <v>54.77</v>
      </c>
      <c r="AM132" s="3">
        <f ca="1">IFERROR(__xludf.DUMMYFUNCTION("""COMPUTED_VALUE"""),55)</f>
        <v>55</v>
      </c>
      <c r="AN132" s="3">
        <f ca="1">IFERROR(__xludf.DUMMYFUNCTION("""COMPUTED_VALUE"""),54.47)</f>
        <v>54.47</v>
      </c>
      <c r="AO132" s="3">
        <f ca="1">IFERROR(__xludf.DUMMYFUNCTION("""COMPUTED_VALUE"""),54.86)</f>
        <v>54.86</v>
      </c>
      <c r="AP132" s="3">
        <f ca="1">IFERROR(__xludf.DUMMYFUNCTION("""COMPUTED_VALUE"""),11531053)</f>
        <v>11531053</v>
      </c>
      <c r="AQ132" s="4">
        <f ca="1">IFERROR(__xludf.DUMMYFUNCTION("""COMPUTED_VALUE"""),42313.6666666666)</f>
        <v>42313.666666666599</v>
      </c>
      <c r="AR132" s="3">
        <f ca="1">IFERROR(__xludf.DUMMYFUNCTION("""COMPUTED_VALUE"""),45.38)</f>
        <v>45.38</v>
      </c>
      <c r="AS132" s="3">
        <f ca="1">IFERROR(__xludf.DUMMYFUNCTION("""COMPUTED_VALUE"""),45.38)</f>
        <v>45.38</v>
      </c>
      <c r="AT132" s="3">
        <f ca="1">IFERROR(__xludf.DUMMYFUNCTION("""COMPUTED_VALUE"""),44.85)</f>
        <v>44.85</v>
      </c>
      <c r="AU132" s="3">
        <f ca="1">IFERROR(__xludf.DUMMYFUNCTION("""COMPUTED_VALUE"""),45.21)</f>
        <v>45.21</v>
      </c>
      <c r="AV132" s="3">
        <f ca="1">IFERROR(__xludf.DUMMYFUNCTION("""COMPUTED_VALUE"""),10284953)</f>
        <v>10284953</v>
      </c>
      <c r="AW132" s="4">
        <f ca="1">IFERROR(__xludf.DUMMYFUNCTION("""COMPUTED_VALUE"""),42481.6666666666)</f>
        <v>42481.666666666599</v>
      </c>
      <c r="AX132" s="3">
        <f ca="1">IFERROR(__xludf.DUMMYFUNCTION("""COMPUTED_VALUE"""),31.63)</f>
        <v>31.63</v>
      </c>
      <c r="AY132" s="3">
        <f ca="1">IFERROR(__xludf.DUMMYFUNCTION("""COMPUTED_VALUE"""),31.66)</f>
        <v>31.66</v>
      </c>
      <c r="AZ132" s="3">
        <f ca="1">IFERROR(__xludf.DUMMYFUNCTION("""COMPUTED_VALUE"""),31.01)</f>
        <v>31.01</v>
      </c>
      <c r="BA132" s="3">
        <f ca="1">IFERROR(__xludf.DUMMYFUNCTION("""COMPUTED_VALUE"""),31.06)</f>
        <v>31.06</v>
      </c>
      <c r="BB132" s="3">
        <f ca="1">IFERROR(__xludf.DUMMYFUNCTION("""COMPUTED_VALUE"""),1293)</f>
        <v>1293</v>
      </c>
      <c r="BC132" s="4">
        <f ca="1">IFERROR(__xludf.DUMMYFUNCTION("""COMPUTED_VALUE"""),42313.6666666666)</f>
        <v>42313.666666666599</v>
      </c>
      <c r="BD132" s="3">
        <f ca="1">IFERROR(__xludf.DUMMYFUNCTION("""COMPUTED_VALUE"""),44.36)</f>
        <v>44.36</v>
      </c>
      <c r="BE132" s="3">
        <f ca="1">IFERROR(__xludf.DUMMYFUNCTION("""COMPUTED_VALUE"""),44.58)</f>
        <v>44.58</v>
      </c>
      <c r="BF132" s="3">
        <f ca="1">IFERROR(__xludf.DUMMYFUNCTION("""COMPUTED_VALUE"""),44.1)</f>
        <v>44.1</v>
      </c>
      <c r="BG132" s="3">
        <f ca="1">IFERROR(__xludf.DUMMYFUNCTION("""COMPUTED_VALUE"""),44.19)</f>
        <v>44.19</v>
      </c>
      <c r="BH132" s="3">
        <f ca="1">IFERROR(__xludf.DUMMYFUNCTION("""COMPUTED_VALUE"""),6728787)</f>
        <v>6728787</v>
      </c>
      <c r="BI132" s="4">
        <f ca="1">IFERROR(__xludf.DUMMYFUNCTION("""COMPUTED_VALUE"""),42313.6666666666)</f>
        <v>42313.666666666599</v>
      </c>
      <c r="BJ132" s="3">
        <f ca="1">IFERROR(__xludf.DUMMYFUNCTION("""COMPUTED_VALUE"""),44.07)</f>
        <v>44.07</v>
      </c>
      <c r="BK132" s="3">
        <f ca="1">IFERROR(__xludf.DUMMYFUNCTION("""COMPUTED_VALUE"""),44.2)</f>
        <v>44.2</v>
      </c>
      <c r="BL132" s="3">
        <f ca="1">IFERROR(__xludf.DUMMYFUNCTION("""COMPUTED_VALUE"""),43.78)</f>
        <v>43.78</v>
      </c>
      <c r="BM132" s="3">
        <f ca="1">IFERROR(__xludf.DUMMYFUNCTION("""COMPUTED_VALUE"""),43.78)</f>
        <v>43.78</v>
      </c>
      <c r="BN132" s="3">
        <f ca="1">IFERROR(__xludf.DUMMYFUNCTION("""COMPUTED_VALUE"""),13762878)</f>
        <v>13762878</v>
      </c>
    </row>
    <row r="133" spans="7:66" ht="13" x14ac:dyDescent="0.15">
      <c r="G133" s="4">
        <f ca="1">IFERROR(__xludf.DUMMYFUNCTION("""COMPUTED_VALUE"""),42314.6666666666)</f>
        <v>42314.666666666599</v>
      </c>
      <c r="H133" s="3">
        <f ca="1">IFERROR(__xludf.DUMMYFUNCTION("""COMPUTED_VALUE"""),81.2)</f>
        <v>81.2</v>
      </c>
      <c r="I133" s="3">
        <f ca="1">IFERROR(__xludf.DUMMYFUNCTION("""COMPUTED_VALUE"""),81.61)</f>
        <v>81.61</v>
      </c>
      <c r="J133" s="3">
        <f ca="1">IFERROR(__xludf.DUMMYFUNCTION("""COMPUTED_VALUE"""),80.9)</f>
        <v>80.900000000000006</v>
      </c>
      <c r="K133" s="3">
        <f ca="1">IFERROR(__xludf.DUMMYFUNCTION("""COMPUTED_VALUE"""),81.42)</f>
        <v>81.42</v>
      </c>
      <c r="L133" s="3">
        <f ca="1">IFERROR(__xludf.DUMMYFUNCTION("""COMPUTED_VALUE"""),6593217)</f>
        <v>6593217</v>
      </c>
      <c r="M133" s="4">
        <f ca="1">IFERROR(__xludf.DUMMYFUNCTION("""COMPUTED_VALUE"""),42314.6666666666)</f>
        <v>42314.666666666599</v>
      </c>
      <c r="N133" s="3">
        <f ca="1">IFERROR(__xludf.DUMMYFUNCTION("""COMPUTED_VALUE"""),49.49)</f>
        <v>49.49</v>
      </c>
      <c r="O133" s="3">
        <f ca="1">IFERROR(__xludf.DUMMYFUNCTION("""COMPUTED_VALUE"""),49.58)</f>
        <v>49.58</v>
      </c>
      <c r="P133" s="3">
        <f ca="1">IFERROR(__xludf.DUMMYFUNCTION("""COMPUTED_VALUE"""),48.82)</f>
        <v>48.82</v>
      </c>
      <c r="Q133" s="3">
        <f ca="1">IFERROR(__xludf.DUMMYFUNCTION("""COMPUTED_VALUE"""),49.18)</f>
        <v>49.18</v>
      </c>
      <c r="R133" s="3">
        <f ca="1">IFERROR(__xludf.DUMMYFUNCTION("""COMPUTED_VALUE"""),13747249)</f>
        <v>13747249</v>
      </c>
      <c r="S133" s="4">
        <f ca="1">IFERROR(__xludf.DUMMYFUNCTION("""COMPUTED_VALUE"""),42314.6666666666)</f>
        <v>42314.666666666599</v>
      </c>
      <c r="T133" s="3">
        <f ca="1">IFERROR(__xludf.DUMMYFUNCTION("""COMPUTED_VALUE"""),69.54)</f>
        <v>69.540000000000006</v>
      </c>
      <c r="U133" s="3">
        <f ca="1">IFERROR(__xludf.DUMMYFUNCTION("""COMPUTED_VALUE"""),70.08)</f>
        <v>70.08</v>
      </c>
      <c r="V133" s="3">
        <f ca="1">IFERROR(__xludf.DUMMYFUNCTION("""COMPUTED_VALUE"""),68.77)</f>
        <v>68.77</v>
      </c>
      <c r="W133" s="3">
        <f ca="1">IFERROR(__xludf.DUMMYFUNCTION("""COMPUTED_VALUE"""),69.8)</f>
        <v>69.8</v>
      </c>
      <c r="X133" s="3">
        <f ca="1">IFERROR(__xludf.DUMMYFUNCTION("""COMPUTED_VALUE"""),13761216)</f>
        <v>13761216</v>
      </c>
      <c r="Y133" s="4">
        <f ca="1">IFERROR(__xludf.DUMMYFUNCTION("""COMPUTED_VALUE"""),42314.6666666666)</f>
        <v>42314.666666666599</v>
      </c>
      <c r="Z133" s="3">
        <f ca="1">IFERROR(__xludf.DUMMYFUNCTION("""COMPUTED_VALUE"""),20.25)</f>
        <v>20.25</v>
      </c>
      <c r="AA133" s="3">
        <f ca="1">IFERROR(__xludf.DUMMYFUNCTION("""COMPUTED_VALUE"""),20.28)</f>
        <v>20.28</v>
      </c>
      <c r="AB133" s="3">
        <f ca="1">IFERROR(__xludf.DUMMYFUNCTION("""COMPUTED_VALUE"""),20)</f>
        <v>20</v>
      </c>
      <c r="AC133" s="3">
        <f ca="1">IFERROR(__xludf.DUMMYFUNCTION("""COMPUTED_VALUE"""),20.08)</f>
        <v>20.079999999999998</v>
      </c>
      <c r="AD133" s="3">
        <f ca="1">IFERROR(__xludf.DUMMYFUNCTION("""COMPUTED_VALUE"""),69501345)</f>
        <v>69501345</v>
      </c>
      <c r="AE133" s="4">
        <f ca="1">IFERROR(__xludf.DUMMYFUNCTION("""COMPUTED_VALUE"""),42314.6666666666)</f>
        <v>42314.666666666599</v>
      </c>
      <c r="AF133" s="3">
        <f ca="1">IFERROR(__xludf.DUMMYFUNCTION("""COMPUTED_VALUE"""),71.61)</f>
        <v>71.61</v>
      </c>
      <c r="AG133" s="3">
        <f ca="1">IFERROR(__xludf.DUMMYFUNCTION("""COMPUTED_VALUE"""),71.82)</f>
        <v>71.819999999999993</v>
      </c>
      <c r="AH133" s="3">
        <f ca="1">IFERROR(__xludf.DUMMYFUNCTION("""COMPUTED_VALUE"""),70.92)</f>
        <v>70.92</v>
      </c>
      <c r="AI133" s="3">
        <f ca="1">IFERROR(__xludf.DUMMYFUNCTION("""COMPUTED_VALUE"""),71.75)</f>
        <v>71.75</v>
      </c>
      <c r="AJ133" s="3">
        <f ca="1">IFERROR(__xludf.DUMMYFUNCTION("""COMPUTED_VALUE"""),12661051)</f>
        <v>12661051</v>
      </c>
      <c r="AK133" s="4">
        <f ca="1">IFERROR(__xludf.DUMMYFUNCTION("""COMPUTED_VALUE"""),42314.6666666666)</f>
        <v>42314.666666666599</v>
      </c>
      <c r="AL133" s="3">
        <f ca="1">IFERROR(__xludf.DUMMYFUNCTION("""COMPUTED_VALUE"""),54.54)</f>
        <v>54.54</v>
      </c>
      <c r="AM133" s="3">
        <f ca="1">IFERROR(__xludf.DUMMYFUNCTION("""COMPUTED_VALUE"""),54.87)</f>
        <v>54.87</v>
      </c>
      <c r="AN133" s="3">
        <f ca="1">IFERROR(__xludf.DUMMYFUNCTION("""COMPUTED_VALUE"""),54.29)</f>
        <v>54.29</v>
      </c>
      <c r="AO133" s="3">
        <f ca="1">IFERROR(__xludf.DUMMYFUNCTION("""COMPUTED_VALUE"""),54.86)</f>
        <v>54.86</v>
      </c>
      <c r="AP133" s="3">
        <f ca="1">IFERROR(__xludf.DUMMYFUNCTION("""COMPUTED_VALUE"""),15269296)</f>
        <v>15269296</v>
      </c>
      <c r="AQ133" s="4">
        <f ca="1">IFERROR(__xludf.DUMMYFUNCTION("""COMPUTED_VALUE"""),42314.6666666666)</f>
        <v>42314.666666666599</v>
      </c>
      <c r="AR133" s="3">
        <f ca="1">IFERROR(__xludf.DUMMYFUNCTION("""COMPUTED_VALUE"""),44.84)</f>
        <v>44.84</v>
      </c>
      <c r="AS133" s="3">
        <f ca="1">IFERROR(__xludf.DUMMYFUNCTION("""COMPUTED_VALUE"""),45.4)</f>
        <v>45.4</v>
      </c>
      <c r="AT133" s="3">
        <f ca="1">IFERROR(__xludf.DUMMYFUNCTION("""COMPUTED_VALUE"""),44.77)</f>
        <v>44.77</v>
      </c>
      <c r="AU133" s="3">
        <f ca="1">IFERROR(__xludf.DUMMYFUNCTION("""COMPUTED_VALUE"""),45.33)</f>
        <v>45.33</v>
      </c>
      <c r="AV133" s="3">
        <f ca="1">IFERROR(__xludf.DUMMYFUNCTION("""COMPUTED_VALUE"""),4601403)</f>
        <v>4601403</v>
      </c>
      <c r="AW133" s="4">
        <f ca="1">IFERROR(__xludf.DUMMYFUNCTION("""COMPUTED_VALUE"""),42482.6666666666)</f>
        <v>42482.666666666599</v>
      </c>
      <c r="AX133" s="3">
        <f ca="1">IFERROR(__xludf.DUMMYFUNCTION("""COMPUTED_VALUE"""),31.39)</f>
        <v>31.39</v>
      </c>
      <c r="AY133" s="3">
        <f ca="1">IFERROR(__xludf.DUMMYFUNCTION("""COMPUTED_VALUE"""),31.6)</f>
        <v>31.6</v>
      </c>
      <c r="AZ133" s="3">
        <f ca="1">IFERROR(__xludf.DUMMYFUNCTION("""COMPUTED_VALUE"""),31.32)</f>
        <v>31.32</v>
      </c>
      <c r="BA133" s="3">
        <f ca="1">IFERROR(__xludf.DUMMYFUNCTION("""COMPUTED_VALUE"""),31.46)</f>
        <v>31.46</v>
      </c>
      <c r="BB133" s="3">
        <f ca="1">IFERROR(__xludf.DUMMYFUNCTION("""COMPUTED_VALUE"""),2431)</f>
        <v>2431</v>
      </c>
      <c r="BC133" s="4">
        <f ca="1">IFERROR(__xludf.DUMMYFUNCTION("""COMPUTED_VALUE"""),42314.6666666666)</f>
        <v>42314.666666666599</v>
      </c>
      <c r="BD133" s="3">
        <f ca="1">IFERROR(__xludf.DUMMYFUNCTION("""COMPUTED_VALUE"""),44.14)</f>
        <v>44.14</v>
      </c>
      <c r="BE133" s="3">
        <f ca="1">IFERROR(__xludf.DUMMYFUNCTION("""COMPUTED_VALUE"""),44.36)</f>
        <v>44.36</v>
      </c>
      <c r="BF133" s="3">
        <f ca="1">IFERROR(__xludf.DUMMYFUNCTION("""COMPUTED_VALUE"""),43.98)</f>
        <v>43.98</v>
      </c>
      <c r="BG133" s="3">
        <f ca="1">IFERROR(__xludf.DUMMYFUNCTION("""COMPUTED_VALUE"""),44.34)</f>
        <v>44.34</v>
      </c>
      <c r="BH133" s="3">
        <f ca="1">IFERROR(__xludf.DUMMYFUNCTION("""COMPUTED_VALUE"""),6868946)</f>
        <v>6868946</v>
      </c>
      <c r="BI133" s="4">
        <f ca="1">IFERROR(__xludf.DUMMYFUNCTION("""COMPUTED_VALUE"""),42314.6666666666)</f>
        <v>42314.666666666599</v>
      </c>
      <c r="BJ133" s="3">
        <f ca="1">IFERROR(__xludf.DUMMYFUNCTION("""COMPUTED_VALUE"""),43.07)</f>
        <v>43.07</v>
      </c>
      <c r="BK133" s="3">
        <f ca="1">IFERROR(__xludf.DUMMYFUNCTION("""COMPUTED_VALUE"""),43.17)</f>
        <v>43.17</v>
      </c>
      <c r="BL133" s="3">
        <f ca="1">IFERROR(__xludf.DUMMYFUNCTION("""COMPUTED_VALUE"""),41.89)</f>
        <v>41.89</v>
      </c>
      <c r="BM133" s="3">
        <f ca="1">IFERROR(__xludf.DUMMYFUNCTION("""COMPUTED_VALUE"""),42.25)</f>
        <v>42.25</v>
      </c>
      <c r="BN133" s="3">
        <f ca="1">IFERROR(__xludf.DUMMYFUNCTION("""COMPUTED_VALUE"""),32359008)</f>
        <v>32359008</v>
      </c>
    </row>
    <row r="134" spans="7:66" ht="13" x14ac:dyDescent="0.15">
      <c r="G134" s="4">
        <f ca="1">IFERROR(__xludf.DUMMYFUNCTION("""COMPUTED_VALUE"""),42317.6666666666)</f>
        <v>42317.666666666599</v>
      </c>
      <c r="H134" s="3">
        <f ca="1">IFERROR(__xludf.DUMMYFUNCTION("""COMPUTED_VALUE"""),80.92)</f>
        <v>80.92</v>
      </c>
      <c r="I134" s="3">
        <f ca="1">IFERROR(__xludf.DUMMYFUNCTION("""COMPUTED_VALUE"""),81.3)</f>
        <v>81.3</v>
      </c>
      <c r="J134" s="3">
        <f ca="1">IFERROR(__xludf.DUMMYFUNCTION("""COMPUTED_VALUE"""),79.74)</f>
        <v>79.739999999999995</v>
      </c>
      <c r="K134" s="3">
        <f ca="1">IFERROR(__xludf.DUMMYFUNCTION("""COMPUTED_VALUE"""),80.3)</f>
        <v>80.3</v>
      </c>
      <c r="L134" s="3">
        <f ca="1">IFERROR(__xludf.DUMMYFUNCTION("""COMPUTED_VALUE"""),7009554)</f>
        <v>7009554</v>
      </c>
      <c r="M134" s="4">
        <f ca="1">IFERROR(__xludf.DUMMYFUNCTION("""COMPUTED_VALUE"""),42317.6666666666)</f>
        <v>42317.666666666599</v>
      </c>
      <c r="N134" s="3">
        <f ca="1">IFERROR(__xludf.DUMMYFUNCTION("""COMPUTED_VALUE"""),48.88)</f>
        <v>48.88</v>
      </c>
      <c r="O134" s="3">
        <f ca="1">IFERROR(__xludf.DUMMYFUNCTION("""COMPUTED_VALUE"""),49.02)</f>
        <v>49.02</v>
      </c>
      <c r="P134" s="3">
        <f ca="1">IFERROR(__xludf.DUMMYFUNCTION("""COMPUTED_VALUE"""),48.58)</f>
        <v>48.58</v>
      </c>
      <c r="Q134" s="3">
        <f ca="1">IFERROR(__xludf.DUMMYFUNCTION("""COMPUTED_VALUE"""),48.85)</f>
        <v>48.85</v>
      </c>
      <c r="R134" s="3">
        <f ca="1">IFERROR(__xludf.DUMMYFUNCTION("""COMPUTED_VALUE"""),7895965)</f>
        <v>7895965</v>
      </c>
      <c r="S134" s="4">
        <f ca="1">IFERROR(__xludf.DUMMYFUNCTION("""COMPUTED_VALUE"""),42317.6666666666)</f>
        <v>42317.666666666599</v>
      </c>
      <c r="T134" s="3">
        <f ca="1">IFERROR(__xludf.DUMMYFUNCTION("""COMPUTED_VALUE"""),70.2)</f>
        <v>70.2</v>
      </c>
      <c r="U134" s="3">
        <f ca="1">IFERROR(__xludf.DUMMYFUNCTION("""COMPUTED_VALUE"""),70.41)</f>
        <v>70.41</v>
      </c>
      <c r="V134" s="3">
        <f ca="1">IFERROR(__xludf.DUMMYFUNCTION("""COMPUTED_VALUE"""),68.82)</f>
        <v>68.819999999999993</v>
      </c>
      <c r="W134" s="3">
        <f ca="1">IFERROR(__xludf.DUMMYFUNCTION("""COMPUTED_VALUE"""),69.11)</f>
        <v>69.11</v>
      </c>
      <c r="X134" s="3">
        <f ca="1">IFERROR(__xludf.DUMMYFUNCTION("""COMPUTED_VALUE"""),12686994)</f>
        <v>12686994</v>
      </c>
      <c r="Y134" s="4">
        <f ca="1">IFERROR(__xludf.DUMMYFUNCTION("""COMPUTED_VALUE"""),42317.6666666666)</f>
        <v>42317.666666666599</v>
      </c>
      <c r="Z134" s="3">
        <f ca="1">IFERROR(__xludf.DUMMYFUNCTION("""COMPUTED_VALUE"""),20.07)</f>
        <v>20.07</v>
      </c>
      <c r="AA134" s="3">
        <f ca="1">IFERROR(__xludf.DUMMYFUNCTION("""COMPUTED_VALUE"""),20.16)</f>
        <v>20.16</v>
      </c>
      <c r="AB134" s="3">
        <f ca="1">IFERROR(__xludf.DUMMYFUNCTION("""COMPUTED_VALUE"""),19.75)</f>
        <v>19.75</v>
      </c>
      <c r="AC134" s="3">
        <f ca="1">IFERROR(__xludf.DUMMYFUNCTION("""COMPUTED_VALUE"""),19.86)</f>
        <v>19.86</v>
      </c>
      <c r="AD134" s="3">
        <f ca="1">IFERROR(__xludf.DUMMYFUNCTION("""COMPUTED_VALUE"""),48066100)</f>
        <v>48066100</v>
      </c>
      <c r="AE134" s="4">
        <f ca="1">IFERROR(__xludf.DUMMYFUNCTION("""COMPUTED_VALUE"""),42317.6666666666)</f>
        <v>42317.666666666599</v>
      </c>
      <c r="AF134" s="3">
        <f ca="1">IFERROR(__xludf.DUMMYFUNCTION("""COMPUTED_VALUE"""),71.34)</f>
        <v>71.34</v>
      </c>
      <c r="AG134" s="3">
        <f ca="1">IFERROR(__xludf.DUMMYFUNCTION("""COMPUTED_VALUE"""),71.62)</f>
        <v>71.62</v>
      </c>
      <c r="AH134" s="3">
        <f ca="1">IFERROR(__xludf.DUMMYFUNCTION("""COMPUTED_VALUE"""),70.79)</f>
        <v>70.790000000000006</v>
      </c>
      <c r="AI134" s="3">
        <f ca="1">IFERROR(__xludf.DUMMYFUNCTION("""COMPUTED_VALUE"""),71.2)</f>
        <v>71.2</v>
      </c>
      <c r="AJ134" s="3">
        <f ca="1">IFERROR(__xludf.DUMMYFUNCTION("""COMPUTED_VALUE"""),15624969)</f>
        <v>15624969</v>
      </c>
      <c r="AK134" s="4">
        <f ca="1">IFERROR(__xludf.DUMMYFUNCTION("""COMPUTED_VALUE"""),42317.6666666666)</f>
        <v>42317.666666666599</v>
      </c>
      <c r="AL134" s="3">
        <f ca="1">IFERROR(__xludf.DUMMYFUNCTION("""COMPUTED_VALUE"""),54.56)</f>
        <v>54.56</v>
      </c>
      <c r="AM134" s="3">
        <f ca="1">IFERROR(__xludf.DUMMYFUNCTION("""COMPUTED_VALUE"""),54.69)</f>
        <v>54.69</v>
      </c>
      <c r="AN134" s="3">
        <f ca="1">IFERROR(__xludf.DUMMYFUNCTION("""COMPUTED_VALUE"""),53.92)</f>
        <v>53.92</v>
      </c>
      <c r="AO134" s="3">
        <f ca="1">IFERROR(__xludf.DUMMYFUNCTION("""COMPUTED_VALUE"""),54.44)</f>
        <v>54.44</v>
      </c>
      <c r="AP134" s="3">
        <f ca="1">IFERROR(__xludf.DUMMYFUNCTION("""COMPUTED_VALUE"""),13570630)</f>
        <v>13570630</v>
      </c>
      <c r="AQ134" s="4">
        <f ca="1">IFERROR(__xludf.DUMMYFUNCTION("""COMPUTED_VALUE"""),42317.6666666666)</f>
        <v>42317.666666666599</v>
      </c>
      <c r="AR134" s="3">
        <f ca="1">IFERROR(__xludf.DUMMYFUNCTION("""COMPUTED_VALUE"""),45.28)</f>
        <v>45.28</v>
      </c>
      <c r="AS134" s="3">
        <f ca="1">IFERROR(__xludf.DUMMYFUNCTION("""COMPUTED_VALUE"""),45.32)</f>
        <v>45.32</v>
      </c>
      <c r="AT134" s="3">
        <f ca="1">IFERROR(__xludf.DUMMYFUNCTION("""COMPUTED_VALUE"""),44.62)</f>
        <v>44.62</v>
      </c>
      <c r="AU134" s="3">
        <f ca="1">IFERROR(__xludf.DUMMYFUNCTION("""COMPUTED_VALUE"""),45.02)</f>
        <v>45.02</v>
      </c>
      <c r="AV134" s="3">
        <f ca="1">IFERROR(__xludf.DUMMYFUNCTION("""COMPUTED_VALUE"""),5382090)</f>
        <v>5382090</v>
      </c>
      <c r="AW134" s="4">
        <f ca="1">IFERROR(__xludf.DUMMYFUNCTION("""COMPUTED_VALUE"""),42485.6666666666)</f>
        <v>42485.666666666599</v>
      </c>
      <c r="AX134" s="3">
        <f ca="1">IFERROR(__xludf.DUMMYFUNCTION("""COMPUTED_VALUE"""),31.51)</f>
        <v>31.51</v>
      </c>
      <c r="AY134" s="3">
        <f ca="1">IFERROR(__xludf.DUMMYFUNCTION("""COMPUTED_VALUE"""),31.68)</f>
        <v>31.68</v>
      </c>
      <c r="AZ134" s="3">
        <f ca="1">IFERROR(__xludf.DUMMYFUNCTION("""COMPUTED_VALUE"""),31.51)</f>
        <v>31.51</v>
      </c>
      <c r="BA134" s="3">
        <f ca="1">IFERROR(__xludf.DUMMYFUNCTION("""COMPUTED_VALUE"""),31.68)</f>
        <v>31.68</v>
      </c>
      <c r="BB134" s="3">
        <f ca="1">IFERROR(__xludf.DUMMYFUNCTION("""COMPUTED_VALUE"""),2284)</f>
        <v>2284</v>
      </c>
      <c r="BC134" s="4">
        <f ca="1">IFERROR(__xludf.DUMMYFUNCTION("""COMPUTED_VALUE"""),42317.6666666666)</f>
        <v>42317.666666666599</v>
      </c>
      <c r="BD134" s="3">
        <f ca="1">IFERROR(__xludf.DUMMYFUNCTION("""COMPUTED_VALUE"""),44.17)</f>
        <v>44.17</v>
      </c>
      <c r="BE134" s="3">
        <f ca="1">IFERROR(__xludf.DUMMYFUNCTION("""COMPUTED_VALUE"""),44.21)</f>
        <v>44.21</v>
      </c>
      <c r="BF134" s="3">
        <f ca="1">IFERROR(__xludf.DUMMYFUNCTION("""COMPUTED_VALUE"""),43.7)</f>
        <v>43.7</v>
      </c>
      <c r="BG134" s="3">
        <f ca="1">IFERROR(__xludf.DUMMYFUNCTION("""COMPUTED_VALUE"""),43.91)</f>
        <v>43.91</v>
      </c>
      <c r="BH134" s="3">
        <f ca="1">IFERROR(__xludf.DUMMYFUNCTION("""COMPUTED_VALUE"""),10146232)</f>
        <v>10146232</v>
      </c>
      <c r="BI134" s="4">
        <f ca="1">IFERROR(__xludf.DUMMYFUNCTION("""COMPUTED_VALUE"""),42317.6666666666)</f>
        <v>42317.666666666599</v>
      </c>
      <c r="BJ134" s="3">
        <f ca="1">IFERROR(__xludf.DUMMYFUNCTION("""COMPUTED_VALUE"""),42.07)</f>
        <v>42.07</v>
      </c>
      <c r="BK134" s="3">
        <f ca="1">IFERROR(__xludf.DUMMYFUNCTION("""COMPUTED_VALUE"""),42.56)</f>
        <v>42.56</v>
      </c>
      <c r="BL134" s="3">
        <f ca="1">IFERROR(__xludf.DUMMYFUNCTION("""COMPUTED_VALUE"""),41.97)</f>
        <v>41.97</v>
      </c>
      <c r="BM134" s="3">
        <f ca="1">IFERROR(__xludf.DUMMYFUNCTION("""COMPUTED_VALUE"""),42.36)</f>
        <v>42.36</v>
      </c>
      <c r="BN134" s="3">
        <f ca="1">IFERROR(__xludf.DUMMYFUNCTION("""COMPUTED_VALUE"""),13333302)</f>
        <v>13333302</v>
      </c>
    </row>
    <row r="135" spans="7:66" ht="13" x14ac:dyDescent="0.15">
      <c r="G135" s="4">
        <f ca="1">IFERROR(__xludf.DUMMYFUNCTION("""COMPUTED_VALUE"""),42318.6666666666)</f>
        <v>42318.666666666599</v>
      </c>
      <c r="H135" s="3">
        <f ca="1">IFERROR(__xludf.DUMMYFUNCTION("""COMPUTED_VALUE"""),80.19)</f>
        <v>80.19</v>
      </c>
      <c r="I135" s="3">
        <f ca="1">IFERROR(__xludf.DUMMYFUNCTION("""COMPUTED_VALUE"""),81.06)</f>
        <v>81.06</v>
      </c>
      <c r="J135" s="3">
        <f ca="1">IFERROR(__xludf.DUMMYFUNCTION("""COMPUTED_VALUE"""),80.08)</f>
        <v>80.08</v>
      </c>
      <c r="K135" s="3">
        <f ca="1">IFERROR(__xludf.DUMMYFUNCTION("""COMPUTED_VALUE"""),81.06)</f>
        <v>81.06</v>
      </c>
      <c r="L135" s="3">
        <f ca="1">IFERROR(__xludf.DUMMYFUNCTION("""COMPUTED_VALUE"""),7331430)</f>
        <v>7331430</v>
      </c>
      <c r="M135" s="4">
        <f ca="1">IFERROR(__xludf.DUMMYFUNCTION("""COMPUTED_VALUE"""),42318.6666666666)</f>
        <v>42318.666666666599</v>
      </c>
      <c r="N135" s="3">
        <f ca="1">IFERROR(__xludf.DUMMYFUNCTION("""COMPUTED_VALUE"""),48.8)</f>
        <v>48.8</v>
      </c>
      <c r="O135" s="3">
        <f ca="1">IFERROR(__xludf.DUMMYFUNCTION("""COMPUTED_VALUE"""),49.06)</f>
        <v>49.06</v>
      </c>
      <c r="P135" s="3">
        <f ca="1">IFERROR(__xludf.DUMMYFUNCTION("""COMPUTED_VALUE"""),48.8)</f>
        <v>48.8</v>
      </c>
      <c r="Q135" s="3">
        <f ca="1">IFERROR(__xludf.DUMMYFUNCTION("""COMPUTED_VALUE"""),48.98)</f>
        <v>48.98</v>
      </c>
      <c r="R135" s="3">
        <f ca="1">IFERROR(__xludf.DUMMYFUNCTION("""COMPUTED_VALUE"""),7438649)</f>
        <v>7438649</v>
      </c>
      <c r="S135" s="4">
        <f ca="1">IFERROR(__xludf.DUMMYFUNCTION("""COMPUTED_VALUE"""),42318.6666666666)</f>
        <v>42318.666666666599</v>
      </c>
      <c r="T135" s="3">
        <f ca="1">IFERROR(__xludf.DUMMYFUNCTION("""COMPUTED_VALUE"""),68.82)</f>
        <v>68.819999999999993</v>
      </c>
      <c r="U135" s="3">
        <f ca="1">IFERROR(__xludf.DUMMYFUNCTION("""COMPUTED_VALUE"""),69.87)</f>
        <v>69.87</v>
      </c>
      <c r="V135" s="3">
        <f ca="1">IFERROR(__xludf.DUMMYFUNCTION("""COMPUTED_VALUE"""),68.56)</f>
        <v>68.56</v>
      </c>
      <c r="W135" s="3">
        <f ca="1">IFERROR(__xludf.DUMMYFUNCTION("""COMPUTED_VALUE"""),69.26)</f>
        <v>69.260000000000005</v>
      </c>
      <c r="X135" s="3">
        <f ca="1">IFERROR(__xludf.DUMMYFUNCTION("""COMPUTED_VALUE"""),12685449)</f>
        <v>12685449</v>
      </c>
      <c r="Y135" s="4">
        <f ca="1">IFERROR(__xludf.DUMMYFUNCTION("""COMPUTED_VALUE"""),42318.6666666666)</f>
        <v>42318.666666666599</v>
      </c>
      <c r="Z135" s="3">
        <f ca="1">IFERROR(__xludf.DUMMYFUNCTION("""COMPUTED_VALUE"""),19.81)</f>
        <v>19.809999999999999</v>
      </c>
      <c r="AA135" s="3">
        <f ca="1">IFERROR(__xludf.DUMMYFUNCTION("""COMPUTED_VALUE"""),19.96)</f>
        <v>19.96</v>
      </c>
      <c r="AB135" s="3">
        <f ca="1">IFERROR(__xludf.DUMMYFUNCTION("""COMPUTED_VALUE"""),19.78)</f>
        <v>19.78</v>
      </c>
      <c r="AC135" s="3">
        <f ca="1">IFERROR(__xludf.DUMMYFUNCTION("""COMPUTED_VALUE"""),19.95)</f>
        <v>19.95</v>
      </c>
      <c r="AD135" s="3">
        <f ca="1">IFERROR(__xludf.DUMMYFUNCTION("""COMPUTED_VALUE"""),33403153)</f>
        <v>33403153</v>
      </c>
      <c r="AE135" s="4">
        <f ca="1">IFERROR(__xludf.DUMMYFUNCTION("""COMPUTED_VALUE"""),42318.6666666666)</f>
        <v>42318.666666666599</v>
      </c>
      <c r="AF135" s="3">
        <f ca="1">IFERROR(__xludf.DUMMYFUNCTION("""COMPUTED_VALUE"""),71.22)</f>
        <v>71.22</v>
      </c>
      <c r="AG135" s="3">
        <f ca="1">IFERROR(__xludf.DUMMYFUNCTION("""COMPUTED_VALUE"""),71.84)</f>
        <v>71.84</v>
      </c>
      <c r="AH135" s="3">
        <f ca="1">IFERROR(__xludf.DUMMYFUNCTION("""COMPUTED_VALUE"""),71.08)</f>
        <v>71.08</v>
      </c>
      <c r="AI135" s="3">
        <f ca="1">IFERROR(__xludf.DUMMYFUNCTION("""COMPUTED_VALUE"""),71.68)</f>
        <v>71.680000000000007</v>
      </c>
      <c r="AJ135" s="3">
        <f ca="1">IFERROR(__xludf.DUMMYFUNCTION("""COMPUTED_VALUE"""),9737401)</f>
        <v>9737401</v>
      </c>
      <c r="AK135" s="4">
        <f ca="1">IFERROR(__xludf.DUMMYFUNCTION("""COMPUTED_VALUE"""),42318.6666666666)</f>
        <v>42318.666666666599</v>
      </c>
      <c r="AL135" s="3">
        <f ca="1">IFERROR(__xludf.DUMMYFUNCTION("""COMPUTED_VALUE"""),54.22)</f>
        <v>54.22</v>
      </c>
      <c r="AM135" s="3">
        <f ca="1">IFERROR(__xludf.DUMMYFUNCTION("""COMPUTED_VALUE"""),54.61)</f>
        <v>54.61</v>
      </c>
      <c r="AN135" s="3">
        <f ca="1">IFERROR(__xludf.DUMMYFUNCTION("""COMPUTED_VALUE"""),53.98)</f>
        <v>53.98</v>
      </c>
      <c r="AO135" s="3">
        <f ca="1">IFERROR(__xludf.DUMMYFUNCTION("""COMPUTED_VALUE"""),54.43)</f>
        <v>54.43</v>
      </c>
      <c r="AP135" s="3">
        <f ca="1">IFERROR(__xludf.DUMMYFUNCTION("""COMPUTED_VALUE"""),18957346)</f>
        <v>18957346</v>
      </c>
      <c r="AQ135" s="4">
        <f ca="1">IFERROR(__xludf.DUMMYFUNCTION("""COMPUTED_VALUE"""),42318.6666666666)</f>
        <v>42318.666666666599</v>
      </c>
      <c r="AR135" s="3">
        <f ca="1">IFERROR(__xludf.DUMMYFUNCTION("""COMPUTED_VALUE"""),44.86)</f>
        <v>44.86</v>
      </c>
      <c r="AS135" s="3">
        <f ca="1">IFERROR(__xludf.DUMMYFUNCTION("""COMPUTED_VALUE"""),45)</f>
        <v>45</v>
      </c>
      <c r="AT135" s="3">
        <f ca="1">IFERROR(__xludf.DUMMYFUNCTION("""COMPUTED_VALUE"""),44.42)</f>
        <v>44.42</v>
      </c>
      <c r="AU135" s="3">
        <f ca="1">IFERROR(__xludf.DUMMYFUNCTION("""COMPUTED_VALUE"""),44.69)</f>
        <v>44.69</v>
      </c>
      <c r="AV135" s="3">
        <f ca="1">IFERROR(__xludf.DUMMYFUNCTION("""COMPUTED_VALUE"""),4904596)</f>
        <v>4904596</v>
      </c>
      <c r="AW135" s="4">
        <f ca="1">IFERROR(__xludf.DUMMYFUNCTION("""COMPUTED_VALUE"""),42486.6666666666)</f>
        <v>42486.666666666599</v>
      </c>
      <c r="AX135" s="3">
        <f ca="1">IFERROR(__xludf.DUMMYFUNCTION("""COMPUTED_VALUE"""),31.98)</f>
        <v>31.98</v>
      </c>
      <c r="AY135" s="3">
        <f ca="1">IFERROR(__xludf.DUMMYFUNCTION("""COMPUTED_VALUE"""),31.98)</f>
        <v>31.98</v>
      </c>
      <c r="AZ135" s="3">
        <f ca="1">IFERROR(__xludf.DUMMYFUNCTION("""COMPUTED_VALUE"""),31.77)</f>
        <v>31.77</v>
      </c>
      <c r="BA135" s="3">
        <f ca="1">IFERROR(__xludf.DUMMYFUNCTION("""COMPUTED_VALUE"""),31.77)</f>
        <v>31.77</v>
      </c>
      <c r="BB135" s="3">
        <f ca="1">IFERROR(__xludf.DUMMYFUNCTION("""COMPUTED_VALUE"""),2547)</f>
        <v>2547</v>
      </c>
      <c r="BC135" s="4">
        <f ca="1">IFERROR(__xludf.DUMMYFUNCTION("""COMPUTED_VALUE"""),42318.6666666666)</f>
        <v>42318.666666666599</v>
      </c>
      <c r="BD135" s="3">
        <f ca="1">IFERROR(__xludf.DUMMYFUNCTION("""COMPUTED_VALUE"""),43.66)</f>
        <v>43.66</v>
      </c>
      <c r="BE135" s="3">
        <f ca="1">IFERROR(__xludf.DUMMYFUNCTION("""COMPUTED_VALUE"""),43.67)</f>
        <v>43.67</v>
      </c>
      <c r="BF135" s="3">
        <f ca="1">IFERROR(__xludf.DUMMYFUNCTION("""COMPUTED_VALUE"""),43.44)</f>
        <v>43.44</v>
      </c>
      <c r="BG135" s="3">
        <f ca="1">IFERROR(__xludf.DUMMYFUNCTION("""COMPUTED_VALUE"""),43.62)</f>
        <v>43.62</v>
      </c>
      <c r="BH135" s="3">
        <f ca="1">IFERROR(__xludf.DUMMYFUNCTION("""COMPUTED_VALUE"""),17273264)</f>
        <v>17273264</v>
      </c>
      <c r="BI135" s="4">
        <f ca="1">IFERROR(__xludf.DUMMYFUNCTION("""COMPUTED_VALUE"""),42318.6666666666)</f>
        <v>42318.666666666599</v>
      </c>
      <c r="BJ135" s="3">
        <f ca="1">IFERROR(__xludf.DUMMYFUNCTION("""COMPUTED_VALUE"""),42.38)</f>
        <v>42.38</v>
      </c>
      <c r="BK135" s="3">
        <f ca="1">IFERROR(__xludf.DUMMYFUNCTION("""COMPUTED_VALUE"""),42.87)</f>
        <v>42.87</v>
      </c>
      <c r="BL135" s="3">
        <f ca="1">IFERROR(__xludf.DUMMYFUNCTION("""COMPUTED_VALUE"""),42.3)</f>
        <v>42.3</v>
      </c>
      <c r="BM135" s="3">
        <f ca="1">IFERROR(__xludf.DUMMYFUNCTION("""COMPUTED_VALUE"""),42.74)</f>
        <v>42.74</v>
      </c>
      <c r="BN135" s="3">
        <f ca="1">IFERROR(__xludf.DUMMYFUNCTION("""COMPUTED_VALUE"""),8504582)</f>
        <v>8504582</v>
      </c>
    </row>
    <row r="136" spans="7:66" ht="13" x14ac:dyDescent="0.15">
      <c r="G136" s="4">
        <f ca="1">IFERROR(__xludf.DUMMYFUNCTION("""COMPUTED_VALUE"""),42319.6666666666)</f>
        <v>42319.666666666599</v>
      </c>
      <c r="H136" s="3">
        <f ca="1">IFERROR(__xludf.DUMMYFUNCTION("""COMPUTED_VALUE"""),81.23)</f>
        <v>81.23</v>
      </c>
      <c r="I136" s="3">
        <f ca="1">IFERROR(__xludf.DUMMYFUNCTION("""COMPUTED_VALUE"""),81.25)</f>
        <v>81.25</v>
      </c>
      <c r="J136" s="3">
        <f ca="1">IFERROR(__xludf.DUMMYFUNCTION("""COMPUTED_VALUE"""),80.41)</f>
        <v>80.41</v>
      </c>
      <c r="K136" s="3">
        <f ca="1">IFERROR(__xludf.DUMMYFUNCTION("""COMPUTED_VALUE"""),80.58)</f>
        <v>80.58</v>
      </c>
      <c r="L136" s="3">
        <f ca="1">IFERROR(__xludf.DUMMYFUNCTION("""COMPUTED_VALUE"""),7086711)</f>
        <v>7086711</v>
      </c>
      <c r="M136" s="4">
        <f ca="1">IFERROR(__xludf.DUMMYFUNCTION("""COMPUTED_VALUE"""),42319.6666666666)</f>
        <v>42319.666666666599</v>
      </c>
      <c r="N136" s="3">
        <f ca="1">IFERROR(__xludf.DUMMYFUNCTION("""COMPUTED_VALUE"""),48.9)</f>
        <v>48.9</v>
      </c>
      <c r="O136" s="3">
        <f ca="1">IFERROR(__xludf.DUMMYFUNCTION("""COMPUTED_VALUE"""),49.22)</f>
        <v>49.22</v>
      </c>
      <c r="P136" s="3">
        <f ca="1">IFERROR(__xludf.DUMMYFUNCTION("""COMPUTED_VALUE"""),48.9)</f>
        <v>48.9</v>
      </c>
      <c r="Q136" s="3">
        <f ca="1">IFERROR(__xludf.DUMMYFUNCTION("""COMPUTED_VALUE"""),48.91)</f>
        <v>48.91</v>
      </c>
      <c r="R136" s="3">
        <f ca="1">IFERROR(__xludf.DUMMYFUNCTION("""COMPUTED_VALUE"""),7264720)</f>
        <v>7264720</v>
      </c>
      <c r="S136" s="4">
        <f ca="1">IFERROR(__xludf.DUMMYFUNCTION("""COMPUTED_VALUE"""),42319.6666666666)</f>
        <v>42319.666666666599</v>
      </c>
      <c r="T136" s="3">
        <f ca="1">IFERROR(__xludf.DUMMYFUNCTION("""COMPUTED_VALUE"""),69.25)</f>
        <v>69.25</v>
      </c>
      <c r="U136" s="3">
        <f ca="1">IFERROR(__xludf.DUMMYFUNCTION("""COMPUTED_VALUE"""),69.35)</f>
        <v>69.349999999999994</v>
      </c>
      <c r="V136" s="3">
        <f ca="1">IFERROR(__xludf.DUMMYFUNCTION("""COMPUTED_VALUE"""),67.63)</f>
        <v>67.63</v>
      </c>
      <c r="W136" s="3">
        <f ca="1">IFERROR(__xludf.DUMMYFUNCTION("""COMPUTED_VALUE"""),67.79)</f>
        <v>67.790000000000006</v>
      </c>
      <c r="X136" s="3">
        <f ca="1">IFERROR(__xludf.DUMMYFUNCTION("""COMPUTED_VALUE"""),14369715)</f>
        <v>14369715</v>
      </c>
      <c r="Y136" s="4">
        <f ca="1">IFERROR(__xludf.DUMMYFUNCTION("""COMPUTED_VALUE"""),42319.6666666666)</f>
        <v>42319.666666666599</v>
      </c>
      <c r="Z136" s="3">
        <f ca="1">IFERROR(__xludf.DUMMYFUNCTION("""COMPUTED_VALUE"""),20.04)</f>
        <v>20.04</v>
      </c>
      <c r="AA136" s="3">
        <f ca="1">IFERROR(__xludf.DUMMYFUNCTION("""COMPUTED_VALUE"""),20.04)</f>
        <v>20.04</v>
      </c>
      <c r="AB136" s="3">
        <f ca="1">IFERROR(__xludf.DUMMYFUNCTION("""COMPUTED_VALUE"""),19.87)</f>
        <v>19.87</v>
      </c>
      <c r="AC136" s="3">
        <f ca="1">IFERROR(__xludf.DUMMYFUNCTION("""COMPUTED_VALUE"""),19.89)</f>
        <v>19.89</v>
      </c>
      <c r="AD136" s="3">
        <f ca="1">IFERROR(__xludf.DUMMYFUNCTION("""COMPUTED_VALUE"""),22401596)</f>
        <v>22401596</v>
      </c>
      <c r="AE136" s="4">
        <f ca="1">IFERROR(__xludf.DUMMYFUNCTION("""COMPUTED_VALUE"""),42319.6666666666)</f>
        <v>42319.666666666599</v>
      </c>
      <c r="AF136" s="3">
        <f ca="1">IFERROR(__xludf.DUMMYFUNCTION("""COMPUTED_VALUE"""),71.95)</f>
        <v>71.95</v>
      </c>
      <c r="AG136" s="3">
        <f ca="1">IFERROR(__xludf.DUMMYFUNCTION("""COMPUTED_VALUE"""),71.95)</f>
        <v>71.95</v>
      </c>
      <c r="AH136" s="3">
        <f ca="1">IFERROR(__xludf.DUMMYFUNCTION("""COMPUTED_VALUE"""),70.96)</f>
        <v>70.959999999999994</v>
      </c>
      <c r="AI136" s="3">
        <f ca="1">IFERROR(__xludf.DUMMYFUNCTION("""COMPUTED_VALUE"""),70.97)</f>
        <v>70.97</v>
      </c>
      <c r="AJ136" s="3">
        <f ca="1">IFERROR(__xludf.DUMMYFUNCTION("""COMPUTED_VALUE"""),10580927)</f>
        <v>10580927</v>
      </c>
      <c r="AK136" s="4">
        <f ca="1">IFERROR(__xludf.DUMMYFUNCTION("""COMPUTED_VALUE"""),42319.6666666666)</f>
        <v>42319.666666666599</v>
      </c>
      <c r="AL136" s="3">
        <f ca="1">IFERROR(__xludf.DUMMYFUNCTION("""COMPUTED_VALUE"""),54.56)</f>
        <v>54.56</v>
      </c>
      <c r="AM136" s="3">
        <f ca="1">IFERROR(__xludf.DUMMYFUNCTION("""COMPUTED_VALUE"""),54.79)</f>
        <v>54.79</v>
      </c>
      <c r="AN136" s="3">
        <f ca="1">IFERROR(__xludf.DUMMYFUNCTION("""COMPUTED_VALUE"""),54.39)</f>
        <v>54.39</v>
      </c>
      <c r="AO136" s="3">
        <f ca="1">IFERROR(__xludf.DUMMYFUNCTION("""COMPUTED_VALUE"""),54.5)</f>
        <v>54.5</v>
      </c>
      <c r="AP136" s="3">
        <f ca="1">IFERROR(__xludf.DUMMYFUNCTION("""COMPUTED_VALUE"""),12916018)</f>
        <v>12916018</v>
      </c>
      <c r="AQ136" s="4">
        <f ca="1">IFERROR(__xludf.DUMMYFUNCTION("""COMPUTED_VALUE"""),42319.6666666666)</f>
        <v>42319.666666666599</v>
      </c>
      <c r="AR136" s="3">
        <f ca="1">IFERROR(__xludf.DUMMYFUNCTION("""COMPUTED_VALUE"""),44.79)</f>
        <v>44.79</v>
      </c>
      <c r="AS136" s="3">
        <f ca="1">IFERROR(__xludf.DUMMYFUNCTION("""COMPUTED_VALUE"""),44.88)</f>
        <v>44.88</v>
      </c>
      <c r="AT136" s="3">
        <f ca="1">IFERROR(__xludf.DUMMYFUNCTION("""COMPUTED_VALUE"""),44.47)</f>
        <v>44.47</v>
      </c>
      <c r="AU136" s="3">
        <f ca="1">IFERROR(__xludf.DUMMYFUNCTION("""COMPUTED_VALUE"""),44.74)</f>
        <v>44.74</v>
      </c>
      <c r="AV136" s="3">
        <f ca="1">IFERROR(__xludf.DUMMYFUNCTION("""COMPUTED_VALUE"""),6279413)</f>
        <v>6279413</v>
      </c>
      <c r="AW136" s="4">
        <f ca="1">IFERROR(__xludf.DUMMYFUNCTION("""COMPUTED_VALUE"""),42487.6666666666)</f>
        <v>42487.666666666599</v>
      </c>
      <c r="AX136" s="3">
        <f ca="1">IFERROR(__xludf.DUMMYFUNCTION("""COMPUTED_VALUE"""),31.62)</f>
        <v>31.62</v>
      </c>
      <c r="AY136" s="3">
        <f ca="1">IFERROR(__xludf.DUMMYFUNCTION("""COMPUTED_VALUE"""),31.65)</f>
        <v>31.65</v>
      </c>
      <c r="AZ136" s="3">
        <f ca="1">IFERROR(__xludf.DUMMYFUNCTION("""COMPUTED_VALUE"""),31.51)</f>
        <v>31.51</v>
      </c>
      <c r="BA136" s="3">
        <f ca="1">IFERROR(__xludf.DUMMYFUNCTION("""COMPUTED_VALUE"""),31.65)</f>
        <v>31.65</v>
      </c>
      <c r="BB136" s="3">
        <f ca="1">IFERROR(__xludf.DUMMYFUNCTION("""COMPUTED_VALUE"""),1161)</f>
        <v>1161</v>
      </c>
      <c r="BC136" s="4">
        <f ca="1">IFERROR(__xludf.DUMMYFUNCTION("""COMPUTED_VALUE"""),42319.6666666666)</f>
        <v>42319.666666666599</v>
      </c>
      <c r="BD136" s="3">
        <f ca="1">IFERROR(__xludf.DUMMYFUNCTION("""COMPUTED_VALUE"""),43.72)</f>
        <v>43.72</v>
      </c>
      <c r="BE136" s="3">
        <f ca="1">IFERROR(__xludf.DUMMYFUNCTION("""COMPUTED_VALUE"""),43.94)</f>
        <v>43.94</v>
      </c>
      <c r="BF136" s="3">
        <f ca="1">IFERROR(__xludf.DUMMYFUNCTION("""COMPUTED_VALUE"""),43.53)</f>
        <v>43.53</v>
      </c>
      <c r="BG136" s="3">
        <f ca="1">IFERROR(__xludf.DUMMYFUNCTION("""COMPUTED_VALUE"""),43.6)</f>
        <v>43.6</v>
      </c>
      <c r="BH136" s="3">
        <f ca="1">IFERROR(__xludf.DUMMYFUNCTION("""COMPUTED_VALUE"""),8201149)</f>
        <v>8201149</v>
      </c>
      <c r="BI136" s="4">
        <f ca="1">IFERROR(__xludf.DUMMYFUNCTION("""COMPUTED_VALUE"""),42319.6666666666)</f>
        <v>42319.666666666599</v>
      </c>
      <c r="BJ136" s="3">
        <f ca="1">IFERROR(__xludf.DUMMYFUNCTION("""COMPUTED_VALUE"""),42.86)</f>
        <v>42.86</v>
      </c>
      <c r="BK136" s="3">
        <f ca="1">IFERROR(__xludf.DUMMYFUNCTION("""COMPUTED_VALUE"""),43.19)</f>
        <v>43.19</v>
      </c>
      <c r="BL136" s="3">
        <f ca="1">IFERROR(__xludf.DUMMYFUNCTION("""COMPUTED_VALUE"""),42.77)</f>
        <v>42.77</v>
      </c>
      <c r="BM136" s="3">
        <f ca="1">IFERROR(__xludf.DUMMYFUNCTION("""COMPUTED_VALUE"""),43.11)</f>
        <v>43.11</v>
      </c>
      <c r="BN136" s="3">
        <f ca="1">IFERROR(__xludf.DUMMYFUNCTION("""COMPUTED_VALUE"""),10973445)</f>
        <v>10973445</v>
      </c>
    </row>
    <row r="137" spans="7:66" ht="13" x14ac:dyDescent="0.15">
      <c r="G137" s="4">
        <f ca="1">IFERROR(__xludf.DUMMYFUNCTION("""COMPUTED_VALUE"""),42320.6666666666)</f>
        <v>42320.666666666599</v>
      </c>
      <c r="H137" s="3">
        <f ca="1">IFERROR(__xludf.DUMMYFUNCTION("""COMPUTED_VALUE"""),80.08)</f>
        <v>80.08</v>
      </c>
      <c r="I137" s="3">
        <f ca="1">IFERROR(__xludf.DUMMYFUNCTION("""COMPUTED_VALUE"""),80.59)</f>
        <v>80.59</v>
      </c>
      <c r="J137" s="3">
        <f ca="1">IFERROR(__xludf.DUMMYFUNCTION("""COMPUTED_VALUE"""),79.77)</f>
        <v>79.77</v>
      </c>
      <c r="K137" s="3">
        <f ca="1">IFERROR(__xludf.DUMMYFUNCTION("""COMPUTED_VALUE"""),79.83)</f>
        <v>79.83</v>
      </c>
      <c r="L137" s="3">
        <f ca="1">IFERROR(__xludf.DUMMYFUNCTION("""COMPUTED_VALUE"""),6075739)</f>
        <v>6075739</v>
      </c>
      <c r="M137" s="4">
        <f ca="1">IFERROR(__xludf.DUMMYFUNCTION("""COMPUTED_VALUE"""),42320.6666666666)</f>
        <v>42320.666666666599</v>
      </c>
      <c r="N137" s="3">
        <f ca="1">IFERROR(__xludf.DUMMYFUNCTION("""COMPUTED_VALUE"""),48.79)</f>
        <v>48.79</v>
      </c>
      <c r="O137" s="3">
        <f ca="1">IFERROR(__xludf.DUMMYFUNCTION("""COMPUTED_VALUE"""),48.84)</f>
        <v>48.84</v>
      </c>
      <c r="P137" s="3">
        <f ca="1">IFERROR(__xludf.DUMMYFUNCTION("""COMPUTED_VALUE"""),48.25)</f>
        <v>48.25</v>
      </c>
      <c r="Q137" s="3">
        <f ca="1">IFERROR(__xludf.DUMMYFUNCTION("""COMPUTED_VALUE"""),48.25)</f>
        <v>48.25</v>
      </c>
      <c r="R137" s="3">
        <f ca="1">IFERROR(__xludf.DUMMYFUNCTION("""COMPUTED_VALUE"""),8473552)</f>
        <v>8473552</v>
      </c>
      <c r="S137" s="4">
        <f ca="1">IFERROR(__xludf.DUMMYFUNCTION("""COMPUTED_VALUE"""),42320.6666666666)</f>
        <v>42320.666666666599</v>
      </c>
      <c r="T137" s="3">
        <f ca="1">IFERROR(__xludf.DUMMYFUNCTION("""COMPUTED_VALUE"""),66.84)</f>
        <v>66.84</v>
      </c>
      <c r="U137" s="3">
        <f ca="1">IFERROR(__xludf.DUMMYFUNCTION("""COMPUTED_VALUE"""),67.31)</f>
        <v>67.31</v>
      </c>
      <c r="V137" s="3">
        <f ca="1">IFERROR(__xludf.DUMMYFUNCTION("""COMPUTED_VALUE"""),66.13)</f>
        <v>66.13</v>
      </c>
      <c r="W137" s="3">
        <f ca="1">IFERROR(__xludf.DUMMYFUNCTION("""COMPUTED_VALUE"""),66.25)</f>
        <v>66.25</v>
      </c>
      <c r="X137" s="3">
        <f ca="1">IFERROR(__xludf.DUMMYFUNCTION("""COMPUTED_VALUE"""),19311471)</f>
        <v>19311471</v>
      </c>
      <c r="Y137" s="4">
        <f ca="1">IFERROR(__xludf.DUMMYFUNCTION("""COMPUTED_VALUE"""),42320.6666666666)</f>
        <v>42320.666666666599</v>
      </c>
      <c r="Z137" s="3">
        <f ca="1">IFERROR(__xludf.DUMMYFUNCTION("""COMPUTED_VALUE"""),19.84)</f>
        <v>19.84</v>
      </c>
      <c r="AA137" s="3">
        <f ca="1">IFERROR(__xludf.DUMMYFUNCTION("""COMPUTED_VALUE"""),19.85)</f>
        <v>19.850000000000001</v>
      </c>
      <c r="AB137" s="3">
        <f ca="1">IFERROR(__xludf.DUMMYFUNCTION("""COMPUTED_VALUE"""),19.58)</f>
        <v>19.579999999999998</v>
      </c>
      <c r="AC137" s="3">
        <f ca="1">IFERROR(__xludf.DUMMYFUNCTION("""COMPUTED_VALUE"""),19.59)</f>
        <v>19.59</v>
      </c>
      <c r="AD137" s="3">
        <f ca="1">IFERROR(__xludf.DUMMYFUNCTION("""COMPUTED_VALUE"""),54100304)</f>
        <v>54100304</v>
      </c>
      <c r="AE137" s="4">
        <f ca="1">IFERROR(__xludf.DUMMYFUNCTION("""COMPUTED_VALUE"""),42320.6666666666)</f>
        <v>42320.666666666599</v>
      </c>
      <c r="AF137" s="3">
        <f ca="1">IFERROR(__xludf.DUMMYFUNCTION("""COMPUTED_VALUE"""),70.78)</f>
        <v>70.78</v>
      </c>
      <c r="AG137" s="3">
        <f ca="1">IFERROR(__xludf.DUMMYFUNCTION("""COMPUTED_VALUE"""),70.89)</f>
        <v>70.89</v>
      </c>
      <c r="AH137" s="3">
        <f ca="1">IFERROR(__xludf.DUMMYFUNCTION("""COMPUTED_VALUE"""),69.74)</f>
        <v>69.739999999999995</v>
      </c>
      <c r="AI137" s="3">
        <f ca="1">IFERROR(__xludf.DUMMYFUNCTION("""COMPUTED_VALUE"""),69.74)</f>
        <v>69.739999999999995</v>
      </c>
      <c r="AJ137" s="3">
        <f ca="1">IFERROR(__xludf.DUMMYFUNCTION("""COMPUTED_VALUE"""),10870840)</f>
        <v>10870840</v>
      </c>
      <c r="AK137" s="4">
        <f ca="1">IFERROR(__xludf.DUMMYFUNCTION("""COMPUTED_VALUE"""),42320.6666666666)</f>
        <v>42320.666666666599</v>
      </c>
      <c r="AL137" s="3">
        <f ca="1">IFERROR(__xludf.DUMMYFUNCTION("""COMPUTED_VALUE"""),54.12)</f>
        <v>54.12</v>
      </c>
      <c r="AM137" s="3">
        <f ca="1">IFERROR(__xludf.DUMMYFUNCTION("""COMPUTED_VALUE"""),54.48)</f>
        <v>54.48</v>
      </c>
      <c r="AN137" s="3">
        <f ca="1">IFERROR(__xludf.DUMMYFUNCTION("""COMPUTED_VALUE"""),53.75)</f>
        <v>53.75</v>
      </c>
      <c r="AO137" s="3">
        <f ca="1">IFERROR(__xludf.DUMMYFUNCTION("""COMPUTED_VALUE"""),53.76)</f>
        <v>53.76</v>
      </c>
      <c r="AP137" s="3">
        <f ca="1">IFERROR(__xludf.DUMMYFUNCTION("""COMPUTED_VALUE"""),19057064)</f>
        <v>19057064</v>
      </c>
      <c r="AQ137" s="4">
        <f ca="1">IFERROR(__xludf.DUMMYFUNCTION("""COMPUTED_VALUE"""),42320.6666666666)</f>
        <v>42320.666666666599</v>
      </c>
      <c r="AR137" s="3">
        <f ca="1">IFERROR(__xludf.DUMMYFUNCTION("""COMPUTED_VALUE"""),44.28)</f>
        <v>44.28</v>
      </c>
      <c r="AS137" s="3">
        <f ca="1">IFERROR(__xludf.DUMMYFUNCTION("""COMPUTED_VALUE"""),44.34)</f>
        <v>44.34</v>
      </c>
      <c r="AT137" s="3">
        <f ca="1">IFERROR(__xludf.DUMMYFUNCTION("""COMPUTED_VALUE"""),43.84)</f>
        <v>43.84</v>
      </c>
      <c r="AU137" s="3">
        <f ca="1">IFERROR(__xludf.DUMMYFUNCTION("""COMPUTED_VALUE"""),43.84)</f>
        <v>43.84</v>
      </c>
      <c r="AV137" s="3">
        <f ca="1">IFERROR(__xludf.DUMMYFUNCTION("""COMPUTED_VALUE"""),9022226)</f>
        <v>9022226</v>
      </c>
      <c r="AW137" s="4">
        <f ca="1">IFERROR(__xludf.DUMMYFUNCTION("""COMPUTED_VALUE"""),42488.6666666666)</f>
        <v>42488.666666666599</v>
      </c>
      <c r="AX137" s="3">
        <f ca="1">IFERROR(__xludf.DUMMYFUNCTION("""COMPUTED_VALUE"""),33.15)</f>
        <v>33.15</v>
      </c>
      <c r="AY137" s="3">
        <f ca="1">IFERROR(__xludf.DUMMYFUNCTION("""COMPUTED_VALUE"""),33.15)</f>
        <v>33.15</v>
      </c>
      <c r="AZ137" s="3">
        <f ca="1">IFERROR(__xludf.DUMMYFUNCTION("""COMPUTED_VALUE"""),31.68)</f>
        <v>31.68</v>
      </c>
      <c r="BA137" s="3">
        <f ca="1">IFERROR(__xludf.DUMMYFUNCTION("""COMPUTED_VALUE"""),31.68)</f>
        <v>31.68</v>
      </c>
      <c r="BB137" s="3">
        <f ca="1">IFERROR(__xludf.DUMMYFUNCTION("""COMPUTED_VALUE"""),1111)</f>
        <v>1111</v>
      </c>
      <c r="BC137" s="4">
        <f ca="1">IFERROR(__xludf.DUMMYFUNCTION("""COMPUTED_VALUE"""),42320.6666666666)</f>
        <v>42320.666666666599</v>
      </c>
      <c r="BD137" s="3">
        <f ca="1">IFERROR(__xludf.DUMMYFUNCTION("""COMPUTED_VALUE"""),43.39)</f>
        <v>43.39</v>
      </c>
      <c r="BE137" s="3">
        <f ca="1">IFERROR(__xludf.DUMMYFUNCTION("""COMPUTED_VALUE"""),43.6)</f>
        <v>43.6</v>
      </c>
      <c r="BF137" s="3">
        <f ca="1">IFERROR(__xludf.DUMMYFUNCTION("""COMPUTED_VALUE"""),43.21)</f>
        <v>43.21</v>
      </c>
      <c r="BG137" s="3">
        <f ca="1">IFERROR(__xludf.DUMMYFUNCTION("""COMPUTED_VALUE"""),43.22)</f>
        <v>43.22</v>
      </c>
      <c r="BH137" s="3">
        <f ca="1">IFERROR(__xludf.DUMMYFUNCTION("""COMPUTED_VALUE"""),8033958)</f>
        <v>8033958</v>
      </c>
      <c r="BI137" s="4">
        <f ca="1">IFERROR(__xludf.DUMMYFUNCTION("""COMPUTED_VALUE"""),42320.6666666666)</f>
        <v>42320.666666666599</v>
      </c>
      <c r="BJ137" s="3">
        <f ca="1">IFERROR(__xludf.DUMMYFUNCTION("""COMPUTED_VALUE"""),43)</f>
        <v>43</v>
      </c>
      <c r="BK137" s="3">
        <f ca="1">IFERROR(__xludf.DUMMYFUNCTION("""COMPUTED_VALUE"""),43.41)</f>
        <v>43.41</v>
      </c>
      <c r="BL137" s="3">
        <f ca="1">IFERROR(__xludf.DUMMYFUNCTION("""COMPUTED_VALUE"""),42.67)</f>
        <v>42.67</v>
      </c>
      <c r="BM137" s="3">
        <f ca="1">IFERROR(__xludf.DUMMYFUNCTION("""COMPUTED_VALUE"""),42.7)</f>
        <v>42.7</v>
      </c>
      <c r="BN137" s="3">
        <f ca="1">IFERROR(__xludf.DUMMYFUNCTION("""COMPUTED_VALUE"""),8839646)</f>
        <v>8839646</v>
      </c>
    </row>
    <row r="138" spans="7:66" ht="13" x14ac:dyDescent="0.15">
      <c r="G138" s="4">
        <f ca="1">IFERROR(__xludf.DUMMYFUNCTION("""COMPUTED_VALUE"""),42321.6666666666)</f>
        <v>42321.666666666599</v>
      </c>
      <c r="H138" s="3">
        <f ca="1">IFERROR(__xludf.DUMMYFUNCTION("""COMPUTED_VALUE"""),79.32)</f>
        <v>79.319999999999993</v>
      </c>
      <c r="I138" s="3">
        <f ca="1">IFERROR(__xludf.DUMMYFUNCTION("""COMPUTED_VALUE"""),79.43)</f>
        <v>79.430000000000007</v>
      </c>
      <c r="J138" s="3">
        <f ca="1">IFERROR(__xludf.DUMMYFUNCTION("""COMPUTED_VALUE"""),77.64)</f>
        <v>77.64</v>
      </c>
      <c r="K138" s="3">
        <f ca="1">IFERROR(__xludf.DUMMYFUNCTION("""COMPUTED_VALUE"""),77.73)</f>
        <v>77.73</v>
      </c>
      <c r="L138" s="3">
        <f ca="1">IFERROR(__xludf.DUMMYFUNCTION("""COMPUTED_VALUE"""),11377220)</f>
        <v>11377220</v>
      </c>
      <c r="M138" s="4">
        <f ca="1">IFERROR(__xludf.DUMMYFUNCTION("""COMPUTED_VALUE"""),42321.6666666666)</f>
        <v>42321.666666666599</v>
      </c>
      <c r="N138" s="3">
        <f ca="1">IFERROR(__xludf.DUMMYFUNCTION("""COMPUTED_VALUE"""),48.11)</f>
        <v>48.11</v>
      </c>
      <c r="O138" s="3">
        <f ca="1">IFERROR(__xludf.DUMMYFUNCTION("""COMPUTED_VALUE"""),48.33)</f>
        <v>48.33</v>
      </c>
      <c r="P138" s="3">
        <f ca="1">IFERROR(__xludf.DUMMYFUNCTION("""COMPUTED_VALUE"""),47.79)</f>
        <v>47.79</v>
      </c>
      <c r="Q138" s="3">
        <f ca="1">IFERROR(__xludf.DUMMYFUNCTION("""COMPUTED_VALUE"""),47.83)</f>
        <v>47.83</v>
      </c>
      <c r="R138" s="3">
        <f ca="1">IFERROR(__xludf.DUMMYFUNCTION("""COMPUTED_VALUE"""),9112391)</f>
        <v>9112391</v>
      </c>
      <c r="S138" s="4">
        <f ca="1">IFERROR(__xludf.DUMMYFUNCTION("""COMPUTED_VALUE"""),42321.6666666666)</f>
        <v>42321.666666666599</v>
      </c>
      <c r="T138" s="3">
        <f ca="1">IFERROR(__xludf.DUMMYFUNCTION("""COMPUTED_VALUE"""),66.03)</f>
        <v>66.03</v>
      </c>
      <c r="U138" s="3">
        <f ca="1">IFERROR(__xludf.DUMMYFUNCTION("""COMPUTED_VALUE"""),66.58)</f>
        <v>66.58</v>
      </c>
      <c r="V138" s="3">
        <f ca="1">IFERROR(__xludf.DUMMYFUNCTION("""COMPUTED_VALUE"""),65.2)</f>
        <v>65.2</v>
      </c>
      <c r="W138" s="3">
        <f ca="1">IFERROR(__xludf.DUMMYFUNCTION("""COMPUTED_VALUE"""),65.98)</f>
        <v>65.98</v>
      </c>
      <c r="X138" s="3">
        <f ca="1">IFERROR(__xludf.DUMMYFUNCTION("""COMPUTED_VALUE"""),17779635)</f>
        <v>17779635</v>
      </c>
      <c r="Y138" s="4">
        <f ca="1">IFERROR(__xludf.DUMMYFUNCTION("""COMPUTED_VALUE"""),42321.6666666666)</f>
        <v>42321.666666666599</v>
      </c>
      <c r="Z138" s="3">
        <f ca="1">IFERROR(__xludf.DUMMYFUNCTION("""COMPUTED_VALUE"""),19.49)</f>
        <v>19.489999999999998</v>
      </c>
      <c r="AA138" s="3">
        <f ca="1">IFERROR(__xludf.DUMMYFUNCTION("""COMPUTED_VALUE"""),19.63)</f>
        <v>19.63</v>
      </c>
      <c r="AB138" s="3">
        <f ca="1">IFERROR(__xludf.DUMMYFUNCTION("""COMPUTED_VALUE"""),19.37)</f>
        <v>19.37</v>
      </c>
      <c r="AC138" s="3">
        <f ca="1">IFERROR(__xludf.DUMMYFUNCTION("""COMPUTED_VALUE"""),19.42)</f>
        <v>19.420000000000002</v>
      </c>
      <c r="AD138" s="3">
        <f ca="1">IFERROR(__xludf.DUMMYFUNCTION("""COMPUTED_VALUE"""),43767506)</f>
        <v>43767506</v>
      </c>
      <c r="AE138" s="4">
        <f ca="1">IFERROR(__xludf.DUMMYFUNCTION("""COMPUTED_VALUE"""),42321.6666666666)</f>
        <v>42321.666666666599</v>
      </c>
      <c r="AF138" s="3">
        <f ca="1">IFERROR(__xludf.DUMMYFUNCTION("""COMPUTED_VALUE"""),69.6)</f>
        <v>69.599999999999994</v>
      </c>
      <c r="AG138" s="3">
        <f ca="1">IFERROR(__xludf.DUMMYFUNCTION("""COMPUTED_VALUE"""),70.28)</f>
        <v>70.28</v>
      </c>
      <c r="AH138" s="3">
        <f ca="1">IFERROR(__xludf.DUMMYFUNCTION("""COMPUTED_VALUE"""),69.48)</f>
        <v>69.48</v>
      </c>
      <c r="AI138" s="3">
        <f ca="1">IFERROR(__xludf.DUMMYFUNCTION("""COMPUTED_VALUE"""),69.57)</f>
        <v>69.569999999999993</v>
      </c>
      <c r="AJ138" s="3">
        <f ca="1">IFERROR(__xludf.DUMMYFUNCTION("""COMPUTED_VALUE"""),18196826)</f>
        <v>18196826</v>
      </c>
      <c r="AK138" s="4">
        <f ca="1">IFERROR(__xludf.DUMMYFUNCTION("""COMPUTED_VALUE"""),42321.6666666666)</f>
        <v>42321.666666666599</v>
      </c>
      <c r="AL138" s="3">
        <f ca="1">IFERROR(__xludf.DUMMYFUNCTION("""COMPUTED_VALUE"""),53.55)</f>
        <v>53.55</v>
      </c>
      <c r="AM138" s="3">
        <f ca="1">IFERROR(__xludf.DUMMYFUNCTION("""COMPUTED_VALUE"""),53.96)</f>
        <v>53.96</v>
      </c>
      <c r="AN138" s="3">
        <f ca="1">IFERROR(__xludf.DUMMYFUNCTION("""COMPUTED_VALUE"""),53.43)</f>
        <v>53.43</v>
      </c>
      <c r="AO138" s="3">
        <f ca="1">IFERROR(__xludf.DUMMYFUNCTION("""COMPUTED_VALUE"""),53.52)</f>
        <v>53.52</v>
      </c>
      <c r="AP138" s="3">
        <f ca="1">IFERROR(__xludf.DUMMYFUNCTION("""COMPUTED_VALUE"""),13959103)</f>
        <v>13959103</v>
      </c>
      <c r="AQ138" s="4">
        <f ca="1">IFERROR(__xludf.DUMMYFUNCTION("""COMPUTED_VALUE"""),42321.6666666666)</f>
        <v>42321.666666666599</v>
      </c>
      <c r="AR138" s="3">
        <f ca="1">IFERROR(__xludf.DUMMYFUNCTION("""COMPUTED_VALUE"""),43.81)</f>
        <v>43.81</v>
      </c>
      <c r="AS138" s="3">
        <f ca="1">IFERROR(__xludf.DUMMYFUNCTION("""COMPUTED_VALUE"""),44.63)</f>
        <v>44.63</v>
      </c>
      <c r="AT138" s="3">
        <f ca="1">IFERROR(__xludf.DUMMYFUNCTION("""COMPUTED_VALUE"""),43.74)</f>
        <v>43.74</v>
      </c>
      <c r="AU138" s="3">
        <f ca="1">IFERROR(__xludf.DUMMYFUNCTION("""COMPUTED_VALUE"""),44.4)</f>
        <v>44.4</v>
      </c>
      <c r="AV138" s="3">
        <f ca="1">IFERROR(__xludf.DUMMYFUNCTION("""COMPUTED_VALUE"""),7082381)</f>
        <v>7082381</v>
      </c>
      <c r="AW138" s="4">
        <f ca="1">IFERROR(__xludf.DUMMYFUNCTION("""COMPUTED_VALUE"""),42489.6666666666)</f>
        <v>42489.666666666599</v>
      </c>
      <c r="AX138" s="3">
        <f ca="1">IFERROR(__xludf.DUMMYFUNCTION("""COMPUTED_VALUE"""),31.65)</f>
        <v>31.65</v>
      </c>
      <c r="AY138" s="3">
        <f ca="1">IFERROR(__xludf.DUMMYFUNCTION("""COMPUTED_VALUE"""),31.65)</f>
        <v>31.65</v>
      </c>
      <c r="AZ138" s="3">
        <f ca="1">IFERROR(__xludf.DUMMYFUNCTION("""COMPUTED_VALUE"""),31.09)</f>
        <v>31.09</v>
      </c>
      <c r="BA138" s="3">
        <f ca="1">IFERROR(__xludf.DUMMYFUNCTION("""COMPUTED_VALUE"""),31.38)</f>
        <v>31.38</v>
      </c>
      <c r="BB138" s="3">
        <f ca="1">IFERROR(__xludf.DUMMYFUNCTION("""COMPUTED_VALUE"""),20059)</f>
        <v>20059</v>
      </c>
      <c r="BC138" s="4">
        <f ca="1">IFERROR(__xludf.DUMMYFUNCTION("""COMPUTED_VALUE"""),42321.6666666666)</f>
        <v>42321.666666666599</v>
      </c>
      <c r="BD138" s="3">
        <f ca="1">IFERROR(__xludf.DUMMYFUNCTION("""COMPUTED_VALUE"""),43.07)</f>
        <v>43.07</v>
      </c>
      <c r="BE138" s="3">
        <f ca="1">IFERROR(__xludf.DUMMYFUNCTION("""COMPUTED_VALUE"""),43.13)</f>
        <v>43.13</v>
      </c>
      <c r="BF138" s="3">
        <f ca="1">IFERROR(__xludf.DUMMYFUNCTION("""COMPUTED_VALUE"""),42.36)</f>
        <v>42.36</v>
      </c>
      <c r="BG138" s="3">
        <f ca="1">IFERROR(__xludf.DUMMYFUNCTION("""COMPUTED_VALUE"""),42.37)</f>
        <v>42.37</v>
      </c>
      <c r="BH138" s="3">
        <f ca="1">IFERROR(__xludf.DUMMYFUNCTION("""COMPUTED_VALUE"""),15044928)</f>
        <v>15044928</v>
      </c>
      <c r="BI138" s="4">
        <f ca="1">IFERROR(__xludf.DUMMYFUNCTION("""COMPUTED_VALUE"""),42321.6666666666)</f>
        <v>42321.666666666599</v>
      </c>
      <c r="BJ138" s="3">
        <f ca="1">IFERROR(__xludf.DUMMYFUNCTION("""COMPUTED_VALUE"""),42.75)</f>
        <v>42.75</v>
      </c>
      <c r="BK138" s="3">
        <f ca="1">IFERROR(__xludf.DUMMYFUNCTION("""COMPUTED_VALUE"""),43.05)</f>
        <v>43.05</v>
      </c>
      <c r="BL138" s="3">
        <f ca="1">IFERROR(__xludf.DUMMYFUNCTION("""COMPUTED_VALUE"""),42.41)</f>
        <v>42.41</v>
      </c>
      <c r="BM138" s="3">
        <f ca="1">IFERROR(__xludf.DUMMYFUNCTION("""COMPUTED_VALUE"""),42.54)</f>
        <v>42.54</v>
      </c>
      <c r="BN138" s="3">
        <f ca="1">IFERROR(__xludf.DUMMYFUNCTION("""COMPUTED_VALUE"""),9516370)</f>
        <v>9516370</v>
      </c>
    </row>
    <row r="139" spans="7:66" ht="13" x14ac:dyDescent="0.15">
      <c r="G139" s="4">
        <f ca="1">IFERROR(__xludf.DUMMYFUNCTION("""COMPUTED_VALUE"""),42324.6666666666)</f>
        <v>42324.666666666599</v>
      </c>
      <c r="H139" s="3">
        <f ca="1">IFERROR(__xludf.DUMMYFUNCTION("""COMPUTED_VALUE"""),77.42)</f>
        <v>77.42</v>
      </c>
      <c r="I139" s="3">
        <f ca="1">IFERROR(__xludf.DUMMYFUNCTION("""COMPUTED_VALUE"""),78.67)</f>
        <v>78.67</v>
      </c>
      <c r="J139" s="3">
        <f ca="1">IFERROR(__xludf.DUMMYFUNCTION("""COMPUTED_VALUE"""),77.26)</f>
        <v>77.260000000000005</v>
      </c>
      <c r="K139" s="3">
        <f ca="1">IFERROR(__xludf.DUMMYFUNCTION("""COMPUTED_VALUE"""),78.67)</f>
        <v>78.67</v>
      </c>
      <c r="L139" s="3">
        <f ca="1">IFERROR(__xludf.DUMMYFUNCTION("""COMPUTED_VALUE"""),7383208)</f>
        <v>7383208</v>
      </c>
      <c r="M139" s="4">
        <f ca="1">IFERROR(__xludf.DUMMYFUNCTION("""COMPUTED_VALUE"""),42324.6666666666)</f>
        <v>42324.666666666599</v>
      </c>
      <c r="N139" s="3">
        <f ca="1">IFERROR(__xludf.DUMMYFUNCTION("""COMPUTED_VALUE"""),47.67)</f>
        <v>47.67</v>
      </c>
      <c r="O139" s="3">
        <f ca="1">IFERROR(__xludf.DUMMYFUNCTION("""COMPUTED_VALUE"""),48.66)</f>
        <v>48.66</v>
      </c>
      <c r="P139" s="3">
        <f ca="1">IFERROR(__xludf.DUMMYFUNCTION("""COMPUTED_VALUE"""),47.67)</f>
        <v>47.67</v>
      </c>
      <c r="Q139" s="3">
        <f ca="1">IFERROR(__xludf.DUMMYFUNCTION("""COMPUTED_VALUE"""),48.65)</f>
        <v>48.65</v>
      </c>
      <c r="R139" s="3">
        <f ca="1">IFERROR(__xludf.DUMMYFUNCTION("""COMPUTED_VALUE"""),9735265)</f>
        <v>9735265</v>
      </c>
      <c r="S139" s="4">
        <f ca="1">IFERROR(__xludf.DUMMYFUNCTION("""COMPUTED_VALUE"""),42324.6666666666)</f>
        <v>42324.666666666599</v>
      </c>
      <c r="T139" s="3">
        <f ca="1">IFERROR(__xludf.DUMMYFUNCTION("""COMPUTED_VALUE"""),65.89)</f>
        <v>65.89</v>
      </c>
      <c r="U139" s="3">
        <f ca="1">IFERROR(__xludf.DUMMYFUNCTION("""COMPUTED_VALUE"""),68.25)</f>
        <v>68.25</v>
      </c>
      <c r="V139" s="3">
        <f ca="1">IFERROR(__xludf.DUMMYFUNCTION("""COMPUTED_VALUE"""),65.84)</f>
        <v>65.84</v>
      </c>
      <c r="W139" s="3">
        <f ca="1">IFERROR(__xludf.DUMMYFUNCTION("""COMPUTED_VALUE"""),68.18)</f>
        <v>68.180000000000007</v>
      </c>
      <c r="X139" s="3">
        <f ca="1">IFERROR(__xludf.DUMMYFUNCTION("""COMPUTED_VALUE"""),17362594)</f>
        <v>17362594</v>
      </c>
      <c r="Y139" s="4">
        <f ca="1">IFERROR(__xludf.DUMMYFUNCTION("""COMPUTED_VALUE"""),42324.6666666666)</f>
        <v>42324.666666666599</v>
      </c>
      <c r="Z139" s="3">
        <f ca="1">IFERROR(__xludf.DUMMYFUNCTION("""COMPUTED_VALUE"""),19.37)</f>
        <v>19.37</v>
      </c>
      <c r="AA139" s="3">
        <f ca="1">IFERROR(__xludf.DUMMYFUNCTION("""COMPUTED_VALUE"""),19.66)</f>
        <v>19.66</v>
      </c>
      <c r="AB139" s="3">
        <f ca="1">IFERROR(__xludf.DUMMYFUNCTION("""COMPUTED_VALUE"""),19.33)</f>
        <v>19.329999999999998</v>
      </c>
      <c r="AC139" s="3">
        <f ca="1">IFERROR(__xludf.DUMMYFUNCTION("""COMPUTED_VALUE"""),19.66)</f>
        <v>19.66</v>
      </c>
      <c r="AD139" s="3">
        <f ca="1">IFERROR(__xludf.DUMMYFUNCTION("""COMPUTED_VALUE"""),43508875)</f>
        <v>43508875</v>
      </c>
      <c r="AE139" s="4">
        <f ca="1">IFERROR(__xludf.DUMMYFUNCTION("""COMPUTED_VALUE"""),42324.6666666666)</f>
        <v>42324.666666666599</v>
      </c>
      <c r="AF139" s="3">
        <f ca="1">IFERROR(__xludf.DUMMYFUNCTION("""COMPUTED_VALUE"""),69.42)</f>
        <v>69.42</v>
      </c>
      <c r="AG139" s="3">
        <f ca="1">IFERROR(__xludf.DUMMYFUNCTION("""COMPUTED_VALUE"""),70.44)</f>
        <v>70.44</v>
      </c>
      <c r="AH139" s="3">
        <f ca="1">IFERROR(__xludf.DUMMYFUNCTION("""COMPUTED_VALUE"""),69.41)</f>
        <v>69.41</v>
      </c>
      <c r="AI139" s="3">
        <f ca="1">IFERROR(__xludf.DUMMYFUNCTION("""COMPUTED_VALUE"""),70.44)</f>
        <v>70.44</v>
      </c>
      <c r="AJ139" s="3">
        <f ca="1">IFERROR(__xludf.DUMMYFUNCTION("""COMPUTED_VALUE"""),12959812)</f>
        <v>12959812</v>
      </c>
      <c r="AK139" s="4">
        <f ca="1">IFERROR(__xludf.DUMMYFUNCTION("""COMPUTED_VALUE"""),42324.6666666666)</f>
        <v>42324.666666666599</v>
      </c>
      <c r="AL139" s="3">
        <f ca="1">IFERROR(__xludf.DUMMYFUNCTION("""COMPUTED_VALUE"""),53.24)</f>
        <v>53.24</v>
      </c>
      <c r="AM139" s="3">
        <f ca="1">IFERROR(__xludf.DUMMYFUNCTION("""COMPUTED_VALUE"""),54.25)</f>
        <v>54.25</v>
      </c>
      <c r="AN139" s="3">
        <f ca="1">IFERROR(__xludf.DUMMYFUNCTION("""COMPUTED_VALUE"""),53.24)</f>
        <v>53.24</v>
      </c>
      <c r="AO139" s="3">
        <f ca="1">IFERROR(__xludf.DUMMYFUNCTION("""COMPUTED_VALUE"""),54.21)</f>
        <v>54.21</v>
      </c>
      <c r="AP139" s="3">
        <f ca="1">IFERROR(__xludf.DUMMYFUNCTION("""COMPUTED_VALUE"""),13303898)</f>
        <v>13303898</v>
      </c>
      <c r="AQ139" s="4">
        <f ca="1">IFERROR(__xludf.DUMMYFUNCTION("""COMPUTED_VALUE"""),42324.6666666666)</f>
        <v>42324.666666666599</v>
      </c>
      <c r="AR139" s="3">
        <f ca="1">IFERROR(__xludf.DUMMYFUNCTION("""COMPUTED_VALUE"""),44.49)</f>
        <v>44.49</v>
      </c>
      <c r="AS139" s="3">
        <f ca="1">IFERROR(__xludf.DUMMYFUNCTION("""COMPUTED_VALUE"""),45)</f>
        <v>45</v>
      </c>
      <c r="AT139" s="3">
        <f ca="1">IFERROR(__xludf.DUMMYFUNCTION("""COMPUTED_VALUE"""),44.33)</f>
        <v>44.33</v>
      </c>
      <c r="AU139" s="3">
        <f ca="1">IFERROR(__xludf.DUMMYFUNCTION("""COMPUTED_VALUE"""),44.97)</f>
        <v>44.97</v>
      </c>
      <c r="AV139" s="3">
        <f ca="1">IFERROR(__xludf.DUMMYFUNCTION("""COMPUTED_VALUE"""),7731495)</f>
        <v>7731495</v>
      </c>
      <c r="AW139" s="4">
        <f ca="1">IFERROR(__xludf.DUMMYFUNCTION("""COMPUTED_VALUE"""),42492.6666666666)</f>
        <v>42492.666666666599</v>
      </c>
      <c r="AX139" s="3">
        <f ca="1">IFERROR(__xludf.DUMMYFUNCTION("""COMPUTED_VALUE"""),31.19)</f>
        <v>31.19</v>
      </c>
      <c r="AY139" s="3">
        <f ca="1">IFERROR(__xludf.DUMMYFUNCTION("""COMPUTED_VALUE"""),31.81)</f>
        <v>31.81</v>
      </c>
      <c r="AZ139" s="3">
        <f ca="1">IFERROR(__xludf.DUMMYFUNCTION("""COMPUTED_VALUE"""),31.19)</f>
        <v>31.19</v>
      </c>
      <c r="BA139" s="3">
        <f ca="1">IFERROR(__xludf.DUMMYFUNCTION("""COMPUTED_VALUE"""),31.71)</f>
        <v>31.71</v>
      </c>
      <c r="BB139" s="3">
        <f ca="1">IFERROR(__xludf.DUMMYFUNCTION("""COMPUTED_VALUE"""),3766)</f>
        <v>3766</v>
      </c>
      <c r="BC139" s="4">
        <f ca="1">IFERROR(__xludf.DUMMYFUNCTION("""COMPUTED_VALUE"""),42324.6666666666)</f>
        <v>42324.666666666599</v>
      </c>
      <c r="BD139" s="3">
        <f ca="1">IFERROR(__xludf.DUMMYFUNCTION("""COMPUTED_VALUE"""),42.3)</f>
        <v>42.3</v>
      </c>
      <c r="BE139" s="3">
        <f ca="1">IFERROR(__xludf.DUMMYFUNCTION("""COMPUTED_VALUE"""),43.03)</f>
        <v>43.03</v>
      </c>
      <c r="BF139" s="3">
        <f ca="1">IFERROR(__xludf.DUMMYFUNCTION("""COMPUTED_VALUE"""),42.28)</f>
        <v>42.28</v>
      </c>
      <c r="BG139" s="3">
        <f ca="1">IFERROR(__xludf.DUMMYFUNCTION("""COMPUTED_VALUE"""),43.02)</f>
        <v>43.02</v>
      </c>
      <c r="BH139" s="3">
        <f ca="1">IFERROR(__xludf.DUMMYFUNCTION("""COMPUTED_VALUE"""),9079200)</f>
        <v>9079200</v>
      </c>
      <c r="BI139" s="4">
        <f ca="1">IFERROR(__xludf.DUMMYFUNCTION("""COMPUTED_VALUE"""),42324.6666666666)</f>
        <v>42324.666666666599</v>
      </c>
      <c r="BJ139" s="3">
        <f ca="1">IFERROR(__xludf.DUMMYFUNCTION("""COMPUTED_VALUE"""),42.62)</f>
        <v>42.62</v>
      </c>
      <c r="BK139" s="3">
        <f ca="1">IFERROR(__xludf.DUMMYFUNCTION("""COMPUTED_VALUE"""),43.27)</f>
        <v>43.27</v>
      </c>
      <c r="BL139" s="3">
        <f ca="1">IFERROR(__xludf.DUMMYFUNCTION("""COMPUTED_VALUE"""),42.47)</f>
        <v>42.47</v>
      </c>
      <c r="BM139" s="3">
        <f ca="1">IFERROR(__xludf.DUMMYFUNCTION("""COMPUTED_VALUE"""),43.26)</f>
        <v>43.26</v>
      </c>
      <c r="BN139" s="3">
        <f ca="1">IFERROR(__xludf.DUMMYFUNCTION("""COMPUTED_VALUE"""),9175613)</f>
        <v>9175613</v>
      </c>
    </row>
    <row r="140" spans="7:66" ht="13" x14ac:dyDescent="0.15">
      <c r="G140" s="4">
        <f ca="1">IFERROR(__xludf.DUMMYFUNCTION("""COMPUTED_VALUE"""),42325.6666666666)</f>
        <v>42325.666666666599</v>
      </c>
      <c r="H140" s="3">
        <f ca="1">IFERROR(__xludf.DUMMYFUNCTION("""COMPUTED_VALUE"""),79.06)</f>
        <v>79.06</v>
      </c>
      <c r="I140" s="3">
        <f ca="1">IFERROR(__xludf.DUMMYFUNCTION("""COMPUTED_VALUE"""),79.51)</f>
        <v>79.510000000000005</v>
      </c>
      <c r="J140" s="3">
        <f ca="1">IFERROR(__xludf.DUMMYFUNCTION("""COMPUTED_VALUE"""),78.56)</f>
        <v>78.56</v>
      </c>
      <c r="K140" s="3">
        <f ca="1">IFERROR(__xludf.DUMMYFUNCTION("""COMPUTED_VALUE"""),78.82)</f>
        <v>78.819999999999993</v>
      </c>
      <c r="L140" s="3">
        <f ca="1">IFERROR(__xludf.DUMMYFUNCTION("""COMPUTED_VALUE"""),7452316)</f>
        <v>7452316</v>
      </c>
      <c r="M140" s="4">
        <f ca="1">IFERROR(__xludf.DUMMYFUNCTION("""COMPUTED_VALUE"""),42325.6666666666)</f>
        <v>42325.666666666599</v>
      </c>
      <c r="N140" s="3">
        <f ca="1">IFERROR(__xludf.DUMMYFUNCTION("""COMPUTED_VALUE"""),48.78)</f>
        <v>48.78</v>
      </c>
      <c r="O140" s="3">
        <f ca="1">IFERROR(__xludf.DUMMYFUNCTION("""COMPUTED_VALUE"""),49.03)</f>
        <v>49.03</v>
      </c>
      <c r="P140" s="3">
        <f ca="1">IFERROR(__xludf.DUMMYFUNCTION("""COMPUTED_VALUE"""),48.49)</f>
        <v>48.49</v>
      </c>
      <c r="Q140" s="3">
        <f ca="1">IFERROR(__xludf.DUMMYFUNCTION("""COMPUTED_VALUE"""),48.63)</f>
        <v>48.63</v>
      </c>
      <c r="R140" s="3">
        <f ca="1">IFERROR(__xludf.DUMMYFUNCTION("""COMPUTED_VALUE"""),8056342)</f>
        <v>8056342</v>
      </c>
      <c r="S140" s="4">
        <f ca="1">IFERROR(__xludf.DUMMYFUNCTION("""COMPUTED_VALUE"""),42325.6666666666)</f>
        <v>42325.666666666599</v>
      </c>
      <c r="T140" s="3">
        <f ca="1">IFERROR(__xludf.DUMMYFUNCTION("""COMPUTED_VALUE"""),68)</f>
        <v>68</v>
      </c>
      <c r="U140" s="3">
        <f ca="1">IFERROR(__xludf.DUMMYFUNCTION("""COMPUTED_VALUE"""),68.28)</f>
        <v>68.28</v>
      </c>
      <c r="V140" s="3">
        <f ca="1">IFERROR(__xludf.DUMMYFUNCTION("""COMPUTED_VALUE"""),67.18)</f>
        <v>67.180000000000007</v>
      </c>
      <c r="W140" s="3">
        <f ca="1">IFERROR(__xludf.DUMMYFUNCTION("""COMPUTED_VALUE"""),67.43)</f>
        <v>67.430000000000007</v>
      </c>
      <c r="X140" s="3">
        <f ca="1">IFERROR(__xludf.DUMMYFUNCTION("""COMPUTED_VALUE"""),15228861)</f>
        <v>15228861</v>
      </c>
      <c r="Y140" s="4">
        <f ca="1">IFERROR(__xludf.DUMMYFUNCTION("""COMPUTED_VALUE"""),42325.6666666666)</f>
        <v>42325.666666666599</v>
      </c>
      <c r="Z140" s="3">
        <f ca="1">IFERROR(__xludf.DUMMYFUNCTION("""COMPUTED_VALUE"""),19.74)</f>
        <v>19.739999999999998</v>
      </c>
      <c r="AA140" s="3">
        <f ca="1">IFERROR(__xludf.DUMMYFUNCTION("""COMPUTED_VALUE"""),19.8)</f>
        <v>19.8</v>
      </c>
      <c r="AB140" s="3">
        <f ca="1">IFERROR(__xludf.DUMMYFUNCTION("""COMPUTED_VALUE"""),19.58)</f>
        <v>19.579999999999998</v>
      </c>
      <c r="AC140" s="3">
        <f ca="1">IFERROR(__xludf.DUMMYFUNCTION("""COMPUTED_VALUE"""),19.62)</f>
        <v>19.62</v>
      </c>
      <c r="AD140" s="3">
        <f ca="1">IFERROR(__xludf.DUMMYFUNCTION("""COMPUTED_VALUE"""),37378717)</f>
        <v>37378717</v>
      </c>
      <c r="AE140" s="4">
        <f ca="1">IFERROR(__xludf.DUMMYFUNCTION("""COMPUTED_VALUE"""),42325.6666666666)</f>
        <v>42325.666666666599</v>
      </c>
      <c r="AF140" s="3">
        <f ca="1">IFERROR(__xludf.DUMMYFUNCTION("""COMPUTED_VALUE"""),70.58)</f>
        <v>70.58</v>
      </c>
      <c r="AG140" s="3">
        <f ca="1">IFERROR(__xludf.DUMMYFUNCTION("""COMPUTED_VALUE"""),71.21)</f>
        <v>71.209999999999994</v>
      </c>
      <c r="AH140" s="3">
        <f ca="1">IFERROR(__xludf.DUMMYFUNCTION("""COMPUTED_VALUE"""),70.22)</f>
        <v>70.22</v>
      </c>
      <c r="AI140" s="3">
        <f ca="1">IFERROR(__xludf.DUMMYFUNCTION("""COMPUTED_VALUE"""),70.74)</f>
        <v>70.739999999999995</v>
      </c>
      <c r="AJ140" s="3">
        <f ca="1">IFERROR(__xludf.DUMMYFUNCTION("""COMPUTED_VALUE"""),7882337)</f>
        <v>7882337</v>
      </c>
      <c r="AK140" s="4">
        <f ca="1">IFERROR(__xludf.DUMMYFUNCTION("""COMPUTED_VALUE"""),42325.6666666666)</f>
        <v>42325.666666666599</v>
      </c>
      <c r="AL140" s="3">
        <f ca="1">IFERROR(__xludf.DUMMYFUNCTION("""COMPUTED_VALUE"""),54.28)</f>
        <v>54.28</v>
      </c>
      <c r="AM140" s="3">
        <f ca="1">IFERROR(__xludf.DUMMYFUNCTION("""COMPUTED_VALUE"""),54.48)</f>
        <v>54.48</v>
      </c>
      <c r="AN140" s="3">
        <f ca="1">IFERROR(__xludf.DUMMYFUNCTION("""COMPUTED_VALUE"""),53.94)</f>
        <v>53.94</v>
      </c>
      <c r="AO140" s="3">
        <f ca="1">IFERROR(__xludf.DUMMYFUNCTION("""COMPUTED_VALUE"""),54.1)</f>
        <v>54.1</v>
      </c>
      <c r="AP140" s="3">
        <f ca="1">IFERROR(__xludf.DUMMYFUNCTION("""COMPUTED_VALUE"""),15564418)</f>
        <v>15564418</v>
      </c>
      <c r="AQ140" s="4">
        <f ca="1">IFERROR(__xludf.DUMMYFUNCTION("""COMPUTED_VALUE"""),42325.6666666666)</f>
        <v>42325.666666666599</v>
      </c>
      <c r="AR140" s="3">
        <f ca="1">IFERROR(__xludf.DUMMYFUNCTION("""COMPUTED_VALUE"""),45.05)</f>
        <v>45.05</v>
      </c>
      <c r="AS140" s="3">
        <f ca="1">IFERROR(__xludf.DUMMYFUNCTION("""COMPUTED_VALUE"""),45.37)</f>
        <v>45.37</v>
      </c>
      <c r="AT140" s="3">
        <f ca="1">IFERROR(__xludf.DUMMYFUNCTION("""COMPUTED_VALUE"""),44.8)</f>
        <v>44.8</v>
      </c>
      <c r="AU140" s="3">
        <f ca="1">IFERROR(__xludf.DUMMYFUNCTION("""COMPUTED_VALUE"""),44.92)</f>
        <v>44.92</v>
      </c>
      <c r="AV140" s="3">
        <f ca="1">IFERROR(__xludf.DUMMYFUNCTION("""COMPUTED_VALUE"""),12751124)</f>
        <v>12751124</v>
      </c>
      <c r="AW140" s="4">
        <f ca="1">IFERROR(__xludf.DUMMYFUNCTION("""COMPUTED_VALUE"""),42493.6666666666)</f>
        <v>42493.666666666599</v>
      </c>
      <c r="AX140" s="3">
        <f ca="1">IFERROR(__xludf.DUMMYFUNCTION("""COMPUTED_VALUE"""),31.61)</f>
        <v>31.61</v>
      </c>
      <c r="AY140" s="3">
        <f ca="1">IFERROR(__xludf.DUMMYFUNCTION("""COMPUTED_VALUE"""),31.87)</f>
        <v>31.87</v>
      </c>
      <c r="AZ140" s="3">
        <f ca="1">IFERROR(__xludf.DUMMYFUNCTION("""COMPUTED_VALUE"""),31.61)</f>
        <v>31.61</v>
      </c>
      <c r="BA140" s="3">
        <f ca="1">IFERROR(__xludf.DUMMYFUNCTION("""COMPUTED_VALUE"""),31.87)</f>
        <v>31.87</v>
      </c>
      <c r="BB140" s="3">
        <f ca="1">IFERROR(__xludf.DUMMYFUNCTION("""COMPUTED_VALUE"""),4691)</f>
        <v>4691</v>
      </c>
      <c r="BC140" s="4">
        <f ca="1">IFERROR(__xludf.DUMMYFUNCTION("""COMPUTED_VALUE"""),42325.6666666666)</f>
        <v>42325.666666666599</v>
      </c>
      <c r="BD140" s="3">
        <f ca="1">IFERROR(__xludf.DUMMYFUNCTION("""COMPUTED_VALUE"""),43.11)</f>
        <v>43.11</v>
      </c>
      <c r="BE140" s="3">
        <f ca="1">IFERROR(__xludf.DUMMYFUNCTION("""COMPUTED_VALUE"""),43.36)</f>
        <v>43.36</v>
      </c>
      <c r="BF140" s="3">
        <f ca="1">IFERROR(__xludf.DUMMYFUNCTION("""COMPUTED_VALUE"""),42.94)</f>
        <v>42.94</v>
      </c>
      <c r="BG140" s="3">
        <f ca="1">IFERROR(__xludf.DUMMYFUNCTION("""COMPUTED_VALUE"""),43.03)</f>
        <v>43.03</v>
      </c>
      <c r="BH140" s="3">
        <f ca="1">IFERROR(__xludf.DUMMYFUNCTION("""COMPUTED_VALUE"""),9394585)</f>
        <v>9394585</v>
      </c>
      <c r="BI140" s="4">
        <f ca="1">IFERROR(__xludf.DUMMYFUNCTION("""COMPUTED_VALUE"""),42325.6666666666)</f>
        <v>42325.666666666599</v>
      </c>
      <c r="BJ140" s="3">
        <f ca="1">IFERROR(__xludf.DUMMYFUNCTION("""COMPUTED_VALUE"""),43.24)</f>
        <v>43.24</v>
      </c>
      <c r="BK140" s="3">
        <f ca="1">IFERROR(__xludf.DUMMYFUNCTION("""COMPUTED_VALUE"""),43.5)</f>
        <v>43.5</v>
      </c>
      <c r="BL140" s="3">
        <f ca="1">IFERROR(__xludf.DUMMYFUNCTION("""COMPUTED_VALUE"""),42.36)</f>
        <v>42.36</v>
      </c>
      <c r="BM140" s="3">
        <f ca="1">IFERROR(__xludf.DUMMYFUNCTION("""COMPUTED_VALUE"""),42.48)</f>
        <v>42.48</v>
      </c>
      <c r="BN140" s="3">
        <f ca="1">IFERROR(__xludf.DUMMYFUNCTION("""COMPUTED_VALUE"""),13494004)</f>
        <v>13494004</v>
      </c>
    </row>
    <row r="141" spans="7:66" ht="13" x14ac:dyDescent="0.15">
      <c r="G141" s="4">
        <f ca="1">IFERROR(__xludf.DUMMYFUNCTION("""COMPUTED_VALUE"""),42326.6666666666)</f>
        <v>42326.666666666599</v>
      </c>
      <c r="H141" s="3">
        <f ca="1">IFERROR(__xludf.DUMMYFUNCTION("""COMPUTED_VALUE"""),79.04)</f>
        <v>79.040000000000006</v>
      </c>
      <c r="I141" s="3">
        <f ca="1">IFERROR(__xludf.DUMMYFUNCTION("""COMPUTED_VALUE"""),80.27)</f>
        <v>80.27</v>
      </c>
      <c r="J141" s="3">
        <f ca="1">IFERROR(__xludf.DUMMYFUNCTION("""COMPUTED_VALUE"""),78.86)</f>
        <v>78.86</v>
      </c>
      <c r="K141" s="3">
        <f ca="1">IFERROR(__xludf.DUMMYFUNCTION("""COMPUTED_VALUE"""),80.17)</f>
        <v>80.17</v>
      </c>
      <c r="L141" s="3">
        <f ca="1">IFERROR(__xludf.DUMMYFUNCTION("""COMPUTED_VALUE"""),7137626)</f>
        <v>7137626</v>
      </c>
      <c r="M141" s="4">
        <f ca="1">IFERROR(__xludf.DUMMYFUNCTION("""COMPUTED_VALUE"""),42326.6666666666)</f>
        <v>42326.666666666599</v>
      </c>
      <c r="N141" s="3">
        <f ca="1">IFERROR(__xludf.DUMMYFUNCTION("""COMPUTED_VALUE"""),48.77)</f>
        <v>48.77</v>
      </c>
      <c r="O141" s="3">
        <f ca="1">IFERROR(__xludf.DUMMYFUNCTION("""COMPUTED_VALUE"""),49.33)</f>
        <v>49.33</v>
      </c>
      <c r="P141" s="3">
        <f ca="1">IFERROR(__xludf.DUMMYFUNCTION("""COMPUTED_VALUE"""),48.7)</f>
        <v>48.7</v>
      </c>
      <c r="Q141" s="3">
        <f ca="1">IFERROR(__xludf.DUMMYFUNCTION("""COMPUTED_VALUE"""),49.3)</f>
        <v>49.3</v>
      </c>
      <c r="R141" s="3">
        <f ca="1">IFERROR(__xludf.DUMMYFUNCTION("""COMPUTED_VALUE"""),7826236)</f>
        <v>7826236</v>
      </c>
      <c r="S141" s="4">
        <f ca="1">IFERROR(__xludf.DUMMYFUNCTION("""COMPUTED_VALUE"""),42326.6666666666)</f>
        <v>42326.666666666599</v>
      </c>
      <c r="T141" s="3">
        <f ca="1">IFERROR(__xludf.DUMMYFUNCTION("""COMPUTED_VALUE"""),67.9)</f>
        <v>67.900000000000006</v>
      </c>
      <c r="U141" s="3">
        <f ca="1">IFERROR(__xludf.DUMMYFUNCTION("""COMPUTED_VALUE"""),68.63)</f>
        <v>68.63</v>
      </c>
      <c r="V141" s="3">
        <f ca="1">IFERROR(__xludf.DUMMYFUNCTION("""COMPUTED_VALUE"""),67.26)</f>
        <v>67.260000000000005</v>
      </c>
      <c r="W141" s="3">
        <f ca="1">IFERROR(__xludf.DUMMYFUNCTION("""COMPUTED_VALUE"""),68.54)</f>
        <v>68.540000000000006</v>
      </c>
      <c r="X141" s="3">
        <f ca="1">IFERROR(__xludf.DUMMYFUNCTION("""COMPUTED_VALUE"""),20951510)</f>
        <v>20951510</v>
      </c>
      <c r="Y141" s="4">
        <f ca="1">IFERROR(__xludf.DUMMYFUNCTION("""COMPUTED_VALUE"""),42326.6666666666)</f>
        <v>42326.666666666599</v>
      </c>
      <c r="Z141" s="3">
        <f ca="1">IFERROR(__xludf.DUMMYFUNCTION("""COMPUTED_VALUE"""),19.73)</f>
        <v>19.73</v>
      </c>
      <c r="AA141" s="3">
        <f ca="1">IFERROR(__xludf.DUMMYFUNCTION("""COMPUTED_VALUE"""),19.99)</f>
        <v>19.989999999999998</v>
      </c>
      <c r="AB141" s="3">
        <f ca="1">IFERROR(__xludf.DUMMYFUNCTION("""COMPUTED_VALUE"""),19.67)</f>
        <v>19.670000000000002</v>
      </c>
      <c r="AC141" s="3">
        <f ca="1">IFERROR(__xludf.DUMMYFUNCTION("""COMPUTED_VALUE"""),19.97)</f>
        <v>19.97</v>
      </c>
      <c r="AD141" s="3">
        <f ca="1">IFERROR(__xludf.DUMMYFUNCTION("""COMPUTED_VALUE"""),67890203)</f>
        <v>67890203</v>
      </c>
      <c r="AE141" s="4">
        <f ca="1">IFERROR(__xludf.DUMMYFUNCTION("""COMPUTED_VALUE"""),42326.6666666666)</f>
        <v>42326.666666666599</v>
      </c>
      <c r="AF141" s="3">
        <f ca="1">IFERROR(__xludf.DUMMYFUNCTION("""COMPUTED_VALUE"""),70.78)</f>
        <v>70.78</v>
      </c>
      <c r="AG141" s="3">
        <f ca="1">IFERROR(__xludf.DUMMYFUNCTION("""COMPUTED_VALUE"""),72.2)</f>
        <v>72.2</v>
      </c>
      <c r="AH141" s="3">
        <f ca="1">IFERROR(__xludf.DUMMYFUNCTION("""COMPUTED_VALUE"""),70.78)</f>
        <v>70.78</v>
      </c>
      <c r="AI141" s="3">
        <f ca="1">IFERROR(__xludf.DUMMYFUNCTION("""COMPUTED_VALUE"""),72.12)</f>
        <v>72.12</v>
      </c>
      <c r="AJ141" s="3">
        <f ca="1">IFERROR(__xludf.DUMMYFUNCTION("""COMPUTED_VALUE"""),12816317)</f>
        <v>12816317</v>
      </c>
      <c r="AK141" s="4">
        <f ca="1">IFERROR(__xludf.DUMMYFUNCTION("""COMPUTED_VALUE"""),42326.6666666666)</f>
        <v>42326.666666666599</v>
      </c>
      <c r="AL141" s="3">
        <f ca="1">IFERROR(__xludf.DUMMYFUNCTION("""COMPUTED_VALUE"""),54.15)</f>
        <v>54.15</v>
      </c>
      <c r="AM141" s="3">
        <f ca="1">IFERROR(__xludf.DUMMYFUNCTION("""COMPUTED_VALUE"""),54.87)</f>
        <v>54.87</v>
      </c>
      <c r="AN141" s="3">
        <f ca="1">IFERROR(__xludf.DUMMYFUNCTION("""COMPUTED_VALUE"""),54.15)</f>
        <v>54.15</v>
      </c>
      <c r="AO141" s="3">
        <f ca="1">IFERROR(__xludf.DUMMYFUNCTION("""COMPUTED_VALUE"""),54.85)</f>
        <v>54.85</v>
      </c>
      <c r="AP141" s="3">
        <f ca="1">IFERROR(__xludf.DUMMYFUNCTION("""COMPUTED_VALUE"""),10434826)</f>
        <v>10434826</v>
      </c>
      <c r="AQ141" s="4">
        <f ca="1">IFERROR(__xludf.DUMMYFUNCTION("""COMPUTED_VALUE"""),42326.6666666666)</f>
        <v>42326.666666666599</v>
      </c>
      <c r="AR141" s="3">
        <f ca="1">IFERROR(__xludf.DUMMYFUNCTION("""COMPUTED_VALUE"""),45.08)</f>
        <v>45.08</v>
      </c>
      <c r="AS141" s="3">
        <f ca="1">IFERROR(__xludf.DUMMYFUNCTION("""COMPUTED_VALUE"""),45.76)</f>
        <v>45.76</v>
      </c>
      <c r="AT141" s="3">
        <f ca="1">IFERROR(__xludf.DUMMYFUNCTION("""COMPUTED_VALUE"""),44.96)</f>
        <v>44.96</v>
      </c>
      <c r="AU141" s="3">
        <f ca="1">IFERROR(__xludf.DUMMYFUNCTION("""COMPUTED_VALUE"""),45.72)</f>
        <v>45.72</v>
      </c>
      <c r="AV141" s="3">
        <f ca="1">IFERROR(__xludf.DUMMYFUNCTION("""COMPUTED_VALUE"""),7880256)</f>
        <v>7880256</v>
      </c>
      <c r="AW141" s="4">
        <f ca="1">IFERROR(__xludf.DUMMYFUNCTION("""COMPUTED_VALUE"""),42494.6666666666)</f>
        <v>42494.666666666599</v>
      </c>
      <c r="AX141" s="3">
        <f ca="1">IFERROR(__xludf.DUMMYFUNCTION("""COMPUTED_VALUE"""),31.67)</f>
        <v>31.67</v>
      </c>
      <c r="AY141" s="3">
        <f ca="1">IFERROR(__xludf.DUMMYFUNCTION("""COMPUTED_VALUE"""),32.33)</f>
        <v>32.33</v>
      </c>
      <c r="AZ141" s="3">
        <f ca="1">IFERROR(__xludf.DUMMYFUNCTION("""COMPUTED_VALUE"""),31.67)</f>
        <v>31.67</v>
      </c>
      <c r="BA141" s="3">
        <f ca="1">IFERROR(__xludf.DUMMYFUNCTION("""COMPUTED_VALUE"""),32.33)</f>
        <v>32.33</v>
      </c>
      <c r="BB141" s="3">
        <f ca="1">IFERROR(__xludf.DUMMYFUNCTION("""COMPUTED_VALUE"""),1663)</f>
        <v>1663</v>
      </c>
      <c r="BC141" s="4">
        <f ca="1">IFERROR(__xludf.DUMMYFUNCTION("""COMPUTED_VALUE"""),42326.6666666666)</f>
        <v>42326.666666666599</v>
      </c>
      <c r="BD141" s="3">
        <f ca="1">IFERROR(__xludf.DUMMYFUNCTION("""COMPUTED_VALUE"""),43.23)</f>
        <v>43.23</v>
      </c>
      <c r="BE141" s="3">
        <f ca="1">IFERROR(__xludf.DUMMYFUNCTION("""COMPUTED_VALUE"""),43.72)</f>
        <v>43.72</v>
      </c>
      <c r="BF141" s="3">
        <f ca="1">IFERROR(__xludf.DUMMYFUNCTION("""COMPUTED_VALUE"""),43.18)</f>
        <v>43.18</v>
      </c>
      <c r="BG141" s="3">
        <f ca="1">IFERROR(__xludf.DUMMYFUNCTION("""COMPUTED_VALUE"""),43.68)</f>
        <v>43.68</v>
      </c>
      <c r="BH141" s="3">
        <f ca="1">IFERROR(__xludf.DUMMYFUNCTION("""COMPUTED_VALUE"""),10166809)</f>
        <v>10166809</v>
      </c>
      <c r="BI141" s="4">
        <f ca="1">IFERROR(__xludf.DUMMYFUNCTION("""COMPUTED_VALUE"""),42326.6666666666)</f>
        <v>42326.666666666599</v>
      </c>
      <c r="BJ141" s="3">
        <f ca="1">IFERROR(__xludf.DUMMYFUNCTION("""COMPUTED_VALUE"""),42.51)</f>
        <v>42.51</v>
      </c>
      <c r="BK141" s="3">
        <f ca="1">IFERROR(__xludf.DUMMYFUNCTION("""COMPUTED_VALUE"""),42.84)</f>
        <v>42.84</v>
      </c>
      <c r="BL141" s="3">
        <f ca="1">IFERROR(__xludf.DUMMYFUNCTION("""COMPUTED_VALUE"""),42.13)</f>
        <v>42.13</v>
      </c>
      <c r="BM141" s="3">
        <f ca="1">IFERROR(__xludf.DUMMYFUNCTION("""COMPUTED_VALUE"""),42.75)</f>
        <v>42.75</v>
      </c>
      <c r="BN141" s="3">
        <f ca="1">IFERROR(__xludf.DUMMYFUNCTION("""COMPUTED_VALUE"""),15462533)</f>
        <v>15462533</v>
      </c>
    </row>
    <row r="142" spans="7:66" ht="13" x14ac:dyDescent="0.15">
      <c r="G142" s="4">
        <f ca="1">IFERROR(__xludf.DUMMYFUNCTION("""COMPUTED_VALUE"""),42327.6666666666)</f>
        <v>42327.666666666599</v>
      </c>
      <c r="H142" s="3">
        <f ca="1">IFERROR(__xludf.DUMMYFUNCTION("""COMPUTED_VALUE"""),80.23)</f>
        <v>80.23</v>
      </c>
      <c r="I142" s="3">
        <f ca="1">IFERROR(__xludf.DUMMYFUNCTION("""COMPUTED_VALUE"""),80.57)</f>
        <v>80.569999999999993</v>
      </c>
      <c r="J142" s="3">
        <f ca="1">IFERROR(__xludf.DUMMYFUNCTION("""COMPUTED_VALUE"""),80.05)</f>
        <v>80.05</v>
      </c>
      <c r="K142" s="3">
        <f ca="1">IFERROR(__xludf.DUMMYFUNCTION("""COMPUTED_VALUE"""),80.27)</f>
        <v>80.27</v>
      </c>
      <c r="L142" s="3">
        <f ca="1">IFERROR(__xludf.DUMMYFUNCTION("""COMPUTED_VALUE"""),5685216)</f>
        <v>5685216</v>
      </c>
      <c r="M142" s="4">
        <f ca="1">IFERROR(__xludf.DUMMYFUNCTION("""COMPUTED_VALUE"""),42327.6666666666)</f>
        <v>42327.666666666599</v>
      </c>
      <c r="N142" s="3">
        <f ca="1">IFERROR(__xludf.DUMMYFUNCTION("""COMPUTED_VALUE"""),49.33)</f>
        <v>49.33</v>
      </c>
      <c r="O142" s="3">
        <f ca="1">IFERROR(__xludf.DUMMYFUNCTION("""COMPUTED_VALUE"""),49.65)</f>
        <v>49.65</v>
      </c>
      <c r="P142" s="3">
        <f ca="1">IFERROR(__xludf.DUMMYFUNCTION("""COMPUTED_VALUE"""),49.32)</f>
        <v>49.32</v>
      </c>
      <c r="Q142" s="3">
        <f ca="1">IFERROR(__xludf.DUMMYFUNCTION("""COMPUTED_VALUE"""),49.43)</f>
        <v>49.43</v>
      </c>
      <c r="R142" s="3">
        <f ca="1">IFERROR(__xludf.DUMMYFUNCTION("""COMPUTED_VALUE"""),7421069)</f>
        <v>7421069</v>
      </c>
      <c r="S142" s="4">
        <f ca="1">IFERROR(__xludf.DUMMYFUNCTION("""COMPUTED_VALUE"""),42327.6666666666)</f>
        <v>42327.666666666599</v>
      </c>
      <c r="T142" s="3">
        <f ca="1">IFERROR(__xludf.DUMMYFUNCTION("""COMPUTED_VALUE"""),68.14)</f>
        <v>68.14</v>
      </c>
      <c r="U142" s="3">
        <f ca="1">IFERROR(__xludf.DUMMYFUNCTION("""COMPUTED_VALUE"""),68.51)</f>
        <v>68.510000000000005</v>
      </c>
      <c r="V142" s="3">
        <f ca="1">IFERROR(__xludf.DUMMYFUNCTION("""COMPUTED_VALUE"""),67.06)</f>
        <v>67.06</v>
      </c>
      <c r="W142" s="3">
        <f ca="1">IFERROR(__xludf.DUMMYFUNCTION("""COMPUTED_VALUE"""),67.62)</f>
        <v>67.62</v>
      </c>
      <c r="X142" s="3">
        <f ca="1">IFERROR(__xludf.DUMMYFUNCTION("""COMPUTED_VALUE"""),18912499)</f>
        <v>18912499</v>
      </c>
      <c r="Y142" s="4">
        <f ca="1">IFERROR(__xludf.DUMMYFUNCTION("""COMPUTED_VALUE"""),42327.6666666666)</f>
        <v>42327.666666666599</v>
      </c>
      <c r="Z142" s="3">
        <f ca="1">IFERROR(__xludf.DUMMYFUNCTION("""COMPUTED_VALUE"""),19.98)</f>
        <v>19.98</v>
      </c>
      <c r="AA142" s="3">
        <f ca="1">IFERROR(__xludf.DUMMYFUNCTION("""COMPUTED_VALUE"""),20.04)</f>
        <v>20.04</v>
      </c>
      <c r="AB142" s="3">
        <f ca="1">IFERROR(__xludf.DUMMYFUNCTION("""COMPUTED_VALUE"""),19.9)</f>
        <v>19.899999999999999</v>
      </c>
      <c r="AC142" s="3">
        <f ca="1">IFERROR(__xludf.DUMMYFUNCTION("""COMPUTED_VALUE"""),20)</f>
        <v>20</v>
      </c>
      <c r="AD142" s="3">
        <f ca="1">IFERROR(__xludf.DUMMYFUNCTION("""COMPUTED_VALUE"""),28930225)</f>
        <v>28930225</v>
      </c>
      <c r="AE142" s="4">
        <f ca="1">IFERROR(__xludf.DUMMYFUNCTION("""COMPUTED_VALUE"""),42327.6666666666)</f>
        <v>42327.666666666599</v>
      </c>
      <c r="AF142" s="3">
        <f ca="1">IFERROR(__xludf.DUMMYFUNCTION("""COMPUTED_VALUE"""),71.66)</f>
        <v>71.66</v>
      </c>
      <c r="AG142" s="3">
        <f ca="1">IFERROR(__xludf.DUMMYFUNCTION("""COMPUTED_VALUE"""),71.75)</f>
        <v>71.75</v>
      </c>
      <c r="AH142" s="3">
        <f ca="1">IFERROR(__xludf.DUMMYFUNCTION("""COMPUTED_VALUE"""),70.85)</f>
        <v>70.849999999999994</v>
      </c>
      <c r="AI142" s="3">
        <f ca="1">IFERROR(__xludf.DUMMYFUNCTION("""COMPUTED_VALUE"""),70.91)</f>
        <v>70.91</v>
      </c>
      <c r="AJ142" s="3">
        <f ca="1">IFERROR(__xludf.DUMMYFUNCTION("""COMPUTED_VALUE"""),11127995)</f>
        <v>11127995</v>
      </c>
      <c r="AK142" s="4">
        <f ca="1">IFERROR(__xludf.DUMMYFUNCTION("""COMPUTED_VALUE"""),42327.6666666666)</f>
        <v>42327.666666666599</v>
      </c>
      <c r="AL142" s="3">
        <f ca="1">IFERROR(__xludf.DUMMYFUNCTION("""COMPUTED_VALUE"""),54.72)</f>
        <v>54.72</v>
      </c>
      <c r="AM142" s="3">
        <f ca="1">IFERROR(__xludf.DUMMYFUNCTION("""COMPUTED_VALUE"""),55.14)</f>
        <v>55.14</v>
      </c>
      <c r="AN142" s="3">
        <f ca="1">IFERROR(__xludf.DUMMYFUNCTION("""COMPUTED_VALUE"""),54.72)</f>
        <v>54.72</v>
      </c>
      <c r="AO142" s="3">
        <f ca="1">IFERROR(__xludf.DUMMYFUNCTION("""COMPUTED_VALUE"""),55.09)</f>
        <v>55.09</v>
      </c>
      <c r="AP142" s="3">
        <f ca="1">IFERROR(__xludf.DUMMYFUNCTION("""COMPUTED_VALUE"""),12257398)</f>
        <v>12257398</v>
      </c>
      <c r="AQ142" s="4">
        <f ca="1">IFERROR(__xludf.DUMMYFUNCTION("""COMPUTED_VALUE"""),42327.6666666666)</f>
        <v>42327.666666666599</v>
      </c>
      <c r="AR142" s="3">
        <f ca="1">IFERROR(__xludf.DUMMYFUNCTION("""COMPUTED_VALUE"""),45.61)</f>
        <v>45.61</v>
      </c>
      <c r="AS142" s="3">
        <f ca="1">IFERROR(__xludf.DUMMYFUNCTION("""COMPUTED_VALUE"""),45.93)</f>
        <v>45.93</v>
      </c>
      <c r="AT142" s="3">
        <f ca="1">IFERROR(__xludf.DUMMYFUNCTION("""COMPUTED_VALUE"""),45.59)</f>
        <v>45.59</v>
      </c>
      <c r="AU142" s="3">
        <f ca="1">IFERROR(__xludf.DUMMYFUNCTION("""COMPUTED_VALUE"""),45.67)</f>
        <v>45.67</v>
      </c>
      <c r="AV142" s="3">
        <f ca="1">IFERROR(__xludf.DUMMYFUNCTION("""COMPUTED_VALUE"""),5293053)</f>
        <v>5293053</v>
      </c>
      <c r="AW142" s="4">
        <f ca="1">IFERROR(__xludf.DUMMYFUNCTION("""COMPUTED_VALUE"""),42495.6666666666)</f>
        <v>42495.666666666599</v>
      </c>
      <c r="AX142" s="3">
        <f ca="1">IFERROR(__xludf.DUMMYFUNCTION("""COMPUTED_VALUE"""),32.34)</f>
        <v>32.340000000000003</v>
      </c>
      <c r="AY142" s="3">
        <f ca="1">IFERROR(__xludf.DUMMYFUNCTION("""COMPUTED_VALUE"""),32.37)</f>
        <v>32.369999999999997</v>
      </c>
      <c r="AZ142" s="3">
        <f ca="1">IFERROR(__xludf.DUMMYFUNCTION("""COMPUTED_VALUE"""),32.3)</f>
        <v>32.299999999999997</v>
      </c>
      <c r="BA142" s="3">
        <f ca="1">IFERROR(__xludf.DUMMYFUNCTION("""COMPUTED_VALUE"""),32.36)</f>
        <v>32.36</v>
      </c>
      <c r="BB142" s="3">
        <f ca="1">IFERROR(__xludf.DUMMYFUNCTION("""COMPUTED_VALUE"""),2650)</f>
        <v>2650</v>
      </c>
      <c r="BC142" s="4">
        <f ca="1">IFERROR(__xludf.DUMMYFUNCTION("""COMPUTED_VALUE"""),42327.6666666666)</f>
        <v>42327.666666666599</v>
      </c>
      <c r="BD142" s="3">
        <f ca="1">IFERROR(__xludf.DUMMYFUNCTION("""COMPUTED_VALUE"""),43.72)</f>
        <v>43.72</v>
      </c>
      <c r="BE142" s="3">
        <f ca="1">IFERROR(__xludf.DUMMYFUNCTION("""COMPUTED_VALUE"""),44.09)</f>
        <v>44.09</v>
      </c>
      <c r="BF142" s="3">
        <f ca="1">IFERROR(__xludf.DUMMYFUNCTION("""COMPUTED_VALUE"""),43.71)</f>
        <v>43.71</v>
      </c>
      <c r="BG142" s="3">
        <f ca="1">IFERROR(__xludf.DUMMYFUNCTION("""COMPUTED_VALUE"""),43.88)</f>
        <v>43.88</v>
      </c>
      <c r="BH142" s="3">
        <f ca="1">IFERROR(__xludf.DUMMYFUNCTION("""COMPUTED_VALUE"""),9367494)</f>
        <v>9367494</v>
      </c>
      <c r="BI142" s="4">
        <f ca="1">IFERROR(__xludf.DUMMYFUNCTION("""COMPUTED_VALUE"""),42327.6666666666)</f>
        <v>42327.666666666599</v>
      </c>
      <c r="BJ142" s="3">
        <f ca="1">IFERROR(__xludf.DUMMYFUNCTION("""COMPUTED_VALUE"""),42.85)</f>
        <v>42.85</v>
      </c>
      <c r="BK142" s="3">
        <f ca="1">IFERROR(__xludf.DUMMYFUNCTION("""COMPUTED_VALUE"""),43.3)</f>
        <v>43.3</v>
      </c>
      <c r="BL142" s="3">
        <f ca="1">IFERROR(__xludf.DUMMYFUNCTION("""COMPUTED_VALUE"""),42.81)</f>
        <v>42.81</v>
      </c>
      <c r="BM142" s="3">
        <f ca="1">IFERROR(__xludf.DUMMYFUNCTION("""COMPUTED_VALUE"""),43.21)</f>
        <v>43.21</v>
      </c>
      <c r="BN142" s="3">
        <f ca="1">IFERROR(__xludf.DUMMYFUNCTION("""COMPUTED_VALUE"""),12364822)</f>
        <v>12364822</v>
      </c>
    </row>
    <row r="143" spans="7:66" ht="13" x14ac:dyDescent="0.15">
      <c r="G143" s="4">
        <f ca="1">IFERROR(__xludf.DUMMYFUNCTION("""COMPUTED_VALUE"""),42328.6666666666)</f>
        <v>42328.666666666599</v>
      </c>
      <c r="H143" s="3">
        <f ca="1">IFERROR(__xludf.DUMMYFUNCTION("""COMPUTED_VALUE"""),80.88)</f>
        <v>80.88</v>
      </c>
      <c r="I143" s="3">
        <f ca="1">IFERROR(__xludf.DUMMYFUNCTION("""COMPUTED_VALUE"""),81.24)</f>
        <v>81.239999999999995</v>
      </c>
      <c r="J143" s="3">
        <f ca="1">IFERROR(__xludf.DUMMYFUNCTION("""COMPUTED_VALUE"""),80.68)</f>
        <v>80.680000000000007</v>
      </c>
      <c r="K143" s="3">
        <f ca="1">IFERROR(__xludf.DUMMYFUNCTION("""COMPUTED_VALUE"""),81.23)</f>
        <v>81.23</v>
      </c>
      <c r="L143" s="3">
        <f ca="1">IFERROR(__xludf.DUMMYFUNCTION("""COMPUTED_VALUE"""),5564915)</f>
        <v>5564915</v>
      </c>
      <c r="M143" s="4">
        <f ca="1">IFERROR(__xludf.DUMMYFUNCTION("""COMPUTED_VALUE"""),42328.6666666666)</f>
        <v>42328.666666666599</v>
      </c>
      <c r="N143" s="3">
        <f ca="1">IFERROR(__xludf.DUMMYFUNCTION("""COMPUTED_VALUE"""),49.65)</f>
        <v>49.65</v>
      </c>
      <c r="O143" s="3">
        <f ca="1">IFERROR(__xludf.DUMMYFUNCTION("""COMPUTED_VALUE"""),49.88)</f>
        <v>49.88</v>
      </c>
      <c r="P143" s="3">
        <f ca="1">IFERROR(__xludf.DUMMYFUNCTION("""COMPUTED_VALUE"""),49.04)</f>
        <v>49.04</v>
      </c>
      <c r="Q143" s="3">
        <f ca="1">IFERROR(__xludf.DUMMYFUNCTION("""COMPUTED_VALUE"""),49.08)</f>
        <v>49.08</v>
      </c>
      <c r="R143" s="3">
        <f ca="1">IFERROR(__xludf.DUMMYFUNCTION("""COMPUTED_VALUE"""),5487155)</f>
        <v>5487155</v>
      </c>
      <c r="S143" s="4">
        <f ca="1">IFERROR(__xludf.DUMMYFUNCTION("""COMPUTED_VALUE"""),42328.6666666666)</f>
        <v>42328.666666666599</v>
      </c>
      <c r="T143" s="3">
        <f ca="1">IFERROR(__xludf.DUMMYFUNCTION("""COMPUTED_VALUE"""),67.64)</f>
        <v>67.64</v>
      </c>
      <c r="U143" s="3">
        <f ca="1">IFERROR(__xludf.DUMMYFUNCTION("""COMPUTED_VALUE"""),67.95)</f>
        <v>67.95</v>
      </c>
      <c r="V143" s="3">
        <f ca="1">IFERROR(__xludf.DUMMYFUNCTION("""COMPUTED_VALUE"""),66.83)</f>
        <v>66.83</v>
      </c>
      <c r="W143" s="3">
        <f ca="1">IFERROR(__xludf.DUMMYFUNCTION("""COMPUTED_VALUE"""),66.9)</f>
        <v>66.900000000000006</v>
      </c>
      <c r="X143" s="3">
        <f ca="1">IFERROR(__xludf.DUMMYFUNCTION("""COMPUTED_VALUE"""),14213981)</f>
        <v>14213981</v>
      </c>
      <c r="Y143" s="4">
        <f ca="1">IFERROR(__xludf.DUMMYFUNCTION("""COMPUTED_VALUE"""),42328.6666666666)</f>
        <v>42328.666666666599</v>
      </c>
      <c r="Z143" s="3">
        <f ca="1">IFERROR(__xludf.DUMMYFUNCTION("""COMPUTED_VALUE"""),20.06)</f>
        <v>20.059999999999999</v>
      </c>
      <c r="AA143" s="3">
        <f ca="1">IFERROR(__xludf.DUMMYFUNCTION("""COMPUTED_VALUE"""),20.11)</f>
        <v>20.11</v>
      </c>
      <c r="AB143" s="3">
        <f ca="1">IFERROR(__xludf.DUMMYFUNCTION("""COMPUTED_VALUE"""),19.97)</f>
        <v>19.97</v>
      </c>
      <c r="AC143" s="3">
        <f ca="1">IFERROR(__xludf.DUMMYFUNCTION("""COMPUTED_VALUE"""),20.03)</f>
        <v>20.03</v>
      </c>
      <c r="AD143" s="3">
        <f ca="1">IFERROR(__xludf.DUMMYFUNCTION("""COMPUTED_VALUE"""),35897068)</f>
        <v>35897068</v>
      </c>
      <c r="AE143" s="4">
        <f ca="1">IFERROR(__xludf.DUMMYFUNCTION("""COMPUTED_VALUE"""),42328.6666666666)</f>
        <v>42328.666666666599</v>
      </c>
      <c r="AF143" s="3">
        <f ca="1">IFERROR(__xludf.DUMMYFUNCTION("""COMPUTED_VALUE"""),71.28)</f>
        <v>71.28</v>
      </c>
      <c r="AG143" s="3">
        <f ca="1">IFERROR(__xludf.DUMMYFUNCTION("""COMPUTED_VALUE"""),71.87)</f>
        <v>71.87</v>
      </c>
      <c r="AH143" s="3">
        <f ca="1">IFERROR(__xludf.DUMMYFUNCTION("""COMPUTED_VALUE"""),71.28)</f>
        <v>71.28</v>
      </c>
      <c r="AI143" s="3">
        <f ca="1">IFERROR(__xludf.DUMMYFUNCTION("""COMPUTED_VALUE"""),71.52)</f>
        <v>71.52</v>
      </c>
      <c r="AJ143" s="3">
        <f ca="1">IFERROR(__xludf.DUMMYFUNCTION("""COMPUTED_VALUE"""),9224471)</f>
        <v>9224471</v>
      </c>
      <c r="AK143" s="4">
        <f ca="1">IFERROR(__xludf.DUMMYFUNCTION("""COMPUTED_VALUE"""),42328.6666666666)</f>
        <v>42328.666666666599</v>
      </c>
      <c r="AL143" s="3">
        <f ca="1">IFERROR(__xludf.DUMMYFUNCTION("""COMPUTED_VALUE"""),55.31)</f>
        <v>55.31</v>
      </c>
      <c r="AM143" s="3">
        <f ca="1">IFERROR(__xludf.DUMMYFUNCTION("""COMPUTED_VALUE"""),55.56)</f>
        <v>55.56</v>
      </c>
      <c r="AN143" s="3">
        <f ca="1">IFERROR(__xludf.DUMMYFUNCTION("""COMPUTED_VALUE"""),55.16)</f>
        <v>55.16</v>
      </c>
      <c r="AO143" s="3">
        <f ca="1">IFERROR(__xludf.DUMMYFUNCTION("""COMPUTED_VALUE"""),55.37)</f>
        <v>55.37</v>
      </c>
      <c r="AP143" s="3">
        <f ca="1">IFERROR(__xludf.DUMMYFUNCTION("""COMPUTED_VALUE"""),9014059)</f>
        <v>9014059</v>
      </c>
      <c r="AQ143" s="4">
        <f ca="1">IFERROR(__xludf.DUMMYFUNCTION("""COMPUTED_VALUE"""),42328.6666666666)</f>
        <v>42328.666666666599</v>
      </c>
      <c r="AR143" s="3">
        <f ca="1">IFERROR(__xludf.DUMMYFUNCTION("""COMPUTED_VALUE"""),45.78)</f>
        <v>45.78</v>
      </c>
      <c r="AS143" s="3">
        <f ca="1">IFERROR(__xludf.DUMMYFUNCTION("""COMPUTED_VALUE"""),45.99)</f>
        <v>45.99</v>
      </c>
      <c r="AT143" s="3">
        <f ca="1">IFERROR(__xludf.DUMMYFUNCTION("""COMPUTED_VALUE"""),45.42)</f>
        <v>45.42</v>
      </c>
      <c r="AU143" s="3">
        <f ca="1">IFERROR(__xludf.DUMMYFUNCTION("""COMPUTED_VALUE"""),45.53)</f>
        <v>45.53</v>
      </c>
      <c r="AV143" s="3">
        <f ca="1">IFERROR(__xludf.DUMMYFUNCTION("""COMPUTED_VALUE"""),3729735)</f>
        <v>3729735</v>
      </c>
      <c r="AW143" s="4">
        <f ca="1">IFERROR(__xludf.DUMMYFUNCTION("""COMPUTED_VALUE"""),42496.6666666666)</f>
        <v>42496.666666666599</v>
      </c>
      <c r="AX143" s="3">
        <f ca="1">IFERROR(__xludf.DUMMYFUNCTION("""COMPUTED_VALUE"""),32.26)</f>
        <v>32.26</v>
      </c>
      <c r="AY143" s="3">
        <f ca="1">IFERROR(__xludf.DUMMYFUNCTION("""COMPUTED_VALUE"""),32.67)</f>
        <v>32.67</v>
      </c>
      <c r="AZ143" s="3">
        <f ca="1">IFERROR(__xludf.DUMMYFUNCTION("""COMPUTED_VALUE"""),32.23)</f>
        <v>32.229999999999997</v>
      </c>
      <c r="BA143" s="3">
        <f ca="1">IFERROR(__xludf.DUMMYFUNCTION("""COMPUTED_VALUE"""),32.53)</f>
        <v>32.53</v>
      </c>
      <c r="BB143" s="3">
        <f ca="1">IFERROR(__xludf.DUMMYFUNCTION("""COMPUTED_VALUE"""),3761)</f>
        <v>3761</v>
      </c>
      <c r="BC143" s="4">
        <f ca="1">IFERROR(__xludf.DUMMYFUNCTION("""COMPUTED_VALUE"""),42328.6666666666)</f>
        <v>42328.666666666599</v>
      </c>
      <c r="BD143" s="3">
        <f ca="1">IFERROR(__xludf.DUMMYFUNCTION("""COMPUTED_VALUE"""),44.06)</f>
        <v>44.06</v>
      </c>
      <c r="BE143" s="3">
        <f ca="1">IFERROR(__xludf.DUMMYFUNCTION("""COMPUTED_VALUE"""),44.22)</f>
        <v>44.22</v>
      </c>
      <c r="BF143" s="3">
        <f ca="1">IFERROR(__xludf.DUMMYFUNCTION("""COMPUTED_VALUE"""),44.01)</f>
        <v>44.01</v>
      </c>
      <c r="BG143" s="3">
        <f ca="1">IFERROR(__xludf.DUMMYFUNCTION("""COMPUTED_VALUE"""),44.2)</f>
        <v>44.2</v>
      </c>
      <c r="BH143" s="3">
        <f ca="1">IFERROR(__xludf.DUMMYFUNCTION("""COMPUTED_VALUE"""),7288219)</f>
        <v>7288219</v>
      </c>
      <c r="BI143" s="4">
        <f ca="1">IFERROR(__xludf.DUMMYFUNCTION("""COMPUTED_VALUE"""),42328.6666666666)</f>
        <v>42328.666666666599</v>
      </c>
      <c r="BJ143" s="3">
        <f ca="1">IFERROR(__xludf.DUMMYFUNCTION("""COMPUTED_VALUE"""),43.28)</f>
        <v>43.28</v>
      </c>
      <c r="BK143" s="3">
        <f ca="1">IFERROR(__xludf.DUMMYFUNCTION("""COMPUTED_VALUE"""),43.7)</f>
        <v>43.7</v>
      </c>
      <c r="BL143" s="3">
        <f ca="1">IFERROR(__xludf.DUMMYFUNCTION("""COMPUTED_VALUE"""),43.2)</f>
        <v>43.2</v>
      </c>
      <c r="BM143" s="3">
        <f ca="1">IFERROR(__xludf.DUMMYFUNCTION("""COMPUTED_VALUE"""),43.39)</f>
        <v>43.39</v>
      </c>
      <c r="BN143" s="3">
        <f ca="1">IFERROR(__xludf.DUMMYFUNCTION("""COMPUTED_VALUE"""),12519953)</f>
        <v>12519953</v>
      </c>
    </row>
    <row r="144" spans="7:66" ht="13" x14ac:dyDescent="0.15">
      <c r="G144" s="4">
        <f ca="1">IFERROR(__xludf.DUMMYFUNCTION("""COMPUTED_VALUE"""),42331.6666666666)</f>
        <v>42331.666666666599</v>
      </c>
      <c r="H144" s="3">
        <f ca="1">IFERROR(__xludf.DUMMYFUNCTION("""COMPUTED_VALUE"""),81.36)</f>
        <v>81.36</v>
      </c>
      <c r="I144" s="3">
        <f ca="1">IFERROR(__xludf.DUMMYFUNCTION("""COMPUTED_VALUE"""),81.85)</f>
        <v>81.849999999999994</v>
      </c>
      <c r="J144" s="3">
        <f ca="1">IFERROR(__xludf.DUMMYFUNCTION("""COMPUTED_VALUE"""),81.21)</f>
        <v>81.209999999999994</v>
      </c>
      <c r="K144" s="3">
        <f ca="1">IFERROR(__xludf.DUMMYFUNCTION("""COMPUTED_VALUE"""),81.53)</f>
        <v>81.53</v>
      </c>
      <c r="L144" s="3">
        <f ca="1">IFERROR(__xludf.DUMMYFUNCTION("""COMPUTED_VALUE"""),4172024)</f>
        <v>4172024</v>
      </c>
      <c r="M144" s="4">
        <f ca="1">IFERROR(__xludf.DUMMYFUNCTION("""COMPUTED_VALUE"""),42331.6666666666)</f>
        <v>42331.666666666599</v>
      </c>
      <c r="N144" s="3">
        <f ca="1">IFERROR(__xludf.DUMMYFUNCTION("""COMPUTED_VALUE"""),49.09)</f>
        <v>49.09</v>
      </c>
      <c r="O144" s="3">
        <f ca="1">IFERROR(__xludf.DUMMYFUNCTION("""COMPUTED_VALUE"""),49.6)</f>
        <v>49.6</v>
      </c>
      <c r="P144" s="3">
        <f ca="1">IFERROR(__xludf.DUMMYFUNCTION("""COMPUTED_VALUE"""),49.09)</f>
        <v>49.09</v>
      </c>
      <c r="Q144" s="3">
        <f ca="1">IFERROR(__xludf.DUMMYFUNCTION("""COMPUTED_VALUE"""),49.51)</f>
        <v>49.51</v>
      </c>
      <c r="R144" s="3">
        <f ca="1">IFERROR(__xludf.DUMMYFUNCTION("""COMPUTED_VALUE"""),5316647)</f>
        <v>5316647</v>
      </c>
      <c r="S144" s="4">
        <f ca="1">IFERROR(__xludf.DUMMYFUNCTION("""COMPUTED_VALUE"""),42331.6666666666)</f>
        <v>42331.666666666599</v>
      </c>
      <c r="T144" s="3">
        <f ca="1">IFERROR(__xludf.DUMMYFUNCTION("""COMPUTED_VALUE"""),66.84)</f>
        <v>66.84</v>
      </c>
      <c r="U144" s="3">
        <f ca="1">IFERROR(__xludf.DUMMYFUNCTION("""COMPUTED_VALUE"""),67.76)</f>
        <v>67.760000000000005</v>
      </c>
      <c r="V144" s="3">
        <f ca="1">IFERROR(__xludf.DUMMYFUNCTION("""COMPUTED_VALUE"""),66.41)</f>
        <v>66.41</v>
      </c>
      <c r="W144" s="3">
        <f ca="1">IFERROR(__xludf.DUMMYFUNCTION("""COMPUTED_VALUE"""),67.38)</f>
        <v>67.38</v>
      </c>
      <c r="X144" s="3">
        <f ca="1">IFERROR(__xludf.DUMMYFUNCTION("""COMPUTED_VALUE"""),16407325)</f>
        <v>16407325</v>
      </c>
      <c r="Y144" s="4">
        <f ca="1">IFERROR(__xludf.DUMMYFUNCTION("""COMPUTED_VALUE"""),42331.6666666666)</f>
        <v>42331.666666666599</v>
      </c>
      <c r="Z144" s="3">
        <f ca="1">IFERROR(__xludf.DUMMYFUNCTION("""COMPUTED_VALUE"""),20.03)</f>
        <v>20.03</v>
      </c>
      <c r="AA144" s="3">
        <f ca="1">IFERROR(__xludf.DUMMYFUNCTION("""COMPUTED_VALUE"""),20.09)</f>
        <v>20.09</v>
      </c>
      <c r="AB144" s="3">
        <f ca="1">IFERROR(__xludf.DUMMYFUNCTION("""COMPUTED_VALUE"""),19.93)</f>
        <v>19.93</v>
      </c>
      <c r="AC144" s="3">
        <f ca="1">IFERROR(__xludf.DUMMYFUNCTION("""COMPUTED_VALUE"""),19.95)</f>
        <v>19.95</v>
      </c>
      <c r="AD144" s="3">
        <f ca="1">IFERROR(__xludf.DUMMYFUNCTION("""COMPUTED_VALUE"""),25856073)</f>
        <v>25856073</v>
      </c>
      <c r="AE144" s="4">
        <f ca="1">IFERROR(__xludf.DUMMYFUNCTION("""COMPUTED_VALUE"""),42331.6666666666)</f>
        <v>42331.666666666599</v>
      </c>
      <c r="AF144" s="3">
        <f ca="1">IFERROR(__xludf.DUMMYFUNCTION("""COMPUTED_VALUE"""),71.38)</f>
        <v>71.38</v>
      </c>
      <c r="AG144" s="3">
        <f ca="1">IFERROR(__xludf.DUMMYFUNCTION("""COMPUTED_VALUE"""),71.78)</f>
        <v>71.78</v>
      </c>
      <c r="AH144" s="3">
        <f ca="1">IFERROR(__xludf.DUMMYFUNCTION("""COMPUTED_VALUE"""),71.13)</f>
        <v>71.13</v>
      </c>
      <c r="AI144" s="3">
        <f ca="1">IFERROR(__xludf.DUMMYFUNCTION("""COMPUTED_VALUE"""),71.34)</f>
        <v>71.34</v>
      </c>
      <c r="AJ144" s="3">
        <f ca="1">IFERROR(__xludf.DUMMYFUNCTION("""COMPUTED_VALUE"""),10362770)</f>
        <v>10362770</v>
      </c>
      <c r="AK144" s="4">
        <f ca="1">IFERROR(__xludf.DUMMYFUNCTION("""COMPUTED_VALUE"""),42331.6666666666)</f>
        <v>42331.666666666599</v>
      </c>
      <c r="AL144" s="3">
        <f ca="1">IFERROR(__xludf.DUMMYFUNCTION("""COMPUTED_VALUE"""),55.42)</f>
        <v>55.42</v>
      </c>
      <c r="AM144" s="3">
        <f ca="1">IFERROR(__xludf.DUMMYFUNCTION("""COMPUTED_VALUE"""),55.49)</f>
        <v>55.49</v>
      </c>
      <c r="AN144" s="3">
        <f ca="1">IFERROR(__xludf.DUMMYFUNCTION("""COMPUTED_VALUE"""),54.95)</f>
        <v>54.95</v>
      </c>
      <c r="AO144" s="3">
        <f ca="1">IFERROR(__xludf.DUMMYFUNCTION("""COMPUTED_VALUE"""),55.09)</f>
        <v>55.09</v>
      </c>
      <c r="AP144" s="3">
        <f ca="1">IFERROR(__xludf.DUMMYFUNCTION("""COMPUTED_VALUE"""),9955959)</f>
        <v>9955959</v>
      </c>
      <c r="AQ144" s="4">
        <f ca="1">IFERROR(__xludf.DUMMYFUNCTION("""COMPUTED_VALUE"""),42331.6666666666)</f>
        <v>42331.666666666599</v>
      </c>
      <c r="AR144" s="3">
        <f ca="1">IFERROR(__xludf.DUMMYFUNCTION("""COMPUTED_VALUE"""),45.6)</f>
        <v>45.6</v>
      </c>
      <c r="AS144" s="3">
        <f ca="1">IFERROR(__xludf.DUMMYFUNCTION("""COMPUTED_VALUE"""),45.94)</f>
        <v>45.94</v>
      </c>
      <c r="AT144" s="3">
        <f ca="1">IFERROR(__xludf.DUMMYFUNCTION("""COMPUTED_VALUE"""),45.52)</f>
        <v>45.52</v>
      </c>
      <c r="AU144" s="3">
        <f ca="1">IFERROR(__xludf.DUMMYFUNCTION("""COMPUTED_VALUE"""),45.59)</f>
        <v>45.59</v>
      </c>
      <c r="AV144" s="3">
        <f ca="1">IFERROR(__xludf.DUMMYFUNCTION("""COMPUTED_VALUE"""),3828129)</f>
        <v>3828129</v>
      </c>
      <c r="AW144" s="4">
        <f ca="1">IFERROR(__xludf.DUMMYFUNCTION("""COMPUTED_VALUE"""),42499.6666666666)</f>
        <v>42499.666666666599</v>
      </c>
      <c r="AX144" s="3">
        <f ca="1">IFERROR(__xludf.DUMMYFUNCTION("""COMPUTED_VALUE"""),32.78)</f>
        <v>32.78</v>
      </c>
      <c r="AY144" s="3">
        <f ca="1">IFERROR(__xludf.DUMMYFUNCTION("""COMPUTED_VALUE"""),32.9)</f>
        <v>32.9</v>
      </c>
      <c r="AZ144" s="3">
        <f ca="1">IFERROR(__xludf.DUMMYFUNCTION("""COMPUTED_VALUE"""),32.75)</f>
        <v>32.75</v>
      </c>
      <c r="BA144" s="3">
        <f ca="1">IFERROR(__xludf.DUMMYFUNCTION("""COMPUTED_VALUE"""),32.86)</f>
        <v>32.86</v>
      </c>
      <c r="BB144" s="3">
        <f ca="1">IFERROR(__xludf.DUMMYFUNCTION("""COMPUTED_VALUE"""),5211)</f>
        <v>5211</v>
      </c>
      <c r="BC144" s="4">
        <f ca="1">IFERROR(__xludf.DUMMYFUNCTION("""COMPUTED_VALUE"""),42331.6666666666)</f>
        <v>42331.666666666599</v>
      </c>
      <c r="BD144" s="3">
        <f ca="1">IFERROR(__xludf.DUMMYFUNCTION("""COMPUTED_VALUE"""),44.23)</f>
        <v>44.23</v>
      </c>
      <c r="BE144" s="3">
        <f ca="1">IFERROR(__xludf.DUMMYFUNCTION("""COMPUTED_VALUE"""),44.25)</f>
        <v>44.25</v>
      </c>
      <c r="BF144" s="3">
        <f ca="1">IFERROR(__xludf.DUMMYFUNCTION("""COMPUTED_VALUE"""),43.78)</f>
        <v>43.78</v>
      </c>
      <c r="BG144" s="3">
        <f ca="1">IFERROR(__xludf.DUMMYFUNCTION("""COMPUTED_VALUE"""),43.94)</f>
        <v>43.94</v>
      </c>
      <c r="BH144" s="3">
        <f ca="1">IFERROR(__xludf.DUMMYFUNCTION("""COMPUTED_VALUE"""),7227077)</f>
        <v>7227077</v>
      </c>
      <c r="BI144" s="4">
        <f ca="1">IFERROR(__xludf.DUMMYFUNCTION("""COMPUTED_VALUE"""),42331.6666666666)</f>
        <v>42331.666666666599</v>
      </c>
      <c r="BJ144" s="3">
        <f ca="1">IFERROR(__xludf.DUMMYFUNCTION("""COMPUTED_VALUE"""),43.44)</f>
        <v>43.44</v>
      </c>
      <c r="BK144" s="3">
        <f ca="1">IFERROR(__xludf.DUMMYFUNCTION("""COMPUTED_VALUE"""),43.49)</f>
        <v>43.49</v>
      </c>
      <c r="BL144" s="3">
        <f ca="1">IFERROR(__xludf.DUMMYFUNCTION("""COMPUTED_VALUE"""),42.92)</f>
        <v>42.92</v>
      </c>
      <c r="BM144" s="3">
        <f ca="1">IFERROR(__xludf.DUMMYFUNCTION("""COMPUTED_VALUE"""),42.99)</f>
        <v>42.99</v>
      </c>
      <c r="BN144" s="3">
        <f ca="1">IFERROR(__xludf.DUMMYFUNCTION("""COMPUTED_VALUE"""),11896973)</f>
        <v>11896973</v>
      </c>
    </row>
    <row r="145" spans="7:66" ht="13" x14ac:dyDescent="0.15">
      <c r="G145" s="4">
        <f ca="1">IFERROR(__xludf.DUMMYFUNCTION("""COMPUTED_VALUE"""),42332.6666666666)</f>
        <v>42332.666666666599</v>
      </c>
      <c r="H145" s="3">
        <f ca="1">IFERROR(__xludf.DUMMYFUNCTION("""COMPUTED_VALUE"""),80.89)</f>
        <v>80.89</v>
      </c>
      <c r="I145" s="3">
        <f ca="1">IFERROR(__xludf.DUMMYFUNCTION("""COMPUTED_VALUE"""),81.6)</f>
        <v>81.599999999999994</v>
      </c>
      <c r="J145" s="3">
        <f ca="1">IFERROR(__xludf.DUMMYFUNCTION("""COMPUTED_VALUE"""),80.52)</f>
        <v>80.52</v>
      </c>
      <c r="K145" s="3">
        <f ca="1">IFERROR(__xludf.DUMMYFUNCTION("""COMPUTED_VALUE"""),81.36)</f>
        <v>81.36</v>
      </c>
      <c r="L145" s="3">
        <f ca="1">IFERROR(__xludf.DUMMYFUNCTION("""COMPUTED_VALUE"""),4545537)</f>
        <v>4545537</v>
      </c>
      <c r="M145" s="4">
        <f ca="1">IFERROR(__xludf.DUMMYFUNCTION("""COMPUTED_VALUE"""),42332.6666666666)</f>
        <v>42332.666666666599</v>
      </c>
      <c r="N145" s="3">
        <f ca="1">IFERROR(__xludf.DUMMYFUNCTION("""COMPUTED_VALUE"""),49.39)</f>
        <v>49.39</v>
      </c>
      <c r="O145" s="3">
        <f ca="1">IFERROR(__xludf.DUMMYFUNCTION("""COMPUTED_VALUE"""),49.77)</f>
        <v>49.77</v>
      </c>
      <c r="P145" s="3">
        <f ca="1">IFERROR(__xludf.DUMMYFUNCTION("""COMPUTED_VALUE"""),49.17)</f>
        <v>49.17</v>
      </c>
      <c r="Q145" s="3">
        <f ca="1">IFERROR(__xludf.DUMMYFUNCTION("""COMPUTED_VALUE"""),49.64)</f>
        <v>49.64</v>
      </c>
      <c r="R145" s="3">
        <f ca="1">IFERROR(__xludf.DUMMYFUNCTION("""COMPUTED_VALUE"""),9786017)</f>
        <v>9786017</v>
      </c>
      <c r="S145" s="4">
        <f ca="1">IFERROR(__xludf.DUMMYFUNCTION("""COMPUTED_VALUE"""),42332.6666666666)</f>
        <v>42332.666666666599</v>
      </c>
      <c r="T145" s="3">
        <f ca="1">IFERROR(__xludf.DUMMYFUNCTION("""COMPUTED_VALUE"""),67.7)</f>
        <v>67.7</v>
      </c>
      <c r="U145" s="3">
        <f ca="1">IFERROR(__xludf.DUMMYFUNCTION("""COMPUTED_VALUE"""),69.13)</f>
        <v>69.13</v>
      </c>
      <c r="V145" s="3">
        <f ca="1">IFERROR(__xludf.DUMMYFUNCTION("""COMPUTED_VALUE"""),67.57)</f>
        <v>67.569999999999993</v>
      </c>
      <c r="W145" s="3">
        <f ca="1">IFERROR(__xludf.DUMMYFUNCTION("""COMPUTED_VALUE"""),68.82)</f>
        <v>68.819999999999993</v>
      </c>
      <c r="X145" s="3">
        <f ca="1">IFERROR(__xludf.DUMMYFUNCTION("""COMPUTED_VALUE"""),18943055)</f>
        <v>18943055</v>
      </c>
      <c r="Y145" s="4">
        <f ca="1">IFERROR(__xludf.DUMMYFUNCTION("""COMPUTED_VALUE"""),42332.6666666666)</f>
        <v>42332.666666666599</v>
      </c>
      <c r="Z145" s="3">
        <f ca="1">IFERROR(__xludf.DUMMYFUNCTION("""COMPUTED_VALUE"""),19.83)</f>
        <v>19.829999999999998</v>
      </c>
      <c r="AA145" s="3">
        <f ca="1">IFERROR(__xludf.DUMMYFUNCTION("""COMPUTED_VALUE"""),19.96)</f>
        <v>19.96</v>
      </c>
      <c r="AB145" s="3">
        <f ca="1">IFERROR(__xludf.DUMMYFUNCTION("""COMPUTED_VALUE"""),19.72)</f>
        <v>19.72</v>
      </c>
      <c r="AC145" s="3">
        <f ca="1">IFERROR(__xludf.DUMMYFUNCTION("""COMPUTED_VALUE"""),19.9)</f>
        <v>19.899999999999999</v>
      </c>
      <c r="AD145" s="3">
        <f ca="1">IFERROR(__xludf.DUMMYFUNCTION("""COMPUTED_VALUE"""),29177017)</f>
        <v>29177017</v>
      </c>
      <c r="AE145" s="4">
        <f ca="1">IFERROR(__xludf.DUMMYFUNCTION("""COMPUTED_VALUE"""),42332.6666666666)</f>
        <v>42332.666666666599</v>
      </c>
      <c r="AF145" s="3">
        <f ca="1">IFERROR(__xludf.DUMMYFUNCTION("""COMPUTED_VALUE"""),70.9)</f>
        <v>70.900000000000006</v>
      </c>
      <c r="AG145" s="3">
        <f ca="1">IFERROR(__xludf.DUMMYFUNCTION("""COMPUTED_VALUE"""),71.63)</f>
        <v>71.63</v>
      </c>
      <c r="AH145" s="3">
        <f ca="1">IFERROR(__xludf.DUMMYFUNCTION("""COMPUTED_VALUE"""),70.86)</f>
        <v>70.86</v>
      </c>
      <c r="AI145" s="3">
        <f ca="1">IFERROR(__xludf.DUMMYFUNCTION("""COMPUTED_VALUE"""),71.56)</f>
        <v>71.56</v>
      </c>
      <c r="AJ145" s="3">
        <f ca="1">IFERROR(__xludf.DUMMYFUNCTION("""COMPUTED_VALUE"""),7174651)</f>
        <v>7174651</v>
      </c>
      <c r="AK145" s="4">
        <f ca="1">IFERROR(__xludf.DUMMYFUNCTION("""COMPUTED_VALUE"""),42332.6666666666)</f>
        <v>42332.666666666599</v>
      </c>
      <c r="AL145" s="3">
        <f ca="1">IFERROR(__xludf.DUMMYFUNCTION("""COMPUTED_VALUE"""),54.73)</f>
        <v>54.73</v>
      </c>
      <c r="AM145" s="3">
        <f ca="1">IFERROR(__xludf.DUMMYFUNCTION("""COMPUTED_VALUE"""),55.13)</f>
        <v>55.13</v>
      </c>
      <c r="AN145" s="3">
        <f ca="1">IFERROR(__xludf.DUMMYFUNCTION("""COMPUTED_VALUE"""),54.54)</f>
        <v>54.54</v>
      </c>
      <c r="AO145" s="3">
        <f ca="1">IFERROR(__xludf.DUMMYFUNCTION("""COMPUTED_VALUE"""),55)</f>
        <v>55</v>
      </c>
      <c r="AP145" s="3">
        <f ca="1">IFERROR(__xludf.DUMMYFUNCTION("""COMPUTED_VALUE"""),15131449)</f>
        <v>15131449</v>
      </c>
      <c r="AQ145" s="4">
        <f ca="1">IFERROR(__xludf.DUMMYFUNCTION("""COMPUTED_VALUE"""),42332.6666666666)</f>
        <v>42332.666666666599</v>
      </c>
      <c r="AR145" s="3">
        <f ca="1">IFERROR(__xludf.DUMMYFUNCTION("""COMPUTED_VALUE"""),45.23)</f>
        <v>45.23</v>
      </c>
      <c r="AS145" s="3">
        <f ca="1">IFERROR(__xludf.DUMMYFUNCTION("""COMPUTED_VALUE"""),46.09)</f>
        <v>46.09</v>
      </c>
      <c r="AT145" s="3">
        <f ca="1">IFERROR(__xludf.DUMMYFUNCTION("""COMPUTED_VALUE"""),45.23)</f>
        <v>45.23</v>
      </c>
      <c r="AU145" s="3">
        <f ca="1">IFERROR(__xludf.DUMMYFUNCTION("""COMPUTED_VALUE"""),45.97)</f>
        <v>45.97</v>
      </c>
      <c r="AV145" s="3">
        <f ca="1">IFERROR(__xludf.DUMMYFUNCTION("""COMPUTED_VALUE"""),6253367)</f>
        <v>6253367</v>
      </c>
      <c r="AW145" s="4">
        <f ca="1">IFERROR(__xludf.DUMMYFUNCTION("""COMPUTED_VALUE"""),42500.6666666666)</f>
        <v>42500.666666666599</v>
      </c>
      <c r="AX145" s="3">
        <f ca="1">IFERROR(__xludf.DUMMYFUNCTION("""COMPUTED_VALUE"""),33.19)</f>
        <v>33.19</v>
      </c>
      <c r="AY145" s="3">
        <f ca="1">IFERROR(__xludf.DUMMYFUNCTION("""COMPUTED_VALUE"""),33.19)</f>
        <v>33.19</v>
      </c>
      <c r="AZ145" s="3">
        <f ca="1">IFERROR(__xludf.DUMMYFUNCTION("""COMPUTED_VALUE"""),32.91)</f>
        <v>32.909999999999997</v>
      </c>
      <c r="BA145" s="3">
        <f ca="1">IFERROR(__xludf.DUMMYFUNCTION("""COMPUTED_VALUE"""),32.98)</f>
        <v>32.979999999999997</v>
      </c>
      <c r="BB145" s="3">
        <f ca="1">IFERROR(__xludf.DUMMYFUNCTION("""COMPUTED_VALUE"""),7663)</f>
        <v>7663</v>
      </c>
      <c r="BC145" s="4">
        <f ca="1">IFERROR(__xludf.DUMMYFUNCTION("""COMPUTED_VALUE"""),42332.6666666666)</f>
        <v>42332.666666666599</v>
      </c>
      <c r="BD145" s="3">
        <f ca="1">IFERROR(__xludf.DUMMYFUNCTION("""COMPUTED_VALUE"""),43.61)</f>
        <v>43.61</v>
      </c>
      <c r="BE145" s="3">
        <f ca="1">IFERROR(__xludf.DUMMYFUNCTION("""COMPUTED_VALUE"""),44.09)</f>
        <v>44.09</v>
      </c>
      <c r="BF145" s="3">
        <f ca="1">IFERROR(__xludf.DUMMYFUNCTION("""COMPUTED_VALUE"""),43.51)</f>
        <v>43.51</v>
      </c>
      <c r="BG145" s="3">
        <f ca="1">IFERROR(__xludf.DUMMYFUNCTION("""COMPUTED_VALUE"""),43.95)</f>
        <v>43.95</v>
      </c>
      <c r="BH145" s="3">
        <f ca="1">IFERROR(__xludf.DUMMYFUNCTION("""COMPUTED_VALUE"""),11303412)</f>
        <v>11303412</v>
      </c>
      <c r="BI145" s="4">
        <f ca="1">IFERROR(__xludf.DUMMYFUNCTION("""COMPUTED_VALUE"""),42332.6666666666)</f>
        <v>42332.666666666599</v>
      </c>
      <c r="BJ145" s="3">
        <f ca="1">IFERROR(__xludf.DUMMYFUNCTION("""COMPUTED_VALUE"""),42.8)</f>
        <v>42.8</v>
      </c>
      <c r="BK145" s="3">
        <f ca="1">IFERROR(__xludf.DUMMYFUNCTION("""COMPUTED_VALUE"""),42.99)</f>
        <v>42.99</v>
      </c>
      <c r="BL145" s="3">
        <f ca="1">IFERROR(__xludf.DUMMYFUNCTION("""COMPUTED_VALUE"""),42.59)</f>
        <v>42.59</v>
      </c>
      <c r="BM145" s="3">
        <f ca="1">IFERROR(__xludf.DUMMYFUNCTION("""COMPUTED_VALUE"""),42.93)</f>
        <v>42.93</v>
      </c>
      <c r="BN145" s="3">
        <f ca="1">IFERROR(__xludf.DUMMYFUNCTION("""COMPUTED_VALUE"""),8791663)</f>
        <v>8791663</v>
      </c>
    </row>
    <row r="146" spans="7:66" ht="13" x14ac:dyDescent="0.15">
      <c r="G146" s="4">
        <f ca="1">IFERROR(__xludf.DUMMYFUNCTION("""COMPUTED_VALUE"""),42333.6666666666)</f>
        <v>42333.666666666599</v>
      </c>
      <c r="H146" s="3">
        <f ca="1">IFERROR(__xludf.DUMMYFUNCTION("""COMPUTED_VALUE"""),81.51)</f>
        <v>81.510000000000005</v>
      </c>
      <c r="I146" s="3">
        <f ca="1">IFERROR(__xludf.DUMMYFUNCTION("""COMPUTED_VALUE"""),81.9)</f>
        <v>81.900000000000006</v>
      </c>
      <c r="J146" s="3">
        <f ca="1">IFERROR(__xludf.DUMMYFUNCTION("""COMPUTED_VALUE"""),81.48)</f>
        <v>81.48</v>
      </c>
      <c r="K146" s="3">
        <f ca="1">IFERROR(__xludf.DUMMYFUNCTION("""COMPUTED_VALUE"""),81.77)</f>
        <v>81.77</v>
      </c>
      <c r="L146" s="3">
        <f ca="1">IFERROR(__xludf.DUMMYFUNCTION("""COMPUTED_VALUE"""),3703169)</f>
        <v>3703169</v>
      </c>
      <c r="M146" s="4">
        <f ca="1">IFERROR(__xludf.DUMMYFUNCTION("""COMPUTED_VALUE"""),42333.6666666666)</f>
        <v>42333.666666666599</v>
      </c>
      <c r="N146" s="3">
        <f ca="1">IFERROR(__xludf.DUMMYFUNCTION("""COMPUTED_VALUE"""),49.64)</f>
        <v>49.64</v>
      </c>
      <c r="O146" s="3">
        <f ca="1">IFERROR(__xludf.DUMMYFUNCTION("""COMPUTED_VALUE"""),49.89)</f>
        <v>49.89</v>
      </c>
      <c r="P146" s="3">
        <f ca="1">IFERROR(__xludf.DUMMYFUNCTION("""COMPUTED_VALUE"""),49.6)</f>
        <v>49.6</v>
      </c>
      <c r="Q146" s="3">
        <f ca="1">IFERROR(__xludf.DUMMYFUNCTION("""COMPUTED_VALUE"""),49.77)</f>
        <v>49.77</v>
      </c>
      <c r="R146" s="3">
        <f ca="1">IFERROR(__xludf.DUMMYFUNCTION("""COMPUTED_VALUE"""),5599005)</f>
        <v>5599005</v>
      </c>
      <c r="S146" s="4">
        <f ca="1">IFERROR(__xludf.DUMMYFUNCTION("""COMPUTED_VALUE"""),42333.6666666666)</f>
        <v>42333.666666666599</v>
      </c>
      <c r="T146" s="3">
        <f ca="1">IFERROR(__xludf.DUMMYFUNCTION("""COMPUTED_VALUE"""),68.24)</f>
        <v>68.239999999999995</v>
      </c>
      <c r="U146" s="3">
        <f ca="1">IFERROR(__xludf.DUMMYFUNCTION("""COMPUTED_VALUE"""),68.83)</f>
        <v>68.83</v>
      </c>
      <c r="V146" s="3">
        <f ca="1">IFERROR(__xludf.DUMMYFUNCTION("""COMPUTED_VALUE"""),67.84)</f>
        <v>67.84</v>
      </c>
      <c r="W146" s="3">
        <f ca="1">IFERROR(__xludf.DUMMYFUNCTION("""COMPUTED_VALUE"""),68.26)</f>
        <v>68.260000000000005</v>
      </c>
      <c r="X146" s="3">
        <f ca="1">IFERROR(__xludf.DUMMYFUNCTION("""COMPUTED_VALUE"""),11100621)</f>
        <v>11100621</v>
      </c>
      <c r="Y146" s="4">
        <f ca="1">IFERROR(__xludf.DUMMYFUNCTION("""COMPUTED_VALUE"""),42333.6666666666)</f>
        <v>42333.666666666599</v>
      </c>
      <c r="Z146" s="3">
        <f ca="1">IFERROR(__xludf.DUMMYFUNCTION("""COMPUTED_VALUE"""),19.9)</f>
        <v>19.899999999999999</v>
      </c>
      <c r="AA146" s="3">
        <f ca="1">IFERROR(__xludf.DUMMYFUNCTION("""COMPUTED_VALUE"""),19.95)</f>
        <v>19.95</v>
      </c>
      <c r="AB146" s="3">
        <f ca="1">IFERROR(__xludf.DUMMYFUNCTION("""COMPUTED_VALUE"""),19.85)</f>
        <v>19.850000000000001</v>
      </c>
      <c r="AC146" s="3">
        <f ca="1">IFERROR(__xludf.DUMMYFUNCTION("""COMPUTED_VALUE"""),19.91)</f>
        <v>19.91</v>
      </c>
      <c r="AD146" s="3">
        <f ca="1">IFERROR(__xludf.DUMMYFUNCTION("""COMPUTED_VALUE"""),19680009)</f>
        <v>19680009</v>
      </c>
      <c r="AE146" s="4">
        <f ca="1">IFERROR(__xludf.DUMMYFUNCTION("""COMPUTED_VALUE"""),42333.6666666666)</f>
        <v>42333.666666666599</v>
      </c>
      <c r="AF146" s="3">
        <f ca="1">IFERROR(__xludf.DUMMYFUNCTION("""COMPUTED_VALUE"""),71.75)</f>
        <v>71.75</v>
      </c>
      <c r="AG146" s="3">
        <f ca="1">IFERROR(__xludf.DUMMYFUNCTION("""COMPUTED_VALUE"""),72.05)</f>
        <v>72.05</v>
      </c>
      <c r="AH146" s="3">
        <f ca="1">IFERROR(__xludf.DUMMYFUNCTION("""COMPUTED_VALUE"""),71.6)</f>
        <v>71.599999999999994</v>
      </c>
      <c r="AI146" s="3">
        <f ca="1">IFERROR(__xludf.DUMMYFUNCTION("""COMPUTED_VALUE"""),71.95)</f>
        <v>71.95</v>
      </c>
      <c r="AJ146" s="3">
        <f ca="1">IFERROR(__xludf.DUMMYFUNCTION("""COMPUTED_VALUE"""),4594389)</f>
        <v>4594389</v>
      </c>
      <c r="AK146" s="4">
        <f ca="1">IFERROR(__xludf.DUMMYFUNCTION("""COMPUTED_VALUE"""),42333.6666666666)</f>
        <v>42333.666666666599</v>
      </c>
      <c r="AL146" s="3">
        <f ca="1">IFERROR(__xludf.DUMMYFUNCTION("""COMPUTED_VALUE"""),55.15)</f>
        <v>55.15</v>
      </c>
      <c r="AM146" s="3">
        <f ca="1">IFERROR(__xludf.DUMMYFUNCTION("""COMPUTED_VALUE"""),55.16)</f>
        <v>55.16</v>
      </c>
      <c r="AN146" s="3">
        <f ca="1">IFERROR(__xludf.DUMMYFUNCTION("""COMPUTED_VALUE"""),54.9)</f>
        <v>54.9</v>
      </c>
      <c r="AO146" s="3">
        <f ca="1">IFERROR(__xludf.DUMMYFUNCTION("""COMPUTED_VALUE"""),55)</f>
        <v>55</v>
      </c>
      <c r="AP146" s="3">
        <f ca="1">IFERROR(__xludf.DUMMYFUNCTION("""COMPUTED_VALUE"""),6406759)</f>
        <v>6406759</v>
      </c>
      <c r="AQ146" s="4">
        <f ca="1">IFERROR(__xludf.DUMMYFUNCTION("""COMPUTED_VALUE"""),42333.6666666666)</f>
        <v>42333.666666666599</v>
      </c>
      <c r="AR146" s="3">
        <f ca="1">IFERROR(__xludf.DUMMYFUNCTION("""COMPUTED_VALUE"""),45.97)</f>
        <v>45.97</v>
      </c>
      <c r="AS146" s="3">
        <f ca="1">IFERROR(__xludf.DUMMYFUNCTION("""COMPUTED_VALUE"""),46.05)</f>
        <v>46.05</v>
      </c>
      <c r="AT146" s="3">
        <f ca="1">IFERROR(__xludf.DUMMYFUNCTION("""COMPUTED_VALUE"""),45.62)</f>
        <v>45.62</v>
      </c>
      <c r="AU146" s="3">
        <f ca="1">IFERROR(__xludf.DUMMYFUNCTION("""COMPUTED_VALUE"""),45.68)</f>
        <v>45.68</v>
      </c>
      <c r="AV146" s="3">
        <f ca="1">IFERROR(__xludf.DUMMYFUNCTION("""COMPUTED_VALUE"""),4158988)</f>
        <v>4158988</v>
      </c>
      <c r="AW146" s="4">
        <f ca="1">IFERROR(__xludf.DUMMYFUNCTION("""COMPUTED_VALUE"""),42501.6666666666)</f>
        <v>42501.666666666599</v>
      </c>
      <c r="AX146" s="3">
        <f ca="1">IFERROR(__xludf.DUMMYFUNCTION("""COMPUTED_VALUE"""),33.09)</f>
        <v>33.090000000000003</v>
      </c>
      <c r="AY146" s="3">
        <f ca="1">IFERROR(__xludf.DUMMYFUNCTION("""COMPUTED_VALUE"""),33.09)</f>
        <v>33.090000000000003</v>
      </c>
      <c r="AZ146" s="3">
        <f ca="1">IFERROR(__xludf.DUMMYFUNCTION("""COMPUTED_VALUE"""),32.24)</f>
        <v>32.24</v>
      </c>
      <c r="BA146" s="3">
        <f ca="1">IFERROR(__xludf.DUMMYFUNCTION("""COMPUTED_VALUE"""),32.38)</f>
        <v>32.380000000000003</v>
      </c>
      <c r="BB146" s="3">
        <f ca="1">IFERROR(__xludf.DUMMYFUNCTION("""COMPUTED_VALUE"""),7140)</f>
        <v>7140</v>
      </c>
      <c r="BC146" s="4">
        <f ca="1">IFERROR(__xludf.DUMMYFUNCTION("""COMPUTED_VALUE"""),42333.6666666666)</f>
        <v>42333.666666666599</v>
      </c>
      <c r="BD146" s="3">
        <f ca="1">IFERROR(__xludf.DUMMYFUNCTION("""COMPUTED_VALUE"""),43.96)</f>
        <v>43.96</v>
      </c>
      <c r="BE146" s="3">
        <f ca="1">IFERROR(__xludf.DUMMYFUNCTION("""COMPUTED_VALUE"""),43.97)</f>
        <v>43.97</v>
      </c>
      <c r="BF146" s="3">
        <f ca="1">IFERROR(__xludf.DUMMYFUNCTION("""COMPUTED_VALUE"""),43.8)</f>
        <v>43.8</v>
      </c>
      <c r="BG146" s="3">
        <f ca="1">IFERROR(__xludf.DUMMYFUNCTION("""COMPUTED_VALUE"""),43.81)</f>
        <v>43.81</v>
      </c>
      <c r="BH146" s="3">
        <f ca="1">IFERROR(__xludf.DUMMYFUNCTION("""COMPUTED_VALUE"""),6576566)</f>
        <v>6576566</v>
      </c>
      <c r="BI146" s="4">
        <f ca="1">IFERROR(__xludf.DUMMYFUNCTION("""COMPUTED_VALUE"""),42333.6666666666)</f>
        <v>42333.666666666599</v>
      </c>
      <c r="BJ146" s="3">
        <f ca="1">IFERROR(__xludf.DUMMYFUNCTION("""COMPUTED_VALUE"""),42.92)</f>
        <v>42.92</v>
      </c>
      <c r="BK146" s="3">
        <f ca="1">IFERROR(__xludf.DUMMYFUNCTION("""COMPUTED_VALUE"""),42.92)</f>
        <v>42.92</v>
      </c>
      <c r="BL146" s="3">
        <f ca="1">IFERROR(__xludf.DUMMYFUNCTION("""COMPUTED_VALUE"""),42.51)</f>
        <v>42.51</v>
      </c>
      <c r="BM146" s="3">
        <f ca="1">IFERROR(__xludf.DUMMYFUNCTION("""COMPUTED_VALUE"""),42.67)</f>
        <v>42.67</v>
      </c>
      <c r="BN146" s="3">
        <f ca="1">IFERROR(__xludf.DUMMYFUNCTION("""COMPUTED_VALUE"""),7678239)</f>
        <v>7678239</v>
      </c>
    </row>
    <row r="147" spans="7:66" ht="13" x14ac:dyDescent="0.15">
      <c r="G147" s="4">
        <f ca="1">IFERROR(__xludf.DUMMYFUNCTION("""COMPUTED_VALUE"""),42335.6666666666)</f>
        <v>42335.666666666599</v>
      </c>
      <c r="H147" s="3">
        <f ca="1">IFERROR(__xludf.DUMMYFUNCTION("""COMPUTED_VALUE"""),81.79)</f>
        <v>81.790000000000006</v>
      </c>
      <c r="I147" s="3">
        <f ca="1">IFERROR(__xludf.DUMMYFUNCTION("""COMPUTED_VALUE"""),81.79)</f>
        <v>81.790000000000006</v>
      </c>
      <c r="J147" s="3">
        <f ca="1">IFERROR(__xludf.DUMMYFUNCTION("""COMPUTED_VALUE"""),81.13)</f>
        <v>81.13</v>
      </c>
      <c r="K147" s="3">
        <f ca="1">IFERROR(__xludf.DUMMYFUNCTION("""COMPUTED_VALUE"""),81.47)</f>
        <v>81.47</v>
      </c>
      <c r="L147" s="3">
        <f ca="1">IFERROR(__xludf.DUMMYFUNCTION("""COMPUTED_VALUE"""),2282568)</f>
        <v>2282568</v>
      </c>
      <c r="M147" s="4">
        <f ca="1">IFERROR(__xludf.DUMMYFUNCTION("""COMPUTED_VALUE"""),42335.6666666666)</f>
        <v>42335.666666666599</v>
      </c>
      <c r="N147" s="3">
        <f ca="1">IFERROR(__xludf.DUMMYFUNCTION("""COMPUTED_VALUE"""),49.75)</f>
        <v>49.75</v>
      </c>
      <c r="O147" s="3">
        <f ca="1">IFERROR(__xludf.DUMMYFUNCTION("""COMPUTED_VALUE"""),50.07)</f>
        <v>50.07</v>
      </c>
      <c r="P147" s="3">
        <f ca="1">IFERROR(__xludf.DUMMYFUNCTION("""COMPUTED_VALUE"""),49.75)</f>
        <v>49.75</v>
      </c>
      <c r="Q147" s="3">
        <f ca="1">IFERROR(__xludf.DUMMYFUNCTION("""COMPUTED_VALUE"""),49.96)</f>
        <v>49.96</v>
      </c>
      <c r="R147" s="3">
        <f ca="1">IFERROR(__xludf.DUMMYFUNCTION("""COMPUTED_VALUE"""),2712628)</f>
        <v>2712628</v>
      </c>
      <c r="S147" s="4">
        <f ca="1">IFERROR(__xludf.DUMMYFUNCTION("""COMPUTED_VALUE"""),42335.6666666666)</f>
        <v>42335.666666666599</v>
      </c>
      <c r="T147" s="3">
        <f ca="1">IFERROR(__xludf.DUMMYFUNCTION("""COMPUTED_VALUE"""),67.71)</f>
        <v>67.709999999999994</v>
      </c>
      <c r="U147" s="3">
        <f ca="1">IFERROR(__xludf.DUMMYFUNCTION("""COMPUTED_VALUE"""),68.05)</f>
        <v>68.05</v>
      </c>
      <c r="V147" s="3">
        <f ca="1">IFERROR(__xludf.DUMMYFUNCTION("""COMPUTED_VALUE"""),67.53)</f>
        <v>67.53</v>
      </c>
      <c r="W147" s="3">
        <f ca="1">IFERROR(__xludf.DUMMYFUNCTION("""COMPUTED_VALUE"""),67.77)</f>
        <v>67.77</v>
      </c>
      <c r="X147" s="3">
        <f ca="1">IFERROR(__xludf.DUMMYFUNCTION("""COMPUTED_VALUE"""),8376368)</f>
        <v>8376368</v>
      </c>
      <c r="Y147" s="4">
        <f ca="1">IFERROR(__xludf.DUMMYFUNCTION("""COMPUTED_VALUE"""),42335.6666666666)</f>
        <v>42335.666666666599</v>
      </c>
      <c r="Z147" s="3">
        <f ca="1">IFERROR(__xludf.DUMMYFUNCTION("""COMPUTED_VALUE"""),19.94)</f>
        <v>19.940000000000001</v>
      </c>
      <c r="AA147" s="3">
        <f ca="1">IFERROR(__xludf.DUMMYFUNCTION("""COMPUTED_VALUE"""),19.98)</f>
        <v>19.98</v>
      </c>
      <c r="AB147" s="3">
        <f ca="1">IFERROR(__xludf.DUMMYFUNCTION("""COMPUTED_VALUE"""),19.85)</f>
        <v>19.850000000000001</v>
      </c>
      <c r="AC147" s="3">
        <f ca="1">IFERROR(__xludf.DUMMYFUNCTION("""COMPUTED_VALUE"""),19.96)</f>
        <v>19.96</v>
      </c>
      <c r="AD147" s="3">
        <f ca="1">IFERROR(__xludf.DUMMYFUNCTION("""COMPUTED_VALUE"""),18839345)</f>
        <v>18839345</v>
      </c>
      <c r="AE147" s="4">
        <f ca="1">IFERROR(__xludf.DUMMYFUNCTION("""COMPUTED_VALUE"""),42335.6666666666)</f>
        <v>42335.666666666599</v>
      </c>
      <c r="AF147" s="3">
        <f ca="1">IFERROR(__xludf.DUMMYFUNCTION("""COMPUTED_VALUE"""),72.14)</f>
        <v>72.14</v>
      </c>
      <c r="AG147" s="3">
        <f ca="1">IFERROR(__xludf.DUMMYFUNCTION("""COMPUTED_VALUE"""),72.22)</f>
        <v>72.22</v>
      </c>
      <c r="AH147" s="3">
        <f ca="1">IFERROR(__xludf.DUMMYFUNCTION("""COMPUTED_VALUE"""),71.9)</f>
        <v>71.900000000000006</v>
      </c>
      <c r="AI147" s="3">
        <f ca="1">IFERROR(__xludf.DUMMYFUNCTION("""COMPUTED_VALUE"""),72.09)</f>
        <v>72.09</v>
      </c>
      <c r="AJ147" s="3">
        <f ca="1">IFERROR(__xludf.DUMMYFUNCTION("""COMPUTED_VALUE"""),2657960)</f>
        <v>2657960</v>
      </c>
      <c r="AK147" s="4">
        <f ca="1">IFERROR(__xludf.DUMMYFUNCTION("""COMPUTED_VALUE"""),42335.6666666666)</f>
        <v>42335.666666666599</v>
      </c>
      <c r="AL147" s="3">
        <f ca="1">IFERROR(__xludf.DUMMYFUNCTION("""COMPUTED_VALUE"""),54.96)</f>
        <v>54.96</v>
      </c>
      <c r="AM147" s="3">
        <f ca="1">IFERROR(__xludf.DUMMYFUNCTION("""COMPUTED_VALUE"""),55.17)</f>
        <v>55.17</v>
      </c>
      <c r="AN147" s="3">
        <f ca="1">IFERROR(__xludf.DUMMYFUNCTION("""COMPUTED_VALUE"""),54.86)</f>
        <v>54.86</v>
      </c>
      <c r="AO147" s="3">
        <f ca="1">IFERROR(__xludf.DUMMYFUNCTION("""COMPUTED_VALUE"""),55.1)</f>
        <v>55.1</v>
      </c>
      <c r="AP147" s="3">
        <f ca="1">IFERROR(__xludf.DUMMYFUNCTION("""COMPUTED_VALUE"""),4454510)</f>
        <v>4454510</v>
      </c>
      <c r="AQ147" s="4">
        <f ca="1">IFERROR(__xludf.DUMMYFUNCTION("""COMPUTED_VALUE"""),42335.6666666666)</f>
        <v>42335.666666666599</v>
      </c>
      <c r="AR147" s="3">
        <f ca="1">IFERROR(__xludf.DUMMYFUNCTION("""COMPUTED_VALUE"""),45.62)</f>
        <v>45.62</v>
      </c>
      <c r="AS147" s="3">
        <f ca="1">IFERROR(__xludf.DUMMYFUNCTION("""COMPUTED_VALUE"""),45.71)</f>
        <v>45.71</v>
      </c>
      <c r="AT147" s="3">
        <f ca="1">IFERROR(__xludf.DUMMYFUNCTION("""COMPUTED_VALUE"""),45.41)</f>
        <v>45.41</v>
      </c>
      <c r="AU147" s="3">
        <f ca="1">IFERROR(__xludf.DUMMYFUNCTION("""COMPUTED_VALUE"""),45.62)</f>
        <v>45.62</v>
      </c>
      <c r="AV147" s="3">
        <f ca="1">IFERROR(__xludf.DUMMYFUNCTION("""COMPUTED_VALUE"""),1270771)</f>
        <v>1270771</v>
      </c>
      <c r="AW147" s="4">
        <f ca="1">IFERROR(__xludf.DUMMYFUNCTION("""COMPUTED_VALUE"""),42502.6666666666)</f>
        <v>42502.666666666599</v>
      </c>
      <c r="AX147" s="3">
        <f ca="1">IFERROR(__xludf.DUMMYFUNCTION("""COMPUTED_VALUE"""),32.47)</f>
        <v>32.47</v>
      </c>
      <c r="AY147" s="3">
        <f ca="1">IFERROR(__xludf.DUMMYFUNCTION("""COMPUTED_VALUE"""),32.6)</f>
        <v>32.6</v>
      </c>
      <c r="AZ147" s="3">
        <f ca="1">IFERROR(__xludf.DUMMYFUNCTION("""COMPUTED_VALUE"""),32.18)</f>
        <v>32.18</v>
      </c>
      <c r="BA147" s="3">
        <f ca="1">IFERROR(__xludf.DUMMYFUNCTION("""COMPUTED_VALUE"""),32.49)</f>
        <v>32.49</v>
      </c>
      <c r="BB147" s="3">
        <f ca="1">IFERROR(__xludf.DUMMYFUNCTION("""COMPUTED_VALUE"""),3557)</f>
        <v>3557</v>
      </c>
      <c r="BC147" s="4">
        <f ca="1">IFERROR(__xludf.DUMMYFUNCTION("""COMPUTED_VALUE"""),42335.6666666666)</f>
        <v>42335.666666666599</v>
      </c>
      <c r="BD147" s="3">
        <f ca="1">IFERROR(__xludf.DUMMYFUNCTION("""COMPUTED_VALUE"""),43.86)</f>
        <v>43.86</v>
      </c>
      <c r="BE147" s="3">
        <f ca="1">IFERROR(__xludf.DUMMYFUNCTION("""COMPUTED_VALUE"""),43.99)</f>
        <v>43.99</v>
      </c>
      <c r="BF147" s="3">
        <f ca="1">IFERROR(__xludf.DUMMYFUNCTION("""COMPUTED_VALUE"""),43.79)</f>
        <v>43.79</v>
      </c>
      <c r="BG147" s="3">
        <f ca="1">IFERROR(__xludf.DUMMYFUNCTION("""COMPUTED_VALUE"""),43.91)</f>
        <v>43.91</v>
      </c>
      <c r="BH147" s="3">
        <f ca="1">IFERROR(__xludf.DUMMYFUNCTION("""COMPUTED_VALUE"""),3800711)</f>
        <v>3800711</v>
      </c>
      <c r="BI147" s="4">
        <f ca="1">IFERROR(__xludf.DUMMYFUNCTION("""COMPUTED_VALUE"""),42335.6666666666)</f>
        <v>42335.666666666599</v>
      </c>
      <c r="BJ147" s="3">
        <f ca="1">IFERROR(__xludf.DUMMYFUNCTION("""COMPUTED_VALUE"""),42.79)</f>
        <v>42.79</v>
      </c>
      <c r="BK147" s="3">
        <f ca="1">IFERROR(__xludf.DUMMYFUNCTION("""COMPUTED_VALUE"""),42.95)</f>
        <v>42.95</v>
      </c>
      <c r="BL147" s="3">
        <f ca="1">IFERROR(__xludf.DUMMYFUNCTION("""COMPUTED_VALUE"""),42.69)</f>
        <v>42.69</v>
      </c>
      <c r="BM147" s="3">
        <f ca="1">IFERROR(__xludf.DUMMYFUNCTION("""COMPUTED_VALUE"""),42.75)</f>
        <v>42.75</v>
      </c>
      <c r="BN147" s="3">
        <f ca="1">IFERROR(__xludf.DUMMYFUNCTION("""COMPUTED_VALUE"""),3980309)</f>
        <v>3980309</v>
      </c>
    </row>
    <row r="148" spans="7:66" ht="13" x14ac:dyDescent="0.15">
      <c r="G148" s="4">
        <f ca="1">IFERROR(__xludf.DUMMYFUNCTION("""COMPUTED_VALUE"""),42338.6666666666)</f>
        <v>42338.666666666599</v>
      </c>
      <c r="H148" s="3">
        <f ca="1">IFERROR(__xludf.DUMMYFUNCTION("""COMPUTED_VALUE"""),81.75)</f>
        <v>81.75</v>
      </c>
      <c r="I148" s="3">
        <f ca="1">IFERROR(__xludf.DUMMYFUNCTION("""COMPUTED_VALUE"""),81.75)</f>
        <v>81.75</v>
      </c>
      <c r="J148" s="3">
        <f ca="1">IFERROR(__xludf.DUMMYFUNCTION("""COMPUTED_VALUE"""),80.69)</f>
        <v>80.69</v>
      </c>
      <c r="K148" s="3">
        <f ca="1">IFERROR(__xludf.DUMMYFUNCTION("""COMPUTED_VALUE"""),80.78)</f>
        <v>80.78</v>
      </c>
      <c r="L148" s="3">
        <f ca="1">IFERROR(__xludf.DUMMYFUNCTION("""COMPUTED_VALUE"""),8647024)</f>
        <v>8647024</v>
      </c>
      <c r="M148" s="4">
        <f ca="1">IFERROR(__xludf.DUMMYFUNCTION("""COMPUTED_VALUE"""),42338.6666666666)</f>
        <v>42338.666666666599</v>
      </c>
      <c r="N148" s="3">
        <f ca="1">IFERROR(__xludf.DUMMYFUNCTION("""COMPUTED_VALUE"""),49.97)</f>
        <v>49.97</v>
      </c>
      <c r="O148" s="3">
        <f ca="1">IFERROR(__xludf.DUMMYFUNCTION("""COMPUTED_VALUE"""),50.07)</f>
        <v>50.07</v>
      </c>
      <c r="P148" s="3">
        <f ca="1">IFERROR(__xludf.DUMMYFUNCTION("""COMPUTED_VALUE"""),49.41)</f>
        <v>49.41</v>
      </c>
      <c r="Q148" s="3">
        <f ca="1">IFERROR(__xludf.DUMMYFUNCTION("""COMPUTED_VALUE"""),49.42)</f>
        <v>49.42</v>
      </c>
      <c r="R148" s="3">
        <f ca="1">IFERROR(__xludf.DUMMYFUNCTION("""COMPUTED_VALUE"""),10355176)</f>
        <v>10355176</v>
      </c>
      <c r="S148" s="4">
        <f ca="1">IFERROR(__xludf.DUMMYFUNCTION("""COMPUTED_VALUE"""),42338.6666666666)</f>
        <v>42338.666666666599</v>
      </c>
      <c r="T148" s="3">
        <f ca="1">IFERROR(__xludf.DUMMYFUNCTION("""COMPUTED_VALUE"""),68.05)</f>
        <v>68.05</v>
      </c>
      <c r="U148" s="3">
        <f ca="1">IFERROR(__xludf.DUMMYFUNCTION("""COMPUTED_VALUE"""),68.68)</f>
        <v>68.680000000000007</v>
      </c>
      <c r="V148" s="3">
        <f ca="1">IFERROR(__xludf.DUMMYFUNCTION("""COMPUTED_VALUE"""),67.77)</f>
        <v>67.77</v>
      </c>
      <c r="W148" s="3">
        <f ca="1">IFERROR(__xludf.DUMMYFUNCTION("""COMPUTED_VALUE"""),68.02)</f>
        <v>68.02</v>
      </c>
      <c r="X148" s="3">
        <f ca="1">IFERROR(__xludf.DUMMYFUNCTION("""COMPUTED_VALUE"""),17605334)</f>
        <v>17605334</v>
      </c>
      <c r="Y148" s="4">
        <f ca="1">IFERROR(__xludf.DUMMYFUNCTION("""COMPUTED_VALUE"""),42338.6666666666)</f>
        <v>42338.666666666599</v>
      </c>
      <c r="Z148" s="3">
        <f ca="1">IFERROR(__xludf.DUMMYFUNCTION("""COMPUTED_VALUE"""),20.03)</f>
        <v>20.03</v>
      </c>
      <c r="AA148" s="3">
        <f ca="1">IFERROR(__xludf.DUMMYFUNCTION("""COMPUTED_VALUE"""),20.03)</f>
        <v>20.03</v>
      </c>
      <c r="AB148" s="3">
        <f ca="1">IFERROR(__xludf.DUMMYFUNCTION("""COMPUTED_VALUE"""),19.91)</f>
        <v>19.91</v>
      </c>
      <c r="AC148" s="3">
        <f ca="1">IFERROR(__xludf.DUMMYFUNCTION("""COMPUTED_VALUE"""),19.94)</f>
        <v>19.940000000000001</v>
      </c>
      <c r="AD148" s="3">
        <f ca="1">IFERROR(__xludf.DUMMYFUNCTION("""COMPUTED_VALUE"""),24663779)</f>
        <v>24663779</v>
      </c>
      <c r="AE148" s="4">
        <f ca="1">IFERROR(__xludf.DUMMYFUNCTION("""COMPUTED_VALUE"""),42338.6666666666)</f>
        <v>42338.666666666599</v>
      </c>
      <c r="AF148" s="3">
        <f ca="1">IFERROR(__xludf.DUMMYFUNCTION("""COMPUTED_VALUE"""),72.2)</f>
        <v>72.2</v>
      </c>
      <c r="AG148" s="3">
        <f ca="1">IFERROR(__xludf.DUMMYFUNCTION("""COMPUTED_VALUE"""),72.21)</f>
        <v>72.209999999999994</v>
      </c>
      <c r="AH148" s="3">
        <f ca="1">IFERROR(__xludf.DUMMYFUNCTION("""COMPUTED_VALUE"""),71.11)</f>
        <v>71.11</v>
      </c>
      <c r="AI148" s="3">
        <f ca="1">IFERROR(__xludf.DUMMYFUNCTION("""COMPUTED_VALUE"""),71.11)</f>
        <v>71.11</v>
      </c>
      <c r="AJ148" s="3">
        <f ca="1">IFERROR(__xludf.DUMMYFUNCTION("""COMPUTED_VALUE"""),8846140)</f>
        <v>8846140</v>
      </c>
      <c r="AK148" s="4">
        <f ca="1">IFERROR(__xludf.DUMMYFUNCTION("""COMPUTED_VALUE"""),42338.6666666666)</f>
        <v>42338.666666666599</v>
      </c>
      <c r="AL148" s="3">
        <f ca="1">IFERROR(__xludf.DUMMYFUNCTION("""COMPUTED_VALUE"""),55.1)</f>
        <v>55.1</v>
      </c>
      <c r="AM148" s="3">
        <f ca="1">IFERROR(__xludf.DUMMYFUNCTION("""COMPUTED_VALUE"""),55.14)</f>
        <v>55.14</v>
      </c>
      <c r="AN148" s="3">
        <f ca="1">IFERROR(__xludf.DUMMYFUNCTION("""COMPUTED_VALUE"""),54.71)</f>
        <v>54.71</v>
      </c>
      <c r="AO148" s="3">
        <f ca="1">IFERROR(__xludf.DUMMYFUNCTION("""COMPUTED_VALUE"""),54.74)</f>
        <v>54.74</v>
      </c>
      <c r="AP148" s="3">
        <f ca="1">IFERROR(__xludf.DUMMYFUNCTION("""COMPUTED_VALUE"""),11017794)</f>
        <v>11017794</v>
      </c>
      <c r="AQ148" s="4">
        <f ca="1">IFERROR(__xludf.DUMMYFUNCTION("""COMPUTED_VALUE"""),42338.6666666666)</f>
        <v>42338.666666666599</v>
      </c>
      <c r="AR148" s="3">
        <f ca="1">IFERROR(__xludf.DUMMYFUNCTION("""COMPUTED_VALUE"""),45.74)</f>
        <v>45.74</v>
      </c>
      <c r="AS148" s="3">
        <f ca="1">IFERROR(__xludf.DUMMYFUNCTION("""COMPUTED_VALUE"""),45.94)</f>
        <v>45.94</v>
      </c>
      <c r="AT148" s="3">
        <f ca="1">IFERROR(__xludf.DUMMYFUNCTION("""COMPUTED_VALUE"""),45.57)</f>
        <v>45.57</v>
      </c>
      <c r="AU148" s="3">
        <f ca="1">IFERROR(__xludf.DUMMYFUNCTION("""COMPUTED_VALUE"""),45.73)</f>
        <v>45.73</v>
      </c>
      <c r="AV148" s="3">
        <f ca="1">IFERROR(__xludf.DUMMYFUNCTION("""COMPUTED_VALUE"""),6561316)</f>
        <v>6561316</v>
      </c>
      <c r="AW148" s="4">
        <f ca="1">IFERROR(__xludf.DUMMYFUNCTION("""COMPUTED_VALUE"""),42503.6666666666)</f>
        <v>42503.666666666599</v>
      </c>
      <c r="AX148" s="3">
        <f ca="1">IFERROR(__xludf.DUMMYFUNCTION("""COMPUTED_VALUE"""),32.43)</f>
        <v>32.43</v>
      </c>
      <c r="AY148" s="3">
        <f ca="1">IFERROR(__xludf.DUMMYFUNCTION("""COMPUTED_VALUE"""),32.99)</f>
        <v>32.99</v>
      </c>
      <c r="AZ148" s="3">
        <f ca="1">IFERROR(__xludf.DUMMYFUNCTION("""COMPUTED_VALUE"""),31.91)</f>
        <v>31.91</v>
      </c>
      <c r="BA148" s="3">
        <f ca="1">IFERROR(__xludf.DUMMYFUNCTION("""COMPUTED_VALUE"""),32.02)</f>
        <v>32.020000000000003</v>
      </c>
      <c r="BB148" s="3">
        <f ca="1">IFERROR(__xludf.DUMMYFUNCTION("""COMPUTED_VALUE"""),3660)</f>
        <v>3660</v>
      </c>
      <c r="BC148" s="4">
        <f ca="1">IFERROR(__xludf.DUMMYFUNCTION("""COMPUTED_VALUE"""),42338.6666666666)</f>
        <v>42338.666666666599</v>
      </c>
      <c r="BD148" s="3">
        <f ca="1">IFERROR(__xludf.DUMMYFUNCTION("""COMPUTED_VALUE"""),43.97)</f>
        <v>43.97</v>
      </c>
      <c r="BE148" s="3">
        <f ca="1">IFERROR(__xludf.DUMMYFUNCTION("""COMPUTED_VALUE"""),44.1)</f>
        <v>44.1</v>
      </c>
      <c r="BF148" s="3">
        <f ca="1">IFERROR(__xludf.DUMMYFUNCTION("""COMPUTED_VALUE"""),43.81)</f>
        <v>43.81</v>
      </c>
      <c r="BG148" s="3">
        <f ca="1">IFERROR(__xludf.DUMMYFUNCTION("""COMPUTED_VALUE"""),43.96)</f>
        <v>43.96</v>
      </c>
      <c r="BH148" s="3">
        <f ca="1">IFERROR(__xludf.DUMMYFUNCTION("""COMPUTED_VALUE"""),17025593)</f>
        <v>17025593</v>
      </c>
      <c r="BI148" s="4">
        <f ca="1">IFERROR(__xludf.DUMMYFUNCTION("""COMPUTED_VALUE"""),42338.6666666666)</f>
        <v>42338.666666666599</v>
      </c>
      <c r="BJ148" s="3">
        <f ca="1">IFERROR(__xludf.DUMMYFUNCTION("""COMPUTED_VALUE"""),42.8)</f>
        <v>42.8</v>
      </c>
      <c r="BK148" s="3">
        <f ca="1">IFERROR(__xludf.DUMMYFUNCTION("""COMPUTED_VALUE"""),43.13)</f>
        <v>43.13</v>
      </c>
      <c r="BL148" s="3">
        <f ca="1">IFERROR(__xludf.DUMMYFUNCTION("""COMPUTED_VALUE"""),42.73)</f>
        <v>42.73</v>
      </c>
      <c r="BM148" s="3">
        <f ca="1">IFERROR(__xludf.DUMMYFUNCTION("""COMPUTED_VALUE"""),42.82)</f>
        <v>42.82</v>
      </c>
      <c r="BN148" s="3">
        <f ca="1">IFERROR(__xludf.DUMMYFUNCTION("""COMPUTED_VALUE"""),11373031)</f>
        <v>11373031</v>
      </c>
    </row>
    <row r="149" spans="7:66" ht="13" x14ac:dyDescent="0.15">
      <c r="G149" s="4">
        <f ca="1">IFERROR(__xludf.DUMMYFUNCTION("""COMPUTED_VALUE"""),42339.6666666666)</f>
        <v>42339.666666666599</v>
      </c>
      <c r="H149" s="3">
        <f ca="1">IFERROR(__xludf.DUMMYFUNCTION("""COMPUTED_VALUE"""),81.22)</f>
        <v>81.22</v>
      </c>
      <c r="I149" s="3">
        <f ca="1">IFERROR(__xludf.DUMMYFUNCTION("""COMPUTED_VALUE"""),81.64)</f>
        <v>81.64</v>
      </c>
      <c r="J149" s="3">
        <f ca="1">IFERROR(__xludf.DUMMYFUNCTION("""COMPUTED_VALUE"""),80.99)</f>
        <v>80.989999999999995</v>
      </c>
      <c r="K149" s="3">
        <f ca="1">IFERROR(__xludf.DUMMYFUNCTION("""COMPUTED_VALUE"""),81.61)</f>
        <v>81.61</v>
      </c>
      <c r="L149" s="3">
        <f ca="1">IFERROR(__xludf.DUMMYFUNCTION("""COMPUTED_VALUE"""),8187446)</f>
        <v>8187446</v>
      </c>
      <c r="M149" s="4">
        <f ca="1">IFERROR(__xludf.DUMMYFUNCTION("""COMPUTED_VALUE"""),42339.6666666666)</f>
        <v>42339.666666666599</v>
      </c>
      <c r="N149" s="3">
        <f ca="1">IFERROR(__xludf.DUMMYFUNCTION("""COMPUTED_VALUE"""),49.52)</f>
        <v>49.52</v>
      </c>
      <c r="O149" s="3">
        <f ca="1">IFERROR(__xludf.DUMMYFUNCTION("""COMPUTED_VALUE"""),49.87)</f>
        <v>49.87</v>
      </c>
      <c r="P149" s="3">
        <f ca="1">IFERROR(__xludf.DUMMYFUNCTION("""COMPUTED_VALUE"""),49.52)</f>
        <v>49.52</v>
      </c>
      <c r="Q149" s="3">
        <f ca="1">IFERROR(__xludf.DUMMYFUNCTION("""COMPUTED_VALUE"""),49.84)</f>
        <v>49.84</v>
      </c>
      <c r="R149" s="3">
        <f ca="1">IFERROR(__xludf.DUMMYFUNCTION("""COMPUTED_VALUE"""),10807852)</f>
        <v>10807852</v>
      </c>
      <c r="S149" s="4">
        <f ca="1">IFERROR(__xludf.DUMMYFUNCTION("""COMPUTED_VALUE"""),42339.6666666666)</f>
        <v>42339.666666666599</v>
      </c>
      <c r="T149" s="3">
        <f ca="1">IFERROR(__xludf.DUMMYFUNCTION("""COMPUTED_VALUE"""),68.08)</f>
        <v>68.08</v>
      </c>
      <c r="U149" s="3">
        <f ca="1">IFERROR(__xludf.DUMMYFUNCTION("""COMPUTED_VALUE"""),68.62)</f>
        <v>68.62</v>
      </c>
      <c r="V149" s="3">
        <f ca="1">IFERROR(__xludf.DUMMYFUNCTION("""COMPUTED_VALUE"""),67.91)</f>
        <v>67.91</v>
      </c>
      <c r="W149" s="3">
        <f ca="1">IFERROR(__xludf.DUMMYFUNCTION("""COMPUTED_VALUE"""),68.56)</f>
        <v>68.56</v>
      </c>
      <c r="X149" s="3">
        <f ca="1">IFERROR(__xludf.DUMMYFUNCTION("""COMPUTED_VALUE"""),13797038)</f>
        <v>13797038</v>
      </c>
      <c r="Y149" s="4">
        <f ca="1">IFERROR(__xludf.DUMMYFUNCTION("""COMPUTED_VALUE"""),42339.6666666666)</f>
        <v>42339.666666666599</v>
      </c>
      <c r="Z149" s="3">
        <f ca="1">IFERROR(__xludf.DUMMYFUNCTION("""COMPUTED_VALUE"""),20.02)</f>
        <v>20.02</v>
      </c>
      <c r="AA149" s="3">
        <f ca="1">IFERROR(__xludf.DUMMYFUNCTION("""COMPUTED_VALUE"""),20.17)</f>
        <v>20.170000000000002</v>
      </c>
      <c r="AB149" s="3">
        <f ca="1">IFERROR(__xludf.DUMMYFUNCTION("""COMPUTED_VALUE"""),19.98)</f>
        <v>19.98</v>
      </c>
      <c r="AC149" s="3">
        <f ca="1">IFERROR(__xludf.DUMMYFUNCTION("""COMPUTED_VALUE"""),20.16)</f>
        <v>20.16</v>
      </c>
      <c r="AD149" s="3">
        <f ca="1">IFERROR(__xludf.DUMMYFUNCTION("""COMPUTED_VALUE"""),31087166)</f>
        <v>31087166</v>
      </c>
      <c r="AE149" s="4">
        <f ca="1">IFERROR(__xludf.DUMMYFUNCTION("""COMPUTED_VALUE"""),42339.6666666666)</f>
        <v>42339.666666666599</v>
      </c>
      <c r="AF149" s="3">
        <f ca="1">IFERROR(__xludf.DUMMYFUNCTION("""COMPUTED_VALUE"""),71.48)</f>
        <v>71.48</v>
      </c>
      <c r="AG149" s="3">
        <f ca="1">IFERROR(__xludf.DUMMYFUNCTION("""COMPUTED_VALUE"""),72.37)</f>
        <v>72.37</v>
      </c>
      <c r="AH149" s="3">
        <f ca="1">IFERROR(__xludf.DUMMYFUNCTION("""COMPUTED_VALUE"""),71.32)</f>
        <v>71.319999999999993</v>
      </c>
      <c r="AI149" s="3">
        <f ca="1">IFERROR(__xludf.DUMMYFUNCTION("""COMPUTED_VALUE"""),72.31)</f>
        <v>72.31</v>
      </c>
      <c r="AJ149" s="3">
        <f ca="1">IFERROR(__xludf.DUMMYFUNCTION("""COMPUTED_VALUE"""),10659529)</f>
        <v>10659529</v>
      </c>
      <c r="AK149" s="4">
        <f ca="1">IFERROR(__xludf.DUMMYFUNCTION("""COMPUTED_VALUE"""),42339.6666666666)</f>
        <v>42339.666666666599</v>
      </c>
      <c r="AL149" s="3">
        <f ca="1">IFERROR(__xludf.DUMMYFUNCTION("""COMPUTED_VALUE"""),54.76)</f>
        <v>54.76</v>
      </c>
      <c r="AM149" s="3">
        <f ca="1">IFERROR(__xludf.DUMMYFUNCTION("""COMPUTED_VALUE"""),55.18)</f>
        <v>55.18</v>
      </c>
      <c r="AN149" s="3">
        <f ca="1">IFERROR(__xludf.DUMMYFUNCTION("""COMPUTED_VALUE"""),54.69)</f>
        <v>54.69</v>
      </c>
      <c r="AO149" s="3">
        <f ca="1">IFERROR(__xludf.DUMMYFUNCTION("""COMPUTED_VALUE"""),55)</f>
        <v>55</v>
      </c>
      <c r="AP149" s="3">
        <f ca="1">IFERROR(__xludf.DUMMYFUNCTION("""COMPUTED_VALUE"""),11475851)</f>
        <v>11475851</v>
      </c>
      <c r="AQ149" s="4">
        <f ca="1">IFERROR(__xludf.DUMMYFUNCTION("""COMPUTED_VALUE"""),42339.6666666666)</f>
        <v>42339.666666666599</v>
      </c>
      <c r="AR149" s="3">
        <f ca="1">IFERROR(__xludf.DUMMYFUNCTION("""COMPUTED_VALUE"""),45.76)</f>
        <v>45.76</v>
      </c>
      <c r="AS149" s="3">
        <f ca="1">IFERROR(__xludf.DUMMYFUNCTION("""COMPUTED_VALUE"""),46.06)</f>
        <v>46.06</v>
      </c>
      <c r="AT149" s="3">
        <f ca="1">IFERROR(__xludf.DUMMYFUNCTION("""COMPUTED_VALUE"""),45.6)</f>
        <v>45.6</v>
      </c>
      <c r="AU149" s="3">
        <f ca="1">IFERROR(__xludf.DUMMYFUNCTION("""COMPUTED_VALUE"""),46.05)</f>
        <v>46.05</v>
      </c>
      <c r="AV149" s="3">
        <f ca="1">IFERROR(__xludf.DUMMYFUNCTION("""COMPUTED_VALUE"""),7717036)</f>
        <v>7717036</v>
      </c>
      <c r="AW149" s="4">
        <f ca="1">IFERROR(__xludf.DUMMYFUNCTION("""COMPUTED_VALUE"""),42506.6666666666)</f>
        <v>42506.666666666599</v>
      </c>
      <c r="AX149" s="3">
        <f ca="1">IFERROR(__xludf.DUMMYFUNCTION("""COMPUTED_VALUE"""),32.12)</f>
        <v>32.119999999999997</v>
      </c>
      <c r="AY149" s="3">
        <f ca="1">IFERROR(__xludf.DUMMYFUNCTION("""COMPUTED_VALUE"""),32.5)</f>
        <v>32.5</v>
      </c>
      <c r="AZ149" s="3">
        <f ca="1">IFERROR(__xludf.DUMMYFUNCTION("""COMPUTED_VALUE"""),32.12)</f>
        <v>32.119999999999997</v>
      </c>
      <c r="BA149" s="3">
        <f ca="1">IFERROR(__xludf.DUMMYFUNCTION("""COMPUTED_VALUE"""),32.46)</f>
        <v>32.46</v>
      </c>
      <c r="BB149" s="3">
        <f ca="1">IFERROR(__xludf.DUMMYFUNCTION("""COMPUTED_VALUE"""),6986)</f>
        <v>6986</v>
      </c>
      <c r="BC149" s="4">
        <f ca="1">IFERROR(__xludf.DUMMYFUNCTION("""COMPUTED_VALUE"""),42339.6666666666)</f>
        <v>42339.666666666599</v>
      </c>
      <c r="BD149" s="3">
        <f ca="1">IFERROR(__xludf.DUMMYFUNCTION("""COMPUTED_VALUE"""),44.14)</f>
        <v>44.14</v>
      </c>
      <c r="BE149" s="3">
        <f ca="1">IFERROR(__xludf.DUMMYFUNCTION("""COMPUTED_VALUE"""),44.36)</f>
        <v>44.36</v>
      </c>
      <c r="BF149" s="3">
        <f ca="1">IFERROR(__xludf.DUMMYFUNCTION("""COMPUTED_VALUE"""),44.05)</f>
        <v>44.05</v>
      </c>
      <c r="BG149" s="3">
        <f ca="1">IFERROR(__xludf.DUMMYFUNCTION("""COMPUTED_VALUE"""),44.35)</f>
        <v>44.35</v>
      </c>
      <c r="BH149" s="3">
        <f ca="1">IFERROR(__xludf.DUMMYFUNCTION("""COMPUTED_VALUE"""),7779488)</f>
        <v>7779488</v>
      </c>
      <c r="BI149" s="4">
        <f ca="1">IFERROR(__xludf.DUMMYFUNCTION("""COMPUTED_VALUE"""),42339.6666666666)</f>
        <v>42339.666666666599</v>
      </c>
      <c r="BJ149" s="3">
        <f ca="1">IFERROR(__xludf.DUMMYFUNCTION("""COMPUTED_VALUE"""),42.92)</f>
        <v>42.92</v>
      </c>
      <c r="BK149" s="3">
        <f ca="1">IFERROR(__xludf.DUMMYFUNCTION("""COMPUTED_VALUE"""),43.25)</f>
        <v>43.25</v>
      </c>
      <c r="BL149" s="3">
        <f ca="1">IFERROR(__xludf.DUMMYFUNCTION("""COMPUTED_VALUE"""),42.75)</f>
        <v>42.75</v>
      </c>
      <c r="BM149" s="3">
        <f ca="1">IFERROR(__xludf.DUMMYFUNCTION("""COMPUTED_VALUE"""),43.16)</f>
        <v>43.16</v>
      </c>
      <c r="BN149" s="3">
        <f ca="1">IFERROR(__xludf.DUMMYFUNCTION("""COMPUTED_VALUE"""),12551543)</f>
        <v>12551543</v>
      </c>
    </row>
    <row r="150" spans="7:66" ht="13" x14ac:dyDescent="0.15">
      <c r="G150" s="4">
        <f ca="1">IFERROR(__xludf.DUMMYFUNCTION("""COMPUTED_VALUE"""),42340.6666666666)</f>
        <v>42340.666666666599</v>
      </c>
      <c r="H150" s="3">
        <f ca="1">IFERROR(__xludf.DUMMYFUNCTION("""COMPUTED_VALUE"""),81.73)</f>
        <v>81.73</v>
      </c>
      <c r="I150" s="3">
        <f ca="1">IFERROR(__xludf.DUMMYFUNCTION("""COMPUTED_VALUE"""),81.75)</f>
        <v>81.75</v>
      </c>
      <c r="J150" s="3">
        <f ca="1">IFERROR(__xludf.DUMMYFUNCTION("""COMPUTED_VALUE"""),80.74)</f>
        <v>80.739999999999995</v>
      </c>
      <c r="K150" s="3">
        <f ca="1">IFERROR(__xludf.DUMMYFUNCTION("""COMPUTED_VALUE"""),80.9)</f>
        <v>80.900000000000006</v>
      </c>
      <c r="L150" s="3">
        <f ca="1">IFERROR(__xludf.DUMMYFUNCTION("""COMPUTED_VALUE"""),6263477)</f>
        <v>6263477</v>
      </c>
      <c r="M150" s="4">
        <f ca="1">IFERROR(__xludf.DUMMYFUNCTION("""COMPUTED_VALUE"""),42340.6666666666)</f>
        <v>42340.666666666599</v>
      </c>
      <c r="N150" s="3">
        <f ca="1">IFERROR(__xludf.DUMMYFUNCTION("""COMPUTED_VALUE"""),49.77)</f>
        <v>49.77</v>
      </c>
      <c r="O150" s="3">
        <f ca="1">IFERROR(__xludf.DUMMYFUNCTION("""COMPUTED_VALUE"""),49.91)</f>
        <v>49.91</v>
      </c>
      <c r="P150" s="3">
        <f ca="1">IFERROR(__xludf.DUMMYFUNCTION("""COMPUTED_VALUE"""),49.52)</f>
        <v>49.52</v>
      </c>
      <c r="Q150" s="3">
        <f ca="1">IFERROR(__xludf.DUMMYFUNCTION("""COMPUTED_VALUE"""),49.59)</f>
        <v>49.59</v>
      </c>
      <c r="R150" s="3">
        <f ca="1">IFERROR(__xludf.DUMMYFUNCTION("""COMPUTED_VALUE"""),7832017)</f>
        <v>7832017</v>
      </c>
      <c r="S150" s="4">
        <f ca="1">IFERROR(__xludf.DUMMYFUNCTION("""COMPUTED_VALUE"""),42340.6666666666)</f>
        <v>42340.666666666599</v>
      </c>
      <c r="T150" s="3">
        <f ca="1">IFERROR(__xludf.DUMMYFUNCTION("""COMPUTED_VALUE"""),68.11)</f>
        <v>68.11</v>
      </c>
      <c r="U150" s="3">
        <f ca="1">IFERROR(__xludf.DUMMYFUNCTION("""COMPUTED_VALUE"""),68.37)</f>
        <v>68.37</v>
      </c>
      <c r="V150" s="3">
        <f ca="1">IFERROR(__xludf.DUMMYFUNCTION("""COMPUTED_VALUE"""),66.22)</f>
        <v>66.22</v>
      </c>
      <c r="W150" s="3">
        <f ca="1">IFERROR(__xludf.DUMMYFUNCTION("""COMPUTED_VALUE"""),66.44)</f>
        <v>66.44</v>
      </c>
      <c r="X150" s="3">
        <f ca="1">IFERROR(__xludf.DUMMYFUNCTION("""COMPUTED_VALUE"""),25428080)</f>
        <v>25428080</v>
      </c>
      <c r="Y150" s="4">
        <f ca="1">IFERROR(__xludf.DUMMYFUNCTION("""COMPUTED_VALUE"""),42340.6666666666)</f>
        <v>42340.666666666599</v>
      </c>
      <c r="Z150" s="3">
        <f ca="1">IFERROR(__xludf.DUMMYFUNCTION("""COMPUTED_VALUE"""),20.21)</f>
        <v>20.21</v>
      </c>
      <c r="AA150" s="3">
        <f ca="1">IFERROR(__xludf.DUMMYFUNCTION("""COMPUTED_VALUE"""),20.21)</f>
        <v>20.21</v>
      </c>
      <c r="AB150" s="3">
        <f ca="1">IFERROR(__xludf.DUMMYFUNCTION("""COMPUTED_VALUE"""),19.89)</f>
        <v>19.89</v>
      </c>
      <c r="AC150" s="3">
        <f ca="1">IFERROR(__xludf.DUMMYFUNCTION("""COMPUTED_VALUE"""),19.93)</f>
        <v>19.93</v>
      </c>
      <c r="AD150" s="3">
        <f ca="1">IFERROR(__xludf.DUMMYFUNCTION("""COMPUTED_VALUE"""),35618658)</f>
        <v>35618658</v>
      </c>
      <c r="AE150" s="4">
        <f ca="1">IFERROR(__xludf.DUMMYFUNCTION("""COMPUTED_VALUE"""),42340.6666666666)</f>
        <v>42340.666666666599</v>
      </c>
      <c r="AF150" s="3">
        <f ca="1">IFERROR(__xludf.DUMMYFUNCTION("""COMPUTED_VALUE"""),72.39)</f>
        <v>72.39</v>
      </c>
      <c r="AG150" s="3">
        <f ca="1">IFERROR(__xludf.DUMMYFUNCTION("""COMPUTED_VALUE"""),72.61)</f>
        <v>72.61</v>
      </c>
      <c r="AH150" s="3">
        <f ca="1">IFERROR(__xludf.DUMMYFUNCTION("""COMPUTED_VALUE"""),71.59)</f>
        <v>71.59</v>
      </c>
      <c r="AI150" s="3">
        <f ca="1">IFERROR(__xludf.DUMMYFUNCTION("""COMPUTED_VALUE"""),71.7)</f>
        <v>71.7</v>
      </c>
      <c r="AJ150" s="3">
        <f ca="1">IFERROR(__xludf.DUMMYFUNCTION("""COMPUTED_VALUE"""),9875112)</f>
        <v>9875112</v>
      </c>
      <c r="AK150" s="4">
        <f ca="1">IFERROR(__xludf.DUMMYFUNCTION("""COMPUTED_VALUE"""),42340.6666666666)</f>
        <v>42340.666666666599</v>
      </c>
      <c r="AL150" s="3">
        <f ca="1">IFERROR(__xludf.DUMMYFUNCTION("""COMPUTED_VALUE"""),54.91)</f>
        <v>54.91</v>
      </c>
      <c r="AM150" s="3">
        <f ca="1">IFERROR(__xludf.DUMMYFUNCTION("""COMPUTED_VALUE"""),55.06)</f>
        <v>55.06</v>
      </c>
      <c r="AN150" s="3">
        <f ca="1">IFERROR(__xludf.DUMMYFUNCTION("""COMPUTED_VALUE"""),54.33)</f>
        <v>54.33</v>
      </c>
      <c r="AO150" s="3">
        <f ca="1">IFERROR(__xludf.DUMMYFUNCTION("""COMPUTED_VALUE"""),54.44)</f>
        <v>54.44</v>
      </c>
      <c r="AP150" s="3">
        <f ca="1">IFERROR(__xludf.DUMMYFUNCTION("""COMPUTED_VALUE"""),13131576)</f>
        <v>13131576</v>
      </c>
      <c r="AQ150" s="4">
        <f ca="1">IFERROR(__xludf.DUMMYFUNCTION("""COMPUTED_VALUE"""),42340.6666666666)</f>
        <v>42340.666666666599</v>
      </c>
      <c r="AR150" s="3">
        <f ca="1">IFERROR(__xludf.DUMMYFUNCTION("""COMPUTED_VALUE"""),45.91)</f>
        <v>45.91</v>
      </c>
      <c r="AS150" s="3">
        <f ca="1">IFERROR(__xludf.DUMMYFUNCTION("""COMPUTED_VALUE"""),46.02)</f>
        <v>46.02</v>
      </c>
      <c r="AT150" s="3">
        <f ca="1">IFERROR(__xludf.DUMMYFUNCTION("""COMPUTED_VALUE"""),45.28)</f>
        <v>45.28</v>
      </c>
      <c r="AU150" s="3">
        <f ca="1">IFERROR(__xludf.DUMMYFUNCTION("""COMPUTED_VALUE"""),45.43)</f>
        <v>45.43</v>
      </c>
      <c r="AV150" s="3">
        <f ca="1">IFERROR(__xludf.DUMMYFUNCTION("""COMPUTED_VALUE"""),8005887)</f>
        <v>8005887</v>
      </c>
      <c r="AW150" s="4">
        <f ca="1">IFERROR(__xludf.DUMMYFUNCTION("""COMPUTED_VALUE"""),42507.6666666666)</f>
        <v>42507.666666666599</v>
      </c>
      <c r="AX150" s="3">
        <f ca="1">IFERROR(__xludf.DUMMYFUNCTION("""COMPUTED_VALUE"""),32)</f>
        <v>32</v>
      </c>
      <c r="AY150" s="3">
        <f ca="1">IFERROR(__xludf.DUMMYFUNCTION("""COMPUTED_VALUE"""),32.1)</f>
        <v>32.1</v>
      </c>
      <c r="AZ150" s="3">
        <f ca="1">IFERROR(__xludf.DUMMYFUNCTION("""COMPUTED_VALUE"""),31.92)</f>
        <v>31.92</v>
      </c>
      <c r="BA150" s="3">
        <f ca="1">IFERROR(__xludf.DUMMYFUNCTION("""COMPUTED_VALUE"""),31.92)</f>
        <v>31.92</v>
      </c>
      <c r="BB150" s="3">
        <f ca="1">IFERROR(__xludf.DUMMYFUNCTION("""COMPUTED_VALUE"""),2381)</f>
        <v>2381</v>
      </c>
      <c r="BC150" s="4">
        <f ca="1">IFERROR(__xludf.DUMMYFUNCTION("""COMPUTED_VALUE"""),42340.6666666666)</f>
        <v>42340.666666666599</v>
      </c>
      <c r="BD150" s="3">
        <f ca="1">IFERROR(__xludf.DUMMYFUNCTION("""COMPUTED_VALUE"""),44.4)</f>
        <v>44.4</v>
      </c>
      <c r="BE150" s="3">
        <f ca="1">IFERROR(__xludf.DUMMYFUNCTION("""COMPUTED_VALUE"""),44.57)</f>
        <v>44.57</v>
      </c>
      <c r="BF150" s="3">
        <f ca="1">IFERROR(__xludf.DUMMYFUNCTION("""COMPUTED_VALUE"""),44.02)</f>
        <v>44.02</v>
      </c>
      <c r="BG150" s="3">
        <f ca="1">IFERROR(__xludf.DUMMYFUNCTION("""COMPUTED_VALUE"""),44.07)</f>
        <v>44.07</v>
      </c>
      <c r="BH150" s="3">
        <f ca="1">IFERROR(__xludf.DUMMYFUNCTION("""COMPUTED_VALUE"""),9697088)</f>
        <v>9697088</v>
      </c>
      <c r="BI150" s="4">
        <f ca="1">IFERROR(__xludf.DUMMYFUNCTION("""COMPUTED_VALUE"""),42340.6666666666)</f>
        <v>42340.666666666599</v>
      </c>
      <c r="BJ150" s="3">
        <f ca="1">IFERROR(__xludf.DUMMYFUNCTION("""COMPUTED_VALUE"""),42.99)</f>
        <v>42.99</v>
      </c>
      <c r="BK150" s="3">
        <f ca="1">IFERROR(__xludf.DUMMYFUNCTION("""COMPUTED_VALUE"""),43.1)</f>
        <v>43.1</v>
      </c>
      <c r="BL150" s="3">
        <f ca="1">IFERROR(__xludf.DUMMYFUNCTION("""COMPUTED_VALUE"""),42.19)</f>
        <v>42.19</v>
      </c>
      <c r="BM150" s="3">
        <f ca="1">IFERROR(__xludf.DUMMYFUNCTION("""COMPUTED_VALUE"""),42.2)</f>
        <v>42.2</v>
      </c>
      <c r="BN150" s="3">
        <f ca="1">IFERROR(__xludf.DUMMYFUNCTION("""COMPUTED_VALUE"""),12566056)</f>
        <v>12566056</v>
      </c>
    </row>
    <row r="151" spans="7:66" ht="13" x14ac:dyDescent="0.15">
      <c r="G151" s="4">
        <f ca="1">IFERROR(__xludf.DUMMYFUNCTION("""COMPUTED_VALUE"""),42341.6666666666)</f>
        <v>42341.666666666599</v>
      </c>
      <c r="H151" s="3">
        <f ca="1">IFERROR(__xludf.DUMMYFUNCTION("""COMPUTED_VALUE"""),81.24)</f>
        <v>81.239999999999995</v>
      </c>
      <c r="I151" s="3">
        <f ca="1">IFERROR(__xludf.DUMMYFUNCTION("""COMPUTED_VALUE"""),81.24)</f>
        <v>81.239999999999995</v>
      </c>
      <c r="J151" s="3">
        <f ca="1">IFERROR(__xludf.DUMMYFUNCTION("""COMPUTED_VALUE"""),79.33)</f>
        <v>79.33</v>
      </c>
      <c r="K151" s="3">
        <f ca="1">IFERROR(__xludf.DUMMYFUNCTION("""COMPUTED_VALUE"""),79.68)</f>
        <v>79.680000000000007</v>
      </c>
      <c r="L151" s="3">
        <f ca="1">IFERROR(__xludf.DUMMYFUNCTION("""COMPUTED_VALUE"""),9828903)</f>
        <v>9828903</v>
      </c>
      <c r="M151" s="4">
        <f ca="1">IFERROR(__xludf.DUMMYFUNCTION("""COMPUTED_VALUE"""),42341.6666666666)</f>
        <v>42341.666666666599</v>
      </c>
      <c r="N151" s="3">
        <f ca="1">IFERROR(__xludf.DUMMYFUNCTION("""COMPUTED_VALUE"""),49.77)</f>
        <v>49.77</v>
      </c>
      <c r="O151" s="3">
        <f ca="1">IFERROR(__xludf.DUMMYFUNCTION("""COMPUTED_VALUE"""),49.95)</f>
        <v>49.95</v>
      </c>
      <c r="P151" s="3">
        <f ca="1">IFERROR(__xludf.DUMMYFUNCTION("""COMPUTED_VALUE"""),49.14)</f>
        <v>49.14</v>
      </c>
      <c r="Q151" s="3">
        <f ca="1">IFERROR(__xludf.DUMMYFUNCTION("""COMPUTED_VALUE"""),49.33)</f>
        <v>49.33</v>
      </c>
      <c r="R151" s="3">
        <f ca="1">IFERROR(__xludf.DUMMYFUNCTION("""COMPUTED_VALUE"""),12556022)</f>
        <v>12556022</v>
      </c>
      <c r="S151" s="4">
        <f ca="1">IFERROR(__xludf.DUMMYFUNCTION("""COMPUTED_VALUE"""),42341.6666666666)</f>
        <v>42341.666666666599</v>
      </c>
      <c r="T151" s="3">
        <f ca="1">IFERROR(__xludf.DUMMYFUNCTION("""COMPUTED_VALUE"""),66.76)</f>
        <v>66.760000000000005</v>
      </c>
      <c r="U151" s="3">
        <f ca="1">IFERROR(__xludf.DUMMYFUNCTION("""COMPUTED_VALUE"""),66.98)</f>
        <v>66.98</v>
      </c>
      <c r="V151" s="3">
        <f ca="1">IFERROR(__xludf.DUMMYFUNCTION("""COMPUTED_VALUE"""),64.79)</f>
        <v>64.790000000000006</v>
      </c>
      <c r="W151" s="3">
        <f ca="1">IFERROR(__xludf.DUMMYFUNCTION("""COMPUTED_VALUE"""),65.11)</f>
        <v>65.11</v>
      </c>
      <c r="X151" s="3">
        <f ca="1">IFERROR(__xludf.DUMMYFUNCTION("""COMPUTED_VALUE"""),24219152)</f>
        <v>24219152</v>
      </c>
      <c r="Y151" s="4">
        <f ca="1">IFERROR(__xludf.DUMMYFUNCTION("""COMPUTED_VALUE"""),42341.6666666666)</f>
        <v>42341.666666666599</v>
      </c>
      <c r="Z151" s="3">
        <f ca="1">IFERROR(__xludf.DUMMYFUNCTION("""COMPUTED_VALUE"""),20.04)</f>
        <v>20.04</v>
      </c>
      <c r="AA151" s="3">
        <f ca="1">IFERROR(__xludf.DUMMYFUNCTION("""COMPUTED_VALUE"""),20.04)</f>
        <v>20.04</v>
      </c>
      <c r="AB151" s="3">
        <f ca="1">IFERROR(__xludf.DUMMYFUNCTION("""COMPUTED_VALUE"""),19.54)</f>
        <v>19.54</v>
      </c>
      <c r="AC151" s="3">
        <f ca="1">IFERROR(__xludf.DUMMYFUNCTION("""COMPUTED_VALUE"""),19.6)</f>
        <v>19.600000000000001</v>
      </c>
      <c r="AD151" s="3">
        <f ca="1">IFERROR(__xludf.DUMMYFUNCTION("""COMPUTED_VALUE"""),48179183)</f>
        <v>48179183</v>
      </c>
      <c r="AE151" s="4">
        <f ca="1">IFERROR(__xludf.DUMMYFUNCTION("""COMPUTED_VALUE"""),42341.6666666666)</f>
        <v>42341.666666666599</v>
      </c>
      <c r="AF151" s="3">
        <f ca="1">IFERROR(__xludf.DUMMYFUNCTION("""COMPUTED_VALUE"""),71.76)</f>
        <v>71.760000000000005</v>
      </c>
      <c r="AG151" s="3">
        <f ca="1">IFERROR(__xludf.DUMMYFUNCTION("""COMPUTED_VALUE"""),71.85)</f>
        <v>71.849999999999994</v>
      </c>
      <c r="AH151" s="3">
        <f ca="1">IFERROR(__xludf.DUMMYFUNCTION("""COMPUTED_VALUE"""),69.82)</f>
        <v>69.819999999999993</v>
      </c>
      <c r="AI151" s="3">
        <f ca="1">IFERROR(__xludf.DUMMYFUNCTION("""COMPUTED_VALUE"""),70.13)</f>
        <v>70.13</v>
      </c>
      <c r="AJ151" s="3">
        <f ca="1">IFERROR(__xludf.DUMMYFUNCTION("""COMPUTED_VALUE"""),13191350)</f>
        <v>13191350</v>
      </c>
      <c r="AK151" s="4">
        <f ca="1">IFERROR(__xludf.DUMMYFUNCTION("""COMPUTED_VALUE"""),42341.6666666666)</f>
        <v>42341.666666666599</v>
      </c>
      <c r="AL151" s="3">
        <f ca="1">IFERROR(__xludf.DUMMYFUNCTION("""COMPUTED_VALUE"""),54.58)</f>
        <v>54.58</v>
      </c>
      <c r="AM151" s="3">
        <f ca="1">IFERROR(__xludf.DUMMYFUNCTION("""COMPUTED_VALUE"""),54.61)</f>
        <v>54.61</v>
      </c>
      <c r="AN151" s="3">
        <f ca="1">IFERROR(__xludf.DUMMYFUNCTION("""COMPUTED_VALUE"""),53.56)</f>
        <v>53.56</v>
      </c>
      <c r="AO151" s="3">
        <f ca="1">IFERROR(__xludf.DUMMYFUNCTION("""COMPUTED_VALUE"""),53.76)</f>
        <v>53.76</v>
      </c>
      <c r="AP151" s="3">
        <f ca="1">IFERROR(__xludf.DUMMYFUNCTION("""COMPUTED_VALUE"""),16001355)</f>
        <v>16001355</v>
      </c>
      <c r="AQ151" s="4">
        <f ca="1">IFERROR(__xludf.DUMMYFUNCTION("""COMPUTED_VALUE"""),42341.6666666666)</f>
        <v>42341.666666666599</v>
      </c>
      <c r="AR151" s="3">
        <f ca="1">IFERROR(__xludf.DUMMYFUNCTION("""COMPUTED_VALUE"""),45.65)</f>
        <v>45.65</v>
      </c>
      <c r="AS151" s="3">
        <f ca="1">IFERROR(__xludf.DUMMYFUNCTION("""COMPUTED_VALUE"""),45.73)</f>
        <v>45.73</v>
      </c>
      <c r="AT151" s="3">
        <f ca="1">IFERROR(__xludf.DUMMYFUNCTION("""COMPUTED_VALUE"""),44.8)</f>
        <v>44.8</v>
      </c>
      <c r="AU151" s="3">
        <f ca="1">IFERROR(__xludf.DUMMYFUNCTION("""COMPUTED_VALUE"""),45.03)</f>
        <v>45.03</v>
      </c>
      <c r="AV151" s="3">
        <f ca="1">IFERROR(__xludf.DUMMYFUNCTION("""COMPUTED_VALUE"""),5828780)</f>
        <v>5828780</v>
      </c>
      <c r="AW151" s="4">
        <f ca="1">IFERROR(__xludf.DUMMYFUNCTION("""COMPUTED_VALUE"""),42508.6666666666)</f>
        <v>42508.666666666599</v>
      </c>
      <c r="AX151" s="3">
        <f ca="1">IFERROR(__xludf.DUMMYFUNCTION("""COMPUTED_VALUE"""),31.94)</f>
        <v>31.94</v>
      </c>
      <c r="AY151" s="3">
        <f ca="1">IFERROR(__xludf.DUMMYFUNCTION("""COMPUTED_VALUE"""),31.94)</f>
        <v>31.94</v>
      </c>
      <c r="AZ151" s="3">
        <f ca="1">IFERROR(__xludf.DUMMYFUNCTION("""COMPUTED_VALUE"""),31.13)</f>
        <v>31.13</v>
      </c>
      <c r="BA151" s="3">
        <f ca="1">IFERROR(__xludf.DUMMYFUNCTION("""COMPUTED_VALUE"""),31.13)</f>
        <v>31.13</v>
      </c>
      <c r="BB151" s="3">
        <f ca="1">IFERROR(__xludf.DUMMYFUNCTION("""COMPUTED_VALUE"""),5739)</f>
        <v>5739</v>
      </c>
      <c r="BC151" s="4">
        <f ca="1">IFERROR(__xludf.DUMMYFUNCTION("""COMPUTED_VALUE"""),42341.6666666666)</f>
        <v>42341.666666666599</v>
      </c>
      <c r="BD151" s="3">
        <f ca="1">IFERROR(__xludf.DUMMYFUNCTION("""COMPUTED_VALUE"""),44.19)</f>
        <v>44.19</v>
      </c>
      <c r="BE151" s="3">
        <f ca="1">IFERROR(__xludf.DUMMYFUNCTION("""COMPUTED_VALUE"""),44.32)</f>
        <v>44.32</v>
      </c>
      <c r="BF151" s="3">
        <f ca="1">IFERROR(__xludf.DUMMYFUNCTION("""COMPUTED_VALUE"""),43.29)</f>
        <v>43.29</v>
      </c>
      <c r="BG151" s="3">
        <f ca="1">IFERROR(__xludf.DUMMYFUNCTION("""COMPUTED_VALUE"""),43.5)</f>
        <v>43.5</v>
      </c>
      <c r="BH151" s="3">
        <f ca="1">IFERROR(__xludf.DUMMYFUNCTION("""COMPUTED_VALUE"""),11854265)</f>
        <v>11854265</v>
      </c>
      <c r="BI151" s="4">
        <f ca="1">IFERROR(__xludf.DUMMYFUNCTION("""COMPUTED_VALUE"""),42341.6666666666)</f>
        <v>42341.666666666599</v>
      </c>
      <c r="BJ151" s="3">
        <f ca="1">IFERROR(__xludf.DUMMYFUNCTION("""COMPUTED_VALUE"""),42.13)</f>
        <v>42.13</v>
      </c>
      <c r="BK151" s="3">
        <f ca="1">IFERROR(__xludf.DUMMYFUNCTION("""COMPUTED_VALUE"""),42.14)</f>
        <v>42.14</v>
      </c>
      <c r="BL151" s="3">
        <f ca="1">IFERROR(__xludf.DUMMYFUNCTION("""COMPUTED_VALUE"""),41.74)</f>
        <v>41.74</v>
      </c>
      <c r="BM151" s="3">
        <f ca="1">IFERROR(__xludf.DUMMYFUNCTION("""COMPUTED_VALUE"""),41.88)</f>
        <v>41.88</v>
      </c>
      <c r="BN151" s="3">
        <f ca="1">IFERROR(__xludf.DUMMYFUNCTION("""COMPUTED_VALUE"""),14879220)</f>
        <v>14879220</v>
      </c>
    </row>
    <row r="152" spans="7:66" ht="13" x14ac:dyDescent="0.15">
      <c r="G152" s="4">
        <f ca="1">IFERROR(__xludf.DUMMYFUNCTION("""COMPUTED_VALUE"""),42342.6666666666)</f>
        <v>42342.666666666599</v>
      </c>
      <c r="H152" s="3">
        <f ca="1">IFERROR(__xludf.DUMMYFUNCTION("""COMPUTED_VALUE"""),79.97)</f>
        <v>79.97</v>
      </c>
      <c r="I152" s="3">
        <f ca="1">IFERROR(__xludf.DUMMYFUNCTION("""COMPUTED_VALUE"""),81.32)</f>
        <v>81.319999999999993</v>
      </c>
      <c r="J152" s="3">
        <f ca="1">IFERROR(__xludf.DUMMYFUNCTION("""COMPUTED_VALUE"""),79.78)</f>
        <v>79.78</v>
      </c>
      <c r="K152" s="3">
        <f ca="1">IFERROR(__xludf.DUMMYFUNCTION("""COMPUTED_VALUE"""),81.22)</f>
        <v>81.22</v>
      </c>
      <c r="L152" s="3">
        <f ca="1">IFERROR(__xludf.DUMMYFUNCTION("""COMPUTED_VALUE"""),7032182)</f>
        <v>7032182</v>
      </c>
      <c r="M152" s="4">
        <f ca="1">IFERROR(__xludf.DUMMYFUNCTION("""COMPUTED_VALUE"""),42342.6666666666)</f>
        <v>42342.666666666599</v>
      </c>
      <c r="N152" s="3">
        <f ca="1">IFERROR(__xludf.DUMMYFUNCTION("""COMPUTED_VALUE"""),49.46)</f>
        <v>49.46</v>
      </c>
      <c r="O152" s="3">
        <f ca="1">IFERROR(__xludf.DUMMYFUNCTION("""COMPUTED_VALUE"""),50.48)</f>
        <v>50.48</v>
      </c>
      <c r="P152" s="3">
        <f ca="1">IFERROR(__xludf.DUMMYFUNCTION("""COMPUTED_VALUE"""),49.26)</f>
        <v>49.26</v>
      </c>
      <c r="Q152" s="3">
        <f ca="1">IFERROR(__xludf.DUMMYFUNCTION("""COMPUTED_VALUE"""),50.44)</f>
        <v>50.44</v>
      </c>
      <c r="R152" s="3">
        <f ca="1">IFERROR(__xludf.DUMMYFUNCTION("""COMPUTED_VALUE"""),12783219)</f>
        <v>12783219</v>
      </c>
      <c r="S152" s="4">
        <f ca="1">IFERROR(__xludf.DUMMYFUNCTION("""COMPUTED_VALUE"""),42342.6666666666)</f>
        <v>42342.666666666599</v>
      </c>
      <c r="T152" s="3">
        <f ca="1">IFERROR(__xludf.DUMMYFUNCTION("""COMPUTED_VALUE"""),64.5)</f>
        <v>64.5</v>
      </c>
      <c r="U152" s="3">
        <f ca="1">IFERROR(__xludf.DUMMYFUNCTION("""COMPUTED_VALUE"""),65.08)</f>
        <v>65.08</v>
      </c>
      <c r="V152" s="3">
        <f ca="1">IFERROR(__xludf.DUMMYFUNCTION("""COMPUTED_VALUE"""),63.48)</f>
        <v>63.48</v>
      </c>
      <c r="W152" s="3">
        <f ca="1">IFERROR(__xludf.DUMMYFUNCTION("""COMPUTED_VALUE"""),64.7)</f>
        <v>64.7</v>
      </c>
      <c r="X152" s="3">
        <f ca="1">IFERROR(__xludf.DUMMYFUNCTION("""COMPUTED_VALUE"""),32839278)</f>
        <v>32839278</v>
      </c>
      <c r="Y152" s="4">
        <f ca="1">IFERROR(__xludf.DUMMYFUNCTION("""COMPUTED_VALUE"""),42342.6666666666)</f>
        <v>42342.666666666599</v>
      </c>
      <c r="Z152" s="3">
        <f ca="1">IFERROR(__xludf.DUMMYFUNCTION("""COMPUTED_VALUE"""),19.72)</f>
        <v>19.72</v>
      </c>
      <c r="AA152" s="3">
        <f ca="1">IFERROR(__xludf.DUMMYFUNCTION("""COMPUTED_VALUE"""),20.16)</f>
        <v>20.16</v>
      </c>
      <c r="AB152" s="3">
        <f ca="1">IFERROR(__xludf.DUMMYFUNCTION("""COMPUTED_VALUE"""),19.67)</f>
        <v>19.670000000000002</v>
      </c>
      <c r="AC152" s="3">
        <f ca="1">IFERROR(__xludf.DUMMYFUNCTION("""COMPUTED_VALUE"""),20.12)</f>
        <v>20.12</v>
      </c>
      <c r="AD152" s="3">
        <f ca="1">IFERROR(__xludf.DUMMYFUNCTION("""COMPUTED_VALUE"""),42686845)</f>
        <v>42686845</v>
      </c>
      <c r="AE152" s="4">
        <f ca="1">IFERROR(__xludf.DUMMYFUNCTION("""COMPUTED_VALUE"""),42342.6666666666)</f>
        <v>42342.666666666599</v>
      </c>
      <c r="AF152" s="3">
        <f ca="1">IFERROR(__xludf.DUMMYFUNCTION("""COMPUTED_VALUE"""),70.44)</f>
        <v>70.44</v>
      </c>
      <c r="AG152" s="3">
        <f ca="1">IFERROR(__xludf.DUMMYFUNCTION("""COMPUTED_VALUE"""),71.89)</f>
        <v>71.89</v>
      </c>
      <c r="AH152" s="3">
        <f ca="1">IFERROR(__xludf.DUMMYFUNCTION("""COMPUTED_VALUE"""),70.27)</f>
        <v>70.27</v>
      </c>
      <c r="AI152" s="3">
        <f ca="1">IFERROR(__xludf.DUMMYFUNCTION("""COMPUTED_VALUE"""),71.78)</f>
        <v>71.78</v>
      </c>
      <c r="AJ152" s="3">
        <f ca="1">IFERROR(__xludf.DUMMYFUNCTION("""COMPUTED_VALUE"""),14929777)</f>
        <v>14929777</v>
      </c>
      <c r="AK152" s="4">
        <f ca="1">IFERROR(__xludf.DUMMYFUNCTION("""COMPUTED_VALUE"""),42342.6666666666)</f>
        <v>42342.666666666599</v>
      </c>
      <c r="AL152" s="3">
        <f ca="1">IFERROR(__xludf.DUMMYFUNCTION("""COMPUTED_VALUE"""),53.84)</f>
        <v>53.84</v>
      </c>
      <c r="AM152" s="3">
        <f ca="1">IFERROR(__xludf.DUMMYFUNCTION("""COMPUTED_VALUE"""),54.57)</f>
        <v>54.57</v>
      </c>
      <c r="AN152" s="3">
        <f ca="1">IFERROR(__xludf.DUMMYFUNCTION("""COMPUTED_VALUE"""),53.72)</f>
        <v>53.72</v>
      </c>
      <c r="AO152" s="3">
        <f ca="1">IFERROR(__xludf.DUMMYFUNCTION("""COMPUTED_VALUE"""),54.56)</f>
        <v>54.56</v>
      </c>
      <c r="AP152" s="3">
        <f ca="1">IFERROR(__xludf.DUMMYFUNCTION("""COMPUTED_VALUE"""),13891933)</f>
        <v>13891933</v>
      </c>
      <c r="AQ152" s="4">
        <f ca="1">IFERROR(__xludf.DUMMYFUNCTION("""COMPUTED_VALUE"""),42342.6666666666)</f>
        <v>42342.666666666599</v>
      </c>
      <c r="AR152" s="3">
        <f ca="1">IFERROR(__xludf.DUMMYFUNCTION("""COMPUTED_VALUE"""),45.13)</f>
        <v>45.13</v>
      </c>
      <c r="AS152" s="3">
        <f ca="1">IFERROR(__xludf.DUMMYFUNCTION("""COMPUTED_VALUE"""),45.94)</f>
        <v>45.94</v>
      </c>
      <c r="AT152" s="3">
        <f ca="1">IFERROR(__xludf.DUMMYFUNCTION("""COMPUTED_VALUE"""),44.99)</f>
        <v>44.99</v>
      </c>
      <c r="AU152" s="3">
        <f ca="1">IFERROR(__xludf.DUMMYFUNCTION("""COMPUTED_VALUE"""),45.82)</f>
        <v>45.82</v>
      </c>
      <c r="AV152" s="3">
        <f ca="1">IFERROR(__xludf.DUMMYFUNCTION("""COMPUTED_VALUE"""),5607746)</f>
        <v>5607746</v>
      </c>
      <c r="AW152" s="4">
        <f ca="1">IFERROR(__xludf.DUMMYFUNCTION("""COMPUTED_VALUE"""),42509.6666666666)</f>
        <v>42509.666666666599</v>
      </c>
      <c r="AX152" s="3">
        <f ca="1">IFERROR(__xludf.DUMMYFUNCTION("""COMPUTED_VALUE"""),31.04)</f>
        <v>31.04</v>
      </c>
      <c r="AY152" s="3">
        <f ca="1">IFERROR(__xludf.DUMMYFUNCTION("""COMPUTED_VALUE"""),31.16)</f>
        <v>31.16</v>
      </c>
      <c r="AZ152" s="3">
        <f ca="1">IFERROR(__xludf.DUMMYFUNCTION("""COMPUTED_VALUE"""),30.99)</f>
        <v>30.99</v>
      </c>
      <c r="BA152" s="3">
        <f ca="1">IFERROR(__xludf.DUMMYFUNCTION("""COMPUTED_VALUE"""),31.07)</f>
        <v>31.07</v>
      </c>
      <c r="BB152" s="3">
        <f ca="1">IFERROR(__xludf.DUMMYFUNCTION("""COMPUTED_VALUE"""),2971)</f>
        <v>2971</v>
      </c>
      <c r="BC152" s="4">
        <f ca="1">IFERROR(__xludf.DUMMYFUNCTION("""COMPUTED_VALUE"""),42342.6666666666)</f>
        <v>42342.666666666599</v>
      </c>
      <c r="BD152" s="3">
        <f ca="1">IFERROR(__xludf.DUMMYFUNCTION("""COMPUTED_VALUE"""),43.63)</f>
        <v>43.63</v>
      </c>
      <c r="BE152" s="3">
        <f ca="1">IFERROR(__xludf.DUMMYFUNCTION("""COMPUTED_VALUE"""),44.65)</f>
        <v>44.65</v>
      </c>
      <c r="BF152" s="3">
        <f ca="1">IFERROR(__xludf.DUMMYFUNCTION("""COMPUTED_VALUE"""),43.54)</f>
        <v>43.54</v>
      </c>
      <c r="BG152" s="3">
        <f ca="1">IFERROR(__xludf.DUMMYFUNCTION("""COMPUTED_VALUE"""),44.57)</f>
        <v>44.57</v>
      </c>
      <c r="BH152" s="3">
        <f ca="1">IFERROR(__xludf.DUMMYFUNCTION("""COMPUTED_VALUE"""),12840171)</f>
        <v>12840171</v>
      </c>
      <c r="BI152" s="4">
        <f ca="1">IFERROR(__xludf.DUMMYFUNCTION("""COMPUTED_VALUE"""),42342.6666666666)</f>
        <v>42342.666666666599</v>
      </c>
      <c r="BJ152" s="3">
        <f ca="1">IFERROR(__xludf.DUMMYFUNCTION("""COMPUTED_VALUE"""),42.03)</f>
        <v>42.03</v>
      </c>
      <c r="BK152" s="3">
        <f ca="1">IFERROR(__xludf.DUMMYFUNCTION("""COMPUTED_VALUE"""),42.53)</f>
        <v>42.53</v>
      </c>
      <c r="BL152" s="3">
        <f ca="1">IFERROR(__xludf.DUMMYFUNCTION("""COMPUTED_VALUE"""),41.9)</f>
        <v>41.9</v>
      </c>
      <c r="BM152" s="3">
        <f ca="1">IFERROR(__xludf.DUMMYFUNCTION("""COMPUTED_VALUE"""),42.47)</f>
        <v>42.47</v>
      </c>
      <c r="BN152" s="3">
        <f ca="1">IFERROR(__xludf.DUMMYFUNCTION("""COMPUTED_VALUE"""),10961473)</f>
        <v>10961473</v>
      </c>
    </row>
    <row r="153" spans="7:66" ht="13" x14ac:dyDescent="0.15">
      <c r="G153" s="4">
        <f ca="1">IFERROR(__xludf.DUMMYFUNCTION("""COMPUTED_VALUE"""),42345.6666666666)</f>
        <v>42345.666666666599</v>
      </c>
      <c r="H153" s="3">
        <f ca="1">IFERROR(__xludf.DUMMYFUNCTION("""COMPUTED_VALUE"""),81.1)</f>
        <v>81.099999999999994</v>
      </c>
      <c r="I153" s="3">
        <f ca="1">IFERROR(__xludf.DUMMYFUNCTION("""COMPUTED_VALUE"""),81.25)</f>
        <v>81.25</v>
      </c>
      <c r="J153" s="3">
        <f ca="1">IFERROR(__xludf.DUMMYFUNCTION("""COMPUTED_VALUE"""),80.32)</f>
        <v>80.319999999999993</v>
      </c>
      <c r="K153" s="3">
        <f ca="1">IFERROR(__xludf.DUMMYFUNCTION("""COMPUTED_VALUE"""),80.88)</f>
        <v>80.88</v>
      </c>
      <c r="L153" s="3">
        <f ca="1">IFERROR(__xludf.DUMMYFUNCTION("""COMPUTED_VALUE"""),6535419)</f>
        <v>6535419</v>
      </c>
      <c r="M153" s="4">
        <f ca="1">IFERROR(__xludf.DUMMYFUNCTION("""COMPUTED_VALUE"""),42345.6666666666)</f>
        <v>42345.666666666599</v>
      </c>
      <c r="N153" s="3">
        <f ca="1">IFERROR(__xludf.DUMMYFUNCTION("""COMPUTED_VALUE"""),50.63)</f>
        <v>50.63</v>
      </c>
      <c r="O153" s="3">
        <f ca="1">IFERROR(__xludf.DUMMYFUNCTION("""COMPUTED_VALUE"""),50.74)</f>
        <v>50.74</v>
      </c>
      <c r="P153" s="3">
        <f ca="1">IFERROR(__xludf.DUMMYFUNCTION("""COMPUTED_VALUE"""),50.38)</f>
        <v>50.38</v>
      </c>
      <c r="Q153" s="3">
        <f ca="1">IFERROR(__xludf.DUMMYFUNCTION("""COMPUTED_VALUE"""),50.58)</f>
        <v>50.58</v>
      </c>
      <c r="R153" s="3">
        <f ca="1">IFERROR(__xludf.DUMMYFUNCTION("""COMPUTED_VALUE"""),9022022)</f>
        <v>9022022</v>
      </c>
      <c r="S153" s="4">
        <f ca="1">IFERROR(__xludf.DUMMYFUNCTION("""COMPUTED_VALUE"""),42345.6666666666)</f>
        <v>42345.666666666599</v>
      </c>
      <c r="T153" s="3">
        <f ca="1">IFERROR(__xludf.DUMMYFUNCTION("""COMPUTED_VALUE"""),63.1)</f>
        <v>63.1</v>
      </c>
      <c r="U153" s="3">
        <f ca="1">IFERROR(__xludf.DUMMYFUNCTION("""COMPUTED_VALUE"""),63.19)</f>
        <v>63.19</v>
      </c>
      <c r="V153" s="3">
        <f ca="1">IFERROR(__xludf.DUMMYFUNCTION("""COMPUTED_VALUE"""),61.35)</f>
        <v>61.35</v>
      </c>
      <c r="W153" s="3">
        <f ca="1">IFERROR(__xludf.DUMMYFUNCTION("""COMPUTED_VALUE"""),62.24)</f>
        <v>62.24</v>
      </c>
      <c r="X153" s="3">
        <f ca="1">IFERROR(__xludf.DUMMYFUNCTION("""COMPUTED_VALUE"""),32800384)</f>
        <v>32800384</v>
      </c>
      <c r="Y153" s="4">
        <f ca="1">IFERROR(__xludf.DUMMYFUNCTION("""COMPUTED_VALUE"""),42345.6666666666)</f>
        <v>42345.666666666599</v>
      </c>
      <c r="Z153" s="3">
        <f ca="1">IFERROR(__xludf.DUMMYFUNCTION("""COMPUTED_VALUE"""),20.1)</f>
        <v>20.100000000000001</v>
      </c>
      <c r="AA153" s="3">
        <f ca="1">IFERROR(__xludf.DUMMYFUNCTION("""COMPUTED_VALUE"""),20.11)</f>
        <v>20.11</v>
      </c>
      <c r="AB153" s="3">
        <f ca="1">IFERROR(__xludf.DUMMYFUNCTION("""COMPUTED_VALUE"""),19.84)</f>
        <v>19.84</v>
      </c>
      <c r="AC153" s="3">
        <f ca="1">IFERROR(__xludf.DUMMYFUNCTION("""COMPUTED_VALUE"""),19.94)</f>
        <v>19.940000000000001</v>
      </c>
      <c r="AD153" s="3">
        <f ca="1">IFERROR(__xludf.DUMMYFUNCTION("""COMPUTED_VALUE"""),25492411)</f>
        <v>25492411</v>
      </c>
      <c r="AE153" s="4">
        <f ca="1">IFERROR(__xludf.DUMMYFUNCTION("""COMPUTED_VALUE"""),42345.6666666666)</f>
        <v>42345.666666666599</v>
      </c>
      <c r="AF153" s="3">
        <f ca="1">IFERROR(__xludf.DUMMYFUNCTION("""COMPUTED_VALUE"""),71.63)</f>
        <v>71.63</v>
      </c>
      <c r="AG153" s="3">
        <f ca="1">IFERROR(__xludf.DUMMYFUNCTION("""COMPUTED_VALUE"""),72)</f>
        <v>72</v>
      </c>
      <c r="AH153" s="3">
        <f ca="1">IFERROR(__xludf.DUMMYFUNCTION("""COMPUTED_VALUE"""),71.01)</f>
        <v>71.010000000000005</v>
      </c>
      <c r="AI153" s="3">
        <f ca="1">IFERROR(__xludf.DUMMYFUNCTION("""COMPUTED_VALUE"""),71.38)</f>
        <v>71.38</v>
      </c>
      <c r="AJ153" s="3">
        <f ca="1">IFERROR(__xludf.DUMMYFUNCTION("""COMPUTED_VALUE"""),8511194)</f>
        <v>8511194</v>
      </c>
      <c r="AK153" s="4">
        <f ca="1">IFERROR(__xludf.DUMMYFUNCTION("""COMPUTED_VALUE"""),42345.6666666666)</f>
        <v>42345.666666666599</v>
      </c>
      <c r="AL153" s="3">
        <f ca="1">IFERROR(__xludf.DUMMYFUNCTION("""COMPUTED_VALUE"""),54.39)</f>
        <v>54.39</v>
      </c>
      <c r="AM153" s="3">
        <f ca="1">IFERROR(__xludf.DUMMYFUNCTION("""COMPUTED_VALUE"""),54.57)</f>
        <v>54.57</v>
      </c>
      <c r="AN153" s="3">
        <f ca="1">IFERROR(__xludf.DUMMYFUNCTION("""COMPUTED_VALUE"""),54.1)</f>
        <v>54.1</v>
      </c>
      <c r="AO153" s="3">
        <f ca="1">IFERROR(__xludf.DUMMYFUNCTION("""COMPUTED_VALUE"""),54.29)</f>
        <v>54.29</v>
      </c>
      <c r="AP153" s="3">
        <f ca="1">IFERROR(__xludf.DUMMYFUNCTION("""COMPUTED_VALUE"""),9665464)</f>
        <v>9665464</v>
      </c>
      <c r="AQ153" s="4">
        <f ca="1">IFERROR(__xludf.DUMMYFUNCTION("""COMPUTED_VALUE"""),42345.6666666666)</f>
        <v>42345.666666666599</v>
      </c>
      <c r="AR153" s="3">
        <f ca="1">IFERROR(__xludf.DUMMYFUNCTION("""COMPUTED_VALUE"""),45.57)</f>
        <v>45.57</v>
      </c>
      <c r="AS153" s="3">
        <f ca="1">IFERROR(__xludf.DUMMYFUNCTION("""COMPUTED_VALUE"""),45.79)</f>
        <v>45.79</v>
      </c>
      <c r="AT153" s="3">
        <f ca="1">IFERROR(__xludf.DUMMYFUNCTION("""COMPUTED_VALUE"""),44.71)</f>
        <v>44.71</v>
      </c>
      <c r="AU153" s="3">
        <f ca="1">IFERROR(__xludf.DUMMYFUNCTION("""COMPUTED_VALUE"""),45)</f>
        <v>45</v>
      </c>
      <c r="AV153" s="3">
        <f ca="1">IFERROR(__xludf.DUMMYFUNCTION("""COMPUTED_VALUE"""),6163064)</f>
        <v>6163064</v>
      </c>
      <c r="AW153" s="4">
        <f ca="1">IFERROR(__xludf.DUMMYFUNCTION("""COMPUTED_VALUE"""),42510.6666666666)</f>
        <v>42510.666666666599</v>
      </c>
      <c r="AX153" s="3">
        <f ca="1">IFERROR(__xludf.DUMMYFUNCTION("""COMPUTED_VALUE"""),31.25)</f>
        <v>31.25</v>
      </c>
      <c r="AY153" s="3">
        <f ca="1">IFERROR(__xludf.DUMMYFUNCTION("""COMPUTED_VALUE"""),31.3)</f>
        <v>31.3</v>
      </c>
      <c r="AZ153" s="3">
        <f ca="1">IFERROR(__xludf.DUMMYFUNCTION("""COMPUTED_VALUE"""),31.22)</f>
        <v>31.22</v>
      </c>
      <c r="BA153" s="3">
        <f ca="1">IFERROR(__xludf.DUMMYFUNCTION("""COMPUTED_VALUE"""),31.28)</f>
        <v>31.28</v>
      </c>
      <c r="BB153" s="3">
        <f ca="1">IFERROR(__xludf.DUMMYFUNCTION("""COMPUTED_VALUE"""),2660)</f>
        <v>2660</v>
      </c>
      <c r="BC153" s="4">
        <f ca="1">IFERROR(__xludf.DUMMYFUNCTION("""COMPUTED_VALUE"""),42345.6666666666)</f>
        <v>42345.666666666599</v>
      </c>
      <c r="BD153" s="3">
        <f ca="1">IFERROR(__xludf.DUMMYFUNCTION("""COMPUTED_VALUE"""),44.52)</f>
        <v>44.52</v>
      </c>
      <c r="BE153" s="3">
        <f ca="1">IFERROR(__xludf.DUMMYFUNCTION("""COMPUTED_VALUE"""),44.56)</f>
        <v>44.56</v>
      </c>
      <c r="BF153" s="3">
        <f ca="1">IFERROR(__xludf.DUMMYFUNCTION("""COMPUTED_VALUE"""),44.14)</f>
        <v>44.14</v>
      </c>
      <c r="BG153" s="3">
        <f ca="1">IFERROR(__xludf.DUMMYFUNCTION("""COMPUTED_VALUE"""),44.35)</f>
        <v>44.35</v>
      </c>
      <c r="BH153" s="3">
        <f ca="1">IFERROR(__xludf.DUMMYFUNCTION("""COMPUTED_VALUE"""),12814944)</f>
        <v>12814944</v>
      </c>
      <c r="BI153" s="4">
        <f ca="1">IFERROR(__xludf.DUMMYFUNCTION("""COMPUTED_VALUE"""),42345.6666666666)</f>
        <v>42345.666666666599</v>
      </c>
      <c r="BJ153" s="3">
        <f ca="1">IFERROR(__xludf.DUMMYFUNCTION("""COMPUTED_VALUE"""),42.37)</f>
        <v>42.37</v>
      </c>
      <c r="BK153" s="3">
        <f ca="1">IFERROR(__xludf.DUMMYFUNCTION("""COMPUTED_VALUE"""),42.68)</f>
        <v>42.68</v>
      </c>
      <c r="BL153" s="3">
        <f ca="1">IFERROR(__xludf.DUMMYFUNCTION("""COMPUTED_VALUE"""),42.17)</f>
        <v>42.17</v>
      </c>
      <c r="BM153" s="3">
        <f ca="1">IFERROR(__xludf.DUMMYFUNCTION("""COMPUTED_VALUE"""),42.66)</f>
        <v>42.66</v>
      </c>
      <c r="BN153" s="3">
        <f ca="1">IFERROR(__xludf.DUMMYFUNCTION("""COMPUTED_VALUE"""),13515101)</f>
        <v>13515101</v>
      </c>
    </row>
    <row r="154" spans="7:66" ht="13" x14ac:dyDescent="0.15">
      <c r="G154" s="4">
        <f ca="1">IFERROR(__xludf.DUMMYFUNCTION("""COMPUTED_VALUE"""),42346.6666666666)</f>
        <v>42346.666666666599</v>
      </c>
      <c r="H154" s="3">
        <f ca="1">IFERROR(__xludf.DUMMYFUNCTION("""COMPUTED_VALUE"""),80.2)</f>
        <v>80.2</v>
      </c>
      <c r="I154" s="3">
        <f ca="1">IFERROR(__xludf.DUMMYFUNCTION("""COMPUTED_VALUE"""),81.04)</f>
        <v>81.040000000000006</v>
      </c>
      <c r="J154" s="3">
        <f ca="1">IFERROR(__xludf.DUMMYFUNCTION("""COMPUTED_VALUE"""),79.99)</f>
        <v>79.989999999999995</v>
      </c>
      <c r="K154" s="3">
        <f ca="1">IFERROR(__xludf.DUMMYFUNCTION("""COMPUTED_VALUE"""),80.64)</f>
        <v>80.64</v>
      </c>
      <c r="L154" s="3">
        <f ca="1">IFERROR(__xludf.DUMMYFUNCTION("""COMPUTED_VALUE"""),6083455)</f>
        <v>6083455</v>
      </c>
      <c r="M154" s="4">
        <f ca="1">IFERROR(__xludf.DUMMYFUNCTION("""COMPUTED_VALUE"""),42346.6666666666)</f>
        <v>42346.666666666599</v>
      </c>
      <c r="N154" s="3">
        <f ca="1">IFERROR(__xludf.DUMMYFUNCTION("""COMPUTED_VALUE"""),50.26)</f>
        <v>50.26</v>
      </c>
      <c r="O154" s="3">
        <f ca="1">IFERROR(__xludf.DUMMYFUNCTION("""COMPUTED_VALUE"""),50.56)</f>
        <v>50.56</v>
      </c>
      <c r="P154" s="3">
        <f ca="1">IFERROR(__xludf.DUMMYFUNCTION("""COMPUTED_VALUE"""),50.15)</f>
        <v>50.15</v>
      </c>
      <c r="Q154" s="3">
        <f ca="1">IFERROR(__xludf.DUMMYFUNCTION("""COMPUTED_VALUE"""),50.45)</f>
        <v>50.45</v>
      </c>
      <c r="R154" s="3">
        <f ca="1">IFERROR(__xludf.DUMMYFUNCTION("""COMPUTED_VALUE"""),6436418)</f>
        <v>6436418</v>
      </c>
      <c r="S154" s="4">
        <f ca="1">IFERROR(__xludf.DUMMYFUNCTION("""COMPUTED_VALUE"""),42346.6666666666)</f>
        <v>42346.666666666599</v>
      </c>
      <c r="T154" s="3">
        <f ca="1">IFERROR(__xludf.DUMMYFUNCTION("""COMPUTED_VALUE"""),60.87)</f>
        <v>60.87</v>
      </c>
      <c r="U154" s="3">
        <f ca="1">IFERROR(__xludf.DUMMYFUNCTION("""COMPUTED_VALUE"""),62.44)</f>
        <v>62.44</v>
      </c>
      <c r="V154" s="3">
        <f ca="1">IFERROR(__xludf.DUMMYFUNCTION("""COMPUTED_VALUE"""),60.25)</f>
        <v>60.25</v>
      </c>
      <c r="W154" s="3">
        <f ca="1">IFERROR(__xludf.DUMMYFUNCTION("""COMPUTED_VALUE"""),61.6)</f>
        <v>61.6</v>
      </c>
      <c r="X154" s="3">
        <f ca="1">IFERROR(__xludf.DUMMYFUNCTION("""COMPUTED_VALUE"""),27336929)</f>
        <v>27336929</v>
      </c>
      <c r="Y154" s="4">
        <f ca="1">IFERROR(__xludf.DUMMYFUNCTION("""COMPUTED_VALUE"""),42346.6666666666)</f>
        <v>42346.666666666599</v>
      </c>
      <c r="Z154" s="3">
        <f ca="1">IFERROR(__xludf.DUMMYFUNCTION("""COMPUTED_VALUE"""),19.72)</f>
        <v>19.72</v>
      </c>
      <c r="AA154" s="3">
        <f ca="1">IFERROR(__xludf.DUMMYFUNCTION("""COMPUTED_VALUE"""),19.86)</f>
        <v>19.86</v>
      </c>
      <c r="AB154" s="3">
        <f ca="1">IFERROR(__xludf.DUMMYFUNCTION("""COMPUTED_VALUE"""),19.64)</f>
        <v>19.64</v>
      </c>
      <c r="AC154" s="3">
        <f ca="1">IFERROR(__xludf.DUMMYFUNCTION("""COMPUTED_VALUE"""),19.68)</f>
        <v>19.68</v>
      </c>
      <c r="AD154" s="3">
        <f ca="1">IFERROR(__xludf.DUMMYFUNCTION("""COMPUTED_VALUE"""),28999033)</f>
        <v>28999033</v>
      </c>
      <c r="AE154" s="4">
        <f ca="1">IFERROR(__xludf.DUMMYFUNCTION("""COMPUTED_VALUE"""),42346.6666666666)</f>
        <v>42346.666666666599</v>
      </c>
      <c r="AF154" s="3">
        <f ca="1">IFERROR(__xludf.DUMMYFUNCTION("""COMPUTED_VALUE"""),70.84)</f>
        <v>70.84</v>
      </c>
      <c r="AG154" s="3">
        <f ca="1">IFERROR(__xludf.DUMMYFUNCTION("""COMPUTED_VALUE"""),71.74)</f>
        <v>71.739999999999995</v>
      </c>
      <c r="AH154" s="3">
        <f ca="1">IFERROR(__xludf.DUMMYFUNCTION("""COMPUTED_VALUE"""),70.84)</f>
        <v>70.84</v>
      </c>
      <c r="AI154" s="3">
        <f ca="1">IFERROR(__xludf.DUMMYFUNCTION("""COMPUTED_VALUE"""),71.54)</f>
        <v>71.540000000000006</v>
      </c>
      <c r="AJ154" s="3">
        <f ca="1">IFERROR(__xludf.DUMMYFUNCTION("""COMPUTED_VALUE"""),7483564)</f>
        <v>7483564</v>
      </c>
      <c r="AK154" s="4">
        <f ca="1">IFERROR(__xludf.DUMMYFUNCTION("""COMPUTED_VALUE"""),42346.6666666666)</f>
        <v>42346.666666666599</v>
      </c>
      <c r="AL154" s="3">
        <f ca="1">IFERROR(__xludf.DUMMYFUNCTION("""COMPUTED_VALUE"""),53.58)</f>
        <v>53.58</v>
      </c>
      <c r="AM154" s="3">
        <f ca="1">IFERROR(__xludf.DUMMYFUNCTION("""COMPUTED_VALUE"""),53.84)</f>
        <v>53.84</v>
      </c>
      <c r="AN154" s="3">
        <f ca="1">IFERROR(__xludf.DUMMYFUNCTION("""COMPUTED_VALUE"""),53.32)</f>
        <v>53.32</v>
      </c>
      <c r="AO154" s="3">
        <f ca="1">IFERROR(__xludf.DUMMYFUNCTION("""COMPUTED_VALUE"""),53.42)</f>
        <v>53.42</v>
      </c>
      <c r="AP154" s="3">
        <f ca="1">IFERROR(__xludf.DUMMYFUNCTION("""COMPUTED_VALUE"""),15508631)</f>
        <v>15508631</v>
      </c>
      <c r="AQ154" s="4">
        <f ca="1">IFERROR(__xludf.DUMMYFUNCTION("""COMPUTED_VALUE"""),42346.6666666666)</f>
        <v>42346.666666666599</v>
      </c>
      <c r="AR154" s="3">
        <f ca="1">IFERROR(__xludf.DUMMYFUNCTION("""COMPUTED_VALUE"""),44.53)</f>
        <v>44.53</v>
      </c>
      <c r="AS154" s="3">
        <f ca="1">IFERROR(__xludf.DUMMYFUNCTION("""COMPUTED_VALUE"""),44.91)</f>
        <v>44.91</v>
      </c>
      <c r="AT154" s="3">
        <f ca="1">IFERROR(__xludf.DUMMYFUNCTION("""COMPUTED_VALUE"""),44.09)</f>
        <v>44.09</v>
      </c>
      <c r="AU154" s="3">
        <f ca="1">IFERROR(__xludf.DUMMYFUNCTION("""COMPUTED_VALUE"""),44.15)</f>
        <v>44.15</v>
      </c>
      <c r="AV154" s="3">
        <f ca="1">IFERROR(__xludf.DUMMYFUNCTION("""COMPUTED_VALUE"""),7426193)</f>
        <v>7426193</v>
      </c>
      <c r="AW154" s="4">
        <f ca="1">IFERROR(__xludf.DUMMYFUNCTION("""COMPUTED_VALUE"""),42513.6666666666)</f>
        <v>42513.666666666599</v>
      </c>
      <c r="AX154" s="3">
        <f ca="1">IFERROR(__xludf.DUMMYFUNCTION("""COMPUTED_VALUE"""),31.41)</f>
        <v>31.41</v>
      </c>
      <c r="AY154" s="3">
        <f ca="1">IFERROR(__xludf.DUMMYFUNCTION("""COMPUTED_VALUE"""),31.42)</f>
        <v>31.42</v>
      </c>
      <c r="AZ154" s="3">
        <f ca="1">IFERROR(__xludf.DUMMYFUNCTION("""COMPUTED_VALUE"""),31.35)</f>
        <v>31.35</v>
      </c>
      <c r="BA154" s="3">
        <f ca="1">IFERROR(__xludf.DUMMYFUNCTION("""COMPUTED_VALUE"""),31.38)</f>
        <v>31.38</v>
      </c>
      <c r="BB154" s="3">
        <f ca="1">IFERROR(__xludf.DUMMYFUNCTION("""COMPUTED_VALUE"""),4170)</f>
        <v>4170</v>
      </c>
      <c r="BC154" s="4">
        <f ca="1">IFERROR(__xludf.DUMMYFUNCTION("""COMPUTED_VALUE"""),42346.6666666666)</f>
        <v>42346.666666666599</v>
      </c>
      <c r="BD154" s="3">
        <f ca="1">IFERROR(__xludf.DUMMYFUNCTION("""COMPUTED_VALUE"""),43.97)</f>
        <v>43.97</v>
      </c>
      <c r="BE154" s="3">
        <f ca="1">IFERROR(__xludf.DUMMYFUNCTION("""COMPUTED_VALUE"""),44.36)</f>
        <v>44.36</v>
      </c>
      <c r="BF154" s="3">
        <f ca="1">IFERROR(__xludf.DUMMYFUNCTION("""COMPUTED_VALUE"""),43.84)</f>
        <v>43.84</v>
      </c>
      <c r="BG154" s="3">
        <f ca="1">IFERROR(__xludf.DUMMYFUNCTION("""COMPUTED_VALUE"""),44.24)</f>
        <v>44.24</v>
      </c>
      <c r="BH154" s="3">
        <f ca="1">IFERROR(__xludf.DUMMYFUNCTION("""COMPUTED_VALUE"""),11378344)</f>
        <v>11378344</v>
      </c>
      <c r="BI154" s="4">
        <f ca="1">IFERROR(__xludf.DUMMYFUNCTION("""COMPUTED_VALUE"""),42346.6666666666)</f>
        <v>42346.666666666599</v>
      </c>
      <c r="BJ154" s="3">
        <f ca="1">IFERROR(__xludf.DUMMYFUNCTION("""COMPUTED_VALUE"""),42.49)</f>
        <v>42.49</v>
      </c>
      <c r="BK154" s="3">
        <f ca="1">IFERROR(__xludf.DUMMYFUNCTION("""COMPUTED_VALUE"""),42.66)</f>
        <v>42.66</v>
      </c>
      <c r="BL154" s="3">
        <f ca="1">IFERROR(__xludf.DUMMYFUNCTION("""COMPUTED_VALUE"""),42.26)</f>
        <v>42.26</v>
      </c>
      <c r="BM154" s="3">
        <f ca="1">IFERROR(__xludf.DUMMYFUNCTION("""COMPUTED_VALUE"""),42.6)</f>
        <v>42.6</v>
      </c>
      <c r="BN154" s="3">
        <f ca="1">IFERROR(__xludf.DUMMYFUNCTION("""COMPUTED_VALUE"""),10638145)</f>
        <v>10638145</v>
      </c>
    </row>
    <row r="155" spans="7:66" ht="13" x14ac:dyDescent="0.15">
      <c r="G155" s="4">
        <f ca="1">IFERROR(__xludf.DUMMYFUNCTION("""COMPUTED_VALUE"""),42347.6666666666)</f>
        <v>42347.666666666599</v>
      </c>
      <c r="H155" s="3">
        <f ca="1">IFERROR(__xludf.DUMMYFUNCTION("""COMPUTED_VALUE"""),80.48)</f>
        <v>80.48</v>
      </c>
      <c r="I155" s="3">
        <f ca="1">IFERROR(__xludf.DUMMYFUNCTION("""COMPUTED_VALUE"""),81.07)</f>
        <v>81.069999999999993</v>
      </c>
      <c r="J155" s="3">
        <f ca="1">IFERROR(__xludf.DUMMYFUNCTION("""COMPUTED_VALUE"""),79.23)</f>
        <v>79.23</v>
      </c>
      <c r="K155" s="3">
        <f ca="1">IFERROR(__xludf.DUMMYFUNCTION("""COMPUTED_VALUE"""),79.61)</f>
        <v>79.61</v>
      </c>
      <c r="L155" s="3">
        <f ca="1">IFERROR(__xludf.DUMMYFUNCTION("""COMPUTED_VALUE"""),9735757)</f>
        <v>9735757</v>
      </c>
      <c r="M155" s="4">
        <f ca="1">IFERROR(__xludf.DUMMYFUNCTION("""COMPUTED_VALUE"""),42347.6666666666)</f>
        <v>42347.666666666599</v>
      </c>
      <c r="N155" s="3">
        <f ca="1">IFERROR(__xludf.DUMMYFUNCTION("""COMPUTED_VALUE"""),50.17)</f>
        <v>50.17</v>
      </c>
      <c r="O155" s="3">
        <f ca="1">IFERROR(__xludf.DUMMYFUNCTION("""COMPUTED_VALUE"""),50.71)</f>
        <v>50.71</v>
      </c>
      <c r="P155" s="3">
        <f ca="1">IFERROR(__xludf.DUMMYFUNCTION("""COMPUTED_VALUE"""),49.77)</f>
        <v>49.77</v>
      </c>
      <c r="Q155" s="3">
        <f ca="1">IFERROR(__xludf.DUMMYFUNCTION("""COMPUTED_VALUE"""),49.97)</f>
        <v>49.97</v>
      </c>
      <c r="R155" s="3">
        <f ca="1">IFERROR(__xludf.DUMMYFUNCTION("""COMPUTED_VALUE"""),18821804)</f>
        <v>18821804</v>
      </c>
      <c r="S155" s="4">
        <f ca="1">IFERROR(__xludf.DUMMYFUNCTION("""COMPUTED_VALUE"""),42347.6666666666)</f>
        <v>42347.666666666599</v>
      </c>
      <c r="T155" s="3">
        <f ca="1">IFERROR(__xludf.DUMMYFUNCTION("""COMPUTED_VALUE"""),61.88)</f>
        <v>61.88</v>
      </c>
      <c r="U155" s="3">
        <f ca="1">IFERROR(__xludf.DUMMYFUNCTION("""COMPUTED_VALUE"""),63.73)</f>
        <v>63.73</v>
      </c>
      <c r="V155" s="3">
        <f ca="1">IFERROR(__xludf.DUMMYFUNCTION("""COMPUTED_VALUE"""),61.53)</f>
        <v>61.53</v>
      </c>
      <c r="W155" s="3">
        <f ca="1">IFERROR(__xludf.DUMMYFUNCTION("""COMPUTED_VALUE"""),62.41)</f>
        <v>62.41</v>
      </c>
      <c r="X155" s="3">
        <f ca="1">IFERROR(__xludf.DUMMYFUNCTION("""COMPUTED_VALUE"""),28756918)</f>
        <v>28756918</v>
      </c>
      <c r="Y155" s="4">
        <f ca="1">IFERROR(__xludf.DUMMYFUNCTION("""COMPUTED_VALUE"""),42347.6666666666)</f>
        <v>42347.666666666599</v>
      </c>
      <c r="Z155" s="3">
        <f ca="1">IFERROR(__xludf.DUMMYFUNCTION("""COMPUTED_VALUE"""),19.59)</f>
        <v>19.59</v>
      </c>
      <c r="AA155" s="3">
        <f ca="1">IFERROR(__xludf.DUMMYFUNCTION("""COMPUTED_VALUE"""),19.81)</f>
        <v>19.809999999999999</v>
      </c>
      <c r="AB155" s="3">
        <f ca="1">IFERROR(__xludf.DUMMYFUNCTION("""COMPUTED_VALUE"""),19.34)</f>
        <v>19.34</v>
      </c>
      <c r="AC155" s="3">
        <f ca="1">IFERROR(__xludf.DUMMYFUNCTION("""COMPUTED_VALUE"""),19.46)</f>
        <v>19.46</v>
      </c>
      <c r="AD155" s="3">
        <f ca="1">IFERROR(__xludf.DUMMYFUNCTION("""COMPUTED_VALUE"""),54122513)</f>
        <v>54122513</v>
      </c>
      <c r="AE155" s="4">
        <f ca="1">IFERROR(__xludf.DUMMYFUNCTION("""COMPUTED_VALUE"""),42347.6666666666)</f>
        <v>42347.666666666599</v>
      </c>
      <c r="AF155" s="3">
        <f ca="1">IFERROR(__xludf.DUMMYFUNCTION("""COMPUTED_VALUE"""),71.21)</f>
        <v>71.209999999999994</v>
      </c>
      <c r="AG155" s="3">
        <f ca="1">IFERROR(__xludf.DUMMYFUNCTION("""COMPUTED_VALUE"""),71.9)</f>
        <v>71.900000000000006</v>
      </c>
      <c r="AH155" s="3">
        <f ca="1">IFERROR(__xludf.DUMMYFUNCTION("""COMPUTED_VALUE"""),70.54)</f>
        <v>70.540000000000006</v>
      </c>
      <c r="AI155" s="3">
        <f ca="1">IFERROR(__xludf.DUMMYFUNCTION("""COMPUTED_VALUE"""),70.82)</f>
        <v>70.819999999999993</v>
      </c>
      <c r="AJ155" s="3">
        <f ca="1">IFERROR(__xludf.DUMMYFUNCTION("""COMPUTED_VALUE"""),17593633)</f>
        <v>17593633</v>
      </c>
      <c r="AK155" s="4">
        <f ca="1">IFERROR(__xludf.DUMMYFUNCTION("""COMPUTED_VALUE"""),42347.6666666666)</f>
        <v>42347.666666666599</v>
      </c>
      <c r="AL155" s="3">
        <f ca="1">IFERROR(__xludf.DUMMYFUNCTION("""COMPUTED_VALUE"""),53.22)</f>
        <v>53.22</v>
      </c>
      <c r="AM155" s="3">
        <f ca="1">IFERROR(__xludf.DUMMYFUNCTION("""COMPUTED_VALUE"""),53.9)</f>
        <v>53.9</v>
      </c>
      <c r="AN155" s="3">
        <f ca="1">IFERROR(__xludf.DUMMYFUNCTION("""COMPUTED_VALUE"""),52.91)</f>
        <v>52.91</v>
      </c>
      <c r="AO155" s="3">
        <f ca="1">IFERROR(__xludf.DUMMYFUNCTION("""COMPUTED_VALUE"""),53.26)</f>
        <v>53.26</v>
      </c>
      <c r="AP155" s="3">
        <f ca="1">IFERROR(__xludf.DUMMYFUNCTION("""COMPUTED_VALUE"""),16784101)</f>
        <v>16784101</v>
      </c>
      <c r="AQ155" s="4">
        <f ca="1">IFERROR(__xludf.DUMMYFUNCTION("""COMPUTED_VALUE"""),42347.6666666666)</f>
        <v>42347.666666666599</v>
      </c>
      <c r="AR155" s="3">
        <f ca="1">IFERROR(__xludf.DUMMYFUNCTION("""COMPUTED_VALUE"""),45.29)</f>
        <v>45.29</v>
      </c>
      <c r="AS155" s="3">
        <f ca="1">IFERROR(__xludf.DUMMYFUNCTION("""COMPUTED_VALUE"""),46.06)</f>
        <v>46.06</v>
      </c>
      <c r="AT155" s="3">
        <f ca="1">IFERROR(__xludf.DUMMYFUNCTION("""COMPUTED_VALUE"""),45.01)</f>
        <v>45.01</v>
      </c>
      <c r="AU155" s="3">
        <f ca="1">IFERROR(__xludf.DUMMYFUNCTION("""COMPUTED_VALUE"""),45.48)</f>
        <v>45.48</v>
      </c>
      <c r="AV155" s="3">
        <f ca="1">IFERROR(__xludf.DUMMYFUNCTION("""COMPUTED_VALUE"""),12961441)</f>
        <v>12961441</v>
      </c>
      <c r="AW155" s="4">
        <f ca="1">IFERROR(__xludf.DUMMYFUNCTION("""COMPUTED_VALUE"""),42514.6666666666)</f>
        <v>42514.666666666599</v>
      </c>
      <c r="AX155" s="3">
        <f ca="1">IFERROR(__xludf.DUMMYFUNCTION("""COMPUTED_VALUE"""),31.7)</f>
        <v>31.7</v>
      </c>
      <c r="AY155" s="3">
        <f ca="1">IFERROR(__xludf.DUMMYFUNCTION("""COMPUTED_VALUE"""),31.72)</f>
        <v>31.72</v>
      </c>
      <c r="AZ155" s="3">
        <f ca="1">IFERROR(__xludf.DUMMYFUNCTION("""COMPUTED_VALUE"""),31.59)</f>
        <v>31.59</v>
      </c>
      <c r="BA155" s="3">
        <f ca="1">IFERROR(__xludf.DUMMYFUNCTION("""COMPUTED_VALUE"""),31.59)</f>
        <v>31.59</v>
      </c>
      <c r="BB155" s="3">
        <f ca="1">IFERROR(__xludf.DUMMYFUNCTION("""COMPUTED_VALUE"""),3454)</f>
        <v>3454</v>
      </c>
      <c r="BC155" s="4">
        <f ca="1">IFERROR(__xludf.DUMMYFUNCTION("""COMPUTED_VALUE"""),42347.6666666666)</f>
        <v>42347.666666666599</v>
      </c>
      <c r="BD155" s="3">
        <f ca="1">IFERROR(__xludf.DUMMYFUNCTION("""COMPUTED_VALUE"""),44.05)</f>
        <v>44.05</v>
      </c>
      <c r="BE155" s="3">
        <f ca="1">IFERROR(__xludf.DUMMYFUNCTION("""COMPUTED_VALUE"""),44.38)</f>
        <v>44.38</v>
      </c>
      <c r="BF155" s="3">
        <f ca="1">IFERROR(__xludf.DUMMYFUNCTION("""COMPUTED_VALUE"""),43.38)</f>
        <v>43.38</v>
      </c>
      <c r="BG155" s="3">
        <f ca="1">IFERROR(__xludf.DUMMYFUNCTION("""COMPUTED_VALUE"""),43.59)</f>
        <v>43.59</v>
      </c>
      <c r="BH155" s="3">
        <f ca="1">IFERROR(__xludf.DUMMYFUNCTION("""COMPUTED_VALUE"""),16254221)</f>
        <v>16254221</v>
      </c>
      <c r="BI155" s="4">
        <f ca="1">IFERROR(__xludf.DUMMYFUNCTION("""COMPUTED_VALUE"""),42347.6666666666)</f>
        <v>42347.666666666599</v>
      </c>
      <c r="BJ155" s="3">
        <f ca="1">IFERROR(__xludf.DUMMYFUNCTION("""COMPUTED_VALUE"""),42.41)</f>
        <v>42.41</v>
      </c>
      <c r="BK155" s="3">
        <f ca="1">IFERROR(__xludf.DUMMYFUNCTION("""COMPUTED_VALUE"""),43.06)</f>
        <v>43.06</v>
      </c>
      <c r="BL155" s="3">
        <f ca="1">IFERROR(__xludf.DUMMYFUNCTION("""COMPUTED_VALUE"""),42.27)</f>
        <v>42.27</v>
      </c>
      <c r="BM155" s="3">
        <f ca="1">IFERROR(__xludf.DUMMYFUNCTION("""COMPUTED_VALUE"""),42.61)</f>
        <v>42.61</v>
      </c>
      <c r="BN155" s="3">
        <f ca="1">IFERROR(__xludf.DUMMYFUNCTION("""COMPUTED_VALUE"""),10675803)</f>
        <v>10675803</v>
      </c>
    </row>
    <row r="156" spans="7:66" ht="13" x14ac:dyDescent="0.15">
      <c r="G156" s="4">
        <f ca="1">IFERROR(__xludf.DUMMYFUNCTION("""COMPUTED_VALUE"""),42348.6666666666)</f>
        <v>42348.666666666599</v>
      </c>
      <c r="H156" s="3">
        <f ca="1">IFERROR(__xludf.DUMMYFUNCTION("""COMPUTED_VALUE"""),79.83)</f>
        <v>79.83</v>
      </c>
      <c r="I156" s="3">
        <f ca="1">IFERROR(__xludf.DUMMYFUNCTION("""COMPUTED_VALUE"""),80.38)</f>
        <v>80.38</v>
      </c>
      <c r="J156" s="3">
        <f ca="1">IFERROR(__xludf.DUMMYFUNCTION("""COMPUTED_VALUE"""),79.54)</f>
        <v>79.540000000000006</v>
      </c>
      <c r="K156" s="3">
        <f ca="1">IFERROR(__xludf.DUMMYFUNCTION("""COMPUTED_VALUE"""),79.88)</f>
        <v>79.88</v>
      </c>
      <c r="L156" s="3">
        <f ca="1">IFERROR(__xludf.DUMMYFUNCTION("""COMPUTED_VALUE"""),4730117)</f>
        <v>4730117</v>
      </c>
      <c r="M156" s="4">
        <f ca="1">IFERROR(__xludf.DUMMYFUNCTION("""COMPUTED_VALUE"""),42348.6666666666)</f>
        <v>42348.666666666599</v>
      </c>
      <c r="N156" s="3">
        <f ca="1">IFERROR(__xludf.DUMMYFUNCTION("""COMPUTED_VALUE"""),50.08)</f>
        <v>50.08</v>
      </c>
      <c r="O156" s="3">
        <f ca="1">IFERROR(__xludf.DUMMYFUNCTION("""COMPUTED_VALUE"""),50.35)</f>
        <v>50.35</v>
      </c>
      <c r="P156" s="3">
        <f ca="1">IFERROR(__xludf.DUMMYFUNCTION("""COMPUTED_VALUE"""),49.88)</f>
        <v>49.88</v>
      </c>
      <c r="Q156" s="3">
        <f ca="1">IFERROR(__xludf.DUMMYFUNCTION("""COMPUTED_VALUE"""),50.03)</f>
        <v>50.03</v>
      </c>
      <c r="R156" s="3">
        <f ca="1">IFERROR(__xludf.DUMMYFUNCTION("""COMPUTED_VALUE"""),7842722)</f>
        <v>7842722</v>
      </c>
      <c r="S156" s="4">
        <f ca="1">IFERROR(__xludf.DUMMYFUNCTION("""COMPUTED_VALUE"""),42348.6666666666)</f>
        <v>42348.666666666599</v>
      </c>
      <c r="T156" s="3">
        <f ca="1">IFERROR(__xludf.DUMMYFUNCTION("""COMPUTED_VALUE"""),62.44)</f>
        <v>62.44</v>
      </c>
      <c r="U156" s="3">
        <f ca="1">IFERROR(__xludf.DUMMYFUNCTION("""COMPUTED_VALUE"""),63.74)</f>
        <v>63.74</v>
      </c>
      <c r="V156" s="3">
        <f ca="1">IFERROR(__xludf.DUMMYFUNCTION("""COMPUTED_VALUE"""),62.01)</f>
        <v>62.01</v>
      </c>
      <c r="W156" s="3">
        <f ca="1">IFERROR(__xludf.DUMMYFUNCTION("""COMPUTED_VALUE"""),62.81)</f>
        <v>62.81</v>
      </c>
      <c r="X156" s="3">
        <f ca="1">IFERROR(__xludf.DUMMYFUNCTION("""COMPUTED_VALUE"""),38914867)</f>
        <v>38914867</v>
      </c>
      <c r="Y156" s="4">
        <f ca="1">IFERROR(__xludf.DUMMYFUNCTION("""COMPUTED_VALUE"""),42348.6666666666)</f>
        <v>42348.666666666599</v>
      </c>
      <c r="Z156" s="3">
        <f ca="1">IFERROR(__xludf.DUMMYFUNCTION("""COMPUTED_VALUE"""),19.45)</f>
        <v>19.45</v>
      </c>
      <c r="AA156" s="3">
        <f ca="1">IFERROR(__xludf.DUMMYFUNCTION("""COMPUTED_VALUE"""),19.66)</f>
        <v>19.66</v>
      </c>
      <c r="AB156" s="3">
        <f ca="1">IFERROR(__xludf.DUMMYFUNCTION("""COMPUTED_VALUE"""),19.38)</f>
        <v>19.38</v>
      </c>
      <c r="AC156" s="3">
        <f ca="1">IFERROR(__xludf.DUMMYFUNCTION("""COMPUTED_VALUE"""),19.47)</f>
        <v>19.47</v>
      </c>
      <c r="AD156" s="3">
        <f ca="1">IFERROR(__xludf.DUMMYFUNCTION("""COMPUTED_VALUE"""),47247225)</f>
        <v>47247225</v>
      </c>
      <c r="AE156" s="4">
        <f ca="1">IFERROR(__xludf.DUMMYFUNCTION("""COMPUTED_VALUE"""),42348.6666666666)</f>
        <v>42348.666666666599</v>
      </c>
      <c r="AF156" s="3">
        <f ca="1">IFERROR(__xludf.DUMMYFUNCTION("""COMPUTED_VALUE"""),70.82)</f>
        <v>70.819999999999993</v>
      </c>
      <c r="AG156" s="3">
        <f ca="1">IFERROR(__xludf.DUMMYFUNCTION("""COMPUTED_VALUE"""),71.84)</f>
        <v>71.84</v>
      </c>
      <c r="AH156" s="3">
        <f ca="1">IFERROR(__xludf.DUMMYFUNCTION("""COMPUTED_VALUE"""),70.75)</f>
        <v>70.75</v>
      </c>
      <c r="AI156" s="3">
        <f ca="1">IFERROR(__xludf.DUMMYFUNCTION("""COMPUTED_VALUE"""),71.35)</f>
        <v>71.349999999999994</v>
      </c>
      <c r="AJ156" s="3">
        <f ca="1">IFERROR(__xludf.DUMMYFUNCTION("""COMPUTED_VALUE"""),9778498)</f>
        <v>9778498</v>
      </c>
      <c r="AK156" s="4">
        <f ca="1">IFERROR(__xludf.DUMMYFUNCTION("""COMPUTED_VALUE"""),42348.6666666666)</f>
        <v>42348.666666666599</v>
      </c>
      <c r="AL156" s="3">
        <f ca="1">IFERROR(__xludf.DUMMYFUNCTION("""COMPUTED_VALUE"""),53.21)</f>
        <v>53.21</v>
      </c>
      <c r="AM156" s="3">
        <f ca="1">IFERROR(__xludf.DUMMYFUNCTION("""COMPUTED_VALUE"""),53.86)</f>
        <v>53.86</v>
      </c>
      <c r="AN156" s="3">
        <f ca="1">IFERROR(__xludf.DUMMYFUNCTION("""COMPUTED_VALUE"""),53.21)</f>
        <v>53.21</v>
      </c>
      <c r="AO156" s="3">
        <f ca="1">IFERROR(__xludf.DUMMYFUNCTION("""COMPUTED_VALUE"""),53.51)</f>
        <v>53.51</v>
      </c>
      <c r="AP156" s="3">
        <f ca="1">IFERROR(__xludf.DUMMYFUNCTION("""COMPUTED_VALUE"""),13231598)</f>
        <v>13231598</v>
      </c>
      <c r="AQ156" s="4">
        <f ca="1">IFERROR(__xludf.DUMMYFUNCTION("""COMPUTED_VALUE"""),42348.6666666666)</f>
        <v>42348.666666666599</v>
      </c>
      <c r="AR156" s="3">
        <f ca="1">IFERROR(__xludf.DUMMYFUNCTION("""COMPUTED_VALUE"""),45.2)</f>
        <v>45.2</v>
      </c>
      <c r="AS156" s="3">
        <f ca="1">IFERROR(__xludf.DUMMYFUNCTION("""COMPUTED_VALUE"""),45.57)</f>
        <v>45.57</v>
      </c>
      <c r="AT156" s="3">
        <f ca="1">IFERROR(__xludf.DUMMYFUNCTION("""COMPUTED_VALUE"""),44.84)</f>
        <v>44.84</v>
      </c>
      <c r="AU156" s="3">
        <f ca="1">IFERROR(__xludf.DUMMYFUNCTION("""COMPUTED_VALUE"""),45.14)</f>
        <v>45.14</v>
      </c>
      <c r="AV156" s="3">
        <f ca="1">IFERROR(__xludf.DUMMYFUNCTION("""COMPUTED_VALUE"""),5285799)</f>
        <v>5285799</v>
      </c>
      <c r="AW156" s="4">
        <f ca="1">IFERROR(__xludf.DUMMYFUNCTION("""COMPUTED_VALUE"""),42515.6666666666)</f>
        <v>42515.666666666599</v>
      </c>
      <c r="AX156" s="3">
        <f ca="1">IFERROR(__xludf.DUMMYFUNCTION("""COMPUTED_VALUE"""),31.9)</f>
        <v>31.9</v>
      </c>
      <c r="AY156" s="3">
        <f ca="1">IFERROR(__xludf.DUMMYFUNCTION("""COMPUTED_VALUE"""),31.9)</f>
        <v>31.9</v>
      </c>
      <c r="AZ156" s="3">
        <f ca="1">IFERROR(__xludf.DUMMYFUNCTION("""COMPUTED_VALUE"""),31.47)</f>
        <v>31.47</v>
      </c>
      <c r="BA156" s="3">
        <f ca="1">IFERROR(__xludf.DUMMYFUNCTION("""COMPUTED_VALUE"""),31.8)</f>
        <v>31.8</v>
      </c>
      <c r="BB156" s="3">
        <f ca="1">IFERROR(__xludf.DUMMYFUNCTION("""COMPUTED_VALUE"""),5621)</f>
        <v>5621</v>
      </c>
      <c r="BC156" s="4">
        <f ca="1">IFERROR(__xludf.DUMMYFUNCTION("""COMPUTED_VALUE"""),42348.6666666666)</f>
        <v>42348.666666666599</v>
      </c>
      <c r="BD156" s="3">
        <f ca="1">IFERROR(__xludf.DUMMYFUNCTION("""COMPUTED_VALUE"""),43.71)</f>
        <v>43.71</v>
      </c>
      <c r="BE156" s="3">
        <f ca="1">IFERROR(__xludf.DUMMYFUNCTION("""COMPUTED_VALUE"""),44.04)</f>
        <v>44.04</v>
      </c>
      <c r="BF156" s="3">
        <f ca="1">IFERROR(__xludf.DUMMYFUNCTION("""COMPUTED_VALUE"""),43.58)</f>
        <v>43.58</v>
      </c>
      <c r="BG156" s="3">
        <f ca="1">IFERROR(__xludf.DUMMYFUNCTION("""COMPUTED_VALUE"""),43.71)</f>
        <v>43.71</v>
      </c>
      <c r="BH156" s="3">
        <f ca="1">IFERROR(__xludf.DUMMYFUNCTION("""COMPUTED_VALUE"""),9073446)</f>
        <v>9073446</v>
      </c>
      <c r="BI156" s="4">
        <f ca="1">IFERROR(__xludf.DUMMYFUNCTION("""COMPUTED_VALUE"""),42348.6666666666)</f>
        <v>42348.666666666599</v>
      </c>
      <c r="BJ156" s="3">
        <f ca="1">IFERROR(__xludf.DUMMYFUNCTION("""COMPUTED_VALUE"""),42.55)</f>
        <v>42.55</v>
      </c>
      <c r="BK156" s="3">
        <f ca="1">IFERROR(__xludf.DUMMYFUNCTION("""COMPUTED_VALUE"""),42.63)</f>
        <v>42.63</v>
      </c>
      <c r="BL156" s="3">
        <f ca="1">IFERROR(__xludf.DUMMYFUNCTION("""COMPUTED_VALUE"""),41.87)</f>
        <v>41.87</v>
      </c>
      <c r="BM156" s="3">
        <f ca="1">IFERROR(__xludf.DUMMYFUNCTION("""COMPUTED_VALUE"""),41.91)</f>
        <v>41.91</v>
      </c>
      <c r="BN156" s="3">
        <f ca="1">IFERROR(__xludf.DUMMYFUNCTION("""COMPUTED_VALUE"""),9683649)</f>
        <v>9683649</v>
      </c>
    </row>
    <row r="157" spans="7:66" ht="13" x14ac:dyDescent="0.15">
      <c r="G157" s="4">
        <f ca="1">IFERROR(__xludf.DUMMYFUNCTION("""COMPUTED_VALUE"""),42349.6666666666)</f>
        <v>42349.666666666599</v>
      </c>
      <c r="H157" s="3">
        <f ca="1">IFERROR(__xludf.DUMMYFUNCTION("""COMPUTED_VALUE"""),78.83)</f>
        <v>78.83</v>
      </c>
      <c r="I157" s="3">
        <f ca="1">IFERROR(__xludf.DUMMYFUNCTION("""COMPUTED_VALUE"""),79.13)</f>
        <v>79.13</v>
      </c>
      <c r="J157" s="3">
        <f ca="1">IFERROR(__xludf.DUMMYFUNCTION("""COMPUTED_VALUE"""),77.9)</f>
        <v>77.900000000000006</v>
      </c>
      <c r="K157" s="3">
        <f ca="1">IFERROR(__xludf.DUMMYFUNCTION("""COMPUTED_VALUE"""),78.06)</f>
        <v>78.06</v>
      </c>
      <c r="L157" s="3">
        <f ca="1">IFERROR(__xludf.DUMMYFUNCTION("""COMPUTED_VALUE"""),10104244)</f>
        <v>10104244</v>
      </c>
      <c r="M157" s="4">
        <f ca="1">IFERROR(__xludf.DUMMYFUNCTION("""COMPUTED_VALUE"""),42349.6666666666)</f>
        <v>42349.666666666599</v>
      </c>
      <c r="N157" s="3">
        <f ca="1">IFERROR(__xludf.DUMMYFUNCTION("""COMPUTED_VALUE"""),49.53)</f>
        <v>49.53</v>
      </c>
      <c r="O157" s="3">
        <f ca="1">IFERROR(__xludf.DUMMYFUNCTION("""COMPUTED_VALUE"""),49.83)</f>
        <v>49.83</v>
      </c>
      <c r="P157" s="3">
        <f ca="1">IFERROR(__xludf.DUMMYFUNCTION("""COMPUTED_VALUE"""),49.34)</f>
        <v>49.34</v>
      </c>
      <c r="Q157" s="3">
        <f ca="1">IFERROR(__xludf.DUMMYFUNCTION("""COMPUTED_VALUE"""),49.48)</f>
        <v>49.48</v>
      </c>
      <c r="R157" s="3">
        <f ca="1">IFERROR(__xludf.DUMMYFUNCTION("""COMPUTED_VALUE"""),11597861)</f>
        <v>11597861</v>
      </c>
      <c r="S157" s="4">
        <f ca="1">IFERROR(__xludf.DUMMYFUNCTION("""COMPUTED_VALUE"""),42349.6666666666)</f>
        <v>42349.666666666599</v>
      </c>
      <c r="T157" s="3">
        <f ca="1">IFERROR(__xludf.DUMMYFUNCTION("""COMPUTED_VALUE"""),61.73)</f>
        <v>61.73</v>
      </c>
      <c r="U157" s="3">
        <f ca="1">IFERROR(__xludf.DUMMYFUNCTION("""COMPUTED_VALUE"""),61.96)</f>
        <v>61.96</v>
      </c>
      <c r="V157" s="3">
        <f ca="1">IFERROR(__xludf.DUMMYFUNCTION("""COMPUTED_VALUE"""),60.4)</f>
        <v>60.4</v>
      </c>
      <c r="W157" s="3">
        <f ca="1">IFERROR(__xludf.DUMMYFUNCTION("""COMPUTED_VALUE"""),60.46)</f>
        <v>60.46</v>
      </c>
      <c r="X157" s="3">
        <f ca="1">IFERROR(__xludf.DUMMYFUNCTION("""COMPUTED_VALUE"""),29003987)</f>
        <v>29003987</v>
      </c>
      <c r="Y157" s="4">
        <f ca="1">IFERROR(__xludf.DUMMYFUNCTION("""COMPUTED_VALUE"""),42349.6666666666)</f>
        <v>42349.666666666599</v>
      </c>
      <c r="Z157" s="3">
        <f ca="1">IFERROR(__xludf.DUMMYFUNCTION("""COMPUTED_VALUE"""),19.18)</f>
        <v>19.18</v>
      </c>
      <c r="AA157" s="3">
        <f ca="1">IFERROR(__xludf.DUMMYFUNCTION("""COMPUTED_VALUE"""),19.3)</f>
        <v>19.3</v>
      </c>
      <c r="AB157" s="3">
        <f ca="1">IFERROR(__xludf.DUMMYFUNCTION("""COMPUTED_VALUE"""),18.94)</f>
        <v>18.940000000000001</v>
      </c>
      <c r="AC157" s="3">
        <f ca="1">IFERROR(__xludf.DUMMYFUNCTION("""COMPUTED_VALUE"""),19.04)</f>
        <v>19.04</v>
      </c>
      <c r="AD157" s="3">
        <f ca="1">IFERROR(__xludf.DUMMYFUNCTION("""COMPUTED_VALUE"""),72739253)</f>
        <v>72739253</v>
      </c>
      <c r="AE157" s="4">
        <f ca="1">IFERROR(__xludf.DUMMYFUNCTION("""COMPUTED_VALUE"""),42349.6666666666)</f>
        <v>42349.666666666599</v>
      </c>
      <c r="AF157" s="3">
        <f ca="1">IFERROR(__xludf.DUMMYFUNCTION("""COMPUTED_VALUE"""),70.59)</f>
        <v>70.59</v>
      </c>
      <c r="AG157" s="3">
        <f ca="1">IFERROR(__xludf.DUMMYFUNCTION("""COMPUTED_VALUE"""),70.88)</f>
        <v>70.88</v>
      </c>
      <c r="AH157" s="3">
        <f ca="1">IFERROR(__xludf.DUMMYFUNCTION("""COMPUTED_VALUE"""),70.21)</f>
        <v>70.209999999999994</v>
      </c>
      <c r="AI157" s="3">
        <f ca="1">IFERROR(__xludf.DUMMYFUNCTION("""COMPUTED_VALUE"""),70.3)</f>
        <v>70.3</v>
      </c>
      <c r="AJ157" s="3">
        <f ca="1">IFERROR(__xludf.DUMMYFUNCTION("""COMPUTED_VALUE"""),15178270)</f>
        <v>15178270</v>
      </c>
      <c r="AK157" s="4">
        <f ca="1">IFERROR(__xludf.DUMMYFUNCTION("""COMPUTED_VALUE"""),42349.6666666666)</f>
        <v>42349.666666666599</v>
      </c>
      <c r="AL157" s="3">
        <f ca="1">IFERROR(__xludf.DUMMYFUNCTION("""COMPUTED_VALUE"""),53.07)</f>
        <v>53.07</v>
      </c>
      <c r="AM157" s="3">
        <f ca="1">IFERROR(__xludf.DUMMYFUNCTION("""COMPUTED_VALUE"""),53.21)</f>
        <v>53.21</v>
      </c>
      <c r="AN157" s="3">
        <f ca="1">IFERROR(__xludf.DUMMYFUNCTION("""COMPUTED_VALUE"""),52.53)</f>
        <v>52.53</v>
      </c>
      <c r="AO157" s="3">
        <f ca="1">IFERROR(__xludf.DUMMYFUNCTION("""COMPUTED_VALUE"""),52.61)</f>
        <v>52.61</v>
      </c>
      <c r="AP157" s="3">
        <f ca="1">IFERROR(__xludf.DUMMYFUNCTION("""COMPUTED_VALUE"""),24625522)</f>
        <v>24625522</v>
      </c>
      <c r="AQ157" s="4">
        <f ca="1">IFERROR(__xludf.DUMMYFUNCTION("""COMPUTED_VALUE"""),42349.6666666666)</f>
        <v>42349.666666666599</v>
      </c>
      <c r="AR157" s="3">
        <f ca="1">IFERROR(__xludf.DUMMYFUNCTION("""COMPUTED_VALUE"""),43.97)</f>
        <v>43.97</v>
      </c>
      <c r="AS157" s="3">
        <f ca="1">IFERROR(__xludf.DUMMYFUNCTION("""COMPUTED_VALUE"""),44.47)</f>
        <v>44.47</v>
      </c>
      <c r="AT157" s="3">
        <f ca="1">IFERROR(__xludf.DUMMYFUNCTION("""COMPUTED_VALUE"""),43.88)</f>
        <v>43.88</v>
      </c>
      <c r="AU157" s="3">
        <f ca="1">IFERROR(__xludf.DUMMYFUNCTION("""COMPUTED_VALUE"""),43.94)</f>
        <v>43.94</v>
      </c>
      <c r="AV157" s="3">
        <f ca="1">IFERROR(__xludf.DUMMYFUNCTION("""COMPUTED_VALUE"""),9544225)</f>
        <v>9544225</v>
      </c>
      <c r="AW157" s="4">
        <f ca="1">IFERROR(__xludf.DUMMYFUNCTION("""COMPUTED_VALUE"""),42516.6666666666)</f>
        <v>42516.666666666599</v>
      </c>
      <c r="AX157" s="3">
        <f ca="1">IFERROR(__xludf.DUMMYFUNCTION("""COMPUTED_VALUE"""),31.68)</f>
        <v>31.68</v>
      </c>
      <c r="AY157" s="3">
        <f ca="1">IFERROR(__xludf.DUMMYFUNCTION("""COMPUTED_VALUE"""),31.79)</f>
        <v>31.79</v>
      </c>
      <c r="AZ157" s="3">
        <f ca="1">IFERROR(__xludf.DUMMYFUNCTION("""COMPUTED_VALUE"""),31.68)</f>
        <v>31.68</v>
      </c>
      <c r="BA157" s="3">
        <f ca="1">IFERROR(__xludf.DUMMYFUNCTION("""COMPUTED_VALUE"""),31.78)</f>
        <v>31.78</v>
      </c>
      <c r="BB157" s="3">
        <f ca="1">IFERROR(__xludf.DUMMYFUNCTION("""COMPUTED_VALUE"""),1045)</f>
        <v>1045</v>
      </c>
      <c r="BC157" s="4">
        <f ca="1">IFERROR(__xludf.DUMMYFUNCTION("""COMPUTED_VALUE"""),42349.6666666666)</f>
        <v>42349.666666666599</v>
      </c>
      <c r="BD157" s="3">
        <f ca="1">IFERROR(__xludf.DUMMYFUNCTION("""COMPUTED_VALUE"""),43.23)</f>
        <v>43.23</v>
      </c>
      <c r="BE157" s="3">
        <f ca="1">IFERROR(__xludf.DUMMYFUNCTION("""COMPUTED_VALUE"""),43.34)</f>
        <v>43.34</v>
      </c>
      <c r="BF157" s="3">
        <f ca="1">IFERROR(__xludf.DUMMYFUNCTION("""COMPUTED_VALUE"""),42.77)</f>
        <v>42.77</v>
      </c>
      <c r="BG157" s="3">
        <f ca="1">IFERROR(__xludf.DUMMYFUNCTION("""COMPUTED_VALUE"""),42.8)</f>
        <v>42.8</v>
      </c>
      <c r="BH157" s="3">
        <f ca="1">IFERROR(__xludf.DUMMYFUNCTION("""COMPUTED_VALUE"""),16960319)</f>
        <v>16960319</v>
      </c>
      <c r="BI157" s="4">
        <f ca="1">IFERROR(__xludf.DUMMYFUNCTION("""COMPUTED_VALUE"""),42349.6666666666)</f>
        <v>42349.666666666599</v>
      </c>
      <c r="BJ157" s="3">
        <f ca="1">IFERROR(__xludf.DUMMYFUNCTION("""COMPUTED_VALUE"""),41.81)</f>
        <v>41.81</v>
      </c>
      <c r="BK157" s="3">
        <f ca="1">IFERROR(__xludf.DUMMYFUNCTION("""COMPUTED_VALUE"""),42.13)</f>
        <v>42.13</v>
      </c>
      <c r="BL157" s="3">
        <f ca="1">IFERROR(__xludf.DUMMYFUNCTION("""COMPUTED_VALUE"""),41.5)</f>
        <v>41.5</v>
      </c>
      <c r="BM157" s="3">
        <f ca="1">IFERROR(__xludf.DUMMYFUNCTION("""COMPUTED_VALUE"""),41.79)</f>
        <v>41.79</v>
      </c>
      <c r="BN157" s="3">
        <f ca="1">IFERROR(__xludf.DUMMYFUNCTION("""COMPUTED_VALUE"""),14352723)</f>
        <v>14352723</v>
      </c>
    </row>
    <row r="158" spans="7:66" ht="13" x14ac:dyDescent="0.15">
      <c r="G158" s="4">
        <f ca="1">IFERROR(__xludf.DUMMYFUNCTION("""COMPUTED_VALUE"""),42352.6666666666)</f>
        <v>42352.666666666599</v>
      </c>
      <c r="H158" s="3">
        <f ca="1">IFERROR(__xludf.DUMMYFUNCTION("""COMPUTED_VALUE"""),78.11)</f>
        <v>78.11</v>
      </c>
      <c r="I158" s="3">
        <f ca="1">IFERROR(__xludf.DUMMYFUNCTION("""COMPUTED_VALUE"""),78.63)</f>
        <v>78.63</v>
      </c>
      <c r="J158" s="3">
        <f ca="1">IFERROR(__xludf.DUMMYFUNCTION("""COMPUTED_VALUE"""),77.26)</f>
        <v>77.260000000000005</v>
      </c>
      <c r="K158" s="3">
        <f ca="1">IFERROR(__xludf.DUMMYFUNCTION("""COMPUTED_VALUE"""),78.46)</f>
        <v>78.459999999999994</v>
      </c>
      <c r="L158" s="3">
        <f ca="1">IFERROR(__xludf.DUMMYFUNCTION("""COMPUTED_VALUE"""),14958021)</f>
        <v>14958021</v>
      </c>
      <c r="M158" s="4">
        <f ca="1">IFERROR(__xludf.DUMMYFUNCTION("""COMPUTED_VALUE"""),42352.6666666666)</f>
        <v>42352.666666666599</v>
      </c>
      <c r="N158" s="3">
        <f ca="1">IFERROR(__xludf.DUMMYFUNCTION("""COMPUTED_VALUE"""),49.48)</f>
        <v>49.48</v>
      </c>
      <c r="O158" s="3">
        <f ca="1">IFERROR(__xludf.DUMMYFUNCTION("""COMPUTED_VALUE"""),50.01)</f>
        <v>50.01</v>
      </c>
      <c r="P158" s="3">
        <f ca="1">IFERROR(__xludf.DUMMYFUNCTION("""COMPUTED_VALUE"""),49.29)</f>
        <v>49.29</v>
      </c>
      <c r="Q158" s="3">
        <f ca="1">IFERROR(__xludf.DUMMYFUNCTION("""COMPUTED_VALUE"""),49.97)</f>
        <v>49.97</v>
      </c>
      <c r="R158" s="3">
        <f ca="1">IFERROR(__xludf.DUMMYFUNCTION("""COMPUTED_VALUE"""),16609549)</f>
        <v>16609549</v>
      </c>
      <c r="S158" s="4">
        <f ca="1">IFERROR(__xludf.DUMMYFUNCTION("""COMPUTED_VALUE"""),42352.6666666666)</f>
        <v>42352.666666666599</v>
      </c>
      <c r="T158" s="3">
        <f ca="1">IFERROR(__xludf.DUMMYFUNCTION("""COMPUTED_VALUE"""),60.17)</f>
        <v>60.17</v>
      </c>
      <c r="U158" s="3">
        <f ca="1">IFERROR(__xludf.DUMMYFUNCTION("""COMPUTED_VALUE"""),61.1)</f>
        <v>61.1</v>
      </c>
      <c r="V158" s="3">
        <f ca="1">IFERROR(__xludf.DUMMYFUNCTION("""COMPUTED_VALUE"""),59.52)</f>
        <v>59.52</v>
      </c>
      <c r="W158" s="3">
        <f ca="1">IFERROR(__xludf.DUMMYFUNCTION("""COMPUTED_VALUE"""),60.78)</f>
        <v>60.78</v>
      </c>
      <c r="X158" s="3">
        <f ca="1">IFERROR(__xludf.DUMMYFUNCTION("""COMPUTED_VALUE"""),39116610)</f>
        <v>39116610</v>
      </c>
      <c r="Y158" s="4">
        <f ca="1">IFERROR(__xludf.DUMMYFUNCTION("""COMPUTED_VALUE"""),42352.6666666666)</f>
        <v>42352.666666666599</v>
      </c>
      <c r="Z158" s="3">
        <f ca="1">IFERROR(__xludf.DUMMYFUNCTION("""COMPUTED_VALUE"""),19.06)</f>
        <v>19.059999999999999</v>
      </c>
      <c r="AA158" s="3">
        <f ca="1">IFERROR(__xludf.DUMMYFUNCTION("""COMPUTED_VALUE"""),19.21)</f>
        <v>19.21</v>
      </c>
      <c r="AB158" s="3">
        <f ca="1">IFERROR(__xludf.DUMMYFUNCTION("""COMPUTED_VALUE"""),18.87)</f>
        <v>18.87</v>
      </c>
      <c r="AC158" s="3">
        <f ca="1">IFERROR(__xludf.DUMMYFUNCTION("""COMPUTED_VALUE"""),19.08)</f>
        <v>19.079999999999998</v>
      </c>
      <c r="AD158" s="3">
        <f ca="1">IFERROR(__xludf.DUMMYFUNCTION("""COMPUTED_VALUE"""),58447516)</f>
        <v>58447516</v>
      </c>
      <c r="AE158" s="4">
        <f ca="1">IFERROR(__xludf.DUMMYFUNCTION("""COMPUTED_VALUE"""),42352.6666666666)</f>
        <v>42352.666666666599</v>
      </c>
      <c r="AF158" s="3">
        <f ca="1">IFERROR(__xludf.DUMMYFUNCTION("""COMPUTED_VALUE"""),70.57)</f>
        <v>70.569999999999993</v>
      </c>
      <c r="AG158" s="3">
        <f ca="1">IFERROR(__xludf.DUMMYFUNCTION("""COMPUTED_VALUE"""),70.85)</f>
        <v>70.849999999999994</v>
      </c>
      <c r="AH158" s="3">
        <f ca="1">IFERROR(__xludf.DUMMYFUNCTION("""COMPUTED_VALUE"""),69.67)</f>
        <v>69.67</v>
      </c>
      <c r="AI158" s="3">
        <f ca="1">IFERROR(__xludf.DUMMYFUNCTION("""COMPUTED_VALUE"""),70.76)</f>
        <v>70.760000000000005</v>
      </c>
      <c r="AJ158" s="3">
        <f ca="1">IFERROR(__xludf.DUMMYFUNCTION("""COMPUTED_VALUE"""),21091489)</f>
        <v>21091489</v>
      </c>
      <c r="AK158" s="4">
        <f ca="1">IFERROR(__xludf.DUMMYFUNCTION("""COMPUTED_VALUE"""),42352.6666666666)</f>
        <v>42352.666666666599</v>
      </c>
      <c r="AL158" s="3">
        <f ca="1">IFERROR(__xludf.DUMMYFUNCTION("""COMPUTED_VALUE"""),52.63)</f>
        <v>52.63</v>
      </c>
      <c r="AM158" s="3">
        <f ca="1">IFERROR(__xludf.DUMMYFUNCTION("""COMPUTED_VALUE"""),52.88)</f>
        <v>52.88</v>
      </c>
      <c r="AN158" s="3">
        <f ca="1">IFERROR(__xludf.DUMMYFUNCTION("""COMPUTED_VALUE"""),52.13)</f>
        <v>52.13</v>
      </c>
      <c r="AO158" s="3">
        <f ca="1">IFERROR(__xludf.DUMMYFUNCTION("""COMPUTED_VALUE"""),52.8)</f>
        <v>52.8</v>
      </c>
      <c r="AP158" s="3">
        <f ca="1">IFERROR(__xludf.DUMMYFUNCTION("""COMPUTED_VALUE"""),27426217)</f>
        <v>27426217</v>
      </c>
      <c r="AQ158" s="4">
        <f ca="1">IFERROR(__xludf.DUMMYFUNCTION("""COMPUTED_VALUE"""),42352.6666666666)</f>
        <v>42352.666666666599</v>
      </c>
      <c r="AR158" s="3">
        <f ca="1">IFERROR(__xludf.DUMMYFUNCTION("""COMPUTED_VALUE"""),43.71)</f>
        <v>43.71</v>
      </c>
      <c r="AS158" s="3">
        <f ca="1">IFERROR(__xludf.DUMMYFUNCTION("""COMPUTED_VALUE"""),43.86)</f>
        <v>43.86</v>
      </c>
      <c r="AT158" s="3">
        <f ca="1">IFERROR(__xludf.DUMMYFUNCTION("""COMPUTED_VALUE"""),42.97)</f>
        <v>42.97</v>
      </c>
      <c r="AU158" s="3">
        <f ca="1">IFERROR(__xludf.DUMMYFUNCTION("""COMPUTED_VALUE"""),43.36)</f>
        <v>43.36</v>
      </c>
      <c r="AV158" s="3">
        <f ca="1">IFERROR(__xludf.DUMMYFUNCTION("""COMPUTED_VALUE"""),8887168)</f>
        <v>8887168</v>
      </c>
      <c r="AW158" s="4">
        <f ca="1">IFERROR(__xludf.DUMMYFUNCTION("""COMPUTED_VALUE"""),42517.6666666666)</f>
        <v>42517.666666666599</v>
      </c>
      <c r="AX158" s="3">
        <f ca="1">IFERROR(__xludf.DUMMYFUNCTION("""COMPUTED_VALUE"""),31.99)</f>
        <v>31.99</v>
      </c>
      <c r="AY158" s="3">
        <f ca="1">IFERROR(__xludf.DUMMYFUNCTION("""COMPUTED_VALUE"""),32.02)</f>
        <v>32.020000000000003</v>
      </c>
      <c r="AZ158" s="3">
        <f ca="1">IFERROR(__xludf.DUMMYFUNCTION("""COMPUTED_VALUE"""),31.86)</f>
        <v>31.86</v>
      </c>
      <c r="BA158" s="3">
        <f ca="1">IFERROR(__xludf.DUMMYFUNCTION("""COMPUTED_VALUE"""),31.91)</f>
        <v>31.91</v>
      </c>
      <c r="BB158" s="3">
        <f ca="1">IFERROR(__xludf.DUMMYFUNCTION("""COMPUTED_VALUE"""),1464)</f>
        <v>1464</v>
      </c>
      <c r="BC158" s="4">
        <f ca="1">IFERROR(__xludf.DUMMYFUNCTION("""COMPUTED_VALUE"""),42352.6666666666)</f>
        <v>42352.666666666599</v>
      </c>
      <c r="BD158" s="3">
        <f ca="1">IFERROR(__xludf.DUMMYFUNCTION("""COMPUTED_VALUE"""),42.79)</f>
        <v>42.79</v>
      </c>
      <c r="BE158" s="3">
        <f ca="1">IFERROR(__xludf.DUMMYFUNCTION("""COMPUTED_VALUE"""),43.14)</f>
        <v>43.14</v>
      </c>
      <c r="BF158" s="3">
        <f ca="1">IFERROR(__xludf.DUMMYFUNCTION("""COMPUTED_VALUE"""),42.35)</f>
        <v>42.35</v>
      </c>
      <c r="BG158" s="3">
        <f ca="1">IFERROR(__xludf.DUMMYFUNCTION("""COMPUTED_VALUE"""),43.13)</f>
        <v>43.13</v>
      </c>
      <c r="BH158" s="3">
        <f ca="1">IFERROR(__xludf.DUMMYFUNCTION("""COMPUTED_VALUE"""),21034227)</f>
        <v>21034227</v>
      </c>
      <c r="BI158" s="4">
        <f ca="1">IFERROR(__xludf.DUMMYFUNCTION("""COMPUTED_VALUE"""),42352.6666666666)</f>
        <v>42352.666666666599</v>
      </c>
      <c r="BJ158" s="3">
        <f ca="1">IFERROR(__xludf.DUMMYFUNCTION("""COMPUTED_VALUE"""),41.95)</f>
        <v>41.95</v>
      </c>
      <c r="BK158" s="3">
        <f ca="1">IFERROR(__xludf.DUMMYFUNCTION("""COMPUTED_VALUE"""),42.01)</f>
        <v>42.01</v>
      </c>
      <c r="BL158" s="3">
        <f ca="1">IFERROR(__xludf.DUMMYFUNCTION("""COMPUTED_VALUE"""),41.51)</f>
        <v>41.51</v>
      </c>
      <c r="BM158" s="3">
        <f ca="1">IFERROR(__xludf.DUMMYFUNCTION("""COMPUTED_VALUE"""),42)</f>
        <v>42</v>
      </c>
      <c r="BN158" s="3">
        <f ca="1">IFERROR(__xludf.DUMMYFUNCTION("""COMPUTED_VALUE"""),16404552)</f>
        <v>16404552</v>
      </c>
    </row>
    <row r="159" spans="7:66" ht="13" x14ac:dyDescent="0.15">
      <c r="G159" s="4">
        <f ca="1">IFERROR(__xludf.DUMMYFUNCTION("""COMPUTED_VALUE"""),42353.6666666666)</f>
        <v>42353.666666666599</v>
      </c>
      <c r="H159" s="3">
        <f ca="1">IFERROR(__xludf.DUMMYFUNCTION("""COMPUTED_VALUE"""),79.26)</f>
        <v>79.260000000000005</v>
      </c>
      <c r="I159" s="3">
        <f ca="1">IFERROR(__xludf.DUMMYFUNCTION("""COMPUTED_VALUE"""),79.64)</f>
        <v>79.64</v>
      </c>
      <c r="J159" s="3">
        <f ca="1">IFERROR(__xludf.DUMMYFUNCTION("""COMPUTED_VALUE"""),78.83)</f>
        <v>78.83</v>
      </c>
      <c r="K159" s="3">
        <f ca="1">IFERROR(__xludf.DUMMYFUNCTION("""COMPUTED_VALUE"""),78.89)</f>
        <v>78.89</v>
      </c>
      <c r="L159" s="3">
        <f ca="1">IFERROR(__xludf.DUMMYFUNCTION("""COMPUTED_VALUE"""),7978838)</f>
        <v>7978838</v>
      </c>
      <c r="M159" s="4">
        <f ca="1">IFERROR(__xludf.DUMMYFUNCTION("""COMPUTED_VALUE"""),42353.6666666666)</f>
        <v>42353.666666666599</v>
      </c>
      <c r="N159" s="3">
        <f ca="1">IFERROR(__xludf.DUMMYFUNCTION("""COMPUTED_VALUE"""),50.36)</f>
        <v>50.36</v>
      </c>
      <c r="O159" s="3">
        <f ca="1">IFERROR(__xludf.DUMMYFUNCTION("""COMPUTED_VALUE"""),50.53)</f>
        <v>50.53</v>
      </c>
      <c r="P159" s="3">
        <f ca="1">IFERROR(__xludf.DUMMYFUNCTION("""COMPUTED_VALUE"""),50.1)</f>
        <v>50.1</v>
      </c>
      <c r="Q159" s="3">
        <f ca="1">IFERROR(__xludf.DUMMYFUNCTION("""COMPUTED_VALUE"""),50.29)</f>
        <v>50.29</v>
      </c>
      <c r="R159" s="3">
        <f ca="1">IFERROR(__xludf.DUMMYFUNCTION("""COMPUTED_VALUE"""),11557471)</f>
        <v>11557471</v>
      </c>
      <c r="S159" s="4">
        <f ca="1">IFERROR(__xludf.DUMMYFUNCTION("""COMPUTED_VALUE"""),42353.6666666666)</f>
        <v>42353.666666666599</v>
      </c>
      <c r="T159" s="3">
        <f ca="1">IFERROR(__xludf.DUMMYFUNCTION("""COMPUTED_VALUE"""),61.64)</f>
        <v>61.64</v>
      </c>
      <c r="U159" s="3">
        <f ca="1">IFERROR(__xludf.DUMMYFUNCTION("""COMPUTED_VALUE"""),62.6)</f>
        <v>62.6</v>
      </c>
      <c r="V159" s="3">
        <f ca="1">IFERROR(__xludf.DUMMYFUNCTION("""COMPUTED_VALUE"""),61.56)</f>
        <v>61.56</v>
      </c>
      <c r="W159" s="3">
        <f ca="1">IFERROR(__xludf.DUMMYFUNCTION("""COMPUTED_VALUE"""),62.31)</f>
        <v>62.31</v>
      </c>
      <c r="X159" s="3">
        <f ca="1">IFERROR(__xludf.DUMMYFUNCTION("""COMPUTED_VALUE"""),29070331)</f>
        <v>29070331</v>
      </c>
      <c r="Y159" s="4">
        <f ca="1">IFERROR(__xludf.DUMMYFUNCTION("""COMPUTED_VALUE"""),42353.6666666666)</f>
        <v>42353.666666666599</v>
      </c>
      <c r="Z159" s="3">
        <f ca="1">IFERROR(__xludf.DUMMYFUNCTION("""COMPUTED_VALUE"""),19.28)</f>
        <v>19.28</v>
      </c>
      <c r="AA159" s="3">
        <f ca="1">IFERROR(__xludf.DUMMYFUNCTION("""COMPUTED_VALUE"""),19.64)</f>
        <v>19.64</v>
      </c>
      <c r="AB159" s="3">
        <f ca="1">IFERROR(__xludf.DUMMYFUNCTION("""COMPUTED_VALUE"""),19.26)</f>
        <v>19.260000000000002</v>
      </c>
      <c r="AC159" s="3">
        <f ca="1">IFERROR(__xludf.DUMMYFUNCTION("""COMPUTED_VALUE"""),19.53)</f>
        <v>19.53</v>
      </c>
      <c r="AD159" s="3">
        <f ca="1">IFERROR(__xludf.DUMMYFUNCTION("""COMPUTED_VALUE"""),75818814)</f>
        <v>75818814</v>
      </c>
      <c r="AE159" s="4">
        <f ca="1">IFERROR(__xludf.DUMMYFUNCTION("""COMPUTED_VALUE"""),42353.6666666666)</f>
        <v>42353.666666666599</v>
      </c>
      <c r="AF159" s="3">
        <f ca="1">IFERROR(__xludf.DUMMYFUNCTION("""COMPUTED_VALUE"""),71.53)</f>
        <v>71.53</v>
      </c>
      <c r="AG159" s="3">
        <f ca="1">IFERROR(__xludf.DUMMYFUNCTION("""COMPUTED_VALUE"""),72.02)</f>
        <v>72.02</v>
      </c>
      <c r="AH159" s="3">
        <f ca="1">IFERROR(__xludf.DUMMYFUNCTION("""COMPUTED_VALUE"""),71.3)</f>
        <v>71.3</v>
      </c>
      <c r="AI159" s="3">
        <f ca="1">IFERROR(__xludf.DUMMYFUNCTION("""COMPUTED_VALUE"""),71.68)</f>
        <v>71.680000000000007</v>
      </c>
      <c r="AJ159" s="3">
        <f ca="1">IFERROR(__xludf.DUMMYFUNCTION("""COMPUTED_VALUE"""),14006263)</f>
        <v>14006263</v>
      </c>
      <c r="AK159" s="4">
        <f ca="1">IFERROR(__xludf.DUMMYFUNCTION("""COMPUTED_VALUE"""),42353.6666666666)</f>
        <v>42353.666666666599</v>
      </c>
      <c r="AL159" s="3">
        <f ca="1">IFERROR(__xludf.DUMMYFUNCTION("""COMPUTED_VALUE"""),52.9)</f>
        <v>52.9</v>
      </c>
      <c r="AM159" s="3">
        <f ca="1">IFERROR(__xludf.DUMMYFUNCTION("""COMPUTED_VALUE"""),53.15)</f>
        <v>53.15</v>
      </c>
      <c r="AN159" s="3">
        <f ca="1">IFERROR(__xludf.DUMMYFUNCTION("""COMPUTED_VALUE"""),52.68)</f>
        <v>52.68</v>
      </c>
      <c r="AO159" s="3">
        <f ca="1">IFERROR(__xludf.DUMMYFUNCTION("""COMPUTED_VALUE"""),52.81)</f>
        <v>52.81</v>
      </c>
      <c r="AP159" s="3">
        <f ca="1">IFERROR(__xludf.DUMMYFUNCTION("""COMPUTED_VALUE"""),17052125)</f>
        <v>17052125</v>
      </c>
      <c r="AQ159" s="4">
        <f ca="1">IFERROR(__xludf.DUMMYFUNCTION("""COMPUTED_VALUE"""),42353.6666666666)</f>
        <v>42353.666666666599</v>
      </c>
      <c r="AR159" s="3">
        <f ca="1">IFERROR(__xludf.DUMMYFUNCTION("""COMPUTED_VALUE"""),43.8)</f>
        <v>43.8</v>
      </c>
      <c r="AS159" s="3">
        <f ca="1">IFERROR(__xludf.DUMMYFUNCTION("""COMPUTED_VALUE"""),44.06)</f>
        <v>44.06</v>
      </c>
      <c r="AT159" s="3">
        <f ca="1">IFERROR(__xludf.DUMMYFUNCTION("""COMPUTED_VALUE"""),43.51)</f>
        <v>43.51</v>
      </c>
      <c r="AU159" s="3">
        <f ca="1">IFERROR(__xludf.DUMMYFUNCTION("""COMPUTED_VALUE"""),43.6)</f>
        <v>43.6</v>
      </c>
      <c r="AV159" s="3">
        <f ca="1">IFERROR(__xludf.DUMMYFUNCTION("""COMPUTED_VALUE"""),5047003)</f>
        <v>5047003</v>
      </c>
      <c r="AW159" s="4">
        <f ca="1">IFERROR(__xludf.DUMMYFUNCTION("""COMPUTED_VALUE"""),42521.6666666666)</f>
        <v>42521.666666666599</v>
      </c>
      <c r="AX159" s="3">
        <f ca="1">IFERROR(__xludf.DUMMYFUNCTION("""COMPUTED_VALUE"""),32.01)</f>
        <v>32.01</v>
      </c>
      <c r="AY159" s="3">
        <f ca="1">IFERROR(__xludf.DUMMYFUNCTION("""COMPUTED_VALUE"""),32.01)</f>
        <v>32.01</v>
      </c>
      <c r="AZ159" s="3">
        <f ca="1">IFERROR(__xludf.DUMMYFUNCTION("""COMPUTED_VALUE"""),31.72)</f>
        <v>31.72</v>
      </c>
      <c r="BA159" s="3">
        <f ca="1">IFERROR(__xludf.DUMMYFUNCTION("""COMPUTED_VALUE"""),31.92)</f>
        <v>31.92</v>
      </c>
      <c r="BB159" s="3">
        <f ca="1">IFERROR(__xludf.DUMMYFUNCTION("""COMPUTED_VALUE"""),2523)</f>
        <v>2523</v>
      </c>
      <c r="BC159" s="4">
        <f ca="1">IFERROR(__xludf.DUMMYFUNCTION("""COMPUTED_VALUE"""),42353.6666666666)</f>
        <v>42353.666666666599</v>
      </c>
      <c r="BD159" s="3">
        <f ca="1">IFERROR(__xludf.DUMMYFUNCTION("""COMPUTED_VALUE"""),43.46)</f>
        <v>43.46</v>
      </c>
      <c r="BE159" s="3">
        <f ca="1">IFERROR(__xludf.DUMMYFUNCTION("""COMPUTED_VALUE"""),43.62)</f>
        <v>43.62</v>
      </c>
      <c r="BF159" s="3">
        <f ca="1">IFERROR(__xludf.DUMMYFUNCTION("""COMPUTED_VALUE"""),43.26)</f>
        <v>43.26</v>
      </c>
      <c r="BG159" s="3">
        <f ca="1">IFERROR(__xludf.DUMMYFUNCTION("""COMPUTED_VALUE"""),43.32)</f>
        <v>43.32</v>
      </c>
      <c r="BH159" s="3">
        <f ca="1">IFERROR(__xludf.DUMMYFUNCTION("""COMPUTED_VALUE"""),17021931)</f>
        <v>17021931</v>
      </c>
      <c r="BI159" s="4">
        <f ca="1">IFERROR(__xludf.DUMMYFUNCTION("""COMPUTED_VALUE"""),42353.6666666666)</f>
        <v>42353.666666666599</v>
      </c>
      <c r="BJ159" s="3">
        <f ca="1">IFERROR(__xludf.DUMMYFUNCTION("""COMPUTED_VALUE"""),42.06)</f>
        <v>42.06</v>
      </c>
      <c r="BK159" s="3">
        <f ca="1">IFERROR(__xludf.DUMMYFUNCTION("""COMPUTED_VALUE"""),42.59)</f>
        <v>42.59</v>
      </c>
      <c r="BL159" s="3">
        <f ca="1">IFERROR(__xludf.DUMMYFUNCTION("""COMPUTED_VALUE"""),42.04)</f>
        <v>42.04</v>
      </c>
      <c r="BM159" s="3">
        <f ca="1">IFERROR(__xludf.DUMMYFUNCTION("""COMPUTED_VALUE"""),42.33)</f>
        <v>42.33</v>
      </c>
      <c r="BN159" s="3">
        <f ca="1">IFERROR(__xludf.DUMMYFUNCTION("""COMPUTED_VALUE"""),10110919)</f>
        <v>10110919</v>
      </c>
    </row>
    <row r="160" spans="7:66" ht="13" x14ac:dyDescent="0.15">
      <c r="G160" s="4">
        <f ca="1">IFERROR(__xludf.DUMMYFUNCTION("""COMPUTED_VALUE"""),42354.6666666666)</f>
        <v>42354.666666666599</v>
      </c>
      <c r="H160" s="3">
        <f ca="1">IFERROR(__xludf.DUMMYFUNCTION("""COMPUTED_VALUE"""),79.44)</f>
        <v>79.44</v>
      </c>
      <c r="I160" s="3">
        <f ca="1">IFERROR(__xludf.DUMMYFUNCTION("""COMPUTED_VALUE"""),80.36)</f>
        <v>80.36</v>
      </c>
      <c r="J160" s="3">
        <f ca="1">IFERROR(__xludf.DUMMYFUNCTION("""COMPUTED_VALUE"""),78.8)</f>
        <v>78.8</v>
      </c>
      <c r="K160" s="3">
        <f ca="1">IFERROR(__xludf.DUMMYFUNCTION("""COMPUTED_VALUE"""),80.21)</f>
        <v>80.209999999999994</v>
      </c>
      <c r="L160" s="3">
        <f ca="1">IFERROR(__xludf.DUMMYFUNCTION("""COMPUTED_VALUE"""),12074735)</f>
        <v>12074735</v>
      </c>
      <c r="M160" s="4">
        <f ca="1">IFERROR(__xludf.DUMMYFUNCTION("""COMPUTED_VALUE"""),42354.6666666666)</f>
        <v>42354.666666666599</v>
      </c>
      <c r="N160" s="3">
        <f ca="1">IFERROR(__xludf.DUMMYFUNCTION("""COMPUTED_VALUE"""),50.51)</f>
        <v>50.51</v>
      </c>
      <c r="O160" s="3">
        <f ca="1">IFERROR(__xludf.DUMMYFUNCTION("""COMPUTED_VALUE"""),51.37)</f>
        <v>51.37</v>
      </c>
      <c r="P160" s="3">
        <f ca="1">IFERROR(__xludf.DUMMYFUNCTION("""COMPUTED_VALUE"""),50.5)</f>
        <v>50.5</v>
      </c>
      <c r="Q160" s="3">
        <f ca="1">IFERROR(__xludf.DUMMYFUNCTION("""COMPUTED_VALUE"""),51.26)</f>
        <v>51.26</v>
      </c>
      <c r="R160" s="3">
        <f ca="1">IFERROR(__xludf.DUMMYFUNCTION("""COMPUTED_VALUE"""),20860446)</f>
        <v>20860446</v>
      </c>
      <c r="S160" s="4">
        <f ca="1">IFERROR(__xludf.DUMMYFUNCTION("""COMPUTED_VALUE"""),42354.6666666666)</f>
        <v>42354.666666666599</v>
      </c>
      <c r="T160" s="3">
        <f ca="1">IFERROR(__xludf.DUMMYFUNCTION("""COMPUTED_VALUE"""),62.07)</f>
        <v>62.07</v>
      </c>
      <c r="U160" s="3">
        <f ca="1">IFERROR(__xludf.DUMMYFUNCTION("""COMPUTED_VALUE"""),62.72)</f>
        <v>62.72</v>
      </c>
      <c r="V160" s="3">
        <f ca="1">IFERROR(__xludf.DUMMYFUNCTION("""COMPUTED_VALUE"""),61.24)</f>
        <v>61.24</v>
      </c>
      <c r="W160" s="3">
        <f ca="1">IFERROR(__xludf.DUMMYFUNCTION("""COMPUTED_VALUE"""),61.9)</f>
        <v>61.9</v>
      </c>
      <c r="X160" s="3">
        <f ca="1">IFERROR(__xludf.DUMMYFUNCTION("""COMPUTED_VALUE"""),28751201)</f>
        <v>28751201</v>
      </c>
      <c r="Y160" s="4">
        <f ca="1">IFERROR(__xludf.DUMMYFUNCTION("""COMPUTED_VALUE"""),42354.6666666666)</f>
        <v>42354.666666666599</v>
      </c>
      <c r="Z160" s="3">
        <f ca="1">IFERROR(__xludf.DUMMYFUNCTION("""COMPUTED_VALUE"""),19.71)</f>
        <v>19.71</v>
      </c>
      <c r="AA160" s="3">
        <f ca="1">IFERROR(__xludf.DUMMYFUNCTION("""COMPUTED_VALUE"""),19.91)</f>
        <v>19.91</v>
      </c>
      <c r="AB160" s="3">
        <f ca="1">IFERROR(__xludf.DUMMYFUNCTION("""COMPUTED_VALUE"""),19.52)</f>
        <v>19.52</v>
      </c>
      <c r="AC160" s="3">
        <f ca="1">IFERROR(__xludf.DUMMYFUNCTION("""COMPUTED_VALUE"""),19.85)</f>
        <v>19.850000000000001</v>
      </c>
      <c r="AD160" s="3">
        <f ca="1">IFERROR(__xludf.DUMMYFUNCTION("""COMPUTED_VALUE"""),83026250)</f>
        <v>83026250</v>
      </c>
      <c r="AE160" s="4">
        <f ca="1">IFERROR(__xludf.DUMMYFUNCTION("""COMPUTED_VALUE"""),42354.6666666666)</f>
        <v>42354.666666666599</v>
      </c>
      <c r="AF160" s="3">
        <f ca="1">IFERROR(__xludf.DUMMYFUNCTION("""COMPUTED_VALUE"""),72.28)</f>
        <v>72.28</v>
      </c>
      <c r="AG160" s="3">
        <f ca="1">IFERROR(__xludf.DUMMYFUNCTION("""COMPUTED_VALUE"""),72.72)</f>
        <v>72.72</v>
      </c>
      <c r="AH160" s="3">
        <f ca="1">IFERROR(__xludf.DUMMYFUNCTION("""COMPUTED_VALUE"""),71.27)</f>
        <v>71.27</v>
      </c>
      <c r="AI160" s="3">
        <f ca="1">IFERROR(__xludf.DUMMYFUNCTION("""COMPUTED_VALUE"""),72.61)</f>
        <v>72.61</v>
      </c>
      <c r="AJ160" s="3">
        <f ca="1">IFERROR(__xludf.DUMMYFUNCTION("""COMPUTED_VALUE"""),15273744)</f>
        <v>15273744</v>
      </c>
      <c r="AK160" s="4">
        <f ca="1">IFERROR(__xludf.DUMMYFUNCTION("""COMPUTED_VALUE"""),42354.6666666666)</f>
        <v>42354.666666666599</v>
      </c>
      <c r="AL160" s="3">
        <f ca="1">IFERROR(__xludf.DUMMYFUNCTION("""COMPUTED_VALUE"""),53.11)</f>
        <v>53.11</v>
      </c>
      <c r="AM160" s="3">
        <f ca="1">IFERROR(__xludf.DUMMYFUNCTION("""COMPUTED_VALUE"""),53.87)</f>
        <v>53.87</v>
      </c>
      <c r="AN160" s="3">
        <f ca="1">IFERROR(__xludf.DUMMYFUNCTION("""COMPUTED_VALUE"""),52.96)</f>
        <v>52.96</v>
      </c>
      <c r="AO160" s="3">
        <f ca="1">IFERROR(__xludf.DUMMYFUNCTION("""COMPUTED_VALUE"""),53.75)</f>
        <v>53.75</v>
      </c>
      <c r="AP160" s="3">
        <f ca="1">IFERROR(__xludf.DUMMYFUNCTION("""COMPUTED_VALUE"""),19045713)</f>
        <v>19045713</v>
      </c>
      <c r="AQ160" s="4">
        <f ca="1">IFERROR(__xludf.DUMMYFUNCTION("""COMPUTED_VALUE"""),42354.6666666666)</f>
        <v>42354.666666666599</v>
      </c>
      <c r="AR160" s="3">
        <f ca="1">IFERROR(__xludf.DUMMYFUNCTION("""COMPUTED_VALUE"""),43.83)</f>
        <v>43.83</v>
      </c>
      <c r="AS160" s="3">
        <f ca="1">IFERROR(__xludf.DUMMYFUNCTION("""COMPUTED_VALUE"""),44.09)</f>
        <v>44.09</v>
      </c>
      <c r="AT160" s="3">
        <f ca="1">IFERROR(__xludf.DUMMYFUNCTION("""COMPUTED_VALUE"""),43.23)</f>
        <v>43.23</v>
      </c>
      <c r="AU160" s="3">
        <f ca="1">IFERROR(__xludf.DUMMYFUNCTION("""COMPUTED_VALUE"""),44.05)</f>
        <v>44.05</v>
      </c>
      <c r="AV160" s="3">
        <f ca="1">IFERROR(__xludf.DUMMYFUNCTION("""COMPUTED_VALUE"""),8066414)</f>
        <v>8066414</v>
      </c>
      <c r="AW160" s="4">
        <f ca="1">IFERROR(__xludf.DUMMYFUNCTION("""COMPUTED_VALUE"""),42522.6666666666)</f>
        <v>42522.666666666599</v>
      </c>
      <c r="AX160" s="3">
        <f ca="1">IFERROR(__xludf.DUMMYFUNCTION("""COMPUTED_VALUE"""),31.75)</f>
        <v>31.75</v>
      </c>
      <c r="AY160" s="3">
        <f ca="1">IFERROR(__xludf.DUMMYFUNCTION("""COMPUTED_VALUE"""),31.81)</f>
        <v>31.81</v>
      </c>
      <c r="AZ160" s="3">
        <f ca="1">IFERROR(__xludf.DUMMYFUNCTION("""COMPUTED_VALUE"""),31.63)</f>
        <v>31.63</v>
      </c>
      <c r="BA160" s="3">
        <f ca="1">IFERROR(__xludf.DUMMYFUNCTION("""COMPUTED_VALUE"""),31.8)</f>
        <v>31.8</v>
      </c>
      <c r="BB160" s="3">
        <f ca="1">IFERROR(__xludf.DUMMYFUNCTION("""COMPUTED_VALUE"""),2506)</f>
        <v>2506</v>
      </c>
      <c r="BC160" s="4">
        <f ca="1">IFERROR(__xludf.DUMMYFUNCTION("""COMPUTED_VALUE"""),42354.6666666666)</f>
        <v>42354.666666666599</v>
      </c>
      <c r="BD160" s="3">
        <f ca="1">IFERROR(__xludf.DUMMYFUNCTION("""COMPUTED_VALUE"""),43.59)</f>
        <v>43.59</v>
      </c>
      <c r="BE160" s="3">
        <f ca="1">IFERROR(__xludf.DUMMYFUNCTION("""COMPUTED_VALUE"""),43.99)</f>
        <v>43.99</v>
      </c>
      <c r="BF160" s="3">
        <f ca="1">IFERROR(__xludf.DUMMYFUNCTION("""COMPUTED_VALUE"""),43.15)</f>
        <v>43.15</v>
      </c>
      <c r="BG160" s="3">
        <f ca="1">IFERROR(__xludf.DUMMYFUNCTION("""COMPUTED_VALUE"""),43.91)</f>
        <v>43.91</v>
      </c>
      <c r="BH160" s="3">
        <f ca="1">IFERROR(__xludf.DUMMYFUNCTION("""COMPUTED_VALUE"""),18173802)</f>
        <v>18173802</v>
      </c>
      <c r="BI160" s="4">
        <f ca="1">IFERROR(__xludf.DUMMYFUNCTION("""COMPUTED_VALUE"""),42354.6666666666)</f>
        <v>42354.666666666599</v>
      </c>
      <c r="BJ160" s="3">
        <f ca="1">IFERROR(__xludf.DUMMYFUNCTION("""COMPUTED_VALUE"""),42.49)</f>
        <v>42.49</v>
      </c>
      <c r="BK160" s="3">
        <f ca="1">IFERROR(__xludf.DUMMYFUNCTION("""COMPUTED_VALUE"""),43.47)</f>
        <v>43.47</v>
      </c>
      <c r="BL160" s="3">
        <f ca="1">IFERROR(__xludf.DUMMYFUNCTION("""COMPUTED_VALUE"""),42.36)</f>
        <v>42.36</v>
      </c>
      <c r="BM160" s="3">
        <f ca="1">IFERROR(__xludf.DUMMYFUNCTION("""COMPUTED_VALUE"""),43.4)</f>
        <v>43.4</v>
      </c>
      <c r="BN160" s="3">
        <f ca="1">IFERROR(__xludf.DUMMYFUNCTION("""COMPUTED_VALUE"""),18300516)</f>
        <v>18300516</v>
      </c>
    </row>
    <row r="161" spans="7:66" ht="13" x14ac:dyDescent="0.15">
      <c r="G161" s="4">
        <f ca="1">IFERROR(__xludf.DUMMYFUNCTION("""COMPUTED_VALUE"""),42355.6666666666)</f>
        <v>42355.666666666599</v>
      </c>
      <c r="H161" s="3">
        <f ca="1">IFERROR(__xludf.DUMMYFUNCTION("""COMPUTED_VALUE"""),80.22)</f>
        <v>80.22</v>
      </c>
      <c r="I161" s="3">
        <f ca="1">IFERROR(__xludf.DUMMYFUNCTION("""COMPUTED_VALUE"""),80.5)</f>
        <v>80.5</v>
      </c>
      <c r="J161" s="3">
        <f ca="1">IFERROR(__xludf.DUMMYFUNCTION("""COMPUTED_VALUE"""),78.89)</f>
        <v>78.89</v>
      </c>
      <c r="K161" s="3">
        <f ca="1">IFERROR(__xludf.DUMMYFUNCTION("""COMPUTED_VALUE"""),78.89)</f>
        <v>78.89</v>
      </c>
      <c r="L161" s="3">
        <f ca="1">IFERROR(__xludf.DUMMYFUNCTION("""COMPUTED_VALUE"""),9224610)</f>
        <v>9224610</v>
      </c>
      <c r="M161" s="4">
        <f ca="1">IFERROR(__xludf.DUMMYFUNCTION("""COMPUTED_VALUE"""),42355.6666666666)</f>
        <v>42355.666666666599</v>
      </c>
      <c r="N161" s="3">
        <f ca="1">IFERROR(__xludf.DUMMYFUNCTION("""COMPUTED_VALUE"""),51.26)</f>
        <v>51.26</v>
      </c>
      <c r="O161" s="3">
        <f ca="1">IFERROR(__xludf.DUMMYFUNCTION("""COMPUTED_VALUE"""),51.26)</f>
        <v>51.26</v>
      </c>
      <c r="P161" s="3">
        <f ca="1">IFERROR(__xludf.DUMMYFUNCTION("""COMPUTED_VALUE"""),50.59)</f>
        <v>50.59</v>
      </c>
      <c r="Q161" s="3">
        <f ca="1">IFERROR(__xludf.DUMMYFUNCTION("""COMPUTED_VALUE"""),50.6)</f>
        <v>50.6</v>
      </c>
      <c r="R161" s="3">
        <f ca="1">IFERROR(__xludf.DUMMYFUNCTION("""COMPUTED_VALUE"""),10235953)</f>
        <v>10235953</v>
      </c>
      <c r="S161" s="4">
        <f ca="1">IFERROR(__xludf.DUMMYFUNCTION("""COMPUTED_VALUE"""),42355.6666666666)</f>
        <v>42355.666666666599</v>
      </c>
      <c r="T161" s="3">
        <f ca="1">IFERROR(__xludf.DUMMYFUNCTION("""COMPUTED_VALUE"""),61.94)</f>
        <v>61.94</v>
      </c>
      <c r="U161" s="3">
        <f ca="1">IFERROR(__xludf.DUMMYFUNCTION("""COMPUTED_VALUE"""),62.06)</f>
        <v>62.06</v>
      </c>
      <c r="V161" s="3">
        <f ca="1">IFERROR(__xludf.DUMMYFUNCTION("""COMPUTED_VALUE"""),60.38)</f>
        <v>60.38</v>
      </c>
      <c r="W161" s="3">
        <f ca="1">IFERROR(__xludf.DUMMYFUNCTION("""COMPUTED_VALUE"""),60.38)</f>
        <v>60.38</v>
      </c>
      <c r="X161" s="3">
        <f ca="1">IFERROR(__xludf.DUMMYFUNCTION("""COMPUTED_VALUE"""),29074782)</f>
        <v>29074782</v>
      </c>
      <c r="Y161" s="4">
        <f ca="1">IFERROR(__xludf.DUMMYFUNCTION("""COMPUTED_VALUE"""),42355.6666666666)</f>
        <v>42355.666666666599</v>
      </c>
      <c r="Z161" s="3">
        <f ca="1">IFERROR(__xludf.DUMMYFUNCTION("""COMPUTED_VALUE"""),19.92)</f>
        <v>19.920000000000002</v>
      </c>
      <c r="AA161" s="3">
        <f ca="1">IFERROR(__xludf.DUMMYFUNCTION("""COMPUTED_VALUE"""),19.92)</f>
        <v>19.920000000000002</v>
      </c>
      <c r="AB161" s="3">
        <f ca="1">IFERROR(__xludf.DUMMYFUNCTION("""COMPUTED_VALUE"""),19.54)</f>
        <v>19.54</v>
      </c>
      <c r="AC161" s="3">
        <f ca="1">IFERROR(__xludf.DUMMYFUNCTION("""COMPUTED_VALUE"""),19.56)</f>
        <v>19.559999999999999</v>
      </c>
      <c r="AD161" s="3">
        <f ca="1">IFERROR(__xludf.DUMMYFUNCTION("""COMPUTED_VALUE"""),57606261)</f>
        <v>57606261</v>
      </c>
      <c r="AE161" s="4">
        <f ca="1">IFERROR(__xludf.DUMMYFUNCTION("""COMPUTED_VALUE"""),42355.6666666666)</f>
        <v>42355.666666666599</v>
      </c>
      <c r="AF161" s="3">
        <f ca="1">IFERROR(__xludf.DUMMYFUNCTION("""COMPUTED_VALUE"""),72.81)</f>
        <v>72.81</v>
      </c>
      <c r="AG161" s="3">
        <f ca="1">IFERROR(__xludf.DUMMYFUNCTION("""COMPUTED_VALUE"""),72.81)</f>
        <v>72.81</v>
      </c>
      <c r="AH161" s="3">
        <f ca="1">IFERROR(__xludf.DUMMYFUNCTION("""COMPUTED_VALUE"""),71.77)</f>
        <v>71.77</v>
      </c>
      <c r="AI161" s="3">
        <f ca="1">IFERROR(__xludf.DUMMYFUNCTION("""COMPUTED_VALUE"""),71.83)</f>
        <v>71.83</v>
      </c>
      <c r="AJ161" s="3">
        <f ca="1">IFERROR(__xludf.DUMMYFUNCTION("""COMPUTED_VALUE"""),11469063)</f>
        <v>11469063</v>
      </c>
      <c r="AK161" s="4">
        <f ca="1">IFERROR(__xludf.DUMMYFUNCTION("""COMPUTED_VALUE"""),42355.6666666666)</f>
        <v>42355.666666666599</v>
      </c>
      <c r="AL161" s="3">
        <f ca="1">IFERROR(__xludf.DUMMYFUNCTION("""COMPUTED_VALUE"""),53.94)</f>
        <v>53.94</v>
      </c>
      <c r="AM161" s="3">
        <f ca="1">IFERROR(__xludf.DUMMYFUNCTION("""COMPUTED_VALUE"""),54.01)</f>
        <v>54.01</v>
      </c>
      <c r="AN161" s="3">
        <f ca="1">IFERROR(__xludf.DUMMYFUNCTION("""COMPUTED_VALUE"""),52.86)</f>
        <v>52.86</v>
      </c>
      <c r="AO161" s="3">
        <f ca="1">IFERROR(__xludf.DUMMYFUNCTION("""COMPUTED_VALUE"""),52.86)</f>
        <v>52.86</v>
      </c>
      <c r="AP161" s="3">
        <f ca="1">IFERROR(__xludf.DUMMYFUNCTION("""COMPUTED_VALUE"""),15902684)</f>
        <v>15902684</v>
      </c>
      <c r="AQ161" s="4">
        <f ca="1">IFERROR(__xludf.DUMMYFUNCTION("""COMPUTED_VALUE"""),42355.6666666666)</f>
        <v>42355.666666666599</v>
      </c>
      <c r="AR161" s="3">
        <f ca="1">IFERROR(__xludf.DUMMYFUNCTION("""COMPUTED_VALUE"""),44.12)</f>
        <v>44.12</v>
      </c>
      <c r="AS161" s="3">
        <f ca="1">IFERROR(__xludf.DUMMYFUNCTION("""COMPUTED_VALUE"""),44.12)</f>
        <v>44.12</v>
      </c>
      <c r="AT161" s="3">
        <f ca="1">IFERROR(__xludf.DUMMYFUNCTION("""COMPUTED_VALUE"""),43.17)</f>
        <v>43.17</v>
      </c>
      <c r="AU161" s="3">
        <f ca="1">IFERROR(__xludf.DUMMYFUNCTION("""COMPUTED_VALUE"""),43.17)</f>
        <v>43.17</v>
      </c>
      <c r="AV161" s="3">
        <f ca="1">IFERROR(__xludf.DUMMYFUNCTION("""COMPUTED_VALUE"""),9196504)</f>
        <v>9196504</v>
      </c>
      <c r="AW161" s="4">
        <f ca="1">IFERROR(__xludf.DUMMYFUNCTION("""COMPUTED_VALUE"""),42523.6666666666)</f>
        <v>42523.666666666599</v>
      </c>
      <c r="AX161" s="3">
        <f ca="1">IFERROR(__xludf.DUMMYFUNCTION("""COMPUTED_VALUE"""),31.83)</f>
        <v>31.83</v>
      </c>
      <c r="AY161" s="3">
        <f ca="1">IFERROR(__xludf.DUMMYFUNCTION("""COMPUTED_VALUE"""),31.9)</f>
        <v>31.9</v>
      </c>
      <c r="AZ161" s="3">
        <f ca="1">IFERROR(__xludf.DUMMYFUNCTION("""COMPUTED_VALUE"""),31.83)</f>
        <v>31.83</v>
      </c>
      <c r="BA161" s="3">
        <f ca="1">IFERROR(__xludf.DUMMYFUNCTION("""COMPUTED_VALUE"""),31.9)</f>
        <v>31.9</v>
      </c>
      <c r="BB161" s="3">
        <f ca="1">IFERROR(__xludf.DUMMYFUNCTION("""COMPUTED_VALUE"""),790)</f>
        <v>790</v>
      </c>
      <c r="BC161" s="4">
        <f ca="1">IFERROR(__xludf.DUMMYFUNCTION("""COMPUTED_VALUE"""),42355.6666666666)</f>
        <v>42355.666666666599</v>
      </c>
      <c r="BD161" s="3">
        <f ca="1">IFERROR(__xludf.DUMMYFUNCTION("""COMPUTED_VALUE"""),44.09)</f>
        <v>44.09</v>
      </c>
      <c r="BE161" s="3">
        <f ca="1">IFERROR(__xludf.DUMMYFUNCTION("""COMPUTED_VALUE"""),44.09)</f>
        <v>44.09</v>
      </c>
      <c r="BF161" s="3">
        <f ca="1">IFERROR(__xludf.DUMMYFUNCTION("""COMPUTED_VALUE"""),43.21)</f>
        <v>43.21</v>
      </c>
      <c r="BG161" s="3">
        <f ca="1">IFERROR(__xludf.DUMMYFUNCTION("""COMPUTED_VALUE"""),43.22)</f>
        <v>43.22</v>
      </c>
      <c r="BH161" s="3">
        <f ca="1">IFERROR(__xludf.DUMMYFUNCTION("""COMPUTED_VALUE"""),12108646)</f>
        <v>12108646</v>
      </c>
      <c r="BI161" s="4">
        <f ca="1">IFERROR(__xludf.DUMMYFUNCTION("""COMPUTED_VALUE"""),42355.6666666666)</f>
        <v>42355.666666666599</v>
      </c>
      <c r="BJ161" s="3">
        <f ca="1">IFERROR(__xludf.DUMMYFUNCTION("""COMPUTED_VALUE"""),43.48)</f>
        <v>43.48</v>
      </c>
      <c r="BK161" s="3">
        <f ca="1">IFERROR(__xludf.DUMMYFUNCTION("""COMPUTED_VALUE"""),43.73)</f>
        <v>43.73</v>
      </c>
      <c r="BL161" s="3">
        <f ca="1">IFERROR(__xludf.DUMMYFUNCTION("""COMPUTED_VALUE"""),43.16)</f>
        <v>43.16</v>
      </c>
      <c r="BM161" s="3">
        <f ca="1">IFERROR(__xludf.DUMMYFUNCTION("""COMPUTED_VALUE"""),43.49)</f>
        <v>43.49</v>
      </c>
      <c r="BN161" s="3">
        <f ca="1">IFERROR(__xludf.DUMMYFUNCTION("""COMPUTED_VALUE"""),13161660)</f>
        <v>13161660</v>
      </c>
    </row>
    <row r="162" spans="7:66" ht="13" x14ac:dyDescent="0.15">
      <c r="G162" s="4">
        <f ca="1">IFERROR(__xludf.DUMMYFUNCTION("""COMPUTED_VALUE"""),42356.6666666666)</f>
        <v>42356.666666666599</v>
      </c>
      <c r="H162" s="3">
        <f ca="1">IFERROR(__xludf.DUMMYFUNCTION("""COMPUTED_VALUE"""),78.43)</f>
        <v>78.430000000000007</v>
      </c>
      <c r="I162" s="3">
        <f ca="1">IFERROR(__xludf.DUMMYFUNCTION("""COMPUTED_VALUE"""),78.45)</f>
        <v>78.45</v>
      </c>
      <c r="J162" s="3">
        <f ca="1">IFERROR(__xludf.DUMMYFUNCTION("""COMPUTED_VALUE"""),77.28)</f>
        <v>77.28</v>
      </c>
      <c r="K162" s="3">
        <f ca="1">IFERROR(__xludf.DUMMYFUNCTION("""COMPUTED_VALUE"""),77.33)</f>
        <v>77.33</v>
      </c>
      <c r="L162" s="3">
        <f ca="1">IFERROR(__xludf.DUMMYFUNCTION("""COMPUTED_VALUE"""),15052988)</f>
        <v>15052988</v>
      </c>
      <c r="M162" s="4">
        <f ca="1">IFERROR(__xludf.DUMMYFUNCTION("""COMPUTED_VALUE"""),42356.6666666666)</f>
        <v>42356.666666666599</v>
      </c>
      <c r="N162" s="3">
        <f ca="1">IFERROR(__xludf.DUMMYFUNCTION("""COMPUTED_VALUE"""),50.18)</f>
        <v>50.18</v>
      </c>
      <c r="O162" s="3">
        <f ca="1">IFERROR(__xludf.DUMMYFUNCTION("""COMPUTED_VALUE"""),50.18)</f>
        <v>50.18</v>
      </c>
      <c r="P162" s="3">
        <f ca="1">IFERROR(__xludf.DUMMYFUNCTION("""COMPUTED_VALUE"""),49.34)</f>
        <v>49.34</v>
      </c>
      <c r="Q162" s="3">
        <f ca="1">IFERROR(__xludf.DUMMYFUNCTION("""COMPUTED_VALUE"""),49.34)</f>
        <v>49.34</v>
      </c>
      <c r="R162" s="3">
        <f ca="1">IFERROR(__xludf.DUMMYFUNCTION("""COMPUTED_VALUE"""),14720588)</f>
        <v>14720588</v>
      </c>
      <c r="S162" s="4">
        <f ca="1">IFERROR(__xludf.DUMMYFUNCTION("""COMPUTED_VALUE"""),42356.6666666666)</f>
        <v>42356.666666666599</v>
      </c>
      <c r="T162" s="3">
        <f ca="1">IFERROR(__xludf.DUMMYFUNCTION("""COMPUTED_VALUE"""),59.9)</f>
        <v>59.9</v>
      </c>
      <c r="U162" s="3">
        <f ca="1">IFERROR(__xludf.DUMMYFUNCTION("""COMPUTED_VALUE"""),59.94)</f>
        <v>59.94</v>
      </c>
      <c r="V162" s="3">
        <f ca="1">IFERROR(__xludf.DUMMYFUNCTION("""COMPUTED_VALUE"""),58.77)</f>
        <v>58.77</v>
      </c>
      <c r="W162" s="3">
        <f ca="1">IFERROR(__xludf.DUMMYFUNCTION("""COMPUTED_VALUE"""),58.79)</f>
        <v>58.79</v>
      </c>
      <c r="X162" s="3">
        <f ca="1">IFERROR(__xludf.DUMMYFUNCTION("""COMPUTED_VALUE"""),27139177)</f>
        <v>27139177</v>
      </c>
      <c r="Y162" s="4">
        <f ca="1">IFERROR(__xludf.DUMMYFUNCTION("""COMPUTED_VALUE"""),42356.6666666666)</f>
        <v>42356.666666666599</v>
      </c>
      <c r="Z162" s="3">
        <f ca="1">IFERROR(__xludf.DUMMYFUNCTION("""COMPUTED_VALUE"""),19.3)</f>
        <v>19.3</v>
      </c>
      <c r="AA162" s="3">
        <f ca="1">IFERROR(__xludf.DUMMYFUNCTION("""COMPUTED_VALUE"""),19.33)</f>
        <v>19.329999999999998</v>
      </c>
      <c r="AB162" s="3">
        <f ca="1">IFERROR(__xludf.DUMMYFUNCTION("""COMPUTED_VALUE"""),18.92)</f>
        <v>18.920000000000002</v>
      </c>
      <c r="AC162" s="3">
        <f ca="1">IFERROR(__xludf.DUMMYFUNCTION("""COMPUTED_VALUE"""),18.92)</f>
        <v>18.920000000000002</v>
      </c>
      <c r="AD162" s="3">
        <f ca="1">IFERROR(__xludf.DUMMYFUNCTION("""COMPUTED_VALUE"""),92281728)</f>
        <v>92281728</v>
      </c>
      <c r="AE162" s="4">
        <f ca="1">IFERROR(__xludf.DUMMYFUNCTION("""COMPUTED_VALUE"""),42356.6666666666)</f>
        <v>42356.666666666599</v>
      </c>
      <c r="AF162" s="3">
        <f ca="1">IFERROR(__xludf.DUMMYFUNCTION("""COMPUTED_VALUE"""),71.34)</f>
        <v>71.34</v>
      </c>
      <c r="AG162" s="3">
        <f ca="1">IFERROR(__xludf.DUMMYFUNCTION("""COMPUTED_VALUE"""),71.43)</f>
        <v>71.430000000000007</v>
      </c>
      <c r="AH162" s="3">
        <f ca="1">IFERROR(__xludf.DUMMYFUNCTION("""COMPUTED_VALUE"""),70.48)</f>
        <v>70.48</v>
      </c>
      <c r="AI162" s="3">
        <f ca="1">IFERROR(__xludf.DUMMYFUNCTION("""COMPUTED_VALUE"""),70.49)</f>
        <v>70.489999999999995</v>
      </c>
      <c r="AJ162" s="3">
        <f ca="1">IFERROR(__xludf.DUMMYFUNCTION("""COMPUTED_VALUE"""),15159769)</f>
        <v>15159769</v>
      </c>
      <c r="AK162" s="4">
        <f ca="1">IFERROR(__xludf.DUMMYFUNCTION("""COMPUTED_VALUE"""),42356.6666666666)</f>
        <v>42356.666666666599</v>
      </c>
      <c r="AL162" s="3">
        <f ca="1">IFERROR(__xludf.DUMMYFUNCTION("""COMPUTED_VALUE"""),52.43)</f>
        <v>52.43</v>
      </c>
      <c r="AM162" s="3">
        <f ca="1">IFERROR(__xludf.DUMMYFUNCTION("""COMPUTED_VALUE"""),52.43)</f>
        <v>52.43</v>
      </c>
      <c r="AN162" s="3">
        <f ca="1">IFERROR(__xludf.DUMMYFUNCTION("""COMPUTED_VALUE"""),51.7)</f>
        <v>51.7</v>
      </c>
      <c r="AO162" s="3">
        <f ca="1">IFERROR(__xludf.DUMMYFUNCTION("""COMPUTED_VALUE"""),51.74)</f>
        <v>51.74</v>
      </c>
      <c r="AP162" s="3">
        <f ca="1">IFERROR(__xludf.DUMMYFUNCTION("""COMPUTED_VALUE"""),19378215)</f>
        <v>19378215</v>
      </c>
      <c r="AQ162" s="4">
        <f ca="1">IFERROR(__xludf.DUMMYFUNCTION("""COMPUTED_VALUE"""),42356.6666666666)</f>
        <v>42356.666666666599</v>
      </c>
      <c r="AR162" s="3">
        <f ca="1">IFERROR(__xludf.DUMMYFUNCTION("""COMPUTED_VALUE"""),42.76)</f>
        <v>42.76</v>
      </c>
      <c r="AS162" s="3">
        <f ca="1">IFERROR(__xludf.DUMMYFUNCTION("""COMPUTED_VALUE"""),43.05)</f>
        <v>43.05</v>
      </c>
      <c r="AT162" s="3">
        <f ca="1">IFERROR(__xludf.DUMMYFUNCTION("""COMPUTED_VALUE"""),42.27)</f>
        <v>42.27</v>
      </c>
      <c r="AU162" s="3">
        <f ca="1">IFERROR(__xludf.DUMMYFUNCTION("""COMPUTED_VALUE"""),42.27)</f>
        <v>42.27</v>
      </c>
      <c r="AV162" s="3">
        <f ca="1">IFERROR(__xludf.DUMMYFUNCTION("""COMPUTED_VALUE"""),14249249)</f>
        <v>14249249</v>
      </c>
      <c r="AW162" s="4">
        <f ca="1">IFERROR(__xludf.DUMMYFUNCTION("""COMPUTED_VALUE"""),42524.6666666666)</f>
        <v>42524.666666666599</v>
      </c>
      <c r="AX162" s="3">
        <f ca="1">IFERROR(__xludf.DUMMYFUNCTION("""COMPUTED_VALUE"""),31.91)</f>
        <v>31.91</v>
      </c>
      <c r="AY162" s="3">
        <f ca="1">IFERROR(__xludf.DUMMYFUNCTION("""COMPUTED_VALUE"""),32.16)</f>
        <v>32.159999999999997</v>
      </c>
      <c r="AZ162" s="3">
        <f ca="1">IFERROR(__xludf.DUMMYFUNCTION("""COMPUTED_VALUE"""),31.91)</f>
        <v>31.91</v>
      </c>
      <c r="BA162" s="3">
        <f ca="1">IFERROR(__xludf.DUMMYFUNCTION("""COMPUTED_VALUE"""),32.04)</f>
        <v>32.04</v>
      </c>
      <c r="BB162" s="3">
        <f ca="1">IFERROR(__xludf.DUMMYFUNCTION("""COMPUTED_VALUE"""),2421)</f>
        <v>2421</v>
      </c>
      <c r="BC162" s="4">
        <f ca="1">IFERROR(__xludf.DUMMYFUNCTION("""COMPUTED_VALUE"""),42356.6666666666)</f>
        <v>42356.666666666599</v>
      </c>
      <c r="BD162" s="3">
        <f ca="1">IFERROR(__xludf.DUMMYFUNCTION("""COMPUTED_VALUE"""),42.88)</f>
        <v>42.88</v>
      </c>
      <c r="BE162" s="3">
        <f ca="1">IFERROR(__xludf.DUMMYFUNCTION("""COMPUTED_VALUE"""),42.97)</f>
        <v>42.97</v>
      </c>
      <c r="BF162" s="3">
        <f ca="1">IFERROR(__xludf.DUMMYFUNCTION("""COMPUTED_VALUE"""),42.1)</f>
        <v>42.1</v>
      </c>
      <c r="BG162" s="3">
        <f ca="1">IFERROR(__xludf.DUMMYFUNCTION("""COMPUTED_VALUE"""),42.17)</f>
        <v>42.17</v>
      </c>
      <c r="BH162" s="3">
        <f ca="1">IFERROR(__xludf.DUMMYFUNCTION("""COMPUTED_VALUE"""),22813935)</f>
        <v>22813935</v>
      </c>
      <c r="BI162" s="4">
        <f ca="1">IFERROR(__xludf.DUMMYFUNCTION("""COMPUTED_VALUE"""),42356.6666666666)</f>
        <v>42356.666666666599</v>
      </c>
      <c r="BJ162" s="3">
        <f ca="1">IFERROR(__xludf.DUMMYFUNCTION("""COMPUTED_VALUE"""),42.99)</f>
        <v>42.99</v>
      </c>
      <c r="BK162" s="3">
        <f ca="1">IFERROR(__xludf.DUMMYFUNCTION("""COMPUTED_VALUE"""),43.04)</f>
        <v>43.04</v>
      </c>
      <c r="BL162" s="3">
        <f ca="1">IFERROR(__xludf.DUMMYFUNCTION("""COMPUTED_VALUE"""),42.18)</f>
        <v>42.18</v>
      </c>
      <c r="BM162" s="3">
        <f ca="1">IFERROR(__xludf.DUMMYFUNCTION("""COMPUTED_VALUE"""),42.51)</f>
        <v>42.51</v>
      </c>
      <c r="BN162" s="3">
        <f ca="1">IFERROR(__xludf.DUMMYFUNCTION("""COMPUTED_VALUE"""),18407238)</f>
        <v>18407238</v>
      </c>
    </row>
    <row r="163" spans="7:66" ht="13" x14ac:dyDescent="0.15">
      <c r="G163" s="4">
        <f ca="1">IFERROR(__xludf.DUMMYFUNCTION("""COMPUTED_VALUE"""),42359.6666666666)</f>
        <v>42359.666666666599</v>
      </c>
      <c r="H163" s="3">
        <f ca="1">IFERROR(__xludf.DUMMYFUNCTION("""COMPUTED_VALUE"""),77.85)</f>
        <v>77.849999999999994</v>
      </c>
      <c r="I163" s="3">
        <f ca="1">IFERROR(__xludf.DUMMYFUNCTION("""COMPUTED_VALUE"""),78.11)</f>
        <v>78.11</v>
      </c>
      <c r="J163" s="3">
        <f ca="1">IFERROR(__xludf.DUMMYFUNCTION("""COMPUTED_VALUE"""),77.19)</f>
        <v>77.19</v>
      </c>
      <c r="K163" s="3">
        <f ca="1">IFERROR(__xludf.DUMMYFUNCTION("""COMPUTED_VALUE"""),77.72)</f>
        <v>77.72</v>
      </c>
      <c r="L163" s="3">
        <f ca="1">IFERROR(__xludf.DUMMYFUNCTION("""COMPUTED_VALUE"""),7089038)</f>
        <v>7089038</v>
      </c>
      <c r="M163" s="4">
        <f ca="1">IFERROR(__xludf.DUMMYFUNCTION("""COMPUTED_VALUE"""),42359.6666666666)</f>
        <v>42359.666666666599</v>
      </c>
      <c r="N163" s="3">
        <f ca="1">IFERROR(__xludf.DUMMYFUNCTION("""COMPUTED_VALUE"""),49.67)</f>
        <v>49.67</v>
      </c>
      <c r="O163" s="3">
        <f ca="1">IFERROR(__xludf.DUMMYFUNCTION("""COMPUTED_VALUE"""),49.91)</f>
        <v>49.91</v>
      </c>
      <c r="P163" s="3">
        <f ca="1">IFERROR(__xludf.DUMMYFUNCTION("""COMPUTED_VALUE"""),49.47)</f>
        <v>49.47</v>
      </c>
      <c r="Q163" s="3">
        <f ca="1">IFERROR(__xludf.DUMMYFUNCTION("""COMPUTED_VALUE"""),49.9)</f>
        <v>49.9</v>
      </c>
      <c r="R163" s="3">
        <f ca="1">IFERROR(__xludf.DUMMYFUNCTION("""COMPUTED_VALUE"""),8155480)</f>
        <v>8155480</v>
      </c>
      <c r="S163" s="4">
        <f ca="1">IFERROR(__xludf.DUMMYFUNCTION("""COMPUTED_VALUE"""),42359.6666666666)</f>
        <v>42359.666666666599</v>
      </c>
      <c r="T163" s="3">
        <f ca="1">IFERROR(__xludf.DUMMYFUNCTION("""COMPUTED_VALUE"""),58.8)</f>
        <v>58.8</v>
      </c>
      <c r="U163" s="3">
        <f ca="1">IFERROR(__xludf.DUMMYFUNCTION("""COMPUTED_VALUE"""),59.32)</f>
        <v>59.32</v>
      </c>
      <c r="V163" s="3">
        <f ca="1">IFERROR(__xludf.DUMMYFUNCTION("""COMPUTED_VALUE"""),58.21)</f>
        <v>58.21</v>
      </c>
      <c r="W163" s="3">
        <f ca="1">IFERROR(__xludf.DUMMYFUNCTION("""COMPUTED_VALUE"""),58.85)</f>
        <v>58.85</v>
      </c>
      <c r="X163" s="3">
        <f ca="1">IFERROR(__xludf.DUMMYFUNCTION("""COMPUTED_VALUE"""),24015013)</f>
        <v>24015013</v>
      </c>
      <c r="Y163" s="4">
        <f ca="1">IFERROR(__xludf.DUMMYFUNCTION("""COMPUTED_VALUE"""),42359.6666666666)</f>
        <v>42359.666666666599</v>
      </c>
      <c r="Z163" s="3">
        <f ca="1">IFERROR(__xludf.DUMMYFUNCTION("""COMPUTED_VALUE"""),19.08)</f>
        <v>19.079999999999998</v>
      </c>
      <c r="AA163" s="3">
        <f ca="1">IFERROR(__xludf.DUMMYFUNCTION("""COMPUTED_VALUE"""),19.17)</f>
        <v>19.170000000000002</v>
      </c>
      <c r="AB163" s="3">
        <f ca="1">IFERROR(__xludf.DUMMYFUNCTION("""COMPUTED_VALUE"""),18.94)</f>
        <v>18.940000000000001</v>
      </c>
      <c r="AC163" s="3">
        <f ca="1">IFERROR(__xludf.DUMMYFUNCTION("""COMPUTED_VALUE"""),19.11)</f>
        <v>19.11</v>
      </c>
      <c r="AD163" s="3">
        <f ca="1">IFERROR(__xludf.DUMMYFUNCTION("""COMPUTED_VALUE"""),41208857)</f>
        <v>41208857</v>
      </c>
      <c r="AE163" s="4">
        <f ca="1">IFERROR(__xludf.DUMMYFUNCTION("""COMPUTED_VALUE"""),42359.6666666666)</f>
        <v>42359.666666666599</v>
      </c>
      <c r="AF163" s="3">
        <f ca="1">IFERROR(__xludf.DUMMYFUNCTION("""COMPUTED_VALUE"""),70.91)</f>
        <v>70.91</v>
      </c>
      <c r="AG163" s="3">
        <f ca="1">IFERROR(__xludf.DUMMYFUNCTION("""COMPUTED_VALUE"""),71.13)</f>
        <v>71.13</v>
      </c>
      <c r="AH163" s="3">
        <f ca="1">IFERROR(__xludf.DUMMYFUNCTION("""COMPUTED_VALUE"""),70.55)</f>
        <v>70.55</v>
      </c>
      <c r="AI163" s="3">
        <f ca="1">IFERROR(__xludf.DUMMYFUNCTION("""COMPUTED_VALUE"""),71.13)</f>
        <v>71.13</v>
      </c>
      <c r="AJ163" s="3">
        <f ca="1">IFERROR(__xludf.DUMMYFUNCTION("""COMPUTED_VALUE"""),6707204)</f>
        <v>6707204</v>
      </c>
      <c r="AK163" s="4">
        <f ca="1">IFERROR(__xludf.DUMMYFUNCTION("""COMPUTED_VALUE"""),42359.6666666666)</f>
        <v>42359.666666666599</v>
      </c>
      <c r="AL163" s="3">
        <f ca="1">IFERROR(__xludf.DUMMYFUNCTION("""COMPUTED_VALUE"""),52.2)</f>
        <v>52.2</v>
      </c>
      <c r="AM163" s="3">
        <f ca="1">IFERROR(__xludf.DUMMYFUNCTION("""COMPUTED_VALUE"""),52.36)</f>
        <v>52.36</v>
      </c>
      <c r="AN163" s="3">
        <f ca="1">IFERROR(__xludf.DUMMYFUNCTION("""COMPUTED_VALUE"""),51.83)</f>
        <v>51.83</v>
      </c>
      <c r="AO163" s="3">
        <f ca="1">IFERROR(__xludf.DUMMYFUNCTION("""COMPUTED_VALUE"""),52.14)</f>
        <v>52.14</v>
      </c>
      <c r="AP163" s="3">
        <f ca="1">IFERROR(__xludf.DUMMYFUNCTION("""COMPUTED_VALUE"""),9394669)</f>
        <v>9394669</v>
      </c>
      <c r="AQ163" s="4">
        <f ca="1">IFERROR(__xludf.DUMMYFUNCTION("""COMPUTED_VALUE"""),42359.6666666666)</f>
        <v>42359.666666666599</v>
      </c>
      <c r="AR163" s="3">
        <f ca="1">IFERROR(__xludf.DUMMYFUNCTION("""COMPUTED_VALUE"""),42.56)</f>
        <v>42.56</v>
      </c>
      <c r="AS163" s="3">
        <f ca="1">IFERROR(__xludf.DUMMYFUNCTION("""COMPUTED_VALUE"""),42.77)</f>
        <v>42.77</v>
      </c>
      <c r="AT163" s="3">
        <f ca="1">IFERROR(__xludf.DUMMYFUNCTION("""COMPUTED_VALUE"""),42.29)</f>
        <v>42.29</v>
      </c>
      <c r="AU163" s="3">
        <f ca="1">IFERROR(__xludf.DUMMYFUNCTION("""COMPUTED_VALUE"""),42.65)</f>
        <v>42.65</v>
      </c>
      <c r="AV163" s="3">
        <f ca="1">IFERROR(__xludf.DUMMYFUNCTION("""COMPUTED_VALUE"""),5887095)</f>
        <v>5887095</v>
      </c>
      <c r="AW163" s="4">
        <f ca="1">IFERROR(__xludf.DUMMYFUNCTION("""COMPUTED_VALUE"""),42527.6666666666)</f>
        <v>42527.666666666599</v>
      </c>
      <c r="AX163" s="3">
        <f ca="1">IFERROR(__xludf.DUMMYFUNCTION("""COMPUTED_VALUE"""),32.09)</f>
        <v>32.090000000000003</v>
      </c>
      <c r="AY163" s="3">
        <f ca="1">IFERROR(__xludf.DUMMYFUNCTION("""COMPUTED_VALUE"""),32.09)</f>
        <v>32.090000000000003</v>
      </c>
      <c r="AZ163" s="3">
        <f ca="1">IFERROR(__xludf.DUMMYFUNCTION("""COMPUTED_VALUE"""),31.9)</f>
        <v>31.9</v>
      </c>
      <c r="BA163" s="3">
        <f ca="1">IFERROR(__xludf.DUMMYFUNCTION("""COMPUTED_VALUE"""),32.06)</f>
        <v>32.06</v>
      </c>
      <c r="BB163" s="3">
        <f ca="1">IFERROR(__xludf.DUMMYFUNCTION("""COMPUTED_VALUE"""),3111)</f>
        <v>3111</v>
      </c>
      <c r="BC163" s="4">
        <f ca="1">IFERROR(__xludf.DUMMYFUNCTION("""COMPUTED_VALUE"""),42359.6666666666)</f>
        <v>42359.666666666599</v>
      </c>
      <c r="BD163" s="3">
        <f ca="1">IFERROR(__xludf.DUMMYFUNCTION("""COMPUTED_VALUE"""),42.52)</f>
        <v>42.52</v>
      </c>
      <c r="BE163" s="3">
        <f ca="1">IFERROR(__xludf.DUMMYFUNCTION("""COMPUTED_VALUE"""),42.63)</f>
        <v>42.63</v>
      </c>
      <c r="BF163" s="3">
        <f ca="1">IFERROR(__xludf.DUMMYFUNCTION("""COMPUTED_VALUE"""),42.24)</f>
        <v>42.24</v>
      </c>
      <c r="BG163" s="3">
        <f ca="1">IFERROR(__xludf.DUMMYFUNCTION("""COMPUTED_VALUE"""),42.6)</f>
        <v>42.6</v>
      </c>
      <c r="BH163" s="3">
        <f ca="1">IFERROR(__xludf.DUMMYFUNCTION("""COMPUTED_VALUE"""),11163279)</f>
        <v>11163279</v>
      </c>
      <c r="BI163" s="4">
        <f ca="1">IFERROR(__xludf.DUMMYFUNCTION("""COMPUTED_VALUE"""),42359.6666666666)</f>
        <v>42359.666666666599</v>
      </c>
      <c r="BJ163" s="3">
        <f ca="1">IFERROR(__xludf.DUMMYFUNCTION("""COMPUTED_VALUE"""),42.61)</f>
        <v>42.61</v>
      </c>
      <c r="BK163" s="3">
        <f ca="1">IFERROR(__xludf.DUMMYFUNCTION("""COMPUTED_VALUE"""),42.78)</f>
        <v>42.78</v>
      </c>
      <c r="BL163" s="3">
        <f ca="1">IFERROR(__xludf.DUMMYFUNCTION("""COMPUTED_VALUE"""),42.26)</f>
        <v>42.26</v>
      </c>
      <c r="BM163" s="3">
        <f ca="1">IFERROR(__xludf.DUMMYFUNCTION("""COMPUTED_VALUE"""),42.48)</f>
        <v>42.48</v>
      </c>
      <c r="BN163" s="3">
        <f ca="1">IFERROR(__xludf.DUMMYFUNCTION("""COMPUTED_VALUE"""),9031500)</f>
        <v>9031500</v>
      </c>
    </row>
    <row r="164" spans="7:66" ht="13" x14ac:dyDescent="0.15">
      <c r="G164" s="4">
        <f ca="1">IFERROR(__xludf.DUMMYFUNCTION("""COMPUTED_VALUE"""),42360.6666666666)</f>
        <v>42360.666666666599</v>
      </c>
      <c r="H164" s="3">
        <f ca="1">IFERROR(__xludf.DUMMYFUNCTION("""COMPUTED_VALUE"""),78.12)</f>
        <v>78.12</v>
      </c>
      <c r="I164" s="3">
        <f ca="1">IFERROR(__xludf.DUMMYFUNCTION("""COMPUTED_VALUE"""),78.44)</f>
        <v>78.44</v>
      </c>
      <c r="J164" s="3">
        <f ca="1">IFERROR(__xludf.DUMMYFUNCTION("""COMPUTED_VALUE"""),77.68)</f>
        <v>77.680000000000007</v>
      </c>
      <c r="K164" s="3">
        <f ca="1">IFERROR(__xludf.DUMMYFUNCTION("""COMPUTED_VALUE"""),78.29)</f>
        <v>78.290000000000006</v>
      </c>
      <c r="L164" s="3">
        <f ca="1">IFERROR(__xludf.DUMMYFUNCTION("""COMPUTED_VALUE"""),6732917)</f>
        <v>6732917</v>
      </c>
      <c r="M164" s="4">
        <f ca="1">IFERROR(__xludf.DUMMYFUNCTION("""COMPUTED_VALUE"""),42360.6666666666)</f>
        <v>42360.666666666599</v>
      </c>
      <c r="N164" s="3">
        <f ca="1">IFERROR(__xludf.DUMMYFUNCTION("""COMPUTED_VALUE"""),49.98)</f>
        <v>49.98</v>
      </c>
      <c r="O164" s="3">
        <f ca="1">IFERROR(__xludf.DUMMYFUNCTION("""COMPUTED_VALUE"""),50.61)</f>
        <v>50.61</v>
      </c>
      <c r="P164" s="3">
        <f ca="1">IFERROR(__xludf.DUMMYFUNCTION("""COMPUTED_VALUE"""),49.87)</f>
        <v>49.87</v>
      </c>
      <c r="Q164" s="3">
        <f ca="1">IFERROR(__xludf.DUMMYFUNCTION("""COMPUTED_VALUE"""),50.55)</f>
        <v>50.55</v>
      </c>
      <c r="R164" s="3">
        <f ca="1">IFERROR(__xludf.DUMMYFUNCTION("""COMPUTED_VALUE"""),7185807)</f>
        <v>7185807</v>
      </c>
      <c r="S164" s="4">
        <f ca="1">IFERROR(__xludf.DUMMYFUNCTION("""COMPUTED_VALUE"""),42360.6666666666)</f>
        <v>42360.666666666599</v>
      </c>
      <c r="T164" s="3">
        <f ca="1">IFERROR(__xludf.DUMMYFUNCTION("""COMPUTED_VALUE"""),59.06)</f>
        <v>59.06</v>
      </c>
      <c r="U164" s="3">
        <f ca="1">IFERROR(__xludf.DUMMYFUNCTION("""COMPUTED_VALUE"""),59.92)</f>
        <v>59.92</v>
      </c>
      <c r="V164" s="3">
        <f ca="1">IFERROR(__xludf.DUMMYFUNCTION("""COMPUTED_VALUE"""),58.77)</f>
        <v>58.77</v>
      </c>
      <c r="W164" s="3">
        <f ca="1">IFERROR(__xludf.DUMMYFUNCTION("""COMPUTED_VALUE"""),59.54)</f>
        <v>59.54</v>
      </c>
      <c r="X164" s="3">
        <f ca="1">IFERROR(__xludf.DUMMYFUNCTION("""COMPUTED_VALUE"""),25291533)</f>
        <v>25291533</v>
      </c>
      <c r="Y164" s="4">
        <f ca="1">IFERROR(__xludf.DUMMYFUNCTION("""COMPUTED_VALUE"""),42360.6666666666)</f>
        <v>42360.666666666599</v>
      </c>
      <c r="Z164" s="3">
        <f ca="1">IFERROR(__xludf.DUMMYFUNCTION("""COMPUTED_VALUE"""),19.22)</f>
        <v>19.22</v>
      </c>
      <c r="AA164" s="3">
        <f ca="1">IFERROR(__xludf.DUMMYFUNCTION("""COMPUTED_VALUE"""),19.33)</f>
        <v>19.329999999999998</v>
      </c>
      <c r="AB164" s="3">
        <f ca="1">IFERROR(__xludf.DUMMYFUNCTION("""COMPUTED_VALUE"""),19.05)</f>
        <v>19.05</v>
      </c>
      <c r="AC164" s="3">
        <f ca="1">IFERROR(__xludf.DUMMYFUNCTION("""COMPUTED_VALUE"""),19.29)</f>
        <v>19.29</v>
      </c>
      <c r="AD164" s="3">
        <f ca="1">IFERROR(__xludf.DUMMYFUNCTION("""COMPUTED_VALUE"""),46375104)</f>
        <v>46375104</v>
      </c>
      <c r="AE164" s="4">
        <f ca="1">IFERROR(__xludf.DUMMYFUNCTION("""COMPUTED_VALUE"""),42360.6666666666)</f>
        <v>42360.666666666599</v>
      </c>
      <c r="AF164" s="3">
        <f ca="1">IFERROR(__xludf.DUMMYFUNCTION("""COMPUTED_VALUE"""),71.38)</f>
        <v>71.38</v>
      </c>
      <c r="AG164" s="3">
        <f ca="1">IFERROR(__xludf.DUMMYFUNCTION("""COMPUTED_VALUE"""),71.71)</f>
        <v>71.709999999999994</v>
      </c>
      <c r="AH164" s="3">
        <f ca="1">IFERROR(__xludf.DUMMYFUNCTION("""COMPUTED_VALUE"""),70.97)</f>
        <v>70.97</v>
      </c>
      <c r="AI164" s="3">
        <f ca="1">IFERROR(__xludf.DUMMYFUNCTION("""COMPUTED_VALUE"""),71.61)</f>
        <v>71.61</v>
      </c>
      <c r="AJ164" s="3">
        <f ca="1">IFERROR(__xludf.DUMMYFUNCTION("""COMPUTED_VALUE"""),7495791)</f>
        <v>7495791</v>
      </c>
      <c r="AK164" s="4">
        <f ca="1">IFERROR(__xludf.DUMMYFUNCTION("""COMPUTED_VALUE"""),42360.6666666666)</f>
        <v>42360.666666666599</v>
      </c>
      <c r="AL164" s="3">
        <f ca="1">IFERROR(__xludf.DUMMYFUNCTION("""COMPUTED_VALUE"""),52.35)</f>
        <v>52.35</v>
      </c>
      <c r="AM164" s="3">
        <f ca="1">IFERROR(__xludf.DUMMYFUNCTION("""COMPUTED_VALUE"""),52.98)</f>
        <v>52.98</v>
      </c>
      <c r="AN164" s="3">
        <f ca="1">IFERROR(__xludf.DUMMYFUNCTION("""COMPUTED_VALUE"""),52.23)</f>
        <v>52.23</v>
      </c>
      <c r="AO164" s="3">
        <f ca="1">IFERROR(__xludf.DUMMYFUNCTION("""COMPUTED_VALUE"""),52.86)</f>
        <v>52.86</v>
      </c>
      <c r="AP164" s="3">
        <f ca="1">IFERROR(__xludf.DUMMYFUNCTION("""COMPUTED_VALUE"""),11833522)</f>
        <v>11833522</v>
      </c>
      <c r="AQ164" s="4">
        <f ca="1">IFERROR(__xludf.DUMMYFUNCTION("""COMPUTED_VALUE"""),42360.6666666666)</f>
        <v>42360.666666666599</v>
      </c>
      <c r="AR164" s="3">
        <f ca="1">IFERROR(__xludf.DUMMYFUNCTION("""COMPUTED_VALUE"""),42.87)</f>
        <v>42.87</v>
      </c>
      <c r="AS164" s="3">
        <f ca="1">IFERROR(__xludf.DUMMYFUNCTION("""COMPUTED_VALUE"""),43.39)</f>
        <v>43.39</v>
      </c>
      <c r="AT164" s="3">
        <f ca="1">IFERROR(__xludf.DUMMYFUNCTION("""COMPUTED_VALUE"""),42.73)</f>
        <v>42.73</v>
      </c>
      <c r="AU164" s="3">
        <f ca="1">IFERROR(__xludf.DUMMYFUNCTION("""COMPUTED_VALUE"""),43.19)</f>
        <v>43.19</v>
      </c>
      <c r="AV164" s="3">
        <f ca="1">IFERROR(__xludf.DUMMYFUNCTION("""COMPUTED_VALUE"""),5268201)</f>
        <v>5268201</v>
      </c>
      <c r="AW164" s="4">
        <f ca="1">IFERROR(__xludf.DUMMYFUNCTION("""COMPUTED_VALUE"""),42528.6666666666)</f>
        <v>42528.666666666599</v>
      </c>
      <c r="AX164" s="3">
        <f ca="1">IFERROR(__xludf.DUMMYFUNCTION("""COMPUTED_VALUE"""),32.06)</f>
        <v>32.06</v>
      </c>
      <c r="AY164" s="3">
        <f ca="1">IFERROR(__xludf.DUMMYFUNCTION("""COMPUTED_VALUE"""),32.24)</f>
        <v>32.24</v>
      </c>
      <c r="AZ164" s="3">
        <f ca="1">IFERROR(__xludf.DUMMYFUNCTION("""COMPUTED_VALUE"""),32)</f>
        <v>32</v>
      </c>
      <c r="BA164" s="3">
        <f ca="1">IFERROR(__xludf.DUMMYFUNCTION("""COMPUTED_VALUE"""),32.09)</f>
        <v>32.090000000000003</v>
      </c>
      <c r="BB164" s="3">
        <f ca="1">IFERROR(__xludf.DUMMYFUNCTION("""COMPUTED_VALUE"""),2454)</f>
        <v>2454</v>
      </c>
      <c r="BC164" s="4">
        <f ca="1">IFERROR(__xludf.DUMMYFUNCTION("""COMPUTED_VALUE"""),42360.6666666666)</f>
        <v>42360.666666666599</v>
      </c>
      <c r="BD164" s="3">
        <f ca="1">IFERROR(__xludf.DUMMYFUNCTION("""COMPUTED_VALUE"""),42.76)</f>
        <v>42.76</v>
      </c>
      <c r="BE164" s="3">
        <f ca="1">IFERROR(__xludf.DUMMYFUNCTION("""COMPUTED_VALUE"""),42.98)</f>
        <v>42.98</v>
      </c>
      <c r="BF164" s="3">
        <f ca="1">IFERROR(__xludf.DUMMYFUNCTION("""COMPUTED_VALUE"""),42.56)</f>
        <v>42.56</v>
      </c>
      <c r="BG164" s="3">
        <f ca="1">IFERROR(__xludf.DUMMYFUNCTION("""COMPUTED_VALUE"""),42.91)</f>
        <v>42.91</v>
      </c>
      <c r="BH164" s="3">
        <f ca="1">IFERROR(__xludf.DUMMYFUNCTION("""COMPUTED_VALUE"""),9482597)</f>
        <v>9482597</v>
      </c>
      <c r="BI164" s="4">
        <f ca="1">IFERROR(__xludf.DUMMYFUNCTION("""COMPUTED_VALUE"""),42360.6666666666)</f>
        <v>42360.666666666599</v>
      </c>
      <c r="BJ164" s="3">
        <f ca="1">IFERROR(__xludf.DUMMYFUNCTION("""COMPUTED_VALUE"""),42.6)</f>
        <v>42.6</v>
      </c>
      <c r="BK164" s="3">
        <f ca="1">IFERROR(__xludf.DUMMYFUNCTION("""COMPUTED_VALUE"""),42.95)</f>
        <v>42.95</v>
      </c>
      <c r="BL164" s="3">
        <f ca="1">IFERROR(__xludf.DUMMYFUNCTION("""COMPUTED_VALUE"""),42.21)</f>
        <v>42.21</v>
      </c>
      <c r="BM164" s="3">
        <f ca="1">IFERROR(__xludf.DUMMYFUNCTION("""COMPUTED_VALUE"""),42.84)</f>
        <v>42.84</v>
      </c>
      <c r="BN164" s="3">
        <f ca="1">IFERROR(__xludf.DUMMYFUNCTION("""COMPUTED_VALUE"""),8125824)</f>
        <v>8125824</v>
      </c>
    </row>
    <row r="165" spans="7:66" ht="13" x14ac:dyDescent="0.15">
      <c r="G165" s="4">
        <f ca="1">IFERROR(__xludf.DUMMYFUNCTION("""COMPUTED_VALUE"""),42361.6666666666)</f>
        <v>42361.666666666599</v>
      </c>
      <c r="H165" s="3">
        <f ca="1">IFERROR(__xludf.DUMMYFUNCTION("""COMPUTED_VALUE"""),78.5)</f>
        <v>78.5</v>
      </c>
      <c r="I165" s="3">
        <f ca="1">IFERROR(__xludf.DUMMYFUNCTION("""COMPUTED_VALUE"""),78.78)</f>
        <v>78.78</v>
      </c>
      <c r="J165" s="3">
        <f ca="1">IFERROR(__xludf.DUMMYFUNCTION("""COMPUTED_VALUE"""),78.36)</f>
        <v>78.36</v>
      </c>
      <c r="K165" s="3">
        <f ca="1">IFERROR(__xludf.DUMMYFUNCTION("""COMPUTED_VALUE"""),78.69)</f>
        <v>78.69</v>
      </c>
      <c r="L165" s="3">
        <f ca="1">IFERROR(__xludf.DUMMYFUNCTION("""COMPUTED_VALUE"""),6024849)</f>
        <v>6024849</v>
      </c>
      <c r="M165" s="4">
        <f ca="1">IFERROR(__xludf.DUMMYFUNCTION("""COMPUTED_VALUE"""),42361.6666666666)</f>
        <v>42361.666666666599</v>
      </c>
      <c r="N165" s="3">
        <f ca="1">IFERROR(__xludf.DUMMYFUNCTION("""COMPUTED_VALUE"""),50.77)</f>
        <v>50.77</v>
      </c>
      <c r="O165" s="3">
        <f ca="1">IFERROR(__xludf.DUMMYFUNCTION("""COMPUTED_VALUE"""),50.99)</f>
        <v>50.99</v>
      </c>
      <c r="P165" s="3">
        <f ca="1">IFERROR(__xludf.DUMMYFUNCTION("""COMPUTED_VALUE"""),50.68)</f>
        <v>50.68</v>
      </c>
      <c r="Q165" s="3">
        <f ca="1">IFERROR(__xludf.DUMMYFUNCTION("""COMPUTED_VALUE"""),50.92)</f>
        <v>50.92</v>
      </c>
      <c r="R165" s="3">
        <f ca="1">IFERROR(__xludf.DUMMYFUNCTION("""COMPUTED_VALUE"""),6464116)</f>
        <v>6464116</v>
      </c>
      <c r="S165" s="4">
        <f ca="1">IFERROR(__xludf.DUMMYFUNCTION("""COMPUTED_VALUE"""),42361.6666666666)</f>
        <v>42361.666666666599</v>
      </c>
      <c r="T165" s="3">
        <f ca="1">IFERROR(__xludf.DUMMYFUNCTION("""COMPUTED_VALUE"""),60.74)</f>
        <v>60.74</v>
      </c>
      <c r="U165" s="3">
        <f ca="1">IFERROR(__xludf.DUMMYFUNCTION("""COMPUTED_VALUE"""),62.17)</f>
        <v>62.17</v>
      </c>
      <c r="V165" s="3">
        <f ca="1">IFERROR(__xludf.DUMMYFUNCTION("""COMPUTED_VALUE"""),60.53)</f>
        <v>60.53</v>
      </c>
      <c r="W165" s="3">
        <f ca="1">IFERROR(__xludf.DUMMYFUNCTION("""COMPUTED_VALUE"""),62.13)</f>
        <v>62.13</v>
      </c>
      <c r="X165" s="3">
        <f ca="1">IFERROR(__xludf.DUMMYFUNCTION("""COMPUTED_VALUE"""),30210492)</f>
        <v>30210492</v>
      </c>
      <c r="Y165" s="4">
        <f ca="1">IFERROR(__xludf.DUMMYFUNCTION("""COMPUTED_VALUE"""),42361.6666666666)</f>
        <v>42361.666666666599</v>
      </c>
      <c r="Z165" s="3">
        <f ca="1">IFERROR(__xludf.DUMMYFUNCTION("""COMPUTED_VALUE"""),19.41)</f>
        <v>19.41</v>
      </c>
      <c r="AA165" s="3">
        <f ca="1">IFERROR(__xludf.DUMMYFUNCTION("""COMPUTED_VALUE"""),19.55)</f>
        <v>19.55</v>
      </c>
      <c r="AB165" s="3">
        <f ca="1">IFERROR(__xludf.DUMMYFUNCTION("""COMPUTED_VALUE"""),19.35)</f>
        <v>19.350000000000001</v>
      </c>
      <c r="AC165" s="3">
        <f ca="1">IFERROR(__xludf.DUMMYFUNCTION("""COMPUTED_VALUE"""),19.51)</f>
        <v>19.510000000000002</v>
      </c>
      <c r="AD165" s="3">
        <f ca="1">IFERROR(__xludf.DUMMYFUNCTION("""COMPUTED_VALUE"""),33003978)</f>
        <v>33003978</v>
      </c>
      <c r="AE165" s="4">
        <f ca="1">IFERROR(__xludf.DUMMYFUNCTION("""COMPUTED_VALUE"""),42361.6666666666)</f>
        <v>42361.666666666599</v>
      </c>
      <c r="AF165" s="3">
        <f ca="1">IFERROR(__xludf.DUMMYFUNCTION("""COMPUTED_VALUE"""),72.06)</f>
        <v>72.06</v>
      </c>
      <c r="AG165" s="3">
        <f ca="1">IFERROR(__xludf.DUMMYFUNCTION("""COMPUTED_VALUE"""),72.54)</f>
        <v>72.540000000000006</v>
      </c>
      <c r="AH165" s="3">
        <f ca="1">IFERROR(__xludf.DUMMYFUNCTION("""COMPUTED_VALUE"""),71.99)</f>
        <v>71.989999999999995</v>
      </c>
      <c r="AI165" s="3">
        <f ca="1">IFERROR(__xludf.DUMMYFUNCTION("""COMPUTED_VALUE"""),72.38)</f>
        <v>72.38</v>
      </c>
      <c r="AJ165" s="3">
        <f ca="1">IFERROR(__xludf.DUMMYFUNCTION("""COMPUTED_VALUE"""),8090966)</f>
        <v>8090966</v>
      </c>
      <c r="AK165" s="4">
        <f ca="1">IFERROR(__xludf.DUMMYFUNCTION("""COMPUTED_VALUE"""),42361.6666666666)</f>
        <v>42361.666666666599</v>
      </c>
      <c r="AL165" s="3">
        <f ca="1">IFERROR(__xludf.DUMMYFUNCTION("""COMPUTED_VALUE"""),53.1)</f>
        <v>53.1</v>
      </c>
      <c r="AM165" s="3">
        <f ca="1">IFERROR(__xludf.DUMMYFUNCTION("""COMPUTED_VALUE"""),53.52)</f>
        <v>53.52</v>
      </c>
      <c r="AN165" s="3">
        <f ca="1">IFERROR(__xludf.DUMMYFUNCTION("""COMPUTED_VALUE"""),52.96)</f>
        <v>52.96</v>
      </c>
      <c r="AO165" s="3">
        <f ca="1">IFERROR(__xludf.DUMMYFUNCTION("""COMPUTED_VALUE"""),53.48)</f>
        <v>53.48</v>
      </c>
      <c r="AP165" s="3">
        <f ca="1">IFERROR(__xludf.DUMMYFUNCTION("""COMPUTED_VALUE"""),9604802)</f>
        <v>9604802</v>
      </c>
      <c r="AQ165" s="4">
        <f ca="1">IFERROR(__xludf.DUMMYFUNCTION("""COMPUTED_VALUE"""),42361.6666666666)</f>
        <v>42361.666666666599</v>
      </c>
      <c r="AR165" s="3">
        <f ca="1">IFERROR(__xludf.DUMMYFUNCTION("""COMPUTED_VALUE"""),43.5)</f>
        <v>43.5</v>
      </c>
      <c r="AS165" s="3">
        <f ca="1">IFERROR(__xludf.DUMMYFUNCTION("""COMPUTED_VALUE"""),44.28)</f>
        <v>44.28</v>
      </c>
      <c r="AT165" s="3">
        <f ca="1">IFERROR(__xludf.DUMMYFUNCTION("""COMPUTED_VALUE"""),43.5)</f>
        <v>43.5</v>
      </c>
      <c r="AU165" s="3">
        <f ca="1">IFERROR(__xludf.DUMMYFUNCTION("""COMPUTED_VALUE"""),44.21)</f>
        <v>44.21</v>
      </c>
      <c r="AV165" s="3">
        <f ca="1">IFERROR(__xludf.DUMMYFUNCTION("""COMPUTED_VALUE"""),5819613)</f>
        <v>5819613</v>
      </c>
      <c r="AW165" s="4">
        <f ca="1">IFERROR(__xludf.DUMMYFUNCTION("""COMPUTED_VALUE"""),42529.6666666666)</f>
        <v>42529.666666666599</v>
      </c>
      <c r="AX165" s="3">
        <f ca="1">IFERROR(__xludf.DUMMYFUNCTION("""COMPUTED_VALUE"""),32.07)</f>
        <v>32.07</v>
      </c>
      <c r="AY165" s="3">
        <f ca="1">IFERROR(__xludf.DUMMYFUNCTION("""COMPUTED_VALUE"""),32.25)</f>
        <v>32.25</v>
      </c>
      <c r="AZ165" s="3">
        <f ca="1">IFERROR(__xludf.DUMMYFUNCTION("""COMPUTED_VALUE"""),32.05)</f>
        <v>32.049999999999997</v>
      </c>
      <c r="BA165" s="3">
        <f ca="1">IFERROR(__xludf.DUMMYFUNCTION("""COMPUTED_VALUE"""),32.24)</f>
        <v>32.24</v>
      </c>
      <c r="BB165" s="3">
        <f ca="1">IFERROR(__xludf.DUMMYFUNCTION("""COMPUTED_VALUE"""),2712)</f>
        <v>2712</v>
      </c>
      <c r="BC165" s="4">
        <f ca="1">IFERROR(__xludf.DUMMYFUNCTION("""COMPUTED_VALUE"""),42361.6666666666)</f>
        <v>42361.666666666599</v>
      </c>
      <c r="BD165" s="3">
        <f ca="1">IFERROR(__xludf.DUMMYFUNCTION("""COMPUTED_VALUE"""),43.14)</f>
        <v>43.14</v>
      </c>
      <c r="BE165" s="3">
        <f ca="1">IFERROR(__xludf.DUMMYFUNCTION("""COMPUTED_VALUE"""),43.31)</f>
        <v>43.31</v>
      </c>
      <c r="BF165" s="3">
        <f ca="1">IFERROR(__xludf.DUMMYFUNCTION("""COMPUTED_VALUE"""),43)</f>
        <v>43</v>
      </c>
      <c r="BG165" s="3">
        <f ca="1">IFERROR(__xludf.DUMMYFUNCTION("""COMPUTED_VALUE"""),43.27)</f>
        <v>43.27</v>
      </c>
      <c r="BH165" s="3">
        <f ca="1">IFERROR(__xludf.DUMMYFUNCTION("""COMPUTED_VALUE"""),8045250)</f>
        <v>8045250</v>
      </c>
      <c r="BI165" s="4">
        <f ca="1">IFERROR(__xludf.DUMMYFUNCTION("""COMPUTED_VALUE"""),42361.6666666666)</f>
        <v>42361.666666666599</v>
      </c>
      <c r="BJ165" s="3">
        <f ca="1">IFERROR(__xludf.DUMMYFUNCTION("""COMPUTED_VALUE"""),42.91)</f>
        <v>42.91</v>
      </c>
      <c r="BK165" s="3">
        <f ca="1">IFERROR(__xludf.DUMMYFUNCTION("""COMPUTED_VALUE"""),43.6)</f>
        <v>43.6</v>
      </c>
      <c r="BL165" s="3">
        <f ca="1">IFERROR(__xludf.DUMMYFUNCTION("""COMPUTED_VALUE"""),42.85)</f>
        <v>42.85</v>
      </c>
      <c r="BM165" s="3">
        <f ca="1">IFERROR(__xludf.DUMMYFUNCTION("""COMPUTED_VALUE"""),43.5)</f>
        <v>43.5</v>
      </c>
      <c r="BN165" s="3">
        <f ca="1">IFERROR(__xludf.DUMMYFUNCTION("""COMPUTED_VALUE"""),8581656)</f>
        <v>8581656</v>
      </c>
    </row>
    <row r="166" spans="7:66" ht="13" x14ac:dyDescent="0.15">
      <c r="G166" s="4">
        <f ca="1">IFERROR(__xludf.DUMMYFUNCTION("""COMPUTED_VALUE"""),42362.6666666666)</f>
        <v>42362.666666666599</v>
      </c>
      <c r="H166" s="3">
        <f ca="1">IFERROR(__xludf.DUMMYFUNCTION("""COMPUTED_VALUE"""),78.56)</f>
        <v>78.56</v>
      </c>
      <c r="I166" s="3">
        <f ca="1">IFERROR(__xludf.DUMMYFUNCTION("""COMPUTED_VALUE"""),78.74)</f>
        <v>78.739999999999995</v>
      </c>
      <c r="J166" s="3">
        <f ca="1">IFERROR(__xludf.DUMMYFUNCTION("""COMPUTED_VALUE"""),78.42)</f>
        <v>78.42</v>
      </c>
      <c r="K166" s="3">
        <f ca="1">IFERROR(__xludf.DUMMYFUNCTION("""COMPUTED_VALUE"""),78.48)</f>
        <v>78.48</v>
      </c>
      <c r="L166" s="3">
        <f ca="1">IFERROR(__xludf.DUMMYFUNCTION("""COMPUTED_VALUE"""),1911828)</f>
        <v>1911828</v>
      </c>
      <c r="M166" s="4">
        <f ca="1">IFERROR(__xludf.DUMMYFUNCTION("""COMPUTED_VALUE"""),42362.6666666666)</f>
        <v>42362.666666666599</v>
      </c>
      <c r="N166" s="3">
        <f ca="1">IFERROR(__xludf.DUMMYFUNCTION("""COMPUTED_VALUE"""),50.81)</f>
        <v>50.81</v>
      </c>
      <c r="O166" s="3">
        <f ca="1">IFERROR(__xludf.DUMMYFUNCTION("""COMPUTED_VALUE"""),51.02)</f>
        <v>51.02</v>
      </c>
      <c r="P166" s="3">
        <f ca="1">IFERROR(__xludf.DUMMYFUNCTION("""COMPUTED_VALUE"""),50.81)</f>
        <v>50.81</v>
      </c>
      <c r="Q166" s="3">
        <f ca="1">IFERROR(__xludf.DUMMYFUNCTION("""COMPUTED_VALUE"""),50.87)</f>
        <v>50.87</v>
      </c>
      <c r="R166" s="3">
        <f ca="1">IFERROR(__xludf.DUMMYFUNCTION("""COMPUTED_VALUE"""),2312094)</f>
        <v>2312094</v>
      </c>
      <c r="S166" s="4">
        <f ca="1">IFERROR(__xludf.DUMMYFUNCTION("""COMPUTED_VALUE"""),42362.6666666666)</f>
        <v>42362.666666666599</v>
      </c>
      <c r="T166" s="3">
        <f ca="1">IFERROR(__xludf.DUMMYFUNCTION("""COMPUTED_VALUE"""),62.21)</f>
        <v>62.21</v>
      </c>
      <c r="U166" s="3">
        <f ca="1">IFERROR(__xludf.DUMMYFUNCTION("""COMPUTED_VALUE"""),62.29)</f>
        <v>62.29</v>
      </c>
      <c r="V166" s="3">
        <f ca="1">IFERROR(__xludf.DUMMYFUNCTION("""COMPUTED_VALUE"""),61.35)</f>
        <v>61.35</v>
      </c>
      <c r="W166" s="3">
        <f ca="1">IFERROR(__xludf.DUMMYFUNCTION("""COMPUTED_VALUE"""),61.57)</f>
        <v>61.57</v>
      </c>
      <c r="X166" s="3">
        <f ca="1">IFERROR(__xludf.DUMMYFUNCTION("""COMPUTED_VALUE"""),7215631)</f>
        <v>7215631</v>
      </c>
      <c r="Y166" s="4">
        <f ca="1">IFERROR(__xludf.DUMMYFUNCTION("""COMPUTED_VALUE"""),42362.6666666666)</f>
        <v>42362.666666666599</v>
      </c>
      <c r="Z166" s="3">
        <f ca="1">IFERROR(__xludf.DUMMYFUNCTION("""COMPUTED_VALUE"""),19.54)</f>
        <v>19.54</v>
      </c>
      <c r="AA166" s="3">
        <f ca="1">IFERROR(__xludf.DUMMYFUNCTION("""COMPUTED_VALUE"""),19.6)</f>
        <v>19.600000000000001</v>
      </c>
      <c r="AB166" s="3">
        <f ca="1">IFERROR(__xludf.DUMMYFUNCTION("""COMPUTED_VALUE"""),19.45)</f>
        <v>19.45</v>
      </c>
      <c r="AC166" s="3">
        <f ca="1">IFERROR(__xludf.DUMMYFUNCTION("""COMPUTED_VALUE"""),19.5)</f>
        <v>19.5</v>
      </c>
      <c r="AD166" s="3">
        <f ca="1">IFERROR(__xludf.DUMMYFUNCTION("""COMPUTED_VALUE"""),11246654)</f>
        <v>11246654</v>
      </c>
      <c r="AE166" s="4">
        <f ca="1">IFERROR(__xludf.DUMMYFUNCTION("""COMPUTED_VALUE"""),42362.6666666666)</f>
        <v>42362.666666666599</v>
      </c>
      <c r="AF166" s="3">
        <f ca="1">IFERROR(__xludf.DUMMYFUNCTION("""COMPUTED_VALUE"""),72.14)</f>
        <v>72.14</v>
      </c>
      <c r="AG166" s="3">
        <f ca="1">IFERROR(__xludf.DUMMYFUNCTION("""COMPUTED_VALUE"""),72.68)</f>
        <v>72.680000000000007</v>
      </c>
      <c r="AH166" s="3">
        <f ca="1">IFERROR(__xludf.DUMMYFUNCTION("""COMPUTED_VALUE"""),72.11)</f>
        <v>72.11</v>
      </c>
      <c r="AI166" s="3">
        <f ca="1">IFERROR(__xludf.DUMMYFUNCTION("""COMPUTED_VALUE"""),72.45)</f>
        <v>72.45</v>
      </c>
      <c r="AJ166" s="3">
        <f ca="1">IFERROR(__xludf.DUMMYFUNCTION("""COMPUTED_VALUE"""),2568255)</f>
        <v>2568255</v>
      </c>
      <c r="AK166" s="4">
        <f ca="1">IFERROR(__xludf.DUMMYFUNCTION("""COMPUTED_VALUE"""),42362.6666666666)</f>
        <v>42362.666666666599</v>
      </c>
      <c r="AL166" s="3">
        <f ca="1">IFERROR(__xludf.DUMMYFUNCTION("""COMPUTED_VALUE"""),53.29)</f>
        <v>53.29</v>
      </c>
      <c r="AM166" s="3">
        <f ca="1">IFERROR(__xludf.DUMMYFUNCTION("""COMPUTED_VALUE"""),53.6)</f>
        <v>53.6</v>
      </c>
      <c r="AN166" s="3">
        <f ca="1">IFERROR(__xludf.DUMMYFUNCTION("""COMPUTED_VALUE"""),53.29)</f>
        <v>53.29</v>
      </c>
      <c r="AO166" s="3">
        <f ca="1">IFERROR(__xludf.DUMMYFUNCTION("""COMPUTED_VALUE"""),53.46)</f>
        <v>53.46</v>
      </c>
      <c r="AP166" s="3">
        <f ca="1">IFERROR(__xludf.DUMMYFUNCTION("""COMPUTED_VALUE"""),2040512)</f>
        <v>2040512</v>
      </c>
      <c r="AQ166" s="4">
        <f ca="1">IFERROR(__xludf.DUMMYFUNCTION("""COMPUTED_VALUE"""),42362.6666666666)</f>
        <v>42362.666666666599</v>
      </c>
      <c r="AR166" s="3">
        <f ca="1">IFERROR(__xludf.DUMMYFUNCTION("""COMPUTED_VALUE"""),44.11)</f>
        <v>44.11</v>
      </c>
      <c r="AS166" s="3">
        <f ca="1">IFERROR(__xludf.DUMMYFUNCTION("""COMPUTED_VALUE"""),44.29)</f>
        <v>44.29</v>
      </c>
      <c r="AT166" s="3">
        <f ca="1">IFERROR(__xludf.DUMMYFUNCTION("""COMPUTED_VALUE"""),44.02)</f>
        <v>44.02</v>
      </c>
      <c r="AU166" s="3">
        <f ca="1">IFERROR(__xludf.DUMMYFUNCTION("""COMPUTED_VALUE"""),44.11)</f>
        <v>44.11</v>
      </c>
      <c r="AV166" s="3">
        <f ca="1">IFERROR(__xludf.DUMMYFUNCTION("""COMPUTED_VALUE"""),3717012)</f>
        <v>3717012</v>
      </c>
      <c r="AW166" s="4">
        <f ca="1">IFERROR(__xludf.DUMMYFUNCTION("""COMPUTED_VALUE"""),42530.6666666666)</f>
        <v>42530.666666666599</v>
      </c>
      <c r="AX166" s="3">
        <f ca="1">IFERROR(__xludf.DUMMYFUNCTION("""COMPUTED_VALUE"""),32.26)</f>
        <v>32.26</v>
      </c>
      <c r="AY166" s="3">
        <f ca="1">IFERROR(__xludf.DUMMYFUNCTION("""COMPUTED_VALUE"""),32.31)</f>
        <v>32.31</v>
      </c>
      <c r="AZ166" s="3">
        <f ca="1">IFERROR(__xludf.DUMMYFUNCTION("""COMPUTED_VALUE"""),32.14)</f>
        <v>32.14</v>
      </c>
      <c r="BA166" s="3">
        <f ca="1">IFERROR(__xludf.DUMMYFUNCTION("""COMPUTED_VALUE"""),32.31)</f>
        <v>32.31</v>
      </c>
      <c r="BB166" s="3">
        <f ca="1">IFERROR(__xludf.DUMMYFUNCTION("""COMPUTED_VALUE"""),6067)</f>
        <v>6067</v>
      </c>
      <c r="BC166" s="4">
        <f ca="1">IFERROR(__xludf.DUMMYFUNCTION("""COMPUTED_VALUE"""),42362.6666666666)</f>
        <v>42362.666666666599</v>
      </c>
      <c r="BD166" s="3">
        <f ca="1">IFERROR(__xludf.DUMMYFUNCTION("""COMPUTED_VALUE"""),43.3)</f>
        <v>43.3</v>
      </c>
      <c r="BE166" s="3">
        <f ca="1">IFERROR(__xludf.DUMMYFUNCTION("""COMPUTED_VALUE"""),43.36)</f>
        <v>43.36</v>
      </c>
      <c r="BF166" s="3">
        <f ca="1">IFERROR(__xludf.DUMMYFUNCTION("""COMPUTED_VALUE"""),43.2)</f>
        <v>43.2</v>
      </c>
      <c r="BG166" s="3">
        <f ca="1">IFERROR(__xludf.DUMMYFUNCTION("""COMPUTED_VALUE"""),43.25)</f>
        <v>43.25</v>
      </c>
      <c r="BH166" s="3">
        <f ca="1">IFERROR(__xludf.DUMMYFUNCTION("""COMPUTED_VALUE"""),2457019)</f>
        <v>2457019</v>
      </c>
      <c r="BI166" s="4">
        <f ca="1">IFERROR(__xludf.DUMMYFUNCTION("""COMPUTED_VALUE"""),42362.6666666666)</f>
        <v>42362.666666666599</v>
      </c>
      <c r="BJ166" s="3">
        <f ca="1">IFERROR(__xludf.DUMMYFUNCTION("""COMPUTED_VALUE"""),43.35)</f>
        <v>43.35</v>
      </c>
      <c r="BK166" s="3">
        <f ca="1">IFERROR(__xludf.DUMMYFUNCTION("""COMPUTED_VALUE"""),43.6)</f>
        <v>43.6</v>
      </c>
      <c r="BL166" s="3">
        <f ca="1">IFERROR(__xludf.DUMMYFUNCTION("""COMPUTED_VALUE"""),43.35)</f>
        <v>43.35</v>
      </c>
      <c r="BM166" s="3">
        <f ca="1">IFERROR(__xludf.DUMMYFUNCTION("""COMPUTED_VALUE"""),43.47)</f>
        <v>43.47</v>
      </c>
      <c r="BN166" s="3">
        <f ca="1">IFERROR(__xludf.DUMMYFUNCTION("""COMPUTED_VALUE"""),2715807)</f>
        <v>2715807</v>
      </c>
    </row>
    <row r="167" spans="7:66" ht="13" x14ac:dyDescent="0.15">
      <c r="G167" s="4">
        <f ca="1">IFERROR(__xludf.DUMMYFUNCTION("""COMPUTED_VALUE"""),42366.6666666666)</f>
        <v>42366.666666666599</v>
      </c>
      <c r="H167" s="3">
        <f ca="1">IFERROR(__xludf.DUMMYFUNCTION("""COMPUTED_VALUE"""),78.28)</f>
        <v>78.28</v>
      </c>
      <c r="I167" s="3">
        <f ca="1">IFERROR(__xludf.DUMMYFUNCTION("""COMPUTED_VALUE"""),78.73)</f>
        <v>78.73</v>
      </c>
      <c r="J167" s="3">
        <f ca="1">IFERROR(__xludf.DUMMYFUNCTION("""COMPUTED_VALUE"""),78.06)</f>
        <v>78.06</v>
      </c>
      <c r="K167" s="3">
        <f ca="1">IFERROR(__xludf.DUMMYFUNCTION("""COMPUTED_VALUE"""),78.68)</f>
        <v>78.680000000000007</v>
      </c>
      <c r="L167" s="3">
        <f ca="1">IFERROR(__xludf.DUMMYFUNCTION("""COMPUTED_VALUE"""),4055859)</f>
        <v>4055859</v>
      </c>
      <c r="M167" s="4">
        <f ca="1">IFERROR(__xludf.DUMMYFUNCTION("""COMPUTED_VALUE"""),42366.6666666666)</f>
        <v>42366.666666666599</v>
      </c>
      <c r="N167" s="3">
        <f ca="1">IFERROR(__xludf.DUMMYFUNCTION("""COMPUTED_VALUE"""),50.65)</f>
        <v>50.65</v>
      </c>
      <c r="O167" s="3">
        <f ca="1">IFERROR(__xludf.DUMMYFUNCTION("""COMPUTED_VALUE"""),50.81)</f>
        <v>50.81</v>
      </c>
      <c r="P167" s="3">
        <f ca="1">IFERROR(__xludf.DUMMYFUNCTION("""COMPUTED_VALUE"""),50.6)</f>
        <v>50.6</v>
      </c>
      <c r="Q167" s="3">
        <f ca="1">IFERROR(__xludf.DUMMYFUNCTION("""COMPUTED_VALUE"""),50.8)</f>
        <v>50.8</v>
      </c>
      <c r="R167" s="3">
        <f ca="1">IFERROR(__xludf.DUMMYFUNCTION("""COMPUTED_VALUE"""),4620852)</f>
        <v>4620852</v>
      </c>
      <c r="S167" s="4">
        <f ca="1">IFERROR(__xludf.DUMMYFUNCTION("""COMPUTED_VALUE"""),42366.6666666666)</f>
        <v>42366.666666666599</v>
      </c>
      <c r="T167" s="3">
        <f ca="1">IFERROR(__xludf.DUMMYFUNCTION("""COMPUTED_VALUE"""),60.5)</f>
        <v>60.5</v>
      </c>
      <c r="U167" s="3">
        <f ca="1">IFERROR(__xludf.DUMMYFUNCTION("""COMPUTED_VALUE"""),60.82)</f>
        <v>60.82</v>
      </c>
      <c r="V167" s="3">
        <f ca="1">IFERROR(__xludf.DUMMYFUNCTION("""COMPUTED_VALUE"""),60.14)</f>
        <v>60.14</v>
      </c>
      <c r="W167" s="3">
        <f ca="1">IFERROR(__xludf.DUMMYFUNCTION("""COMPUTED_VALUE"""),60.45)</f>
        <v>60.45</v>
      </c>
      <c r="X167" s="3">
        <f ca="1">IFERROR(__xludf.DUMMYFUNCTION("""COMPUTED_VALUE"""),12553910)</f>
        <v>12553910</v>
      </c>
      <c r="Y167" s="4">
        <f ca="1">IFERROR(__xludf.DUMMYFUNCTION("""COMPUTED_VALUE"""),42366.6666666666)</f>
        <v>42366.666666666599</v>
      </c>
      <c r="Z167" s="3">
        <f ca="1">IFERROR(__xludf.DUMMYFUNCTION("""COMPUTED_VALUE"""),19.42)</f>
        <v>19.420000000000002</v>
      </c>
      <c r="AA167" s="3">
        <f ca="1">IFERROR(__xludf.DUMMYFUNCTION("""COMPUTED_VALUE"""),19.49)</f>
        <v>19.489999999999998</v>
      </c>
      <c r="AB167" s="3">
        <f ca="1">IFERROR(__xludf.DUMMYFUNCTION("""COMPUTED_VALUE"""),19.32)</f>
        <v>19.32</v>
      </c>
      <c r="AC167" s="3">
        <f ca="1">IFERROR(__xludf.DUMMYFUNCTION("""COMPUTED_VALUE"""),19.48)</f>
        <v>19.48</v>
      </c>
      <c r="AD167" s="3">
        <f ca="1">IFERROR(__xludf.DUMMYFUNCTION("""COMPUTED_VALUE"""),13604420)</f>
        <v>13604420</v>
      </c>
      <c r="AE167" s="4">
        <f ca="1">IFERROR(__xludf.DUMMYFUNCTION("""COMPUTED_VALUE"""),42366.6666666666)</f>
        <v>42366.666666666599</v>
      </c>
      <c r="AF167" s="3">
        <f ca="1">IFERROR(__xludf.DUMMYFUNCTION("""COMPUTED_VALUE"""),72.24)</f>
        <v>72.239999999999995</v>
      </c>
      <c r="AG167" s="3">
        <f ca="1">IFERROR(__xludf.DUMMYFUNCTION("""COMPUTED_VALUE"""),72.3)</f>
        <v>72.3</v>
      </c>
      <c r="AH167" s="3">
        <f ca="1">IFERROR(__xludf.DUMMYFUNCTION("""COMPUTED_VALUE"""),71.91)</f>
        <v>71.91</v>
      </c>
      <c r="AI167" s="3">
        <f ca="1">IFERROR(__xludf.DUMMYFUNCTION("""COMPUTED_VALUE"""),72.11)</f>
        <v>72.11</v>
      </c>
      <c r="AJ167" s="3">
        <f ca="1">IFERROR(__xludf.DUMMYFUNCTION("""COMPUTED_VALUE"""),6534743)</f>
        <v>6534743</v>
      </c>
      <c r="AK167" s="4">
        <f ca="1">IFERROR(__xludf.DUMMYFUNCTION("""COMPUTED_VALUE"""),42366.6666666666)</f>
        <v>42366.666666666599</v>
      </c>
      <c r="AL167" s="3">
        <f ca="1">IFERROR(__xludf.DUMMYFUNCTION("""COMPUTED_VALUE"""),53.25)</f>
        <v>53.25</v>
      </c>
      <c r="AM167" s="3">
        <f ca="1">IFERROR(__xludf.DUMMYFUNCTION("""COMPUTED_VALUE"""),53.45)</f>
        <v>53.45</v>
      </c>
      <c r="AN167" s="3">
        <f ca="1">IFERROR(__xludf.DUMMYFUNCTION("""COMPUTED_VALUE"""),52.99)</f>
        <v>52.99</v>
      </c>
      <c r="AO167" s="3">
        <f ca="1">IFERROR(__xludf.DUMMYFUNCTION("""COMPUTED_VALUE"""),53.34)</f>
        <v>53.34</v>
      </c>
      <c r="AP167" s="3">
        <f ca="1">IFERROR(__xludf.DUMMYFUNCTION("""COMPUTED_VALUE"""),4687580)</f>
        <v>4687580</v>
      </c>
      <c r="AQ167" s="4">
        <f ca="1">IFERROR(__xludf.DUMMYFUNCTION("""COMPUTED_VALUE"""),42366.6666666666)</f>
        <v>42366.666666666599</v>
      </c>
      <c r="AR167" s="3">
        <f ca="1">IFERROR(__xludf.DUMMYFUNCTION("""COMPUTED_VALUE"""),43.92)</f>
        <v>43.92</v>
      </c>
      <c r="AS167" s="3">
        <f ca="1">IFERROR(__xludf.DUMMYFUNCTION("""COMPUTED_VALUE"""),43.92)</f>
        <v>43.92</v>
      </c>
      <c r="AT167" s="3">
        <f ca="1">IFERROR(__xludf.DUMMYFUNCTION("""COMPUTED_VALUE"""),43.54)</f>
        <v>43.54</v>
      </c>
      <c r="AU167" s="3">
        <f ca="1">IFERROR(__xludf.DUMMYFUNCTION("""COMPUTED_VALUE"""),43.8)</f>
        <v>43.8</v>
      </c>
      <c r="AV167" s="3">
        <f ca="1">IFERROR(__xludf.DUMMYFUNCTION("""COMPUTED_VALUE"""),4161561)</f>
        <v>4161561</v>
      </c>
      <c r="AW167" s="4">
        <f ca="1">IFERROR(__xludf.DUMMYFUNCTION("""COMPUTED_VALUE"""),42531.6666666666)</f>
        <v>42531.666666666599</v>
      </c>
      <c r="AX167" s="3">
        <f ca="1">IFERROR(__xludf.DUMMYFUNCTION("""COMPUTED_VALUE"""),32.12)</f>
        <v>32.119999999999997</v>
      </c>
      <c r="AY167" s="3">
        <f ca="1">IFERROR(__xludf.DUMMYFUNCTION("""COMPUTED_VALUE"""),32.2)</f>
        <v>32.200000000000003</v>
      </c>
      <c r="AZ167" s="3">
        <f ca="1">IFERROR(__xludf.DUMMYFUNCTION("""COMPUTED_VALUE"""),32.12)</f>
        <v>32.119999999999997</v>
      </c>
      <c r="BA167" s="3">
        <f ca="1">IFERROR(__xludf.DUMMYFUNCTION("""COMPUTED_VALUE"""),32.15)</f>
        <v>32.15</v>
      </c>
      <c r="BB167" s="3">
        <f ca="1">IFERROR(__xludf.DUMMYFUNCTION("""COMPUTED_VALUE"""),1647)</f>
        <v>1647</v>
      </c>
      <c r="BC167" s="4">
        <f ca="1">IFERROR(__xludf.DUMMYFUNCTION("""COMPUTED_VALUE"""),42366.6666666666)</f>
        <v>42366.666666666599</v>
      </c>
      <c r="BD167" s="3">
        <f ca="1">IFERROR(__xludf.DUMMYFUNCTION("""COMPUTED_VALUE"""),43.09)</f>
        <v>43.09</v>
      </c>
      <c r="BE167" s="3">
        <f ca="1">IFERROR(__xludf.DUMMYFUNCTION("""COMPUTED_VALUE"""),43.25)</f>
        <v>43.25</v>
      </c>
      <c r="BF167" s="3">
        <f ca="1">IFERROR(__xludf.DUMMYFUNCTION("""COMPUTED_VALUE"""),42.85)</f>
        <v>42.85</v>
      </c>
      <c r="BG167" s="3">
        <f ca="1">IFERROR(__xludf.DUMMYFUNCTION("""COMPUTED_VALUE"""),43.22)</f>
        <v>43.22</v>
      </c>
      <c r="BH167" s="3">
        <f ca="1">IFERROR(__xludf.DUMMYFUNCTION("""COMPUTED_VALUE"""),7177228)</f>
        <v>7177228</v>
      </c>
      <c r="BI167" s="4">
        <f ca="1">IFERROR(__xludf.DUMMYFUNCTION("""COMPUTED_VALUE"""),42366.6666666666)</f>
        <v>42366.666666666599</v>
      </c>
      <c r="BJ167" s="3">
        <f ca="1">IFERROR(__xludf.DUMMYFUNCTION("""COMPUTED_VALUE"""),43.21)</f>
        <v>43.21</v>
      </c>
      <c r="BK167" s="3">
        <f ca="1">IFERROR(__xludf.DUMMYFUNCTION("""COMPUTED_VALUE"""),43.61)</f>
        <v>43.61</v>
      </c>
      <c r="BL167" s="3">
        <f ca="1">IFERROR(__xludf.DUMMYFUNCTION("""COMPUTED_VALUE"""),43.21)</f>
        <v>43.21</v>
      </c>
      <c r="BM167" s="3">
        <f ca="1">IFERROR(__xludf.DUMMYFUNCTION("""COMPUTED_VALUE"""),43.55)</f>
        <v>43.55</v>
      </c>
      <c r="BN167" s="3">
        <f ca="1">IFERROR(__xludf.DUMMYFUNCTION("""COMPUTED_VALUE"""),5036782)</f>
        <v>5036782</v>
      </c>
    </row>
    <row r="168" spans="7:66" ht="13" x14ac:dyDescent="0.15">
      <c r="G168" s="4">
        <f ca="1">IFERROR(__xludf.DUMMYFUNCTION("""COMPUTED_VALUE"""),42367.6666666666)</f>
        <v>42367.666666666599</v>
      </c>
      <c r="H168" s="3">
        <f ca="1">IFERROR(__xludf.DUMMYFUNCTION("""COMPUTED_VALUE"""),79.16)</f>
        <v>79.16</v>
      </c>
      <c r="I168" s="3">
        <f ca="1">IFERROR(__xludf.DUMMYFUNCTION("""COMPUTED_VALUE"""),79.71)</f>
        <v>79.709999999999994</v>
      </c>
      <c r="J168" s="3">
        <f ca="1">IFERROR(__xludf.DUMMYFUNCTION("""COMPUTED_VALUE"""),79)</f>
        <v>79</v>
      </c>
      <c r="K168" s="3">
        <f ca="1">IFERROR(__xludf.DUMMYFUNCTION("""COMPUTED_VALUE"""),79.59)</f>
        <v>79.59</v>
      </c>
      <c r="L168" s="3">
        <f ca="1">IFERROR(__xludf.DUMMYFUNCTION("""COMPUTED_VALUE"""),5740199)</f>
        <v>5740199</v>
      </c>
      <c r="M168" s="4">
        <f ca="1">IFERROR(__xludf.DUMMYFUNCTION("""COMPUTED_VALUE"""),42367.6666666666)</f>
        <v>42367.666666666599</v>
      </c>
      <c r="N168" s="3">
        <f ca="1">IFERROR(__xludf.DUMMYFUNCTION("""COMPUTED_VALUE"""),51.13)</f>
        <v>51.13</v>
      </c>
      <c r="O168" s="3">
        <f ca="1">IFERROR(__xludf.DUMMYFUNCTION("""COMPUTED_VALUE"""),51.29)</f>
        <v>51.29</v>
      </c>
      <c r="P168" s="3">
        <f ca="1">IFERROR(__xludf.DUMMYFUNCTION("""COMPUTED_VALUE"""),50.91)</f>
        <v>50.91</v>
      </c>
      <c r="Q168" s="3">
        <f ca="1">IFERROR(__xludf.DUMMYFUNCTION("""COMPUTED_VALUE"""),51.24)</f>
        <v>51.24</v>
      </c>
      <c r="R168" s="3">
        <f ca="1">IFERROR(__xludf.DUMMYFUNCTION("""COMPUTED_VALUE"""),4133999)</f>
        <v>4133999</v>
      </c>
      <c r="S168" s="4">
        <f ca="1">IFERROR(__xludf.DUMMYFUNCTION("""COMPUTED_VALUE"""),42367.6666666666)</f>
        <v>42367.666666666599</v>
      </c>
      <c r="T168" s="3">
        <f ca="1">IFERROR(__xludf.DUMMYFUNCTION("""COMPUTED_VALUE"""),61.49)</f>
        <v>61.49</v>
      </c>
      <c r="U168" s="3">
        <f ca="1">IFERROR(__xludf.DUMMYFUNCTION("""COMPUTED_VALUE"""),61.67)</f>
        <v>61.67</v>
      </c>
      <c r="V168" s="3">
        <f ca="1">IFERROR(__xludf.DUMMYFUNCTION("""COMPUTED_VALUE"""),60.54)</f>
        <v>60.54</v>
      </c>
      <c r="W168" s="3">
        <f ca="1">IFERROR(__xludf.DUMMYFUNCTION("""COMPUTED_VALUE"""),60.87)</f>
        <v>60.87</v>
      </c>
      <c r="X168" s="3">
        <f ca="1">IFERROR(__xludf.DUMMYFUNCTION("""COMPUTED_VALUE"""),15106314)</f>
        <v>15106314</v>
      </c>
      <c r="Y168" s="4">
        <f ca="1">IFERROR(__xludf.DUMMYFUNCTION("""COMPUTED_VALUE"""),42367.6666666666)</f>
        <v>42367.666666666599</v>
      </c>
      <c r="Z168" s="3">
        <f ca="1">IFERROR(__xludf.DUMMYFUNCTION("""COMPUTED_VALUE"""),19.64)</f>
        <v>19.64</v>
      </c>
      <c r="AA168" s="3">
        <f ca="1">IFERROR(__xludf.DUMMYFUNCTION("""COMPUTED_VALUE"""),19.71)</f>
        <v>19.71</v>
      </c>
      <c r="AB168" s="3">
        <f ca="1">IFERROR(__xludf.DUMMYFUNCTION("""COMPUTED_VALUE"""),19.58)</f>
        <v>19.579999999999998</v>
      </c>
      <c r="AC168" s="3">
        <f ca="1">IFERROR(__xludf.DUMMYFUNCTION("""COMPUTED_VALUE"""),19.68)</f>
        <v>19.68</v>
      </c>
      <c r="AD168" s="3">
        <f ca="1">IFERROR(__xludf.DUMMYFUNCTION("""COMPUTED_VALUE"""),30901911)</f>
        <v>30901911</v>
      </c>
      <c r="AE168" s="4">
        <f ca="1">IFERROR(__xludf.DUMMYFUNCTION("""COMPUTED_VALUE"""),42367.6666666666)</f>
        <v>42367.666666666599</v>
      </c>
      <c r="AF168" s="3">
        <f ca="1">IFERROR(__xludf.DUMMYFUNCTION("""COMPUTED_VALUE"""),72.59)</f>
        <v>72.59</v>
      </c>
      <c r="AG168" s="3">
        <f ca="1">IFERROR(__xludf.DUMMYFUNCTION("""COMPUTED_VALUE"""),73.16)</f>
        <v>73.16</v>
      </c>
      <c r="AH168" s="3">
        <f ca="1">IFERROR(__xludf.DUMMYFUNCTION("""COMPUTED_VALUE"""),72.44)</f>
        <v>72.44</v>
      </c>
      <c r="AI168" s="3">
        <f ca="1">IFERROR(__xludf.DUMMYFUNCTION("""COMPUTED_VALUE"""),72.99)</f>
        <v>72.989999999999995</v>
      </c>
      <c r="AJ168" s="3">
        <f ca="1">IFERROR(__xludf.DUMMYFUNCTION("""COMPUTED_VALUE"""),7243106)</f>
        <v>7243106</v>
      </c>
      <c r="AK168" s="4">
        <f ca="1">IFERROR(__xludf.DUMMYFUNCTION("""COMPUTED_VALUE"""),42367.6666666666)</f>
        <v>42367.666666666599</v>
      </c>
      <c r="AL168" s="3">
        <f ca="1">IFERROR(__xludf.DUMMYFUNCTION("""COMPUTED_VALUE"""),53.59)</f>
        <v>53.59</v>
      </c>
      <c r="AM168" s="3">
        <f ca="1">IFERROR(__xludf.DUMMYFUNCTION("""COMPUTED_VALUE"""),53.95)</f>
        <v>53.95</v>
      </c>
      <c r="AN168" s="3">
        <f ca="1">IFERROR(__xludf.DUMMYFUNCTION("""COMPUTED_VALUE"""),53.53)</f>
        <v>53.53</v>
      </c>
      <c r="AO168" s="3">
        <f ca="1">IFERROR(__xludf.DUMMYFUNCTION("""COMPUTED_VALUE"""),53.85)</f>
        <v>53.85</v>
      </c>
      <c r="AP168" s="3">
        <f ca="1">IFERROR(__xludf.DUMMYFUNCTION("""COMPUTED_VALUE"""),5054667)</f>
        <v>5054667</v>
      </c>
      <c r="AQ168" s="4">
        <f ca="1">IFERROR(__xludf.DUMMYFUNCTION("""COMPUTED_VALUE"""),42367.6666666666)</f>
        <v>42367.666666666599</v>
      </c>
      <c r="AR168" s="3">
        <f ca="1">IFERROR(__xludf.DUMMYFUNCTION("""COMPUTED_VALUE"""),44.05)</f>
        <v>44.05</v>
      </c>
      <c r="AS168" s="3">
        <f ca="1">IFERROR(__xludf.DUMMYFUNCTION("""COMPUTED_VALUE"""),44.37)</f>
        <v>44.37</v>
      </c>
      <c r="AT168" s="3">
        <f ca="1">IFERROR(__xludf.DUMMYFUNCTION("""COMPUTED_VALUE"""),44.03)</f>
        <v>44.03</v>
      </c>
      <c r="AU168" s="3">
        <f ca="1">IFERROR(__xludf.DUMMYFUNCTION("""COMPUTED_VALUE"""),44.21)</f>
        <v>44.21</v>
      </c>
      <c r="AV168" s="3">
        <f ca="1">IFERROR(__xludf.DUMMYFUNCTION("""COMPUTED_VALUE"""),3885382)</f>
        <v>3885382</v>
      </c>
      <c r="AW168" s="4">
        <f ca="1">IFERROR(__xludf.DUMMYFUNCTION("""COMPUTED_VALUE"""),42534.6666666666)</f>
        <v>42534.666666666599</v>
      </c>
      <c r="AX168" s="3">
        <f ca="1">IFERROR(__xludf.DUMMYFUNCTION("""COMPUTED_VALUE"""),32.35)</f>
        <v>32.35</v>
      </c>
      <c r="AY168" s="3">
        <f ca="1">IFERROR(__xludf.DUMMYFUNCTION("""COMPUTED_VALUE"""),32.39)</f>
        <v>32.39</v>
      </c>
      <c r="AZ168" s="3">
        <f ca="1">IFERROR(__xludf.DUMMYFUNCTION("""COMPUTED_VALUE"""),32.14)</f>
        <v>32.14</v>
      </c>
      <c r="BA168" s="3">
        <f ca="1">IFERROR(__xludf.DUMMYFUNCTION("""COMPUTED_VALUE"""),32.14)</f>
        <v>32.14</v>
      </c>
      <c r="BB168" s="3">
        <f ca="1">IFERROR(__xludf.DUMMYFUNCTION("""COMPUTED_VALUE"""),5787)</f>
        <v>5787</v>
      </c>
      <c r="BC168" s="4">
        <f ca="1">IFERROR(__xludf.DUMMYFUNCTION("""COMPUTED_VALUE"""),42367.6666666666)</f>
        <v>42367.666666666599</v>
      </c>
      <c r="BD168" s="3">
        <f ca="1">IFERROR(__xludf.DUMMYFUNCTION("""COMPUTED_VALUE"""),43.48)</f>
        <v>43.48</v>
      </c>
      <c r="BE168" s="3">
        <f ca="1">IFERROR(__xludf.DUMMYFUNCTION("""COMPUTED_VALUE"""),43.92)</f>
        <v>43.92</v>
      </c>
      <c r="BF168" s="3">
        <f ca="1">IFERROR(__xludf.DUMMYFUNCTION("""COMPUTED_VALUE"""),43.39)</f>
        <v>43.39</v>
      </c>
      <c r="BG168" s="3">
        <f ca="1">IFERROR(__xludf.DUMMYFUNCTION("""COMPUTED_VALUE"""),43.81)</f>
        <v>43.81</v>
      </c>
      <c r="BH168" s="3">
        <f ca="1">IFERROR(__xludf.DUMMYFUNCTION("""COMPUTED_VALUE"""),6809184)</f>
        <v>6809184</v>
      </c>
      <c r="BI168" s="4">
        <f ca="1">IFERROR(__xludf.DUMMYFUNCTION("""COMPUTED_VALUE"""),42367.6666666666)</f>
        <v>42367.666666666599</v>
      </c>
      <c r="BJ168" s="3">
        <f ca="1">IFERROR(__xludf.DUMMYFUNCTION("""COMPUTED_VALUE"""),43.76)</f>
        <v>43.76</v>
      </c>
      <c r="BK168" s="3">
        <f ca="1">IFERROR(__xludf.DUMMYFUNCTION("""COMPUTED_VALUE"""),43.94)</f>
        <v>43.94</v>
      </c>
      <c r="BL168" s="3">
        <f ca="1">IFERROR(__xludf.DUMMYFUNCTION("""COMPUTED_VALUE"""),43.68)</f>
        <v>43.68</v>
      </c>
      <c r="BM168" s="3">
        <f ca="1">IFERROR(__xludf.DUMMYFUNCTION("""COMPUTED_VALUE"""),43.79)</f>
        <v>43.79</v>
      </c>
      <c r="BN168" s="3">
        <f ca="1">IFERROR(__xludf.DUMMYFUNCTION("""COMPUTED_VALUE"""),9223927)</f>
        <v>9223927</v>
      </c>
    </row>
    <row r="169" spans="7:66" ht="13" x14ac:dyDescent="0.15">
      <c r="G169" s="4">
        <f ca="1">IFERROR(__xludf.DUMMYFUNCTION("""COMPUTED_VALUE"""),42368.6666666666)</f>
        <v>42368.666666666599</v>
      </c>
      <c r="H169" s="3">
        <f ca="1">IFERROR(__xludf.DUMMYFUNCTION("""COMPUTED_VALUE"""),79.53)</f>
        <v>79.53</v>
      </c>
      <c r="I169" s="3">
        <f ca="1">IFERROR(__xludf.DUMMYFUNCTION("""COMPUTED_VALUE"""),79.56)</f>
        <v>79.56</v>
      </c>
      <c r="J169" s="3">
        <f ca="1">IFERROR(__xludf.DUMMYFUNCTION("""COMPUTED_VALUE"""),78.93)</f>
        <v>78.930000000000007</v>
      </c>
      <c r="K169" s="3">
        <f ca="1">IFERROR(__xludf.DUMMYFUNCTION("""COMPUTED_VALUE"""),78.95)</f>
        <v>78.95</v>
      </c>
      <c r="L169" s="3">
        <f ca="1">IFERROR(__xludf.DUMMYFUNCTION("""COMPUTED_VALUE"""),3218888)</f>
        <v>3218888</v>
      </c>
      <c r="M169" s="4">
        <f ca="1">IFERROR(__xludf.DUMMYFUNCTION("""COMPUTED_VALUE"""),42368.6666666666)</f>
        <v>42368.666666666599</v>
      </c>
      <c r="N169" s="3">
        <f ca="1">IFERROR(__xludf.DUMMYFUNCTION("""COMPUTED_VALUE"""),51.21)</f>
        <v>51.21</v>
      </c>
      <c r="O169" s="3">
        <f ca="1">IFERROR(__xludf.DUMMYFUNCTION("""COMPUTED_VALUE"""),51.27)</f>
        <v>51.27</v>
      </c>
      <c r="P169" s="3">
        <f ca="1">IFERROR(__xludf.DUMMYFUNCTION("""COMPUTED_VALUE"""),51)</f>
        <v>51</v>
      </c>
      <c r="Q169" s="3">
        <f ca="1">IFERROR(__xludf.DUMMYFUNCTION("""COMPUTED_VALUE"""),51.06)</f>
        <v>51.06</v>
      </c>
      <c r="R169" s="3">
        <f ca="1">IFERROR(__xludf.DUMMYFUNCTION("""COMPUTED_VALUE"""),6942853)</f>
        <v>6942853</v>
      </c>
      <c r="S169" s="4">
        <f ca="1">IFERROR(__xludf.DUMMYFUNCTION("""COMPUTED_VALUE"""),42368.6666666666)</f>
        <v>42368.666666666599</v>
      </c>
      <c r="T169" s="3">
        <f ca="1">IFERROR(__xludf.DUMMYFUNCTION("""COMPUTED_VALUE"""),60.03)</f>
        <v>60.03</v>
      </c>
      <c r="U169" s="3">
        <f ca="1">IFERROR(__xludf.DUMMYFUNCTION("""COMPUTED_VALUE"""),60.89)</f>
        <v>60.89</v>
      </c>
      <c r="V169" s="3">
        <f ca="1">IFERROR(__xludf.DUMMYFUNCTION("""COMPUTED_VALUE"""),59.99)</f>
        <v>59.99</v>
      </c>
      <c r="W169" s="3">
        <f ca="1">IFERROR(__xludf.DUMMYFUNCTION("""COMPUTED_VALUE"""),60.05)</f>
        <v>60.05</v>
      </c>
      <c r="X169" s="3">
        <f ca="1">IFERROR(__xludf.DUMMYFUNCTION("""COMPUTED_VALUE"""),15051209)</f>
        <v>15051209</v>
      </c>
      <c r="Y169" s="4">
        <f ca="1">IFERROR(__xludf.DUMMYFUNCTION("""COMPUTED_VALUE"""),42368.6666666666)</f>
        <v>42368.666666666599</v>
      </c>
      <c r="Z169" s="3">
        <f ca="1">IFERROR(__xludf.DUMMYFUNCTION("""COMPUTED_VALUE"""),19.64)</f>
        <v>19.64</v>
      </c>
      <c r="AA169" s="3">
        <f ca="1">IFERROR(__xludf.DUMMYFUNCTION("""COMPUTED_VALUE"""),19.68)</f>
        <v>19.68</v>
      </c>
      <c r="AB169" s="3">
        <f ca="1">IFERROR(__xludf.DUMMYFUNCTION("""COMPUTED_VALUE"""),19.51)</f>
        <v>19.510000000000002</v>
      </c>
      <c r="AC169" s="3">
        <f ca="1">IFERROR(__xludf.DUMMYFUNCTION("""COMPUTED_VALUE"""),19.55)</f>
        <v>19.55</v>
      </c>
      <c r="AD169" s="3">
        <f ca="1">IFERROR(__xludf.DUMMYFUNCTION("""COMPUTED_VALUE"""),15710124)</f>
        <v>15710124</v>
      </c>
      <c r="AE169" s="4">
        <f ca="1">IFERROR(__xludf.DUMMYFUNCTION("""COMPUTED_VALUE"""),42368.6666666666)</f>
        <v>42368.666666666599</v>
      </c>
      <c r="AF169" s="3">
        <f ca="1">IFERROR(__xludf.DUMMYFUNCTION("""COMPUTED_VALUE"""),72.91)</f>
        <v>72.91</v>
      </c>
      <c r="AG169" s="3">
        <f ca="1">IFERROR(__xludf.DUMMYFUNCTION("""COMPUTED_VALUE"""),73.1)</f>
        <v>73.099999999999994</v>
      </c>
      <c r="AH169" s="3">
        <f ca="1">IFERROR(__xludf.DUMMYFUNCTION("""COMPUTED_VALUE"""),72.61)</f>
        <v>72.61</v>
      </c>
      <c r="AI169" s="3">
        <f ca="1">IFERROR(__xludf.DUMMYFUNCTION("""COMPUTED_VALUE"""),72.68)</f>
        <v>72.680000000000007</v>
      </c>
      <c r="AJ169" s="3">
        <f ca="1">IFERROR(__xludf.DUMMYFUNCTION("""COMPUTED_VALUE"""),8496453)</f>
        <v>8496453</v>
      </c>
      <c r="AK169" s="4">
        <f ca="1">IFERROR(__xludf.DUMMYFUNCTION("""COMPUTED_VALUE"""),42368.6666666666)</f>
        <v>42368.666666666599</v>
      </c>
      <c r="AL169" s="3">
        <f ca="1">IFERROR(__xludf.DUMMYFUNCTION("""COMPUTED_VALUE"""),53.75)</f>
        <v>53.75</v>
      </c>
      <c r="AM169" s="3">
        <f ca="1">IFERROR(__xludf.DUMMYFUNCTION("""COMPUTED_VALUE"""),53.85)</f>
        <v>53.85</v>
      </c>
      <c r="AN169" s="3">
        <f ca="1">IFERROR(__xludf.DUMMYFUNCTION("""COMPUTED_VALUE"""),53.33)</f>
        <v>53.33</v>
      </c>
      <c r="AO169" s="3">
        <f ca="1">IFERROR(__xludf.DUMMYFUNCTION("""COMPUTED_VALUE"""),53.4)</f>
        <v>53.4</v>
      </c>
      <c r="AP169" s="3">
        <f ca="1">IFERROR(__xludf.DUMMYFUNCTION("""COMPUTED_VALUE"""),10957744)</f>
        <v>10957744</v>
      </c>
      <c r="AQ169" s="4">
        <f ca="1">IFERROR(__xludf.DUMMYFUNCTION("""COMPUTED_VALUE"""),42368.6666666666)</f>
        <v>42368.666666666599</v>
      </c>
      <c r="AR169" s="3">
        <f ca="1">IFERROR(__xludf.DUMMYFUNCTION("""COMPUTED_VALUE"""),44.07)</f>
        <v>44.07</v>
      </c>
      <c r="AS169" s="3">
        <f ca="1">IFERROR(__xludf.DUMMYFUNCTION("""COMPUTED_VALUE"""),44.21)</f>
        <v>44.21</v>
      </c>
      <c r="AT169" s="3">
        <f ca="1">IFERROR(__xludf.DUMMYFUNCTION("""COMPUTED_VALUE"""),43.74)</f>
        <v>43.74</v>
      </c>
      <c r="AU169" s="3">
        <f ca="1">IFERROR(__xludf.DUMMYFUNCTION("""COMPUTED_VALUE"""),43.8)</f>
        <v>43.8</v>
      </c>
      <c r="AV169" s="3">
        <f ca="1">IFERROR(__xludf.DUMMYFUNCTION("""COMPUTED_VALUE"""),3339072)</f>
        <v>3339072</v>
      </c>
      <c r="AW169" s="4">
        <f ca="1">IFERROR(__xludf.DUMMYFUNCTION("""COMPUTED_VALUE"""),42535.6666666666)</f>
        <v>42535.666666666599</v>
      </c>
      <c r="AX169" s="3">
        <f ca="1">IFERROR(__xludf.DUMMYFUNCTION("""COMPUTED_VALUE"""),32.03)</f>
        <v>32.03</v>
      </c>
      <c r="AY169" s="3">
        <f ca="1">IFERROR(__xludf.DUMMYFUNCTION("""COMPUTED_VALUE"""),32.1)</f>
        <v>32.1</v>
      </c>
      <c r="AZ169" s="3">
        <f ca="1">IFERROR(__xludf.DUMMYFUNCTION("""COMPUTED_VALUE"""),31.95)</f>
        <v>31.95</v>
      </c>
      <c r="BA169" s="3">
        <f ca="1">IFERROR(__xludf.DUMMYFUNCTION("""COMPUTED_VALUE"""),31.99)</f>
        <v>31.99</v>
      </c>
      <c r="BB169" s="3">
        <f ca="1">IFERROR(__xludf.DUMMYFUNCTION("""COMPUTED_VALUE"""),4927)</f>
        <v>4927</v>
      </c>
      <c r="BC169" s="4">
        <f ca="1">IFERROR(__xludf.DUMMYFUNCTION("""COMPUTED_VALUE"""),42368.6666666666)</f>
        <v>42368.666666666599</v>
      </c>
      <c r="BD169" s="3">
        <f ca="1">IFERROR(__xludf.DUMMYFUNCTION("""COMPUTED_VALUE"""),43.79)</f>
        <v>43.79</v>
      </c>
      <c r="BE169" s="3">
        <f ca="1">IFERROR(__xludf.DUMMYFUNCTION("""COMPUTED_VALUE"""),43.79)</f>
        <v>43.79</v>
      </c>
      <c r="BF169" s="3">
        <f ca="1">IFERROR(__xludf.DUMMYFUNCTION("""COMPUTED_VALUE"""),43.44)</f>
        <v>43.44</v>
      </c>
      <c r="BG169" s="3">
        <f ca="1">IFERROR(__xludf.DUMMYFUNCTION("""COMPUTED_VALUE"""),43.44)</f>
        <v>43.44</v>
      </c>
      <c r="BH169" s="3">
        <f ca="1">IFERROR(__xludf.DUMMYFUNCTION("""COMPUTED_VALUE"""),7196520)</f>
        <v>7196520</v>
      </c>
      <c r="BI169" s="4">
        <f ca="1">IFERROR(__xludf.DUMMYFUNCTION("""COMPUTED_VALUE"""),42368.6666666666)</f>
        <v>42368.666666666599</v>
      </c>
      <c r="BJ169" s="3">
        <f ca="1">IFERROR(__xludf.DUMMYFUNCTION("""COMPUTED_VALUE"""),43.82)</f>
        <v>43.82</v>
      </c>
      <c r="BK169" s="3">
        <f ca="1">IFERROR(__xludf.DUMMYFUNCTION("""COMPUTED_VALUE"""),43.94)</f>
        <v>43.94</v>
      </c>
      <c r="BL169" s="3">
        <f ca="1">IFERROR(__xludf.DUMMYFUNCTION("""COMPUTED_VALUE"""),43.66)</f>
        <v>43.66</v>
      </c>
      <c r="BM169" s="3">
        <f ca="1">IFERROR(__xludf.DUMMYFUNCTION("""COMPUTED_VALUE"""),43.75)</f>
        <v>43.75</v>
      </c>
      <c r="BN169" s="3">
        <f ca="1">IFERROR(__xludf.DUMMYFUNCTION("""COMPUTED_VALUE"""),7831482)</f>
        <v>7831482</v>
      </c>
    </row>
    <row r="170" spans="7:66" ht="13" x14ac:dyDescent="0.15">
      <c r="G170" s="4">
        <f ca="1">IFERROR(__xludf.DUMMYFUNCTION("""COMPUTED_VALUE"""),42369.6666666666)</f>
        <v>42369.666666666599</v>
      </c>
      <c r="H170" s="3">
        <f ca="1">IFERROR(__xludf.DUMMYFUNCTION("""COMPUTED_VALUE"""),78.58)</f>
        <v>78.58</v>
      </c>
      <c r="I170" s="3">
        <f ca="1">IFERROR(__xludf.DUMMYFUNCTION("""COMPUTED_VALUE"""),79.01)</f>
        <v>79.010000000000005</v>
      </c>
      <c r="J170" s="3">
        <f ca="1">IFERROR(__xludf.DUMMYFUNCTION("""COMPUTED_VALUE"""),78.15)</f>
        <v>78.150000000000006</v>
      </c>
      <c r="K170" s="3">
        <f ca="1">IFERROR(__xludf.DUMMYFUNCTION("""COMPUTED_VALUE"""),78.16)</f>
        <v>78.16</v>
      </c>
      <c r="L170" s="3">
        <f ca="1">IFERROR(__xludf.DUMMYFUNCTION("""COMPUTED_VALUE"""),6580203)</f>
        <v>6580203</v>
      </c>
      <c r="M170" s="4">
        <f ca="1">IFERROR(__xludf.DUMMYFUNCTION("""COMPUTED_VALUE"""),42369.6666666666)</f>
        <v>42369.666666666599</v>
      </c>
      <c r="N170" s="3">
        <f ca="1">IFERROR(__xludf.DUMMYFUNCTION("""COMPUTED_VALUE"""),50.89)</f>
        <v>50.89</v>
      </c>
      <c r="O170" s="3">
        <f ca="1">IFERROR(__xludf.DUMMYFUNCTION("""COMPUTED_VALUE"""),50.9)</f>
        <v>50.9</v>
      </c>
      <c r="P170" s="3">
        <f ca="1">IFERROR(__xludf.DUMMYFUNCTION("""COMPUTED_VALUE"""),50.43)</f>
        <v>50.43</v>
      </c>
      <c r="Q170" s="3">
        <f ca="1">IFERROR(__xludf.DUMMYFUNCTION("""COMPUTED_VALUE"""),50.49)</f>
        <v>50.49</v>
      </c>
      <c r="R170" s="3">
        <f ca="1">IFERROR(__xludf.DUMMYFUNCTION("""COMPUTED_VALUE"""),6801446)</f>
        <v>6801446</v>
      </c>
      <c r="S170" s="4">
        <f ca="1">IFERROR(__xludf.DUMMYFUNCTION("""COMPUTED_VALUE"""),42369.6666666666)</f>
        <v>42369.666666666599</v>
      </c>
      <c r="T170" s="3">
        <f ca="1">IFERROR(__xludf.DUMMYFUNCTION("""COMPUTED_VALUE"""),59.77)</f>
        <v>59.77</v>
      </c>
      <c r="U170" s="3">
        <f ca="1">IFERROR(__xludf.DUMMYFUNCTION("""COMPUTED_VALUE"""),60.64)</f>
        <v>60.64</v>
      </c>
      <c r="V170" s="3">
        <f ca="1">IFERROR(__xludf.DUMMYFUNCTION("""COMPUTED_VALUE"""),59.58)</f>
        <v>59.58</v>
      </c>
      <c r="W170" s="3">
        <f ca="1">IFERROR(__xludf.DUMMYFUNCTION("""COMPUTED_VALUE"""),60.32)</f>
        <v>60.32</v>
      </c>
      <c r="X170" s="3">
        <f ca="1">IFERROR(__xludf.DUMMYFUNCTION("""COMPUTED_VALUE"""),19202410)</f>
        <v>19202410</v>
      </c>
      <c r="Y170" s="4">
        <f ca="1">IFERROR(__xludf.DUMMYFUNCTION("""COMPUTED_VALUE"""),42369.6666666666)</f>
        <v>42369.666666666599</v>
      </c>
      <c r="Z170" s="3">
        <f ca="1">IFERROR(__xludf.DUMMYFUNCTION("""COMPUTED_VALUE"""),19.35)</f>
        <v>19.350000000000001</v>
      </c>
      <c r="AA170" s="3">
        <f ca="1">IFERROR(__xludf.DUMMYFUNCTION("""COMPUTED_VALUE"""),19.58)</f>
        <v>19.579999999999998</v>
      </c>
      <c r="AB170" s="3">
        <f ca="1">IFERROR(__xludf.DUMMYFUNCTION("""COMPUTED_VALUE"""),19.31)</f>
        <v>19.309999999999999</v>
      </c>
      <c r="AC170" s="3">
        <f ca="1">IFERROR(__xludf.DUMMYFUNCTION("""COMPUTED_VALUE"""),19.35)</f>
        <v>19.350000000000001</v>
      </c>
      <c r="AD170" s="3">
        <f ca="1">IFERROR(__xludf.DUMMYFUNCTION("""COMPUTED_VALUE"""),48054218)</f>
        <v>48054218</v>
      </c>
      <c r="AE170" s="4">
        <f ca="1">IFERROR(__xludf.DUMMYFUNCTION("""COMPUTED_VALUE"""),42369.6666666666)</f>
        <v>42369.666666666599</v>
      </c>
      <c r="AF170" s="3">
        <f ca="1">IFERROR(__xludf.DUMMYFUNCTION("""COMPUTED_VALUE"""),72.42)</f>
        <v>72.42</v>
      </c>
      <c r="AG170" s="3">
        <f ca="1">IFERROR(__xludf.DUMMYFUNCTION("""COMPUTED_VALUE"""),72.75)</f>
        <v>72.75</v>
      </c>
      <c r="AH170" s="3">
        <f ca="1">IFERROR(__xludf.DUMMYFUNCTION("""COMPUTED_VALUE"""),72.03)</f>
        <v>72.03</v>
      </c>
      <c r="AI170" s="3">
        <f ca="1">IFERROR(__xludf.DUMMYFUNCTION("""COMPUTED_VALUE"""),72.03)</f>
        <v>72.03</v>
      </c>
      <c r="AJ170" s="3">
        <f ca="1">IFERROR(__xludf.DUMMYFUNCTION("""COMPUTED_VALUE"""),6591727)</f>
        <v>6591727</v>
      </c>
      <c r="AK170" s="4">
        <f ca="1">IFERROR(__xludf.DUMMYFUNCTION("""COMPUTED_VALUE"""),42369.6666666666)</f>
        <v>42369.666666666599</v>
      </c>
      <c r="AL170" s="3">
        <f ca="1">IFERROR(__xludf.DUMMYFUNCTION("""COMPUTED_VALUE"""),53.15)</f>
        <v>53.15</v>
      </c>
      <c r="AM170" s="3">
        <f ca="1">IFERROR(__xludf.DUMMYFUNCTION("""COMPUTED_VALUE"""),53.45)</f>
        <v>53.45</v>
      </c>
      <c r="AN170" s="3">
        <f ca="1">IFERROR(__xludf.DUMMYFUNCTION("""COMPUTED_VALUE"""),52.92)</f>
        <v>52.92</v>
      </c>
      <c r="AO170" s="3">
        <f ca="1">IFERROR(__xludf.DUMMYFUNCTION("""COMPUTED_VALUE"""),53.01)</f>
        <v>53.01</v>
      </c>
      <c r="AP170" s="3">
        <f ca="1">IFERROR(__xludf.DUMMYFUNCTION("""COMPUTED_VALUE"""),6785353)</f>
        <v>6785353</v>
      </c>
      <c r="AQ170" s="4">
        <f ca="1">IFERROR(__xludf.DUMMYFUNCTION("""COMPUTED_VALUE"""),42369.6666666666)</f>
        <v>42369.666666666599</v>
      </c>
      <c r="AR170" s="3">
        <f ca="1">IFERROR(__xludf.DUMMYFUNCTION("""COMPUTED_VALUE"""),43.7)</f>
        <v>43.7</v>
      </c>
      <c r="AS170" s="3">
        <f ca="1">IFERROR(__xludf.DUMMYFUNCTION("""COMPUTED_VALUE"""),43.93)</f>
        <v>43.93</v>
      </c>
      <c r="AT170" s="3">
        <f ca="1">IFERROR(__xludf.DUMMYFUNCTION("""COMPUTED_VALUE"""),43.42)</f>
        <v>43.42</v>
      </c>
      <c r="AU170" s="3">
        <f ca="1">IFERROR(__xludf.DUMMYFUNCTION("""COMPUTED_VALUE"""),43.42)</f>
        <v>43.42</v>
      </c>
      <c r="AV170" s="3">
        <f ca="1">IFERROR(__xludf.DUMMYFUNCTION("""COMPUTED_VALUE"""),4679514)</f>
        <v>4679514</v>
      </c>
      <c r="AW170" s="4">
        <f ca="1">IFERROR(__xludf.DUMMYFUNCTION("""COMPUTED_VALUE"""),42536.6666666666)</f>
        <v>42536.666666666599</v>
      </c>
      <c r="AX170" s="3">
        <f ca="1">IFERROR(__xludf.DUMMYFUNCTION("""COMPUTED_VALUE"""),32.23)</f>
        <v>32.229999999999997</v>
      </c>
      <c r="AY170" s="3">
        <f ca="1">IFERROR(__xludf.DUMMYFUNCTION("""COMPUTED_VALUE"""),32.42)</f>
        <v>32.42</v>
      </c>
      <c r="AZ170" s="3">
        <f ca="1">IFERROR(__xludf.DUMMYFUNCTION("""COMPUTED_VALUE"""),32.23)</f>
        <v>32.229999999999997</v>
      </c>
      <c r="BA170" s="3">
        <f ca="1">IFERROR(__xludf.DUMMYFUNCTION("""COMPUTED_VALUE"""),32.32)</f>
        <v>32.32</v>
      </c>
      <c r="BB170" s="3">
        <f ca="1">IFERROR(__xludf.DUMMYFUNCTION("""COMPUTED_VALUE"""),8624)</f>
        <v>8624</v>
      </c>
      <c r="BC170" s="4">
        <f ca="1">IFERROR(__xludf.DUMMYFUNCTION("""COMPUTED_VALUE"""),42369.6666666666)</f>
        <v>42369.666666666599</v>
      </c>
      <c r="BD170" s="3">
        <f ca="1">IFERROR(__xludf.DUMMYFUNCTION("""COMPUTED_VALUE"""),43.29)</f>
        <v>43.29</v>
      </c>
      <c r="BE170" s="3">
        <f ca="1">IFERROR(__xludf.DUMMYFUNCTION("""COMPUTED_VALUE"""),43.32)</f>
        <v>43.32</v>
      </c>
      <c r="BF170" s="3">
        <f ca="1">IFERROR(__xludf.DUMMYFUNCTION("""COMPUTED_VALUE"""),42.83)</f>
        <v>42.83</v>
      </c>
      <c r="BG170" s="3">
        <f ca="1">IFERROR(__xludf.DUMMYFUNCTION("""COMPUTED_VALUE"""),42.83)</f>
        <v>42.83</v>
      </c>
      <c r="BH170" s="3">
        <f ca="1">IFERROR(__xludf.DUMMYFUNCTION("""COMPUTED_VALUE"""),8834468)</f>
        <v>8834468</v>
      </c>
      <c r="BI170" s="4">
        <f ca="1">IFERROR(__xludf.DUMMYFUNCTION("""COMPUTED_VALUE"""),42369.6666666666)</f>
        <v>42369.666666666599</v>
      </c>
      <c r="BJ170" s="3">
        <f ca="1">IFERROR(__xludf.DUMMYFUNCTION("""COMPUTED_VALUE"""),43.68)</f>
        <v>43.68</v>
      </c>
      <c r="BK170" s="3">
        <f ca="1">IFERROR(__xludf.DUMMYFUNCTION("""COMPUTED_VALUE"""),43.8)</f>
        <v>43.8</v>
      </c>
      <c r="BL170" s="3">
        <f ca="1">IFERROR(__xludf.DUMMYFUNCTION("""COMPUTED_VALUE"""),42.89)</f>
        <v>42.89</v>
      </c>
      <c r="BM170" s="3">
        <f ca="1">IFERROR(__xludf.DUMMYFUNCTION("""COMPUTED_VALUE"""),43.28)</f>
        <v>43.28</v>
      </c>
      <c r="BN170" s="3">
        <f ca="1">IFERROR(__xludf.DUMMYFUNCTION("""COMPUTED_VALUE"""),10431667)</f>
        <v>10431667</v>
      </c>
    </row>
    <row r="171" spans="7:66" ht="13" x14ac:dyDescent="0.15">
      <c r="G171" s="4">
        <f ca="1">IFERROR(__xludf.DUMMYFUNCTION("""COMPUTED_VALUE"""),42373.6666666666)</f>
        <v>42373.666666666599</v>
      </c>
      <c r="H171" s="3">
        <f ca="1">IFERROR(__xludf.DUMMYFUNCTION("""COMPUTED_VALUE"""),76.78)</f>
        <v>76.78</v>
      </c>
      <c r="I171" s="3">
        <f ca="1">IFERROR(__xludf.DUMMYFUNCTION("""COMPUTED_VALUE"""),76.93)</f>
        <v>76.930000000000007</v>
      </c>
      <c r="J171" s="3">
        <f ca="1">IFERROR(__xludf.DUMMYFUNCTION("""COMPUTED_VALUE"""),75.98)</f>
        <v>75.98</v>
      </c>
      <c r="K171" s="3">
        <f ca="1">IFERROR(__xludf.DUMMYFUNCTION("""COMPUTED_VALUE"""),76.82)</f>
        <v>76.819999999999993</v>
      </c>
      <c r="L171" s="3">
        <f ca="1">IFERROR(__xludf.DUMMYFUNCTION("""COMPUTED_VALUE"""),13400415)</f>
        <v>13400415</v>
      </c>
      <c r="M171" s="4">
        <f ca="1">IFERROR(__xludf.DUMMYFUNCTION("""COMPUTED_VALUE"""),42373.6666666666)</f>
        <v>42373.666666666599</v>
      </c>
      <c r="N171" s="3">
        <f ca="1">IFERROR(__xludf.DUMMYFUNCTION("""COMPUTED_VALUE"""),49.83)</f>
        <v>49.83</v>
      </c>
      <c r="O171" s="3">
        <f ca="1">IFERROR(__xludf.DUMMYFUNCTION("""COMPUTED_VALUE"""),49.85)</f>
        <v>49.85</v>
      </c>
      <c r="P171" s="3">
        <f ca="1">IFERROR(__xludf.DUMMYFUNCTION("""COMPUTED_VALUE"""),49.35)</f>
        <v>49.35</v>
      </c>
      <c r="Q171" s="3">
        <f ca="1">IFERROR(__xludf.DUMMYFUNCTION("""COMPUTED_VALUE"""),49.85)</f>
        <v>49.85</v>
      </c>
      <c r="R171" s="3">
        <f ca="1">IFERROR(__xludf.DUMMYFUNCTION("""COMPUTED_VALUE"""),17281160)</f>
        <v>17281160</v>
      </c>
      <c r="S171" s="4">
        <f ca="1">IFERROR(__xludf.DUMMYFUNCTION("""COMPUTED_VALUE"""),42373.6666666666)</f>
        <v>42373.666666666599</v>
      </c>
      <c r="T171" s="3">
        <f ca="1">IFERROR(__xludf.DUMMYFUNCTION("""COMPUTED_VALUE"""),60.16)</f>
        <v>60.16</v>
      </c>
      <c r="U171" s="3">
        <f ca="1">IFERROR(__xludf.DUMMYFUNCTION("""COMPUTED_VALUE"""),60.78)</f>
        <v>60.78</v>
      </c>
      <c r="V171" s="3">
        <f ca="1">IFERROR(__xludf.DUMMYFUNCTION("""COMPUTED_VALUE"""),59.3)</f>
        <v>59.3</v>
      </c>
      <c r="W171" s="3">
        <f ca="1">IFERROR(__xludf.DUMMYFUNCTION("""COMPUTED_VALUE"""),60.3)</f>
        <v>60.3</v>
      </c>
      <c r="X171" s="3">
        <f ca="1">IFERROR(__xludf.DUMMYFUNCTION("""COMPUTED_VALUE"""),21808669)</f>
        <v>21808669</v>
      </c>
      <c r="Y171" s="4">
        <f ca="1">IFERROR(__xludf.DUMMYFUNCTION("""COMPUTED_VALUE"""),42373.6666666666)</f>
        <v>42373.666666666599</v>
      </c>
      <c r="Z171" s="3">
        <f ca="1">IFERROR(__xludf.DUMMYFUNCTION("""COMPUTED_VALUE"""),18.95)</f>
        <v>18.95</v>
      </c>
      <c r="AA171" s="3">
        <f ca="1">IFERROR(__xludf.DUMMYFUNCTION("""COMPUTED_VALUE"""),18.99)</f>
        <v>18.989999999999998</v>
      </c>
      <c r="AB171" s="3">
        <f ca="1">IFERROR(__xludf.DUMMYFUNCTION("""COMPUTED_VALUE"""),18.76)</f>
        <v>18.760000000000002</v>
      </c>
      <c r="AC171" s="3">
        <f ca="1">IFERROR(__xludf.DUMMYFUNCTION("""COMPUTED_VALUE"""),18.98)</f>
        <v>18.98</v>
      </c>
      <c r="AD171" s="3">
        <f ca="1">IFERROR(__xludf.DUMMYFUNCTION("""COMPUTED_VALUE"""),75863092)</f>
        <v>75863092</v>
      </c>
      <c r="AE171" s="4">
        <f ca="1">IFERROR(__xludf.DUMMYFUNCTION("""COMPUTED_VALUE"""),42373.6666666666)</f>
        <v>42373.666666666599</v>
      </c>
      <c r="AF171" s="3">
        <f ca="1">IFERROR(__xludf.DUMMYFUNCTION("""COMPUTED_VALUE"""),70.77)</f>
        <v>70.77</v>
      </c>
      <c r="AG171" s="3">
        <f ca="1">IFERROR(__xludf.DUMMYFUNCTION("""COMPUTED_VALUE"""),71)</f>
        <v>71</v>
      </c>
      <c r="AH171" s="3">
        <f ca="1">IFERROR(__xludf.DUMMYFUNCTION("""COMPUTED_VALUE"""),70.01)</f>
        <v>70.010000000000005</v>
      </c>
      <c r="AI171" s="3">
        <f ca="1">IFERROR(__xludf.DUMMYFUNCTION("""COMPUTED_VALUE"""),70.73)</f>
        <v>70.73</v>
      </c>
      <c r="AJ171" s="3">
        <f ca="1">IFERROR(__xludf.DUMMYFUNCTION("""COMPUTED_VALUE"""),19666268)</f>
        <v>19666268</v>
      </c>
      <c r="AK171" s="4">
        <f ca="1">IFERROR(__xludf.DUMMYFUNCTION("""COMPUTED_VALUE"""),42373.6666666666)</f>
        <v>42373.666666666599</v>
      </c>
      <c r="AL171" s="3">
        <f ca="1">IFERROR(__xludf.DUMMYFUNCTION("""COMPUTED_VALUE"""),52.11)</f>
        <v>52.11</v>
      </c>
      <c r="AM171" s="3">
        <f ca="1">IFERROR(__xludf.DUMMYFUNCTION("""COMPUTED_VALUE"""),52.32)</f>
        <v>52.32</v>
      </c>
      <c r="AN171" s="3">
        <f ca="1">IFERROR(__xludf.DUMMYFUNCTION("""COMPUTED_VALUE"""),51.71)</f>
        <v>51.71</v>
      </c>
      <c r="AO171" s="3">
        <f ca="1">IFERROR(__xludf.DUMMYFUNCTION("""COMPUTED_VALUE"""),52.3)</f>
        <v>52.3</v>
      </c>
      <c r="AP171" s="3">
        <f ca="1">IFERROR(__xludf.DUMMYFUNCTION("""COMPUTED_VALUE"""),16404580)</f>
        <v>16404580</v>
      </c>
      <c r="AQ171" s="4">
        <f ca="1">IFERROR(__xludf.DUMMYFUNCTION("""COMPUTED_VALUE"""),42373.6666666666)</f>
        <v>42373.666666666599</v>
      </c>
      <c r="AR171" s="3">
        <f ca="1">IFERROR(__xludf.DUMMYFUNCTION("""COMPUTED_VALUE"""),42.72)</f>
        <v>42.72</v>
      </c>
      <c r="AS171" s="3">
        <f ca="1">IFERROR(__xludf.DUMMYFUNCTION("""COMPUTED_VALUE"""),42.86)</f>
        <v>42.86</v>
      </c>
      <c r="AT171" s="3">
        <f ca="1">IFERROR(__xludf.DUMMYFUNCTION("""COMPUTED_VALUE"""),42.26)</f>
        <v>42.26</v>
      </c>
      <c r="AU171" s="3">
        <f ca="1">IFERROR(__xludf.DUMMYFUNCTION("""COMPUTED_VALUE"""),42.74)</f>
        <v>42.74</v>
      </c>
      <c r="AV171" s="3">
        <f ca="1">IFERROR(__xludf.DUMMYFUNCTION("""COMPUTED_VALUE"""),14430190)</f>
        <v>14430190</v>
      </c>
      <c r="AW171" s="4">
        <f ca="1">IFERROR(__xludf.DUMMYFUNCTION("""COMPUTED_VALUE"""),42537.6666666666)</f>
        <v>42537.666666666599</v>
      </c>
      <c r="AX171" s="3">
        <f ca="1">IFERROR(__xludf.DUMMYFUNCTION("""COMPUTED_VALUE"""),32.18)</f>
        <v>32.18</v>
      </c>
      <c r="AY171" s="3">
        <f ca="1">IFERROR(__xludf.DUMMYFUNCTION("""COMPUTED_VALUE"""),32.52)</f>
        <v>32.520000000000003</v>
      </c>
      <c r="AZ171" s="3">
        <f ca="1">IFERROR(__xludf.DUMMYFUNCTION("""COMPUTED_VALUE"""),32.18)</f>
        <v>32.18</v>
      </c>
      <c r="BA171" s="3">
        <f ca="1">IFERROR(__xludf.DUMMYFUNCTION("""COMPUTED_VALUE"""),32.49)</f>
        <v>32.49</v>
      </c>
      <c r="BB171" s="3">
        <f ca="1">IFERROR(__xludf.DUMMYFUNCTION("""COMPUTED_VALUE"""),7185)</f>
        <v>7185</v>
      </c>
      <c r="BC171" s="4">
        <f ca="1">IFERROR(__xludf.DUMMYFUNCTION("""COMPUTED_VALUE"""),42373.6666666666)</f>
        <v>42373.666666666599</v>
      </c>
      <c r="BD171" s="3">
        <f ca="1">IFERROR(__xludf.DUMMYFUNCTION("""COMPUTED_VALUE"""),42.06)</f>
        <v>42.06</v>
      </c>
      <c r="BE171" s="3">
        <f ca="1">IFERROR(__xludf.DUMMYFUNCTION("""COMPUTED_VALUE"""),42.28)</f>
        <v>42.28</v>
      </c>
      <c r="BF171" s="3">
        <f ca="1">IFERROR(__xludf.DUMMYFUNCTION("""COMPUTED_VALUE"""),41.61)</f>
        <v>41.61</v>
      </c>
      <c r="BG171" s="3">
        <f ca="1">IFERROR(__xludf.DUMMYFUNCTION("""COMPUTED_VALUE"""),42.27)</f>
        <v>42.27</v>
      </c>
      <c r="BH171" s="3">
        <f ca="1">IFERROR(__xludf.DUMMYFUNCTION("""COMPUTED_VALUE"""),21638628)</f>
        <v>21638628</v>
      </c>
      <c r="BI171" s="4">
        <f ca="1">IFERROR(__xludf.DUMMYFUNCTION("""COMPUTED_VALUE"""),42373.6666666666)</f>
        <v>42373.666666666599</v>
      </c>
      <c r="BJ171" s="3">
        <f ca="1">IFERROR(__xludf.DUMMYFUNCTION("""COMPUTED_VALUE"""),43.03)</f>
        <v>43.03</v>
      </c>
      <c r="BK171" s="3">
        <f ca="1">IFERROR(__xludf.DUMMYFUNCTION("""COMPUTED_VALUE"""),43.2)</f>
        <v>43.2</v>
      </c>
      <c r="BL171" s="3">
        <f ca="1">IFERROR(__xludf.DUMMYFUNCTION("""COMPUTED_VALUE"""),42.67)</f>
        <v>42.67</v>
      </c>
      <c r="BM171" s="3">
        <f ca="1">IFERROR(__xludf.DUMMYFUNCTION("""COMPUTED_VALUE"""),43.19)</f>
        <v>43.19</v>
      </c>
      <c r="BN171" s="3">
        <f ca="1">IFERROR(__xludf.DUMMYFUNCTION("""COMPUTED_VALUE"""),14846729)</f>
        <v>14846729</v>
      </c>
    </row>
    <row r="172" spans="7:66" ht="13" x14ac:dyDescent="0.15">
      <c r="G172" s="4">
        <f ca="1">IFERROR(__xludf.DUMMYFUNCTION("""COMPUTED_VALUE"""),42374.6666666666)</f>
        <v>42374.666666666599</v>
      </c>
      <c r="H172" s="3">
        <f ca="1">IFERROR(__xludf.DUMMYFUNCTION("""COMPUTED_VALUE"""),76.89)</f>
        <v>76.89</v>
      </c>
      <c r="I172" s="3">
        <f ca="1">IFERROR(__xludf.DUMMYFUNCTION("""COMPUTED_VALUE"""),77.15)</f>
        <v>77.150000000000006</v>
      </c>
      <c r="J172" s="3">
        <f ca="1">IFERROR(__xludf.DUMMYFUNCTION("""COMPUTED_VALUE"""),76.17)</f>
        <v>76.17</v>
      </c>
      <c r="K172" s="3">
        <f ca="1">IFERROR(__xludf.DUMMYFUNCTION("""COMPUTED_VALUE"""),76.72)</f>
        <v>76.72</v>
      </c>
      <c r="L172" s="3">
        <f ca="1">IFERROR(__xludf.DUMMYFUNCTION("""COMPUTED_VALUE"""),7424949)</f>
        <v>7424949</v>
      </c>
      <c r="M172" s="4">
        <f ca="1">IFERROR(__xludf.DUMMYFUNCTION("""COMPUTED_VALUE"""),42374.6666666666)</f>
        <v>42374.666666666599</v>
      </c>
      <c r="N172" s="3">
        <f ca="1">IFERROR(__xludf.DUMMYFUNCTION("""COMPUTED_VALUE"""),49.97)</f>
        <v>49.97</v>
      </c>
      <c r="O172" s="3">
        <f ca="1">IFERROR(__xludf.DUMMYFUNCTION("""COMPUTED_VALUE"""),50.29)</f>
        <v>50.29</v>
      </c>
      <c r="P172" s="3">
        <f ca="1">IFERROR(__xludf.DUMMYFUNCTION("""COMPUTED_VALUE"""),49.84)</f>
        <v>49.84</v>
      </c>
      <c r="Q172" s="3">
        <f ca="1">IFERROR(__xludf.DUMMYFUNCTION("""COMPUTED_VALUE"""),50.17)</f>
        <v>50.17</v>
      </c>
      <c r="R172" s="3">
        <f ca="1">IFERROR(__xludf.DUMMYFUNCTION("""COMPUTED_VALUE"""),8630450)</f>
        <v>8630450</v>
      </c>
      <c r="S172" s="4">
        <f ca="1">IFERROR(__xludf.DUMMYFUNCTION("""COMPUTED_VALUE"""),42374.6666666666)</f>
        <v>42374.666666666599</v>
      </c>
      <c r="T172" s="3">
        <f ca="1">IFERROR(__xludf.DUMMYFUNCTION("""COMPUTED_VALUE"""),60.26)</f>
        <v>60.26</v>
      </c>
      <c r="U172" s="3">
        <f ca="1">IFERROR(__xludf.DUMMYFUNCTION("""COMPUTED_VALUE"""),60.6)</f>
        <v>60.6</v>
      </c>
      <c r="V172" s="3">
        <f ca="1">IFERROR(__xludf.DUMMYFUNCTION("""COMPUTED_VALUE"""),59.59)</f>
        <v>59.59</v>
      </c>
      <c r="W172" s="3">
        <f ca="1">IFERROR(__xludf.DUMMYFUNCTION("""COMPUTED_VALUE"""),60.53)</f>
        <v>60.53</v>
      </c>
      <c r="X172" s="3">
        <f ca="1">IFERROR(__xludf.DUMMYFUNCTION("""COMPUTED_VALUE"""),15529203)</f>
        <v>15529203</v>
      </c>
      <c r="Y172" s="4">
        <f ca="1">IFERROR(__xludf.DUMMYFUNCTION("""COMPUTED_VALUE"""),42374.6666666666)</f>
        <v>42374.666666666599</v>
      </c>
      <c r="Z172" s="3">
        <f ca="1">IFERROR(__xludf.DUMMYFUNCTION("""COMPUTED_VALUE"""),19.01)</f>
        <v>19.010000000000002</v>
      </c>
      <c r="AA172" s="3">
        <f ca="1">IFERROR(__xludf.DUMMYFUNCTION("""COMPUTED_VALUE"""),19.11)</f>
        <v>19.11</v>
      </c>
      <c r="AB172" s="3">
        <f ca="1">IFERROR(__xludf.DUMMYFUNCTION("""COMPUTED_VALUE"""),18.88)</f>
        <v>18.88</v>
      </c>
      <c r="AC172" s="3">
        <f ca="1">IFERROR(__xludf.DUMMYFUNCTION("""COMPUTED_VALUE"""),19.05)</f>
        <v>19.05</v>
      </c>
      <c r="AD172" s="3">
        <f ca="1">IFERROR(__xludf.DUMMYFUNCTION("""COMPUTED_VALUE"""),42320533)</f>
        <v>42320533</v>
      </c>
      <c r="AE172" s="4">
        <f ca="1">IFERROR(__xludf.DUMMYFUNCTION("""COMPUTED_VALUE"""),42374.6666666666)</f>
        <v>42374.666666666599</v>
      </c>
      <c r="AF172" s="3">
        <f ca="1">IFERROR(__xludf.DUMMYFUNCTION("""COMPUTED_VALUE"""),70.93)</f>
        <v>70.930000000000007</v>
      </c>
      <c r="AG172" s="3">
        <f ca="1">IFERROR(__xludf.DUMMYFUNCTION("""COMPUTED_VALUE"""),71.38)</f>
        <v>71.38</v>
      </c>
      <c r="AH172" s="3">
        <f ca="1">IFERROR(__xludf.DUMMYFUNCTION("""COMPUTED_VALUE"""),70.76)</f>
        <v>70.760000000000005</v>
      </c>
      <c r="AI172" s="3">
        <f ca="1">IFERROR(__xludf.DUMMYFUNCTION("""COMPUTED_VALUE"""),71.07)</f>
        <v>71.069999999999993</v>
      </c>
      <c r="AJ172" s="3">
        <f ca="1">IFERROR(__xludf.DUMMYFUNCTION("""COMPUTED_VALUE"""),14540153)</f>
        <v>14540153</v>
      </c>
      <c r="AK172" s="4">
        <f ca="1">IFERROR(__xludf.DUMMYFUNCTION("""COMPUTED_VALUE"""),42374.6666666666)</f>
        <v>42374.666666666599</v>
      </c>
      <c r="AL172" s="3">
        <f ca="1">IFERROR(__xludf.DUMMYFUNCTION("""COMPUTED_VALUE"""),52.43)</f>
        <v>52.43</v>
      </c>
      <c r="AM172" s="3">
        <f ca="1">IFERROR(__xludf.DUMMYFUNCTION("""COMPUTED_VALUE"""),52.53)</f>
        <v>52.53</v>
      </c>
      <c r="AN172" s="3">
        <f ca="1">IFERROR(__xludf.DUMMYFUNCTION("""COMPUTED_VALUE"""),51.97)</f>
        <v>51.97</v>
      </c>
      <c r="AO172" s="3">
        <f ca="1">IFERROR(__xludf.DUMMYFUNCTION("""COMPUTED_VALUE"""),52.44)</f>
        <v>52.44</v>
      </c>
      <c r="AP172" s="3">
        <f ca="1">IFERROR(__xludf.DUMMYFUNCTION("""COMPUTED_VALUE"""),8726272)</f>
        <v>8726272</v>
      </c>
      <c r="AQ172" s="4">
        <f ca="1">IFERROR(__xludf.DUMMYFUNCTION("""COMPUTED_VALUE"""),42374.6666666666)</f>
        <v>42374.666666666599</v>
      </c>
      <c r="AR172" s="3">
        <f ca="1">IFERROR(__xludf.DUMMYFUNCTION("""COMPUTED_VALUE"""),42.92)</f>
        <v>42.92</v>
      </c>
      <c r="AS172" s="3">
        <f ca="1">IFERROR(__xludf.DUMMYFUNCTION("""COMPUTED_VALUE"""),42.92)</f>
        <v>42.92</v>
      </c>
      <c r="AT172" s="3">
        <f ca="1">IFERROR(__xludf.DUMMYFUNCTION("""COMPUTED_VALUE"""),42.4)</f>
        <v>42.4</v>
      </c>
      <c r="AU172" s="3">
        <f ca="1">IFERROR(__xludf.DUMMYFUNCTION("""COMPUTED_VALUE"""),42.72)</f>
        <v>42.72</v>
      </c>
      <c r="AV172" s="3">
        <f ca="1">IFERROR(__xludf.DUMMYFUNCTION("""COMPUTED_VALUE"""),9498958)</f>
        <v>9498958</v>
      </c>
      <c r="AW172" s="4">
        <f ca="1">IFERROR(__xludf.DUMMYFUNCTION("""COMPUTED_VALUE"""),42538.6666666666)</f>
        <v>42538.666666666599</v>
      </c>
      <c r="AX172" s="3">
        <f ca="1">IFERROR(__xludf.DUMMYFUNCTION("""COMPUTED_VALUE"""),32.02)</f>
        <v>32.020000000000003</v>
      </c>
      <c r="AY172" s="3">
        <f ca="1">IFERROR(__xludf.DUMMYFUNCTION("""COMPUTED_VALUE"""),32.2)</f>
        <v>32.200000000000003</v>
      </c>
      <c r="AZ172" s="3">
        <f ca="1">IFERROR(__xludf.DUMMYFUNCTION("""COMPUTED_VALUE"""),31.9)</f>
        <v>31.9</v>
      </c>
      <c r="BA172" s="3">
        <f ca="1">IFERROR(__xludf.DUMMYFUNCTION("""COMPUTED_VALUE"""),32.17)</f>
        <v>32.17</v>
      </c>
      <c r="BB172" s="3">
        <f ca="1">IFERROR(__xludf.DUMMYFUNCTION("""COMPUTED_VALUE"""),6835)</f>
        <v>6835</v>
      </c>
      <c r="BC172" s="4">
        <f ca="1">IFERROR(__xludf.DUMMYFUNCTION("""COMPUTED_VALUE"""),42374.6666666666)</f>
        <v>42374.666666666599</v>
      </c>
      <c r="BD172" s="3">
        <f ca="1">IFERROR(__xludf.DUMMYFUNCTION("""COMPUTED_VALUE"""),42.4)</f>
        <v>42.4</v>
      </c>
      <c r="BE172" s="3">
        <f ca="1">IFERROR(__xludf.DUMMYFUNCTION("""COMPUTED_VALUE"""),42.5)</f>
        <v>42.5</v>
      </c>
      <c r="BF172" s="3">
        <f ca="1">IFERROR(__xludf.DUMMYFUNCTION("""COMPUTED_VALUE"""),41.97)</f>
        <v>41.97</v>
      </c>
      <c r="BG172" s="3">
        <f ca="1">IFERROR(__xludf.DUMMYFUNCTION("""COMPUTED_VALUE"""),42.16)</f>
        <v>42.16</v>
      </c>
      <c r="BH172" s="3">
        <f ca="1">IFERROR(__xludf.DUMMYFUNCTION("""COMPUTED_VALUE"""),16067215)</f>
        <v>16067215</v>
      </c>
      <c r="BI172" s="4">
        <f ca="1">IFERROR(__xludf.DUMMYFUNCTION("""COMPUTED_VALUE"""),42374.6666666666)</f>
        <v>42374.666666666599</v>
      </c>
      <c r="BJ172" s="3">
        <f ca="1">IFERROR(__xludf.DUMMYFUNCTION("""COMPUTED_VALUE"""),43.17)</f>
        <v>43.17</v>
      </c>
      <c r="BK172" s="3">
        <f ca="1">IFERROR(__xludf.DUMMYFUNCTION("""COMPUTED_VALUE"""),43.61)</f>
        <v>43.61</v>
      </c>
      <c r="BL172" s="3">
        <f ca="1">IFERROR(__xludf.DUMMYFUNCTION("""COMPUTED_VALUE"""),42.56)</f>
        <v>42.56</v>
      </c>
      <c r="BM172" s="3">
        <f ca="1">IFERROR(__xludf.DUMMYFUNCTION("""COMPUTED_VALUE"""),43.5)</f>
        <v>43.5</v>
      </c>
      <c r="BN172" s="3">
        <f ca="1">IFERROR(__xludf.DUMMYFUNCTION("""COMPUTED_VALUE"""),10948045)</f>
        <v>10948045</v>
      </c>
    </row>
    <row r="173" spans="7:66" ht="13" x14ac:dyDescent="0.15">
      <c r="G173" s="4">
        <f ca="1">IFERROR(__xludf.DUMMYFUNCTION("""COMPUTED_VALUE"""),42375.6666666666)</f>
        <v>42375.666666666599</v>
      </c>
      <c r="H173" s="3">
        <f ca="1">IFERROR(__xludf.DUMMYFUNCTION("""COMPUTED_VALUE"""),75.6)</f>
        <v>75.599999999999994</v>
      </c>
      <c r="I173" s="3">
        <f ca="1">IFERROR(__xludf.DUMMYFUNCTION("""COMPUTED_VALUE"""),76.37)</f>
        <v>76.37</v>
      </c>
      <c r="J173" s="3">
        <f ca="1">IFERROR(__xludf.DUMMYFUNCTION("""COMPUTED_VALUE"""),75.36)</f>
        <v>75.36</v>
      </c>
      <c r="K173" s="3">
        <f ca="1">IFERROR(__xludf.DUMMYFUNCTION("""COMPUTED_VALUE"""),75.97)</f>
        <v>75.97</v>
      </c>
      <c r="L173" s="3">
        <f ca="1">IFERROR(__xludf.DUMMYFUNCTION("""COMPUTED_VALUE"""),10115409)</f>
        <v>10115409</v>
      </c>
      <c r="M173" s="4">
        <f ca="1">IFERROR(__xludf.DUMMYFUNCTION("""COMPUTED_VALUE"""),42375.6666666666)</f>
        <v>42375.666666666599</v>
      </c>
      <c r="N173" s="3">
        <f ca="1">IFERROR(__xludf.DUMMYFUNCTION("""COMPUTED_VALUE"""),49.67)</f>
        <v>49.67</v>
      </c>
      <c r="O173" s="3">
        <f ca="1">IFERROR(__xludf.DUMMYFUNCTION("""COMPUTED_VALUE"""),50.2)</f>
        <v>50.2</v>
      </c>
      <c r="P173" s="3">
        <f ca="1">IFERROR(__xludf.DUMMYFUNCTION("""COMPUTED_VALUE"""),49.64)</f>
        <v>49.64</v>
      </c>
      <c r="Q173" s="3">
        <f ca="1">IFERROR(__xludf.DUMMYFUNCTION("""COMPUTED_VALUE"""),50)</f>
        <v>50</v>
      </c>
      <c r="R173" s="3">
        <f ca="1">IFERROR(__xludf.DUMMYFUNCTION("""COMPUTED_VALUE"""),12429050)</f>
        <v>12429050</v>
      </c>
      <c r="S173" s="4">
        <f ca="1">IFERROR(__xludf.DUMMYFUNCTION("""COMPUTED_VALUE"""),42375.6666666666)</f>
        <v>42375.666666666599</v>
      </c>
      <c r="T173" s="3">
        <f ca="1">IFERROR(__xludf.DUMMYFUNCTION("""COMPUTED_VALUE"""),59.1)</f>
        <v>59.1</v>
      </c>
      <c r="U173" s="3">
        <f ca="1">IFERROR(__xludf.DUMMYFUNCTION("""COMPUTED_VALUE"""),59.22)</f>
        <v>59.22</v>
      </c>
      <c r="V173" s="3">
        <f ca="1">IFERROR(__xludf.DUMMYFUNCTION("""COMPUTED_VALUE"""),57.71)</f>
        <v>57.71</v>
      </c>
      <c r="W173" s="3">
        <f ca="1">IFERROR(__xludf.DUMMYFUNCTION("""COMPUTED_VALUE"""),58.2)</f>
        <v>58.2</v>
      </c>
      <c r="X173" s="3">
        <f ca="1">IFERROR(__xludf.DUMMYFUNCTION("""COMPUTED_VALUE"""),26962077)</f>
        <v>26962077</v>
      </c>
      <c r="Y173" s="4">
        <f ca="1">IFERROR(__xludf.DUMMYFUNCTION("""COMPUTED_VALUE"""),42375.6666666666)</f>
        <v>42375.666666666599</v>
      </c>
      <c r="Z173" s="3">
        <f ca="1">IFERROR(__xludf.DUMMYFUNCTION("""COMPUTED_VALUE"""),18.77)</f>
        <v>18.77</v>
      </c>
      <c r="AA173" s="3">
        <f ca="1">IFERROR(__xludf.DUMMYFUNCTION("""COMPUTED_VALUE"""),18.87)</f>
        <v>18.87</v>
      </c>
      <c r="AB173" s="3">
        <f ca="1">IFERROR(__xludf.DUMMYFUNCTION("""COMPUTED_VALUE"""),18.66)</f>
        <v>18.66</v>
      </c>
      <c r="AC173" s="3">
        <f ca="1">IFERROR(__xludf.DUMMYFUNCTION("""COMPUTED_VALUE"""),18.76)</f>
        <v>18.760000000000002</v>
      </c>
      <c r="AD173" s="3">
        <f ca="1">IFERROR(__xludf.DUMMYFUNCTION("""COMPUTED_VALUE"""),62752732)</f>
        <v>62752732</v>
      </c>
      <c r="AE173" s="4">
        <f ca="1">IFERROR(__xludf.DUMMYFUNCTION("""COMPUTED_VALUE"""),42375.6666666666)</f>
        <v>42375.666666666599</v>
      </c>
      <c r="AF173" s="3">
        <f ca="1">IFERROR(__xludf.DUMMYFUNCTION("""COMPUTED_VALUE"""),70.06)</f>
        <v>70.06</v>
      </c>
      <c r="AG173" s="3">
        <f ca="1">IFERROR(__xludf.DUMMYFUNCTION("""COMPUTED_VALUE"""),70.98)</f>
        <v>70.98</v>
      </c>
      <c r="AH173" s="3">
        <f ca="1">IFERROR(__xludf.DUMMYFUNCTION("""COMPUTED_VALUE"""),70)</f>
        <v>70</v>
      </c>
      <c r="AI173" s="3">
        <f ca="1">IFERROR(__xludf.DUMMYFUNCTION("""COMPUTED_VALUE"""),70.49)</f>
        <v>70.489999999999995</v>
      </c>
      <c r="AJ173" s="3">
        <f ca="1">IFERROR(__xludf.DUMMYFUNCTION("""COMPUTED_VALUE"""),14651688)</f>
        <v>14651688</v>
      </c>
      <c r="AK173" s="4">
        <f ca="1">IFERROR(__xludf.DUMMYFUNCTION("""COMPUTED_VALUE"""),42375.6666666666)</f>
        <v>42375.666666666599</v>
      </c>
      <c r="AL173" s="3">
        <f ca="1">IFERROR(__xludf.DUMMYFUNCTION("""COMPUTED_VALUE"""),51.72)</f>
        <v>51.72</v>
      </c>
      <c r="AM173" s="3">
        <f ca="1">IFERROR(__xludf.DUMMYFUNCTION("""COMPUTED_VALUE"""),52.06)</f>
        <v>52.06</v>
      </c>
      <c r="AN173" s="3">
        <f ca="1">IFERROR(__xludf.DUMMYFUNCTION("""COMPUTED_VALUE"""),51.31)</f>
        <v>51.31</v>
      </c>
      <c r="AO173" s="3">
        <f ca="1">IFERROR(__xludf.DUMMYFUNCTION("""COMPUTED_VALUE"""),51.63)</f>
        <v>51.63</v>
      </c>
      <c r="AP173" s="3">
        <f ca="1">IFERROR(__xludf.DUMMYFUNCTION("""COMPUTED_VALUE"""),9980000)</f>
        <v>9980000</v>
      </c>
      <c r="AQ173" s="4">
        <f ca="1">IFERROR(__xludf.DUMMYFUNCTION("""COMPUTED_VALUE"""),42375.6666666666)</f>
        <v>42375.666666666599</v>
      </c>
      <c r="AR173" s="3">
        <f ca="1">IFERROR(__xludf.DUMMYFUNCTION("""COMPUTED_VALUE"""),42.14)</f>
        <v>42.14</v>
      </c>
      <c r="AS173" s="3">
        <f ca="1">IFERROR(__xludf.DUMMYFUNCTION("""COMPUTED_VALUE"""),42.18)</f>
        <v>42.18</v>
      </c>
      <c r="AT173" s="3">
        <f ca="1">IFERROR(__xludf.DUMMYFUNCTION("""COMPUTED_VALUE"""),41.37)</f>
        <v>41.37</v>
      </c>
      <c r="AU173" s="3">
        <f ca="1">IFERROR(__xludf.DUMMYFUNCTION("""COMPUTED_VALUE"""),41.6)</f>
        <v>41.6</v>
      </c>
      <c r="AV173" s="3">
        <f ca="1">IFERROR(__xludf.DUMMYFUNCTION("""COMPUTED_VALUE"""),9307382)</f>
        <v>9307382</v>
      </c>
      <c r="AW173" s="4">
        <f ca="1">IFERROR(__xludf.DUMMYFUNCTION("""COMPUTED_VALUE"""),42541.6666666666)</f>
        <v>42541.666666666599</v>
      </c>
      <c r="AX173" s="3">
        <f ca="1">IFERROR(__xludf.DUMMYFUNCTION("""COMPUTED_VALUE"""),32.49)</f>
        <v>32.49</v>
      </c>
      <c r="AY173" s="3">
        <f ca="1">IFERROR(__xludf.DUMMYFUNCTION("""COMPUTED_VALUE"""),32.49)</f>
        <v>32.49</v>
      </c>
      <c r="AZ173" s="3">
        <f ca="1">IFERROR(__xludf.DUMMYFUNCTION("""COMPUTED_VALUE"""),32.2)</f>
        <v>32.200000000000003</v>
      </c>
      <c r="BA173" s="3">
        <f ca="1">IFERROR(__xludf.DUMMYFUNCTION("""COMPUTED_VALUE"""),32.2)</f>
        <v>32.200000000000003</v>
      </c>
      <c r="BB173" s="3">
        <f ca="1">IFERROR(__xludf.DUMMYFUNCTION("""COMPUTED_VALUE"""),4897)</f>
        <v>4897</v>
      </c>
      <c r="BC173" s="4">
        <f ca="1">IFERROR(__xludf.DUMMYFUNCTION("""COMPUTED_VALUE"""),42375.6666666666)</f>
        <v>42375.666666666599</v>
      </c>
      <c r="BD173" s="3">
        <f ca="1">IFERROR(__xludf.DUMMYFUNCTION("""COMPUTED_VALUE"""),41.54)</f>
        <v>41.54</v>
      </c>
      <c r="BE173" s="3">
        <f ca="1">IFERROR(__xludf.DUMMYFUNCTION("""COMPUTED_VALUE"""),41.92)</f>
        <v>41.92</v>
      </c>
      <c r="BF173" s="3">
        <f ca="1">IFERROR(__xludf.DUMMYFUNCTION("""COMPUTED_VALUE"""),41.39)</f>
        <v>41.39</v>
      </c>
      <c r="BG173" s="3">
        <f ca="1">IFERROR(__xludf.DUMMYFUNCTION("""COMPUTED_VALUE"""),41.64)</f>
        <v>41.64</v>
      </c>
      <c r="BH173" s="3">
        <f ca="1">IFERROR(__xludf.DUMMYFUNCTION("""COMPUTED_VALUE"""),13858365)</f>
        <v>13858365</v>
      </c>
      <c r="BI173" s="4">
        <f ca="1">IFERROR(__xludf.DUMMYFUNCTION("""COMPUTED_VALUE"""),42375.6666666666)</f>
        <v>42375.666666666599</v>
      </c>
      <c r="BJ173" s="3">
        <f ca="1">IFERROR(__xludf.DUMMYFUNCTION("""COMPUTED_VALUE"""),43.24)</f>
        <v>43.24</v>
      </c>
      <c r="BK173" s="3">
        <f ca="1">IFERROR(__xludf.DUMMYFUNCTION("""COMPUTED_VALUE"""),43.6)</f>
        <v>43.6</v>
      </c>
      <c r="BL173" s="3">
        <f ca="1">IFERROR(__xludf.DUMMYFUNCTION("""COMPUTED_VALUE"""),43.07)</f>
        <v>43.07</v>
      </c>
      <c r="BM173" s="3">
        <f ca="1">IFERROR(__xludf.DUMMYFUNCTION("""COMPUTED_VALUE"""),43.42)</f>
        <v>43.42</v>
      </c>
      <c r="BN173" s="3">
        <f ca="1">IFERROR(__xludf.DUMMYFUNCTION("""COMPUTED_VALUE"""),12719000)</f>
        <v>12719000</v>
      </c>
    </row>
    <row r="174" spans="7:66" ht="13" x14ac:dyDescent="0.15">
      <c r="G174" s="4">
        <f ca="1">IFERROR(__xludf.DUMMYFUNCTION("""COMPUTED_VALUE"""),42376.6666666666)</f>
        <v>42376.666666666599</v>
      </c>
      <c r="H174" s="3">
        <f ca="1">IFERROR(__xludf.DUMMYFUNCTION("""COMPUTED_VALUE"""),74.46)</f>
        <v>74.459999999999994</v>
      </c>
      <c r="I174" s="3">
        <f ca="1">IFERROR(__xludf.DUMMYFUNCTION("""COMPUTED_VALUE"""),75.71)</f>
        <v>75.709999999999994</v>
      </c>
      <c r="J174" s="3">
        <f ca="1">IFERROR(__xludf.DUMMYFUNCTION("""COMPUTED_VALUE"""),74.24)</f>
        <v>74.239999999999995</v>
      </c>
      <c r="K174" s="3">
        <f ca="1">IFERROR(__xludf.DUMMYFUNCTION("""COMPUTED_VALUE"""),74.41)</f>
        <v>74.41</v>
      </c>
      <c r="L174" s="3">
        <f ca="1">IFERROR(__xludf.DUMMYFUNCTION("""COMPUTED_VALUE"""),12645191)</f>
        <v>12645191</v>
      </c>
      <c r="M174" s="4">
        <f ca="1">IFERROR(__xludf.DUMMYFUNCTION("""COMPUTED_VALUE"""),42376.6666666666)</f>
        <v>42376.666666666599</v>
      </c>
      <c r="N174" s="3">
        <f ca="1">IFERROR(__xludf.DUMMYFUNCTION("""COMPUTED_VALUE"""),49.44)</f>
        <v>49.44</v>
      </c>
      <c r="O174" s="3">
        <f ca="1">IFERROR(__xludf.DUMMYFUNCTION("""COMPUTED_VALUE"""),49.93)</f>
        <v>49.93</v>
      </c>
      <c r="P174" s="3">
        <f ca="1">IFERROR(__xludf.DUMMYFUNCTION("""COMPUTED_VALUE"""),49.22)</f>
        <v>49.22</v>
      </c>
      <c r="Q174" s="3">
        <f ca="1">IFERROR(__xludf.DUMMYFUNCTION("""COMPUTED_VALUE"""),49.4)</f>
        <v>49.4</v>
      </c>
      <c r="R174" s="3">
        <f ca="1">IFERROR(__xludf.DUMMYFUNCTION("""COMPUTED_VALUE"""),16031520)</f>
        <v>16031520</v>
      </c>
      <c r="S174" s="4">
        <f ca="1">IFERROR(__xludf.DUMMYFUNCTION("""COMPUTED_VALUE"""),42376.6666666666)</f>
        <v>42376.666666666599</v>
      </c>
      <c r="T174" s="3">
        <f ca="1">IFERROR(__xludf.DUMMYFUNCTION("""COMPUTED_VALUE"""),57.07)</f>
        <v>57.07</v>
      </c>
      <c r="U174" s="3">
        <f ca="1">IFERROR(__xludf.DUMMYFUNCTION("""COMPUTED_VALUE"""),58.38)</f>
        <v>58.38</v>
      </c>
      <c r="V174" s="3">
        <f ca="1">IFERROR(__xludf.DUMMYFUNCTION("""COMPUTED_VALUE"""),56.54)</f>
        <v>56.54</v>
      </c>
      <c r="W174" s="3">
        <f ca="1">IFERROR(__xludf.DUMMYFUNCTION("""COMPUTED_VALUE"""),56.78)</f>
        <v>56.78</v>
      </c>
      <c r="X174" s="3">
        <f ca="1">IFERROR(__xludf.DUMMYFUNCTION("""COMPUTED_VALUE"""),28081892)</f>
        <v>28081892</v>
      </c>
      <c r="Y174" s="4">
        <f ca="1">IFERROR(__xludf.DUMMYFUNCTION("""COMPUTED_VALUE"""),42376.6666666666)</f>
        <v>42376.666666666599</v>
      </c>
      <c r="Z174" s="3">
        <f ca="1">IFERROR(__xludf.DUMMYFUNCTION("""COMPUTED_VALUE"""),18.37)</f>
        <v>18.37</v>
      </c>
      <c r="AA174" s="3">
        <f ca="1">IFERROR(__xludf.DUMMYFUNCTION("""COMPUTED_VALUE"""),18.54)</f>
        <v>18.54</v>
      </c>
      <c r="AB174" s="3">
        <f ca="1">IFERROR(__xludf.DUMMYFUNCTION("""COMPUTED_VALUE"""),18.16)</f>
        <v>18.16</v>
      </c>
      <c r="AC174" s="3">
        <f ca="1">IFERROR(__xludf.DUMMYFUNCTION("""COMPUTED_VALUE"""),18.23)</f>
        <v>18.23</v>
      </c>
      <c r="AD174" s="3">
        <f ca="1">IFERROR(__xludf.DUMMYFUNCTION("""COMPUTED_VALUE"""),74741639)</f>
        <v>74741639</v>
      </c>
      <c r="AE174" s="4">
        <f ca="1">IFERROR(__xludf.DUMMYFUNCTION("""COMPUTED_VALUE"""),42376.6666666666)</f>
        <v>42376.666666666599</v>
      </c>
      <c r="AF174" s="3">
        <f ca="1">IFERROR(__xludf.DUMMYFUNCTION("""COMPUTED_VALUE"""),69.13)</f>
        <v>69.13</v>
      </c>
      <c r="AG174" s="3">
        <f ca="1">IFERROR(__xludf.DUMMYFUNCTION("""COMPUTED_VALUE"""),70.01)</f>
        <v>70.010000000000005</v>
      </c>
      <c r="AH174" s="3">
        <f ca="1">IFERROR(__xludf.DUMMYFUNCTION("""COMPUTED_VALUE"""),68.87)</f>
        <v>68.87</v>
      </c>
      <c r="AI174" s="3">
        <f ca="1">IFERROR(__xludf.DUMMYFUNCTION("""COMPUTED_VALUE"""),69.06)</f>
        <v>69.06</v>
      </c>
      <c r="AJ174" s="3">
        <f ca="1">IFERROR(__xludf.DUMMYFUNCTION("""COMPUTED_VALUE"""),17850377)</f>
        <v>17850377</v>
      </c>
      <c r="AK174" s="4">
        <f ca="1">IFERROR(__xludf.DUMMYFUNCTION("""COMPUTED_VALUE"""),42376.6666666666)</f>
        <v>42376.666666666599</v>
      </c>
      <c r="AL174" s="3">
        <f ca="1">IFERROR(__xludf.DUMMYFUNCTION("""COMPUTED_VALUE"""),50.8)</f>
        <v>50.8</v>
      </c>
      <c r="AM174" s="3">
        <f ca="1">IFERROR(__xludf.DUMMYFUNCTION("""COMPUTED_VALUE"""),51.1)</f>
        <v>51.1</v>
      </c>
      <c r="AN174" s="3">
        <f ca="1">IFERROR(__xludf.DUMMYFUNCTION("""COMPUTED_VALUE"""),50.09)</f>
        <v>50.09</v>
      </c>
      <c r="AO174" s="3">
        <f ca="1">IFERROR(__xludf.DUMMYFUNCTION("""COMPUTED_VALUE"""),50.23)</f>
        <v>50.23</v>
      </c>
      <c r="AP174" s="3">
        <f ca="1">IFERROR(__xludf.DUMMYFUNCTION("""COMPUTED_VALUE"""),17225551)</f>
        <v>17225551</v>
      </c>
      <c r="AQ174" s="4">
        <f ca="1">IFERROR(__xludf.DUMMYFUNCTION("""COMPUTED_VALUE"""),42376.6666666666)</f>
        <v>42376.666666666599</v>
      </c>
      <c r="AR174" s="3">
        <f ca="1">IFERROR(__xludf.DUMMYFUNCTION("""COMPUTED_VALUE"""),40.84)</f>
        <v>40.840000000000003</v>
      </c>
      <c r="AS174" s="3">
        <f ca="1">IFERROR(__xludf.DUMMYFUNCTION("""COMPUTED_VALUE"""),41.25)</f>
        <v>41.25</v>
      </c>
      <c r="AT174" s="3">
        <f ca="1">IFERROR(__xludf.DUMMYFUNCTION("""COMPUTED_VALUE"""),40.25)</f>
        <v>40.25</v>
      </c>
      <c r="AU174" s="3">
        <f ca="1">IFERROR(__xludf.DUMMYFUNCTION("""COMPUTED_VALUE"""),40.47)</f>
        <v>40.47</v>
      </c>
      <c r="AV174" s="3">
        <f ca="1">IFERROR(__xludf.DUMMYFUNCTION("""COMPUTED_VALUE"""),12579674)</f>
        <v>12579674</v>
      </c>
      <c r="AW174" s="4">
        <f ca="1">IFERROR(__xludf.DUMMYFUNCTION("""COMPUTED_VALUE"""),42542.6666666666)</f>
        <v>42542.666666666599</v>
      </c>
      <c r="AX174" s="3">
        <f ca="1">IFERROR(__xludf.DUMMYFUNCTION("""COMPUTED_VALUE"""),32.37)</f>
        <v>32.369999999999997</v>
      </c>
      <c r="AY174" s="3">
        <f ca="1">IFERROR(__xludf.DUMMYFUNCTION("""COMPUTED_VALUE"""),32.46)</f>
        <v>32.46</v>
      </c>
      <c r="AZ174" s="3">
        <f ca="1">IFERROR(__xludf.DUMMYFUNCTION("""COMPUTED_VALUE"""),32.37)</f>
        <v>32.369999999999997</v>
      </c>
      <c r="BA174" s="3">
        <f ca="1">IFERROR(__xludf.DUMMYFUNCTION("""COMPUTED_VALUE"""),32.46)</f>
        <v>32.46</v>
      </c>
      <c r="BB174" s="3">
        <f ca="1">IFERROR(__xludf.DUMMYFUNCTION("""COMPUTED_VALUE"""),3150)</f>
        <v>3150</v>
      </c>
      <c r="BC174" s="4">
        <f ca="1">IFERROR(__xludf.DUMMYFUNCTION("""COMPUTED_VALUE"""),42376.6666666666)</f>
        <v>42376.666666666599</v>
      </c>
      <c r="BD174" s="3">
        <f ca="1">IFERROR(__xludf.DUMMYFUNCTION("""COMPUTED_VALUE"""),40.79)</f>
        <v>40.79</v>
      </c>
      <c r="BE174" s="3">
        <f ca="1">IFERROR(__xludf.DUMMYFUNCTION("""COMPUTED_VALUE"""),41.32)</f>
        <v>41.32</v>
      </c>
      <c r="BF174" s="3">
        <f ca="1">IFERROR(__xludf.DUMMYFUNCTION("""COMPUTED_VALUE"""),40.39)</f>
        <v>40.39</v>
      </c>
      <c r="BG174" s="3">
        <f ca="1">IFERROR(__xludf.DUMMYFUNCTION("""COMPUTED_VALUE"""),40.41)</f>
        <v>40.409999999999997</v>
      </c>
      <c r="BH174" s="3">
        <f ca="1">IFERROR(__xludf.DUMMYFUNCTION("""COMPUTED_VALUE"""),16840659)</f>
        <v>16840659</v>
      </c>
      <c r="BI174" s="4">
        <f ca="1">IFERROR(__xludf.DUMMYFUNCTION("""COMPUTED_VALUE"""),42376.6666666666)</f>
        <v>42376.666666666599</v>
      </c>
      <c r="BJ174" s="3">
        <f ca="1">IFERROR(__xludf.DUMMYFUNCTION("""COMPUTED_VALUE"""),42.95)</f>
        <v>42.95</v>
      </c>
      <c r="BK174" s="3">
        <f ca="1">IFERROR(__xludf.DUMMYFUNCTION("""COMPUTED_VALUE"""),43.35)</f>
        <v>43.35</v>
      </c>
      <c r="BL174" s="3">
        <f ca="1">IFERROR(__xludf.DUMMYFUNCTION("""COMPUTED_VALUE"""),42.87)</f>
        <v>42.87</v>
      </c>
      <c r="BM174" s="3">
        <f ca="1">IFERROR(__xludf.DUMMYFUNCTION("""COMPUTED_VALUE"""),43.13)</f>
        <v>43.13</v>
      </c>
      <c r="BN174" s="3">
        <f ca="1">IFERROR(__xludf.DUMMYFUNCTION("""COMPUTED_VALUE"""),12273707)</f>
        <v>12273707</v>
      </c>
    </row>
    <row r="175" spans="7:66" ht="13" x14ac:dyDescent="0.15">
      <c r="G175" s="4">
        <f ca="1">IFERROR(__xludf.DUMMYFUNCTION("""COMPUTED_VALUE"""),42377.6666666666)</f>
        <v>42377.666666666599</v>
      </c>
      <c r="H175" s="3">
        <f ca="1">IFERROR(__xludf.DUMMYFUNCTION("""COMPUTED_VALUE"""),75.01)</f>
        <v>75.010000000000005</v>
      </c>
      <c r="I175" s="3">
        <f ca="1">IFERROR(__xludf.DUMMYFUNCTION("""COMPUTED_VALUE"""),75.34)</f>
        <v>75.34</v>
      </c>
      <c r="J175" s="3">
        <f ca="1">IFERROR(__xludf.DUMMYFUNCTION("""COMPUTED_VALUE"""),73.44)</f>
        <v>73.44</v>
      </c>
      <c r="K175" s="3">
        <f ca="1">IFERROR(__xludf.DUMMYFUNCTION("""COMPUTED_VALUE"""),73.61)</f>
        <v>73.61</v>
      </c>
      <c r="L175" s="3">
        <f ca="1">IFERROR(__xludf.DUMMYFUNCTION("""COMPUTED_VALUE"""),10797663)</f>
        <v>10797663</v>
      </c>
      <c r="M175" s="4">
        <f ca="1">IFERROR(__xludf.DUMMYFUNCTION("""COMPUTED_VALUE"""),42377.6666666666)</f>
        <v>42377.666666666599</v>
      </c>
      <c r="N175" s="3">
        <f ca="1">IFERROR(__xludf.DUMMYFUNCTION("""COMPUTED_VALUE"""),49.72)</f>
        <v>49.72</v>
      </c>
      <c r="O175" s="3">
        <f ca="1">IFERROR(__xludf.DUMMYFUNCTION("""COMPUTED_VALUE"""),49.72)</f>
        <v>49.72</v>
      </c>
      <c r="P175" s="3">
        <f ca="1">IFERROR(__xludf.DUMMYFUNCTION("""COMPUTED_VALUE"""),48.92)</f>
        <v>48.92</v>
      </c>
      <c r="Q175" s="3">
        <f ca="1">IFERROR(__xludf.DUMMYFUNCTION("""COMPUTED_VALUE"""),49.02)</f>
        <v>49.02</v>
      </c>
      <c r="R175" s="3">
        <f ca="1">IFERROR(__xludf.DUMMYFUNCTION("""COMPUTED_VALUE"""),14691022)</f>
        <v>14691022</v>
      </c>
      <c r="S175" s="4">
        <f ca="1">IFERROR(__xludf.DUMMYFUNCTION("""COMPUTED_VALUE"""),42377.6666666666)</f>
        <v>42377.666666666599</v>
      </c>
      <c r="T175" s="3">
        <f ca="1">IFERROR(__xludf.DUMMYFUNCTION("""COMPUTED_VALUE"""),57.26)</f>
        <v>57.26</v>
      </c>
      <c r="U175" s="3">
        <f ca="1">IFERROR(__xludf.DUMMYFUNCTION("""COMPUTED_VALUE"""),57.39)</f>
        <v>57.39</v>
      </c>
      <c r="V175" s="3">
        <f ca="1">IFERROR(__xludf.DUMMYFUNCTION("""COMPUTED_VALUE"""),55.84)</f>
        <v>55.84</v>
      </c>
      <c r="W175" s="3">
        <f ca="1">IFERROR(__xludf.DUMMYFUNCTION("""COMPUTED_VALUE"""),56.05)</f>
        <v>56.05</v>
      </c>
      <c r="X175" s="3">
        <f ca="1">IFERROR(__xludf.DUMMYFUNCTION("""COMPUTED_VALUE"""),19227115)</f>
        <v>19227115</v>
      </c>
      <c r="Y175" s="4">
        <f ca="1">IFERROR(__xludf.DUMMYFUNCTION("""COMPUTED_VALUE"""),42377.6666666666)</f>
        <v>42377.666666666599</v>
      </c>
      <c r="Z175" s="3">
        <f ca="1">IFERROR(__xludf.DUMMYFUNCTION("""COMPUTED_VALUE"""),18.39)</f>
        <v>18.39</v>
      </c>
      <c r="AA175" s="3">
        <f ca="1">IFERROR(__xludf.DUMMYFUNCTION("""COMPUTED_VALUE"""),18.41)</f>
        <v>18.41</v>
      </c>
      <c r="AB175" s="3">
        <f ca="1">IFERROR(__xludf.DUMMYFUNCTION("""COMPUTED_VALUE"""),17.91)</f>
        <v>17.91</v>
      </c>
      <c r="AC175" s="3">
        <f ca="1">IFERROR(__xludf.DUMMYFUNCTION("""COMPUTED_VALUE"""),17.95)</f>
        <v>17.95</v>
      </c>
      <c r="AD175" s="3">
        <f ca="1">IFERROR(__xludf.DUMMYFUNCTION("""COMPUTED_VALUE"""),67447779)</f>
        <v>67447779</v>
      </c>
      <c r="AE175" s="4">
        <f ca="1">IFERROR(__xludf.DUMMYFUNCTION("""COMPUTED_VALUE"""),42377.6666666666)</f>
        <v>42377.666666666599</v>
      </c>
      <c r="AF175" s="3">
        <f ca="1">IFERROR(__xludf.DUMMYFUNCTION("""COMPUTED_VALUE"""),69.47)</f>
        <v>69.47</v>
      </c>
      <c r="AG175" s="3">
        <f ca="1">IFERROR(__xludf.DUMMYFUNCTION("""COMPUTED_VALUE"""),69.65)</f>
        <v>69.650000000000006</v>
      </c>
      <c r="AH175" s="3">
        <f ca="1">IFERROR(__xludf.DUMMYFUNCTION("""COMPUTED_VALUE"""),67.9)</f>
        <v>67.900000000000006</v>
      </c>
      <c r="AI175" s="3">
        <f ca="1">IFERROR(__xludf.DUMMYFUNCTION("""COMPUTED_VALUE"""),68.02)</f>
        <v>68.02</v>
      </c>
      <c r="AJ175" s="3">
        <f ca="1">IFERROR(__xludf.DUMMYFUNCTION("""COMPUTED_VALUE"""),17022809)</f>
        <v>17022809</v>
      </c>
      <c r="AK175" s="4">
        <f ca="1">IFERROR(__xludf.DUMMYFUNCTION("""COMPUTED_VALUE"""),42377.6666666666)</f>
        <v>42377.666666666599</v>
      </c>
      <c r="AL175" s="3">
        <f ca="1">IFERROR(__xludf.DUMMYFUNCTION("""COMPUTED_VALUE"""),50.71)</f>
        <v>50.71</v>
      </c>
      <c r="AM175" s="3">
        <f ca="1">IFERROR(__xludf.DUMMYFUNCTION("""COMPUTED_VALUE"""),50.71)</f>
        <v>50.71</v>
      </c>
      <c r="AN175" s="3">
        <f ca="1">IFERROR(__xludf.DUMMYFUNCTION("""COMPUTED_VALUE"""),49.65)</f>
        <v>49.65</v>
      </c>
      <c r="AO175" s="3">
        <f ca="1">IFERROR(__xludf.DUMMYFUNCTION("""COMPUTED_VALUE"""),49.72)</f>
        <v>49.72</v>
      </c>
      <c r="AP175" s="3">
        <f ca="1">IFERROR(__xludf.DUMMYFUNCTION("""COMPUTED_VALUE"""),17198597)</f>
        <v>17198597</v>
      </c>
      <c r="AQ175" s="4">
        <f ca="1">IFERROR(__xludf.DUMMYFUNCTION("""COMPUTED_VALUE"""),42377.6666666666)</f>
        <v>42377.666666666599</v>
      </c>
      <c r="AR175" s="3">
        <f ca="1">IFERROR(__xludf.DUMMYFUNCTION("""COMPUTED_VALUE"""),40.86)</f>
        <v>40.86</v>
      </c>
      <c r="AS175" s="3">
        <f ca="1">IFERROR(__xludf.DUMMYFUNCTION("""COMPUTED_VALUE"""),40.9)</f>
        <v>40.9</v>
      </c>
      <c r="AT175" s="3">
        <f ca="1">IFERROR(__xludf.DUMMYFUNCTION("""COMPUTED_VALUE"""),39.95)</f>
        <v>39.950000000000003</v>
      </c>
      <c r="AU175" s="3">
        <f ca="1">IFERROR(__xludf.DUMMYFUNCTION("""COMPUTED_VALUE"""),40.06)</f>
        <v>40.06</v>
      </c>
      <c r="AV175" s="3">
        <f ca="1">IFERROR(__xludf.DUMMYFUNCTION("""COMPUTED_VALUE"""),8700176)</f>
        <v>8700176</v>
      </c>
      <c r="AW175" s="4">
        <f ca="1">IFERROR(__xludf.DUMMYFUNCTION("""COMPUTED_VALUE"""),42543.6666666666)</f>
        <v>42543.666666666599</v>
      </c>
      <c r="AX175" s="3">
        <f ca="1">IFERROR(__xludf.DUMMYFUNCTION("""COMPUTED_VALUE"""),32.39)</f>
        <v>32.39</v>
      </c>
      <c r="AY175" s="3">
        <f ca="1">IFERROR(__xludf.DUMMYFUNCTION("""COMPUTED_VALUE"""),32.47)</f>
        <v>32.47</v>
      </c>
      <c r="AZ175" s="3">
        <f ca="1">IFERROR(__xludf.DUMMYFUNCTION("""COMPUTED_VALUE"""),32.33)</f>
        <v>32.33</v>
      </c>
      <c r="BA175" s="3">
        <f ca="1">IFERROR(__xludf.DUMMYFUNCTION("""COMPUTED_VALUE"""),32.43)</f>
        <v>32.43</v>
      </c>
      <c r="BB175" s="3">
        <f ca="1">IFERROR(__xludf.DUMMYFUNCTION("""COMPUTED_VALUE"""),2712)</f>
        <v>2712</v>
      </c>
      <c r="BC175" s="4">
        <f ca="1">IFERROR(__xludf.DUMMYFUNCTION("""COMPUTED_VALUE"""),42377.6666666666)</f>
        <v>42377.666666666599</v>
      </c>
      <c r="BD175" s="3">
        <f ca="1">IFERROR(__xludf.DUMMYFUNCTION("""COMPUTED_VALUE"""),40.76)</f>
        <v>40.76</v>
      </c>
      <c r="BE175" s="3">
        <f ca="1">IFERROR(__xludf.DUMMYFUNCTION("""COMPUTED_VALUE"""),40.9)</f>
        <v>40.9</v>
      </c>
      <c r="BF175" s="3">
        <f ca="1">IFERROR(__xludf.DUMMYFUNCTION("""COMPUTED_VALUE"""),40.04)</f>
        <v>40.04</v>
      </c>
      <c r="BG175" s="3">
        <f ca="1">IFERROR(__xludf.DUMMYFUNCTION("""COMPUTED_VALUE"""),40.09)</f>
        <v>40.090000000000003</v>
      </c>
      <c r="BH175" s="3">
        <f ca="1">IFERROR(__xludf.DUMMYFUNCTION("""COMPUTED_VALUE"""),19233104)</f>
        <v>19233104</v>
      </c>
      <c r="BI175" s="4">
        <f ca="1">IFERROR(__xludf.DUMMYFUNCTION("""COMPUTED_VALUE"""),42377.6666666666)</f>
        <v>42377.666666666599</v>
      </c>
      <c r="BJ175" s="3">
        <f ca="1">IFERROR(__xludf.DUMMYFUNCTION("""COMPUTED_VALUE"""),43.16)</f>
        <v>43.16</v>
      </c>
      <c r="BK175" s="3">
        <f ca="1">IFERROR(__xludf.DUMMYFUNCTION("""COMPUTED_VALUE"""),43.46)</f>
        <v>43.46</v>
      </c>
      <c r="BL175" s="3">
        <f ca="1">IFERROR(__xludf.DUMMYFUNCTION("""COMPUTED_VALUE"""),43.03)</f>
        <v>43.03</v>
      </c>
      <c r="BM175" s="3">
        <f ca="1">IFERROR(__xludf.DUMMYFUNCTION("""COMPUTED_VALUE"""),43.11)</f>
        <v>43.11</v>
      </c>
      <c r="BN175" s="3">
        <f ca="1">IFERROR(__xludf.DUMMYFUNCTION("""COMPUTED_VALUE"""),11680794)</f>
        <v>11680794</v>
      </c>
    </row>
    <row r="176" spans="7:66" ht="13" x14ac:dyDescent="0.15">
      <c r="G176" s="4">
        <f ca="1">IFERROR(__xludf.DUMMYFUNCTION("""COMPUTED_VALUE"""),42380.6666666666)</f>
        <v>42380.666666666599</v>
      </c>
      <c r="H176" s="3">
        <f ca="1">IFERROR(__xludf.DUMMYFUNCTION("""COMPUTED_VALUE"""),74.05)</f>
        <v>74.05</v>
      </c>
      <c r="I176" s="3">
        <f ca="1">IFERROR(__xludf.DUMMYFUNCTION("""COMPUTED_VALUE"""),74.49)</f>
        <v>74.489999999999995</v>
      </c>
      <c r="J176" s="3">
        <f ca="1">IFERROR(__xludf.DUMMYFUNCTION("""COMPUTED_VALUE"""),73.11)</f>
        <v>73.11</v>
      </c>
      <c r="K176" s="3">
        <f ca="1">IFERROR(__xludf.DUMMYFUNCTION("""COMPUTED_VALUE"""),74.19)</f>
        <v>74.19</v>
      </c>
      <c r="L176" s="3">
        <f ca="1">IFERROR(__xludf.DUMMYFUNCTION("""COMPUTED_VALUE"""),13232713)</f>
        <v>13232713</v>
      </c>
      <c r="M176" s="4">
        <f ca="1">IFERROR(__xludf.DUMMYFUNCTION("""COMPUTED_VALUE"""),42380.6666666666)</f>
        <v>42380.666666666599</v>
      </c>
      <c r="N176" s="3">
        <f ca="1">IFERROR(__xludf.DUMMYFUNCTION("""COMPUTED_VALUE"""),49.32)</f>
        <v>49.32</v>
      </c>
      <c r="O176" s="3">
        <f ca="1">IFERROR(__xludf.DUMMYFUNCTION("""COMPUTED_VALUE"""),49.66)</f>
        <v>49.66</v>
      </c>
      <c r="P176" s="3">
        <f ca="1">IFERROR(__xludf.DUMMYFUNCTION("""COMPUTED_VALUE"""),49)</f>
        <v>49</v>
      </c>
      <c r="Q176" s="3">
        <f ca="1">IFERROR(__xludf.DUMMYFUNCTION("""COMPUTED_VALUE"""),49.48)</f>
        <v>49.48</v>
      </c>
      <c r="R176" s="3">
        <f ca="1">IFERROR(__xludf.DUMMYFUNCTION("""COMPUTED_VALUE"""),15890335)</f>
        <v>15890335</v>
      </c>
      <c r="S176" s="4">
        <f ca="1">IFERROR(__xludf.DUMMYFUNCTION("""COMPUTED_VALUE"""),42380.6666666666)</f>
        <v>42380.666666666599</v>
      </c>
      <c r="T176" s="3">
        <f ca="1">IFERROR(__xludf.DUMMYFUNCTION("""COMPUTED_VALUE"""),56.28)</f>
        <v>56.28</v>
      </c>
      <c r="U176" s="3">
        <f ca="1">IFERROR(__xludf.DUMMYFUNCTION("""COMPUTED_VALUE"""),56.35)</f>
        <v>56.35</v>
      </c>
      <c r="V176" s="3">
        <f ca="1">IFERROR(__xludf.DUMMYFUNCTION("""COMPUTED_VALUE"""),54.16)</f>
        <v>54.16</v>
      </c>
      <c r="W176" s="3">
        <f ca="1">IFERROR(__xludf.DUMMYFUNCTION("""COMPUTED_VALUE"""),54.85)</f>
        <v>54.85</v>
      </c>
      <c r="X176" s="3">
        <f ca="1">IFERROR(__xludf.DUMMYFUNCTION("""COMPUTED_VALUE"""),28444737)</f>
        <v>28444737</v>
      </c>
      <c r="Y176" s="4">
        <f ca="1">IFERROR(__xludf.DUMMYFUNCTION("""COMPUTED_VALUE"""),42380.6666666666)</f>
        <v>42380.666666666599</v>
      </c>
      <c r="Z176" s="3">
        <f ca="1">IFERROR(__xludf.DUMMYFUNCTION("""COMPUTED_VALUE"""),18.04)</f>
        <v>18.04</v>
      </c>
      <c r="AA176" s="3">
        <f ca="1">IFERROR(__xludf.DUMMYFUNCTION("""COMPUTED_VALUE"""),18.08)</f>
        <v>18.079999999999998</v>
      </c>
      <c r="AB176" s="3">
        <f ca="1">IFERROR(__xludf.DUMMYFUNCTION("""COMPUTED_VALUE"""),17.79)</f>
        <v>17.79</v>
      </c>
      <c r="AC176" s="3">
        <f ca="1">IFERROR(__xludf.DUMMYFUNCTION("""COMPUTED_VALUE"""),17.97)</f>
        <v>17.97</v>
      </c>
      <c r="AD176" s="3">
        <f ca="1">IFERROR(__xludf.DUMMYFUNCTION("""COMPUTED_VALUE"""),57665837)</f>
        <v>57665837</v>
      </c>
      <c r="AE176" s="4">
        <f ca="1">IFERROR(__xludf.DUMMYFUNCTION("""COMPUTED_VALUE"""),42380.6666666666)</f>
        <v>42380.666666666599</v>
      </c>
      <c r="AF176" s="3">
        <f ca="1">IFERROR(__xludf.DUMMYFUNCTION("""COMPUTED_VALUE"""),68.32)</f>
        <v>68.319999999999993</v>
      </c>
      <c r="AG176" s="3">
        <f ca="1">IFERROR(__xludf.DUMMYFUNCTION("""COMPUTED_VALUE"""),68.35)</f>
        <v>68.349999999999994</v>
      </c>
      <c r="AH176" s="3">
        <f ca="1">IFERROR(__xludf.DUMMYFUNCTION("""COMPUTED_VALUE"""),66.26)</f>
        <v>66.260000000000005</v>
      </c>
      <c r="AI176" s="3">
        <f ca="1">IFERROR(__xludf.DUMMYFUNCTION("""COMPUTED_VALUE"""),67.21)</f>
        <v>67.209999999999994</v>
      </c>
      <c r="AJ176" s="3">
        <f ca="1">IFERROR(__xludf.DUMMYFUNCTION("""COMPUTED_VALUE"""),28563797)</f>
        <v>28563797</v>
      </c>
      <c r="AK176" s="4">
        <f ca="1">IFERROR(__xludf.DUMMYFUNCTION("""COMPUTED_VALUE"""),42380.6666666666)</f>
        <v>42380.666666666599</v>
      </c>
      <c r="AL176" s="3">
        <f ca="1">IFERROR(__xludf.DUMMYFUNCTION("""COMPUTED_VALUE"""),50.05)</f>
        <v>50.05</v>
      </c>
      <c r="AM176" s="3">
        <f ca="1">IFERROR(__xludf.DUMMYFUNCTION("""COMPUTED_VALUE"""),50.09)</f>
        <v>50.09</v>
      </c>
      <c r="AN176" s="3">
        <f ca="1">IFERROR(__xludf.DUMMYFUNCTION("""COMPUTED_VALUE"""),49.28)</f>
        <v>49.28</v>
      </c>
      <c r="AO176" s="3">
        <f ca="1">IFERROR(__xludf.DUMMYFUNCTION("""COMPUTED_VALUE"""),49.75)</f>
        <v>49.75</v>
      </c>
      <c r="AP176" s="3">
        <f ca="1">IFERROR(__xludf.DUMMYFUNCTION("""COMPUTED_VALUE"""),18962436)</f>
        <v>18962436</v>
      </c>
      <c r="AQ176" s="4">
        <f ca="1">IFERROR(__xludf.DUMMYFUNCTION("""COMPUTED_VALUE"""),42380.6666666666)</f>
        <v>42380.666666666599</v>
      </c>
      <c r="AR176" s="3">
        <f ca="1">IFERROR(__xludf.DUMMYFUNCTION("""COMPUTED_VALUE"""),40.27)</f>
        <v>40.270000000000003</v>
      </c>
      <c r="AS176" s="3">
        <f ca="1">IFERROR(__xludf.DUMMYFUNCTION("""COMPUTED_VALUE"""),40.28)</f>
        <v>40.28</v>
      </c>
      <c r="AT176" s="3">
        <f ca="1">IFERROR(__xludf.DUMMYFUNCTION("""COMPUTED_VALUE"""),39.07)</f>
        <v>39.07</v>
      </c>
      <c r="AU176" s="3">
        <f ca="1">IFERROR(__xludf.DUMMYFUNCTION("""COMPUTED_VALUE"""),39.38)</f>
        <v>39.380000000000003</v>
      </c>
      <c r="AV176" s="3">
        <f ca="1">IFERROR(__xludf.DUMMYFUNCTION("""COMPUTED_VALUE"""),10065653)</f>
        <v>10065653</v>
      </c>
      <c r="AW176" s="4">
        <f ca="1">IFERROR(__xludf.DUMMYFUNCTION("""COMPUTED_VALUE"""),42544.6666666666)</f>
        <v>42544.666666666599</v>
      </c>
      <c r="AX176" s="3">
        <f ca="1">IFERROR(__xludf.DUMMYFUNCTION("""COMPUTED_VALUE"""),32.53)</f>
        <v>32.53</v>
      </c>
      <c r="AY176" s="3">
        <f ca="1">IFERROR(__xludf.DUMMYFUNCTION("""COMPUTED_VALUE"""),32.57)</f>
        <v>32.57</v>
      </c>
      <c r="AZ176" s="3">
        <f ca="1">IFERROR(__xludf.DUMMYFUNCTION("""COMPUTED_VALUE"""),32.53)</f>
        <v>32.53</v>
      </c>
      <c r="BA176" s="3">
        <f ca="1">IFERROR(__xludf.DUMMYFUNCTION("""COMPUTED_VALUE"""),32.57)</f>
        <v>32.57</v>
      </c>
      <c r="BB176" s="3">
        <f ca="1">IFERROR(__xludf.DUMMYFUNCTION("""COMPUTED_VALUE"""),5305)</f>
        <v>5305</v>
      </c>
      <c r="BC176" s="4">
        <f ca="1">IFERROR(__xludf.DUMMYFUNCTION("""COMPUTED_VALUE"""),42380.6666666666)</f>
        <v>42380.666666666599</v>
      </c>
      <c r="BD176" s="3">
        <f ca="1">IFERROR(__xludf.DUMMYFUNCTION("""COMPUTED_VALUE"""),40.37)</f>
        <v>40.369999999999997</v>
      </c>
      <c r="BE176" s="3">
        <f ca="1">IFERROR(__xludf.DUMMYFUNCTION("""COMPUTED_VALUE"""),40.53)</f>
        <v>40.53</v>
      </c>
      <c r="BF176" s="3">
        <f ca="1">IFERROR(__xludf.DUMMYFUNCTION("""COMPUTED_VALUE"""),39.85)</f>
        <v>39.85</v>
      </c>
      <c r="BG176" s="3">
        <f ca="1">IFERROR(__xludf.DUMMYFUNCTION("""COMPUTED_VALUE"""),40.35)</f>
        <v>40.35</v>
      </c>
      <c r="BH176" s="3">
        <f ca="1">IFERROR(__xludf.DUMMYFUNCTION("""COMPUTED_VALUE"""),19135121)</f>
        <v>19135121</v>
      </c>
      <c r="BI176" s="4">
        <f ca="1">IFERROR(__xludf.DUMMYFUNCTION("""COMPUTED_VALUE"""),42380.6666666666)</f>
        <v>42380.666666666599</v>
      </c>
      <c r="BJ176" s="3">
        <f ca="1">IFERROR(__xludf.DUMMYFUNCTION("""COMPUTED_VALUE"""),43.14)</f>
        <v>43.14</v>
      </c>
      <c r="BK176" s="3">
        <f ca="1">IFERROR(__xludf.DUMMYFUNCTION("""COMPUTED_VALUE"""),43.54)</f>
        <v>43.54</v>
      </c>
      <c r="BL176" s="3">
        <f ca="1">IFERROR(__xludf.DUMMYFUNCTION("""COMPUTED_VALUE"""),43.12)</f>
        <v>43.12</v>
      </c>
      <c r="BM176" s="3">
        <f ca="1">IFERROR(__xludf.DUMMYFUNCTION("""COMPUTED_VALUE"""),43.34)</f>
        <v>43.34</v>
      </c>
      <c r="BN176" s="3">
        <f ca="1">IFERROR(__xludf.DUMMYFUNCTION("""COMPUTED_VALUE"""),16389587)</f>
        <v>16389587</v>
      </c>
    </row>
    <row r="177" spans="7:66" ht="13" x14ac:dyDescent="0.15">
      <c r="G177" s="4">
        <f ca="1">IFERROR(__xludf.DUMMYFUNCTION("""COMPUTED_VALUE"""),42381.6666666666)</f>
        <v>42381.666666666599</v>
      </c>
      <c r="H177" s="3">
        <f ca="1">IFERROR(__xludf.DUMMYFUNCTION("""COMPUTED_VALUE"""),74.71)</f>
        <v>74.709999999999994</v>
      </c>
      <c r="I177" s="3">
        <f ca="1">IFERROR(__xludf.DUMMYFUNCTION("""COMPUTED_VALUE"""),75.46)</f>
        <v>75.459999999999994</v>
      </c>
      <c r="J177" s="3">
        <f ca="1">IFERROR(__xludf.DUMMYFUNCTION("""COMPUTED_VALUE"""),74.14)</f>
        <v>74.14</v>
      </c>
      <c r="K177" s="3">
        <f ca="1">IFERROR(__xludf.DUMMYFUNCTION("""COMPUTED_VALUE"""),75.01)</f>
        <v>75.010000000000005</v>
      </c>
      <c r="L177" s="3">
        <f ca="1">IFERROR(__xludf.DUMMYFUNCTION("""COMPUTED_VALUE"""),8737070)</f>
        <v>8737070</v>
      </c>
      <c r="M177" s="4">
        <f ca="1">IFERROR(__xludf.DUMMYFUNCTION("""COMPUTED_VALUE"""),42381.6666666666)</f>
        <v>42381.666666666599</v>
      </c>
      <c r="N177" s="3">
        <f ca="1">IFERROR(__xludf.DUMMYFUNCTION("""COMPUTED_VALUE"""),49.78)</f>
        <v>49.78</v>
      </c>
      <c r="O177" s="3">
        <f ca="1">IFERROR(__xludf.DUMMYFUNCTION("""COMPUTED_VALUE"""),49.95)</f>
        <v>49.95</v>
      </c>
      <c r="P177" s="3">
        <f ca="1">IFERROR(__xludf.DUMMYFUNCTION("""COMPUTED_VALUE"""),49.35)</f>
        <v>49.35</v>
      </c>
      <c r="Q177" s="3">
        <f ca="1">IFERROR(__xludf.DUMMYFUNCTION("""COMPUTED_VALUE"""),49.75)</f>
        <v>49.75</v>
      </c>
      <c r="R177" s="3">
        <f ca="1">IFERROR(__xludf.DUMMYFUNCTION("""COMPUTED_VALUE"""),13171504)</f>
        <v>13171504</v>
      </c>
      <c r="S177" s="4">
        <f ca="1">IFERROR(__xludf.DUMMYFUNCTION("""COMPUTED_VALUE"""),42381.6666666666)</f>
        <v>42381.666666666599</v>
      </c>
      <c r="T177" s="3">
        <f ca="1">IFERROR(__xludf.DUMMYFUNCTION("""COMPUTED_VALUE"""),55.7)</f>
        <v>55.7</v>
      </c>
      <c r="U177" s="3">
        <f ca="1">IFERROR(__xludf.DUMMYFUNCTION("""COMPUTED_VALUE"""),55.88)</f>
        <v>55.88</v>
      </c>
      <c r="V177" s="3">
        <f ca="1">IFERROR(__xludf.DUMMYFUNCTION("""COMPUTED_VALUE"""),53.46)</f>
        <v>53.46</v>
      </c>
      <c r="W177" s="3">
        <f ca="1">IFERROR(__xludf.DUMMYFUNCTION("""COMPUTED_VALUE"""),54.98)</f>
        <v>54.98</v>
      </c>
      <c r="X177" s="3">
        <f ca="1">IFERROR(__xludf.DUMMYFUNCTION("""COMPUTED_VALUE"""),35594136)</f>
        <v>35594136</v>
      </c>
      <c r="Y177" s="4">
        <f ca="1">IFERROR(__xludf.DUMMYFUNCTION("""COMPUTED_VALUE"""),42381.6666666666)</f>
        <v>42381.666666666599</v>
      </c>
      <c r="Z177" s="3">
        <f ca="1">IFERROR(__xludf.DUMMYFUNCTION("""COMPUTED_VALUE"""),18.16)</f>
        <v>18.16</v>
      </c>
      <c r="AA177" s="3">
        <f ca="1">IFERROR(__xludf.DUMMYFUNCTION("""COMPUTED_VALUE"""),18.19)</f>
        <v>18.190000000000001</v>
      </c>
      <c r="AB177" s="3">
        <f ca="1">IFERROR(__xludf.DUMMYFUNCTION("""COMPUTED_VALUE"""),17.87)</f>
        <v>17.87</v>
      </c>
      <c r="AC177" s="3">
        <f ca="1">IFERROR(__xludf.DUMMYFUNCTION("""COMPUTED_VALUE"""),18.11)</f>
        <v>18.11</v>
      </c>
      <c r="AD177" s="3">
        <f ca="1">IFERROR(__xludf.DUMMYFUNCTION("""COMPUTED_VALUE"""),65502476)</f>
        <v>65502476</v>
      </c>
      <c r="AE177" s="4">
        <f ca="1">IFERROR(__xludf.DUMMYFUNCTION("""COMPUTED_VALUE"""),42381.6666666666)</f>
        <v>42381.666666666599</v>
      </c>
      <c r="AF177" s="3">
        <f ca="1">IFERROR(__xludf.DUMMYFUNCTION("""COMPUTED_VALUE"""),67.75)</f>
        <v>67.75</v>
      </c>
      <c r="AG177" s="3">
        <f ca="1">IFERROR(__xludf.DUMMYFUNCTION("""COMPUTED_VALUE"""),68.46)</f>
        <v>68.459999999999994</v>
      </c>
      <c r="AH177" s="3">
        <f ca="1">IFERROR(__xludf.DUMMYFUNCTION("""COMPUTED_VALUE"""),66.96)</f>
        <v>66.959999999999994</v>
      </c>
      <c r="AI177" s="3">
        <f ca="1">IFERROR(__xludf.DUMMYFUNCTION("""COMPUTED_VALUE"""),68.07)</f>
        <v>68.069999999999993</v>
      </c>
      <c r="AJ177" s="3">
        <f ca="1">IFERROR(__xludf.DUMMYFUNCTION("""COMPUTED_VALUE"""),13726950)</f>
        <v>13726950</v>
      </c>
      <c r="AK177" s="4">
        <f ca="1">IFERROR(__xludf.DUMMYFUNCTION("""COMPUTED_VALUE"""),42381.6666666666)</f>
        <v>42381.666666666599</v>
      </c>
      <c r="AL177" s="3">
        <f ca="1">IFERROR(__xludf.DUMMYFUNCTION("""COMPUTED_VALUE"""),50.09)</f>
        <v>50.09</v>
      </c>
      <c r="AM177" s="3">
        <f ca="1">IFERROR(__xludf.DUMMYFUNCTION("""COMPUTED_VALUE"""),50.24)</f>
        <v>50.24</v>
      </c>
      <c r="AN177" s="3">
        <f ca="1">IFERROR(__xludf.DUMMYFUNCTION("""COMPUTED_VALUE"""),49.51)</f>
        <v>49.51</v>
      </c>
      <c r="AO177" s="3">
        <f ca="1">IFERROR(__xludf.DUMMYFUNCTION("""COMPUTED_VALUE"""),50.15)</f>
        <v>50.15</v>
      </c>
      <c r="AP177" s="3">
        <f ca="1">IFERROR(__xludf.DUMMYFUNCTION("""COMPUTED_VALUE"""),19297334)</f>
        <v>19297334</v>
      </c>
      <c r="AQ177" s="4">
        <f ca="1">IFERROR(__xludf.DUMMYFUNCTION("""COMPUTED_VALUE"""),42381.6666666666)</f>
        <v>42381.666666666599</v>
      </c>
      <c r="AR177" s="3">
        <f ca="1">IFERROR(__xludf.DUMMYFUNCTION("""COMPUTED_VALUE"""),39.96)</f>
        <v>39.96</v>
      </c>
      <c r="AS177" s="3">
        <f ca="1">IFERROR(__xludf.DUMMYFUNCTION("""COMPUTED_VALUE"""),39.96)</f>
        <v>39.96</v>
      </c>
      <c r="AT177" s="3">
        <f ca="1">IFERROR(__xludf.DUMMYFUNCTION("""COMPUTED_VALUE"""),38.95)</f>
        <v>38.950000000000003</v>
      </c>
      <c r="AU177" s="3">
        <f ca="1">IFERROR(__xludf.DUMMYFUNCTION("""COMPUTED_VALUE"""),39.44)</f>
        <v>39.44</v>
      </c>
      <c r="AV177" s="3">
        <f ca="1">IFERROR(__xludf.DUMMYFUNCTION("""COMPUTED_VALUE"""),7270259)</f>
        <v>7270259</v>
      </c>
      <c r="AW177" s="4">
        <f ca="1">IFERROR(__xludf.DUMMYFUNCTION("""COMPUTED_VALUE"""),42545.6666666666)</f>
        <v>42545.666666666599</v>
      </c>
      <c r="AX177" s="3">
        <f ca="1">IFERROR(__xludf.DUMMYFUNCTION("""COMPUTED_VALUE"""),32)</f>
        <v>32</v>
      </c>
      <c r="AY177" s="3">
        <f ca="1">IFERROR(__xludf.DUMMYFUNCTION("""COMPUTED_VALUE"""),32.25)</f>
        <v>32.25</v>
      </c>
      <c r="AZ177" s="3">
        <f ca="1">IFERROR(__xludf.DUMMYFUNCTION("""COMPUTED_VALUE"""),31.85)</f>
        <v>31.85</v>
      </c>
      <c r="BA177" s="3">
        <f ca="1">IFERROR(__xludf.DUMMYFUNCTION("""COMPUTED_VALUE"""),32.16)</f>
        <v>32.159999999999997</v>
      </c>
      <c r="BB177" s="3">
        <f ca="1">IFERROR(__xludf.DUMMYFUNCTION("""COMPUTED_VALUE"""),5710)</f>
        <v>5710</v>
      </c>
      <c r="BC177" s="4">
        <f ca="1">IFERROR(__xludf.DUMMYFUNCTION("""COMPUTED_VALUE"""),42381.6666666666)</f>
        <v>42381.666666666599</v>
      </c>
      <c r="BD177" s="3">
        <f ca="1">IFERROR(__xludf.DUMMYFUNCTION("""COMPUTED_VALUE"""),40.78)</f>
        <v>40.78</v>
      </c>
      <c r="BE177" s="3">
        <f ca="1">IFERROR(__xludf.DUMMYFUNCTION("""COMPUTED_VALUE"""),40.92)</f>
        <v>40.92</v>
      </c>
      <c r="BF177" s="3">
        <f ca="1">IFERROR(__xludf.DUMMYFUNCTION("""COMPUTED_VALUE"""),40.31)</f>
        <v>40.31</v>
      </c>
      <c r="BG177" s="3">
        <f ca="1">IFERROR(__xludf.DUMMYFUNCTION("""COMPUTED_VALUE"""),40.83)</f>
        <v>40.83</v>
      </c>
      <c r="BH177" s="3">
        <f ca="1">IFERROR(__xludf.DUMMYFUNCTION("""COMPUTED_VALUE"""),15841629)</f>
        <v>15841629</v>
      </c>
      <c r="BI177" s="4">
        <f ca="1">IFERROR(__xludf.DUMMYFUNCTION("""COMPUTED_VALUE"""),42381.6666666666)</f>
        <v>42381.666666666599</v>
      </c>
      <c r="BJ177" s="3">
        <f ca="1">IFERROR(__xludf.DUMMYFUNCTION("""COMPUTED_VALUE"""),43.37)</f>
        <v>43.37</v>
      </c>
      <c r="BK177" s="3">
        <f ca="1">IFERROR(__xludf.DUMMYFUNCTION("""COMPUTED_VALUE"""),43.5)</f>
        <v>43.5</v>
      </c>
      <c r="BL177" s="3">
        <f ca="1">IFERROR(__xludf.DUMMYFUNCTION("""COMPUTED_VALUE"""),42.83)</f>
        <v>42.83</v>
      </c>
      <c r="BM177" s="3">
        <f ca="1">IFERROR(__xludf.DUMMYFUNCTION("""COMPUTED_VALUE"""),43.17)</f>
        <v>43.17</v>
      </c>
      <c r="BN177" s="3">
        <f ca="1">IFERROR(__xludf.DUMMYFUNCTION("""COMPUTED_VALUE"""),14360145)</f>
        <v>14360145</v>
      </c>
    </row>
    <row r="178" spans="7:66" ht="13" x14ac:dyDescent="0.15">
      <c r="G178" s="4">
        <f ca="1">IFERROR(__xludf.DUMMYFUNCTION("""COMPUTED_VALUE"""),42382.6666666666)</f>
        <v>42382.666666666599</v>
      </c>
      <c r="H178" s="3">
        <f ca="1">IFERROR(__xludf.DUMMYFUNCTION("""COMPUTED_VALUE"""),75.32)</f>
        <v>75.319999999999993</v>
      </c>
      <c r="I178" s="3">
        <f ca="1">IFERROR(__xludf.DUMMYFUNCTION("""COMPUTED_VALUE"""),75.32)</f>
        <v>75.319999999999993</v>
      </c>
      <c r="J178" s="3">
        <f ca="1">IFERROR(__xludf.DUMMYFUNCTION("""COMPUTED_VALUE"""),72.33)</f>
        <v>72.33</v>
      </c>
      <c r="K178" s="3">
        <f ca="1">IFERROR(__xludf.DUMMYFUNCTION("""COMPUTED_VALUE"""),72.48)</f>
        <v>72.48</v>
      </c>
      <c r="L178" s="3">
        <f ca="1">IFERROR(__xludf.DUMMYFUNCTION("""COMPUTED_VALUE"""),14930536)</f>
        <v>14930536</v>
      </c>
      <c r="M178" s="4">
        <f ca="1">IFERROR(__xludf.DUMMYFUNCTION("""COMPUTED_VALUE"""),42382.6666666666)</f>
        <v>42382.666666666599</v>
      </c>
      <c r="N178" s="3">
        <f ca="1">IFERROR(__xludf.DUMMYFUNCTION("""COMPUTED_VALUE"""),49.81)</f>
        <v>49.81</v>
      </c>
      <c r="O178" s="3">
        <f ca="1">IFERROR(__xludf.DUMMYFUNCTION("""COMPUTED_VALUE"""),49.85)</f>
        <v>49.85</v>
      </c>
      <c r="P178" s="3">
        <f ca="1">IFERROR(__xludf.DUMMYFUNCTION("""COMPUTED_VALUE"""),48.79)</f>
        <v>48.79</v>
      </c>
      <c r="Q178" s="3">
        <f ca="1">IFERROR(__xludf.DUMMYFUNCTION("""COMPUTED_VALUE"""),48.84)</f>
        <v>48.84</v>
      </c>
      <c r="R178" s="3">
        <f ca="1">IFERROR(__xludf.DUMMYFUNCTION("""COMPUTED_VALUE"""),19407943)</f>
        <v>19407943</v>
      </c>
      <c r="S178" s="4">
        <f ca="1">IFERROR(__xludf.DUMMYFUNCTION("""COMPUTED_VALUE"""),42382.6666666666)</f>
        <v>42382.666666666599</v>
      </c>
      <c r="T178" s="3">
        <f ca="1">IFERROR(__xludf.DUMMYFUNCTION("""COMPUTED_VALUE"""),55.65)</f>
        <v>55.65</v>
      </c>
      <c r="U178" s="3">
        <f ca="1">IFERROR(__xludf.DUMMYFUNCTION("""COMPUTED_VALUE"""),56.05)</f>
        <v>56.05</v>
      </c>
      <c r="V178" s="3">
        <f ca="1">IFERROR(__xludf.DUMMYFUNCTION("""COMPUTED_VALUE"""),53.08)</f>
        <v>53.08</v>
      </c>
      <c r="W178" s="3">
        <f ca="1">IFERROR(__xludf.DUMMYFUNCTION("""COMPUTED_VALUE"""),53.66)</f>
        <v>53.66</v>
      </c>
      <c r="X178" s="3">
        <f ca="1">IFERROR(__xludf.DUMMYFUNCTION("""COMPUTED_VALUE"""),33958440)</f>
        <v>33958440</v>
      </c>
      <c r="Y178" s="4">
        <f ca="1">IFERROR(__xludf.DUMMYFUNCTION("""COMPUTED_VALUE"""),42382.6666666666)</f>
        <v>42382.666666666599</v>
      </c>
      <c r="Z178" s="3">
        <f ca="1">IFERROR(__xludf.DUMMYFUNCTION("""COMPUTED_VALUE"""),18.18)</f>
        <v>18.18</v>
      </c>
      <c r="AA178" s="3">
        <f ca="1">IFERROR(__xludf.DUMMYFUNCTION("""COMPUTED_VALUE"""),18.26)</f>
        <v>18.260000000000002</v>
      </c>
      <c r="AB178" s="3">
        <f ca="1">IFERROR(__xludf.DUMMYFUNCTION("""COMPUTED_VALUE"""),17.56)</f>
        <v>17.559999999999999</v>
      </c>
      <c r="AC178" s="3">
        <f ca="1">IFERROR(__xludf.DUMMYFUNCTION("""COMPUTED_VALUE"""),17.64)</f>
        <v>17.64</v>
      </c>
      <c r="AD178" s="3">
        <f ca="1">IFERROR(__xludf.DUMMYFUNCTION("""COMPUTED_VALUE"""),101969930)</f>
        <v>101969930</v>
      </c>
      <c r="AE178" s="4">
        <f ca="1">IFERROR(__xludf.DUMMYFUNCTION("""COMPUTED_VALUE"""),42382.6666666666)</f>
        <v>42382.666666666599</v>
      </c>
      <c r="AF178" s="3">
        <f ca="1">IFERROR(__xludf.DUMMYFUNCTION("""COMPUTED_VALUE"""),68.2)</f>
        <v>68.2</v>
      </c>
      <c r="AG178" s="3">
        <f ca="1">IFERROR(__xludf.DUMMYFUNCTION("""COMPUTED_VALUE"""),68.52)</f>
        <v>68.52</v>
      </c>
      <c r="AH178" s="3">
        <f ca="1">IFERROR(__xludf.DUMMYFUNCTION("""COMPUTED_VALUE"""),65.98)</f>
        <v>65.98</v>
      </c>
      <c r="AI178" s="3">
        <f ca="1">IFERROR(__xludf.DUMMYFUNCTION("""COMPUTED_VALUE"""),66.05)</f>
        <v>66.05</v>
      </c>
      <c r="AJ178" s="3">
        <f ca="1">IFERROR(__xludf.DUMMYFUNCTION("""COMPUTED_VALUE"""),16202462)</f>
        <v>16202462</v>
      </c>
      <c r="AK178" s="4">
        <f ca="1">IFERROR(__xludf.DUMMYFUNCTION("""COMPUTED_VALUE"""),42382.6666666666)</f>
        <v>42382.666666666599</v>
      </c>
      <c r="AL178" s="3">
        <f ca="1">IFERROR(__xludf.DUMMYFUNCTION("""COMPUTED_VALUE"""),50.38)</f>
        <v>50.38</v>
      </c>
      <c r="AM178" s="3">
        <f ca="1">IFERROR(__xludf.DUMMYFUNCTION("""COMPUTED_VALUE"""),50.48)</f>
        <v>50.48</v>
      </c>
      <c r="AN178" s="3">
        <f ca="1">IFERROR(__xludf.DUMMYFUNCTION("""COMPUTED_VALUE"""),48.8)</f>
        <v>48.8</v>
      </c>
      <c r="AO178" s="3">
        <f ca="1">IFERROR(__xludf.DUMMYFUNCTION("""COMPUTED_VALUE"""),48.94)</f>
        <v>48.94</v>
      </c>
      <c r="AP178" s="3">
        <f ca="1">IFERROR(__xludf.DUMMYFUNCTION("""COMPUTED_VALUE"""),18966894)</f>
        <v>18966894</v>
      </c>
      <c r="AQ178" s="4">
        <f ca="1">IFERROR(__xludf.DUMMYFUNCTION("""COMPUTED_VALUE"""),42382.6666666666)</f>
        <v>42382.666666666599</v>
      </c>
      <c r="AR178" s="3">
        <f ca="1">IFERROR(__xludf.DUMMYFUNCTION("""COMPUTED_VALUE"""),39.73)</f>
        <v>39.729999999999997</v>
      </c>
      <c r="AS178" s="3">
        <f ca="1">IFERROR(__xludf.DUMMYFUNCTION("""COMPUTED_VALUE"""),39.81)</f>
        <v>39.81</v>
      </c>
      <c r="AT178" s="3">
        <f ca="1">IFERROR(__xludf.DUMMYFUNCTION("""COMPUTED_VALUE"""),38.48)</f>
        <v>38.479999999999997</v>
      </c>
      <c r="AU178" s="3">
        <f ca="1">IFERROR(__xludf.DUMMYFUNCTION("""COMPUTED_VALUE"""),38.53)</f>
        <v>38.53</v>
      </c>
      <c r="AV178" s="3">
        <f ca="1">IFERROR(__xludf.DUMMYFUNCTION("""COMPUTED_VALUE"""),10809584)</f>
        <v>10809584</v>
      </c>
      <c r="AW178" s="4">
        <f ca="1">IFERROR(__xludf.DUMMYFUNCTION("""COMPUTED_VALUE"""),42548.6666666666)</f>
        <v>42548.666666666599</v>
      </c>
      <c r="AX178" s="3">
        <f ca="1">IFERROR(__xludf.DUMMYFUNCTION("""COMPUTED_VALUE"""),32)</f>
        <v>32</v>
      </c>
      <c r="AY178" s="3">
        <f ca="1">IFERROR(__xludf.DUMMYFUNCTION("""COMPUTED_VALUE"""),32.21)</f>
        <v>32.21</v>
      </c>
      <c r="AZ178" s="3">
        <f ca="1">IFERROR(__xludf.DUMMYFUNCTION("""COMPUTED_VALUE"""),31.89)</f>
        <v>31.89</v>
      </c>
      <c r="BA178" s="3">
        <f ca="1">IFERROR(__xludf.DUMMYFUNCTION("""COMPUTED_VALUE"""),32.11)</f>
        <v>32.11</v>
      </c>
      <c r="BB178" s="3">
        <f ca="1">IFERROR(__xludf.DUMMYFUNCTION("""COMPUTED_VALUE"""),3438)</f>
        <v>3438</v>
      </c>
      <c r="BC178" s="4">
        <f ca="1">IFERROR(__xludf.DUMMYFUNCTION("""COMPUTED_VALUE"""),42382.6666666666)</f>
        <v>42382.666666666599</v>
      </c>
      <c r="BD178" s="3">
        <f ca="1">IFERROR(__xludf.DUMMYFUNCTION("""COMPUTED_VALUE"""),41.13)</f>
        <v>41.13</v>
      </c>
      <c r="BE178" s="3">
        <f ca="1">IFERROR(__xludf.DUMMYFUNCTION("""COMPUTED_VALUE"""),41.13)</f>
        <v>41.13</v>
      </c>
      <c r="BF178" s="3">
        <f ca="1">IFERROR(__xludf.DUMMYFUNCTION("""COMPUTED_VALUE"""),39.66)</f>
        <v>39.659999999999997</v>
      </c>
      <c r="BG178" s="3">
        <f ca="1">IFERROR(__xludf.DUMMYFUNCTION("""COMPUTED_VALUE"""),39.73)</f>
        <v>39.729999999999997</v>
      </c>
      <c r="BH178" s="3">
        <f ca="1">IFERROR(__xludf.DUMMYFUNCTION("""COMPUTED_VALUE"""),21962326)</f>
        <v>21962326</v>
      </c>
      <c r="BI178" s="4">
        <f ca="1">IFERROR(__xludf.DUMMYFUNCTION("""COMPUTED_VALUE"""),42382.6666666666)</f>
        <v>42382.666666666599</v>
      </c>
      <c r="BJ178" s="3">
        <f ca="1">IFERROR(__xludf.DUMMYFUNCTION("""COMPUTED_VALUE"""),43.33)</f>
        <v>43.33</v>
      </c>
      <c r="BK178" s="3">
        <f ca="1">IFERROR(__xludf.DUMMYFUNCTION("""COMPUTED_VALUE"""),43.52)</f>
        <v>43.52</v>
      </c>
      <c r="BL178" s="3">
        <f ca="1">IFERROR(__xludf.DUMMYFUNCTION("""COMPUTED_VALUE"""),43.02)</f>
        <v>43.02</v>
      </c>
      <c r="BM178" s="3">
        <f ca="1">IFERROR(__xludf.DUMMYFUNCTION("""COMPUTED_VALUE"""),43.15)</f>
        <v>43.15</v>
      </c>
      <c r="BN178" s="3">
        <f ca="1">IFERROR(__xludf.DUMMYFUNCTION("""COMPUTED_VALUE"""),17478889)</f>
        <v>17478889</v>
      </c>
    </row>
    <row r="179" spans="7:66" ht="13" x14ac:dyDescent="0.15">
      <c r="G179" s="4">
        <f ca="1">IFERROR(__xludf.DUMMYFUNCTION("""COMPUTED_VALUE"""),42383.6666666666)</f>
        <v>42383.666666666599</v>
      </c>
      <c r="H179" s="3">
        <f ca="1">IFERROR(__xludf.DUMMYFUNCTION("""COMPUTED_VALUE"""),72.63)</f>
        <v>72.63</v>
      </c>
      <c r="I179" s="3">
        <f ca="1">IFERROR(__xludf.DUMMYFUNCTION("""COMPUTED_VALUE"""),73.65)</f>
        <v>73.650000000000006</v>
      </c>
      <c r="J179" s="3">
        <f ca="1">IFERROR(__xludf.DUMMYFUNCTION("""COMPUTED_VALUE"""),71.25)</f>
        <v>71.25</v>
      </c>
      <c r="K179" s="3">
        <f ca="1">IFERROR(__xludf.DUMMYFUNCTION("""COMPUTED_VALUE"""),73)</f>
        <v>73</v>
      </c>
      <c r="L179" s="3">
        <f ca="1">IFERROR(__xludf.DUMMYFUNCTION("""COMPUTED_VALUE"""),15919363)</f>
        <v>15919363</v>
      </c>
      <c r="M179" s="4">
        <f ca="1">IFERROR(__xludf.DUMMYFUNCTION("""COMPUTED_VALUE"""),42383.6666666666)</f>
        <v>42383.666666666599</v>
      </c>
      <c r="N179" s="3">
        <f ca="1">IFERROR(__xludf.DUMMYFUNCTION("""COMPUTED_VALUE"""),48.98)</f>
        <v>48.98</v>
      </c>
      <c r="O179" s="3">
        <f ca="1">IFERROR(__xludf.DUMMYFUNCTION("""COMPUTED_VALUE"""),49.41)</f>
        <v>49.41</v>
      </c>
      <c r="P179" s="3">
        <f ca="1">IFERROR(__xludf.DUMMYFUNCTION("""COMPUTED_VALUE"""),48.75)</f>
        <v>48.75</v>
      </c>
      <c r="Q179" s="3">
        <f ca="1">IFERROR(__xludf.DUMMYFUNCTION("""COMPUTED_VALUE"""),49.07)</f>
        <v>49.07</v>
      </c>
      <c r="R179" s="3">
        <f ca="1">IFERROR(__xludf.DUMMYFUNCTION("""COMPUTED_VALUE"""),19025815)</f>
        <v>19025815</v>
      </c>
      <c r="S179" s="4">
        <f ca="1">IFERROR(__xludf.DUMMYFUNCTION("""COMPUTED_VALUE"""),42383.6666666666)</f>
        <v>42383.666666666599</v>
      </c>
      <c r="T179" s="3">
        <f ca="1">IFERROR(__xludf.DUMMYFUNCTION("""COMPUTED_VALUE"""),54.21)</f>
        <v>54.21</v>
      </c>
      <c r="U179" s="3">
        <f ca="1">IFERROR(__xludf.DUMMYFUNCTION("""COMPUTED_VALUE"""),56.46)</f>
        <v>56.46</v>
      </c>
      <c r="V179" s="3">
        <f ca="1">IFERROR(__xludf.DUMMYFUNCTION("""COMPUTED_VALUE"""),53.36)</f>
        <v>53.36</v>
      </c>
      <c r="W179" s="3">
        <f ca="1">IFERROR(__xludf.DUMMYFUNCTION("""COMPUTED_VALUE"""),55.97)</f>
        <v>55.97</v>
      </c>
      <c r="X179" s="3">
        <f ca="1">IFERROR(__xludf.DUMMYFUNCTION("""COMPUTED_VALUE"""),38074323)</f>
        <v>38074323</v>
      </c>
      <c r="Y179" s="4">
        <f ca="1">IFERROR(__xludf.DUMMYFUNCTION("""COMPUTED_VALUE"""),42383.6666666666)</f>
        <v>42383.666666666599</v>
      </c>
      <c r="Z179" s="3">
        <f ca="1">IFERROR(__xludf.DUMMYFUNCTION("""COMPUTED_VALUE"""),17.68)</f>
        <v>17.68</v>
      </c>
      <c r="AA179" s="3">
        <f ca="1">IFERROR(__xludf.DUMMYFUNCTION("""COMPUTED_VALUE"""),17.94)</f>
        <v>17.940000000000001</v>
      </c>
      <c r="AB179" s="3">
        <f ca="1">IFERROR(__xludf.DUMMYFUNCTION("""COMPUTED_VALUE"""),17.5)</f>
        <v>17.5</v>
      </c>
      <c r="AC179" s="3">
        <f ca="1">IFERROR(__xludf.DUMMYFUNCTION("""COMPUTED_VALUE"""),17.79)</f>
        <v>17.79</v>
      </c>
      <c r="AD179" s="3">
        <f ca="1">IFERROR(__xludf.DUMMYFUNCTION("""COMPUTED_VALUE"""),77387527)</f>
        <v>77387527</v>
      </c>
      <c r="AE179" s="4">
        <f ca="1">IFERROR(__xludf.DUMMYFUNCTION("""COMPUTED_VALUE"""),42383.6666666666)</f>
        <v>42383.666666666599</v>
      </c>
      <c r="AF179" s="3">
        <f ca="1">IFERROR(__xludf.DUMMYFUNCTION("""COMPUTED_VALUE"""),66.22)</f>
        <v>66.22</v>
      </c>
      <c r="AG179" s="3">
        <f ca="1">IFERROR(__xludf.DUMMYFUNCTION("""COMPUTED_VALUE"""),68.26)</f>
        <v>68.260000000000005</v>
      </c>
      <c r="AH179" s="3">
        <f ca="1">IFERROR(__xludf.DUMMYFUNCTION("""COMPUTED_VALUE"""),65.81)</f>
        <v>65.81</v>
      </c>
      <c r="AI179" s="3">
        <f ca="1">IFERROR(__xludf.DUMMYFUNCTION("""COMPUTED_VALUE"""),67.82)</f>
        <v>67.819999999999993</v>
      </c>
      <c r="AJ179" s="3">
        <f ca="1">IFERROR(__xludf.DUMMYFUNCTION("""COMPUTED_VALUE"""),23342269)</f>
        <v>23342269</v>
      </c>
      <c r="AK179" s="4">
        <f ca="1">IFERROR(__xludf.DUMMYFUNCTION("""COMPUTED_VALUE"""),42383.6666666666)</f>
        <v>42383.666666666599</v>
      </c>
      <c r="AL179" s="3">
        <f ca="1">IFERROR(__xludf.DUMMYFUNCTION("""COMPUTED_VALUE"""),49.1)</f>
        <v>49.1</v>
      </c>
      <c r="AM179" s="3">
        <f ca="1">IFERROR(__xludf.DUMMYFUNCTION("""COMPUTED_VALUE"""),49.87)</f>
        <v>49.87</v>
      </c>
      <c r="AN179" s="3">
        <f ca="1">IFERROR(__xludf.DUMMYFUNCTION("""COMPUTED_VALUE"""),48.6)</f>
        <v>48.6</v>
      </c>
      <c r="AO179" s="3">
        <f ca="1">IFERROR(__xludf.DUMMYFUNCTION("""COMPUTED_VALUE"""),49.52)</f>
        <v>49.52</v>
      </c>
      <c r="AP179" s="3">
        <f ca="1">IFERROR(__xludf.DUMMYFUNCTION("""COMPUTED_VALUE"""),19261231)</f>
        <v>19261231</v>
      </c>
      <c r="AQ179" s="4">
        <f ca="1">IFERROR(__xludf.DUMMYFUNCTION("""COMPUTED_VALUE"""),42383.6666666666)</f>
        <v>42383.666666666599</v>
      </c>
      <c r="AR179" s="3">
        <f ca="1">IFERROR(__xludf.DUMMYFUNCTION("""COMPUTED_VALUE"""),38.68)</f>
        <v>38.68</v>
      </c>
      <c r="AS179" s="3">
        <f ca="1">IFERROR(__xludf.DUMMYFUNCTION("""COMPUTED_VALUE"""),39.34)</f>
        <v>39.340000000000003</v>
      </c>
      <c r="AT179" s="3">
        <f ca="1">IFERROR(__xludf.DUMMYFUNCTION("""COMPUTED_VALUE"""),38.21)</f>
        <v>38.21</v>
      </c>
      <c r="AU179" s="3">
        <f ca="1">IFERROR(__xludf.DUMMYFUNCTION("""COMPUTED_VALUE"""),39.05)</f>
        <v>39.049999999999997</v>
      </c>
      <c r="AV179" s="3">
        <f ca="1">IFERROR(__xludf.DUMMYFUNCTION("""COMPUTED_VALUE"""),10372593)</f>
        <v>10372593</v>
      </c>
      <c r="AW179" s="4">
        <f ca="1">IFERROR(__xludf.DUMMYFUNCTION("""COMPUTED_VALUE"""),42549.6666666666)</f>
        <v>42549.666666666599</v>
      </c>
      <c r="AX179" s="3">
        <f ca="1">IFERROR(__xludf.DUMMYFUNCTION("""COMPUTED_VALUE"""),32.58)</f>
        <v>32.58</v>
      </c>
      <c r="AY179" s="3">
        <f ca="1">IFERROR(__xludf.DUMMYFUNCTION("""COMPUTED_VALUE"""),32.7)</f>
        <v>32.700000000000003</v>
      </c>
      <c r="AZ179" s="3">
        <f ca="1">IFERROR(__xludf.DUMMYFUNCTION("""COMPUTED_VALUE"""),32.49)</f>
        <v>32.49</v>
      </c>
      <c r="BA179" s="3">
        <f ca="1">IFERROR(__xludf.DUMMYFUNCTION("""COMPUTED_VALUE"""),32.7)</f>
        <v>32.700000000000003</v>
      </c>
      <c r="BB179" s="3">
        <f ca="1">IFERROR(__xludf.DUMMYFUNCTION("""COMPUTED_VALUE"""),8564)</f>
        <v>8564</v>
      </c>
      <c r="BC179" s="4">
        <f ca="1">IFERROR(__xludf.DUMMYFUNCTION("""COMPUTED_VALUE"""),42383.6666666666)</f>
        <v>42383.666666666599</v>
      </c>
      <c r="BD179" s="3">
        <f ca="1">IFERROR(__xludf.DUMMYFUNCTION("""COMPUTED_VALUE"""),39.9)</f>
        <v>39.9</v>
      </c>
      <c r="BE179" s="3">
        <f ca="1">IFERROR(__xludf.DUMMYFUNCTION("""COMPUTED_VALUE"""),40.79)</f>
        <v>40.79</v>
      </c>
      <c r="BF179" s="3">
        <f ca="1">IFERROR(__xludf.DUMMYFUNCTION("""COMPUTED_VALUE"""),39.42)</f>
        <v>39.42</v>
      </c>
      <c r="BG179" s="3">
        <f ca="1">IFERROR(__xludf.DUMMYFUNCTION("""COMPUTED_VALUE"""),40.48)</f>
        <v>40.479999999999997</v>
      </c>
      <c r="BH179" s="3">
        <f ca="1">IFERROR(__xludf.DUMMYFUNCTION("""COMPUTED_VALUE"""),19795563)</f>
        <v>19795563</v>
      </c>
      <c r="BI179" s="4">
        <f ca="1">IFERROR(__xludf.DUMMYFUNCTION("""COMPUTED_VALUE"""),42383.6666666666)</f>
        <v>42383.666666666599</v>
      </c>
      <c r="BJ179" s="3">
        <f ca="1">IFERROR(__xludf.DUMMYFUNCTION("""COMPUTED_VALUE"""),43.14)</f>
        <v>43.14</v>
      </c>
      <c r="BK179" s="3">
        <f ca="1">IFERROR(__xludf.DUMMYFUNCTION("""COMPUTED_VALUE"""),44.05)</f>
        <v>44.05</v>
      </c>
      <c r="BL179" s="3">
        <f ca="1">IFERROR(__xludf.DUMMYFUNCTION("""COMPUTED_VALUE"""),43)</f>
        <v>43</v>
      </c>
      <c r="BM179" s="3">
        <f ca="1">IFERROR(__xludf.DUMMYFUNCTION("""COMPUTED_VALUE"""),43.8)</f>
        <v>43.8</v>
      </c>
      <c r="BN179" s="3">
        <f ca="1">IFERROR(__xludf.DUMMYFUNCTION("""COMPUTED_VALUE"""),23082955)</f>
        <v>23082955</v>
      </c>
    </row>
    <row r="180" spans="7:66" ht="13" x14ac:dyDescent="0.15">
      <c r="G180" s="4">
        <f ca="1">IFERROR(__xludf.DUMMYFUNCTION("""COMPUTED_VALUE"""),42384.6666666666)</f>
        <v>42384.666666666599</v>
      </c>
      <c r="H180" s="3">
        <f ca="1">IFERROR(__xludf.DUMMYFUNCTION("""COMPUTED_VALUE"""),71.1)</f>
        <v>71.099999999999994</v>
      </c>
      <c r="I180" s="3">
        <f ca="1">IFERROR(__xludf.DUMMYFUNCTION("""COMPUTED_VALUE"""),71.98)</f>
        <v>71.98</v>
      </c>
      <c r="J180" s="3">
        <f ca="1">IFERROR(__xludf.DUMMYFUNCTION("""COMPUTED_VALUE"""),70.67)</f>
        <v>70.67</v>
      </c>
      <c r="K180" s="3">
        <f ca="1">IFERROR(__xludf.DUMMYFUNCTION("""COMPUTED_VALUE"""),71.5)</f>
        <v>71.5</v>
      </c>
      <c r="L180" s="3">
        <f ca="1">IFERROR(__xludf.DUMMYFUNCTION("""COMPUTED_VALUE"""),14551514)</f>
        <v>14551514</v>
      </c>
      <c r="M180" s="4">
        <f ca="1">IFERROR(__xludf.DUMMYFUNCTION("""COMPUTED_VALUE"""),42384.6666666666)</f>
        <v>42384.666666666599</v>
      </c>
      <c r="N180" s="3">
        <f ca="1">IFERROR(__xludf.DUMMYFUNCTION("""COMPUTED_VALUE"""),48.24)</f>
        <v>48.24</v>
      </c>
      <c r="O180" s="3">
        <f ca="1">IFERROR(__xludf.DUMMYFUNCTION("""COMPUTED_VALUE"""),48.62)</f>
        <v>48.62</v>
      </c>
      <c r="P180" s="3">
        <f ca="1">IFERROR(__xludf.DUMMYFUNCTION("""COMPUTED_VALUE"""),47.92)</f>
        <v>47.92</v>
      </c>
      <c r="Q180" s="3">
        <f ca="1">IFERROR(__xludf.DUMMYFUNCTION("""COMPUTED_VALUE"""),48.3)</f>
        <v>48.3</v>
      </c>
      <c r="R180" s="3">
        <f ca="1">IFERROR(__xludf.DUMMYFUNCTION("""COMPUTED_VALUE"""),24210917)</f>
        <v>24210917</v>
      </c>
      <c r="S180" s="4">
        <f ca="1">IFERROR(__xludf.DUMMYFUNCTION("""COMPUTED_VALUE"""),42384.6666666666)</f>
        <v>42384.666666666599</v>
      </c>
      <c r="T180" s="3">
        <f ca="1">IFERROR(__xludf.DUMMYFUNCTION("""COMPUTED_VALUE"""),53.63)</f>
        <v>53.63</v>
      </c>
      <c r="U180" s="3">
        <f ca="1">IFERROR(__xludf.DUMMYFUNCTION("""COMPUTED_VALUE"""),54.87)</f>
        <v>54.87</v>
      </c>
      <c r="V180" s="3">
        <f ca="1">IFERROR(__xludf.DUMMYFUNCTION("""COMPUTED_VALUE"""),53.32)</f>
        <v>53.32</v>
      </c>
      <c r="W180" s="3">
        <f ca="1">IFERROR(__xludf.DUMMYFUNCTION("""COMPUTED_VALUE"""),54.35)</f>
        <v>54.35</v>
      </c>
      <c r="X180" s="3">
        <f ca="1">IFERROR(__xludf.DUMMYFUNCTION("""COMPUTED_VALUE"""),36880246)</f>
        <v>36880246</v>
      </c>
      <c r="Y180" s="4">
        <f ca="1">IFERROR(__xludf.DUMMYFUNCTION("""COMPUTED_VALUE"""),42384.6666666666)</f>
        <v>42384.666666666599</v>
      </c>
      <c r="Z180" s="3">
        <f ca="1">IFERROR(__xludf.DUMMYFUNCTION("""COMPUTED_VALUE"""),17.19)</f>
        <v>17.190000000000001</v>
      </c>
      <c r="AA180" s="3">
        <f ca="1">IFERROR(__xludf.DUMMYFUNCTION("""COMPUTED_VALUE"""),17.48)</f>
        <v>17.48</v>
      </c>
      <c r="AB180" s="3">
        <f ca="1">IFERROR(__xludf.DUMMYFUNCTION("""COMPUTED_VALUE"""),17.16)</f>
        <v>17.16</v>
      </c>
      <c r="AC180" s="3">
        <f ca="1">IFERROR(__xludf.DUMMYFUNCTION("""COMPUTED_VALUE"""),17.39)</f>
        <v>17.39</v>
      </c>
      <c r="AD180" s="3">
        <f ca="1">IFERROR(__xludf.DUMMYFUNCTION("""COMPUTED_VALUE"""),76655419)</f>
        <v>76655419</v>
      </c>
      <c r="AE180" s="4">
        <f ca="1">IFERROR(__xludf.DUMMYFUNCTION("""COMPUTED_VALUE"""),42384.6666666666)</f>
        <v>42384.666666666599</v>
      </c>
      <c r="AF180" s="3">
        <f ca="1">IFERROR(__xludf.DUMMYFUNCTION("""COMPUTED_VALUE"""),66.1)</f>
        <v>66.099999999999994</v>
      </c>
      <c r="AG180" s="3">
        <f ca="1">IFERROR(__xludf.DUMMYFUNCTION("""COMPUTED_VALUE"""),67.18)</f>
        <v>67.180000000000007</v>
      </c>
      <c r="AH180" s="3">
        <f ca="1">IFERROR(__xludf.DUMMYFUNCTION("""COMPUTED_VALUE"""),65.92)</f>
        <v>65.92</v>
      </c>
      <c r="AI180" s="3">
        <f ca="1">IFERROR(__xludf.DUMMYFUNCTION("""COMPUTED_VALUE"""),66.87)</f>
        <v>66.87</v>
      </c>
      <c r="AJ180" s="3">
        <f ca="1">IFERROR(__xludf.DUMMYFUNCTION("""COMPUTED_VALUE"""),17882291)</f>
        <v>17882291</v>
      </c>
      <c r="AK180" s="4">
        <f ca="1">IFERROR(__xludf.DUMMYFUNCTION("""COMPUTED_VALUE"""),42384.6666666666)</f>
        <v>42384.666666666599</v>
      </c>
      <c r="AL180" s="3">
        <f ca="1">IFERROR(__xludf.DUMMYFUNCTION("""COMPUTED_VALUE"""),48.14)</f>
        <v>48.14</v>
      </c>
      <c r="AM180" s="3">
        <f ca="1">IFERROR(__xludf.DUMMYFUNCTION("""COMPUTED_VALUE"""),48.84)</f>
        <v>48.84</v>
      </c>
      <c r="AN180" s="3">
        <f ca="1">IFERROR(__xludf.DUMMYFUNCTION("""COMPUTED_VALUE"""),48.02)</f>
        <v>48.02</v>
      </c>
      <c r="AO180" s="3">
        <f ca="1">IFERROR(__xludf.DUMMYFUNCTION("""COMPUTED_VALUE"""),48.65)</f>
        <v>48.65</v>
      </c>
      <c r="AP180" s="3">
        <f ca="1">IFERROR(__xludf.DUMMYFUNCTION("""COMPUTED_VALUE"""),20434577)</f>
        <v>20434577</v>
      </c>
      <c r="AQ180" s="4">
        <f ca="1">IFERROR(__xludf.DUMMYFUNCTION("""COMPUTED_VALUE"""),42384.6666666666)</f>
        <v>42384.666666666599</v>
      </c>
      <c r="AR180" s="3">
        <f ca="1">IFERROR(__xludf.DUMMYFUNCTION("""COMPUTED_VALUE"""),38.25)</f>
        <v>38.25</v>
      </c>
      <c r="AS180" s="3">
        <f ca="1">IFERROR(__xludf.DUMMYFUNCTION("""COMPUTED_VALUE"""),38.51)</f>
        <v>38.51</v>
      </c>
      <c r="AT180" s="3">
        <f ca="1">IFERROR(__xludf.DUMMYFUNCTION("""COMPUTED_VALUE"""),37.75)</f>
        <v>37.75</v>
      </c>
      <c r="AU180" s="3">
        <f ca="1">IFERROR(__xludf.DUMMYFUNCTION("""COMPUTED_VALUE"""),38.25)</f>
        <v>38.25</v>
      </c>
      <c r="AV180" s="3">
        <f ca="1">IFERROR(__xludf.DUMMYFUNCTION("""COMPUTED_VALUE"""),9358896)</f>
        <v>9358896</v>
      </c>
      <c r="AW180" s="4">
        <f ca="1">IFERROR(__xludf.DUMMYFUNCTION("""COMPUTED_VALUE"""),42550.6666666666)</f>
        <v>42550.666666666599</v>
      </c>
      <c r="AX180" s="3">
        <f ca="1">IFERROR(__xludf.DUMMYFUNCTION("""COMPUTED_VALUE"""),33.24)</f>
        <v>33.24</v>
      </c>
      <c r="AY180" s="3">
        <f ca="1">IFERROR(__xludf.DUMMYFUNCTION("""COMPUTED_VALUE"""),33.34)</f>
        <v>33.340000000000003</v>
      </c>
      <c r="AZ180" s="3">
        <f ca="1">IFERROR(__xludf.DUMMYFUNCTION("""COMPUTED_VALUE"""),33.18)</f>
        <v>33.18</v>
      </c>
      <c r="BA180" s="3">
        <f ca="1">IFERROR(__xludf.DUMMYFUNCTION("""COMPUTED_VALUE"""),33.32)</f>
        <v>33.32</v>
      </c>
      <c r="BB180" s="3">
        <f ca="1">IFERROR(__xludf.DUMMYFUNCTION("""COMPUTED_VALUE"""),7580)</f>
        <v>7580</v>
      </c>
      <c r="BC180" s="4">
        <f ca="1">IFERROR(__xludf.DUMMYFUNCTION("""COMPUTED_VALUE"""),42384.6666666666)</f>
        <v>42384.666666666599</v>
      </c>
      <c r="BD180" s="3">
        <f ca="1">IFERROR(__xludf.DUMMYFUNCTION("""COMPUTED_VALUE"""),39.16)</f>
        <v>39.159999999999997</v>
      </c>
      <c r="BE180" s="3">
        <f ca="1">IFERROR(__xludf.DUMMYFUNCTION("""COMPUTED_VALUE"""),39.72)</f>
        <v>39.72</v>
      </c>
      <c r="BF180" s="3">
        <f ca="1">IFERROR(__xludf.DUMMYFUNCTION("""COMPUTED_VALUE"""),38.86)</f>
        <v>38.86</v>
      </c>
      <c r="BG180" s="3">
        <f ca="1">IFERROR(__xludf.DUMMYFUNCTION("""COMPUTED_VALUE"""),39.34)</f>
        <v>39.340000000000003</v>
      </c>
      <c r="BH180" s="3">
        <f ca="1">IFERROR(__xludf.DUMMYFUNCTION("""COMPUTED_VALUE"""),20177759)</f>
        <v>20177759</v>
      </c>
      <c r="BI180" s="4">
        <f ca="1">IFERROR(__xludf.DUMMYFUNCTION("""COMPUTED_VALUE"""),42384.6666666666)</f>
        <v>42384.666666666599</v>
      </c>
      <c r="BJ180" s="3">
        <f ca="1">IFERROR(__xludf.DUMMYFUNCTION("""COMPUTED_VALUE"""),43.36)</f>
        <v>43.36</v>
      </c>
      <c r="BK180" s="3">
        <f ca="1">IFERROR(__xludf.DUMMYFUNCTION("""COMPUTED_VALUE"""),43.68)</f>
        <v>43.68</v>
      </c>
      <c r="BL180" s="3">
        <f ca="1">IFERROR(__xludf.DUMMYFUNCTION("""COMPUTED_VALUE"""),42.89)</f>
        <v>42.89</v>
      </c>
      <c r="BM180" s="3">
        <f ca="1">IFERROR(__xludf.DUMMYFUNCTION("""COMPUTED_VALUE"""),43.41)</f>
        <v>43.41</v>
      </c>
      <c r="BN180" s="3">
        <f ca="1">IFERROR(__xludf.DUMMYFUNCTION("""COMPUTED_VALUE"""),18939056)</f>
        <v>18939056</v>
      </c>
    </row>
    <row r="181" spans="7:66" ht="13" x14ac:dyDescent="0.15">
      <c r="G181" s="4">
        <f ca="1">IFERROR(__xludf.DUMMYFUNCTION("""COMPUTED_VALUE"""),42388.6666666666)</f>
        <v>42388.666666666599</v>
      </c>
      <c r="H181" s="3">
        <f ca="1">IFERROR(__xludf.DUMMYFUNCTION("""COMPUTED_VALUE"""),72.29)</f>
        <v>72.290000000000006</v>
      </c>
      <c r="I181" s="3">
        <f ca="1">IFERROR(__xludf.DUMMYFUNCTION("""COMPUTED_VALUE"""),72.61)</f>
        <v>72.61</v>
      </c>
      <c r="J181" s="3">
        <f ca="1">IFERROR(__xludf.DUMMYFUNCTION("""COMPUTED_VALUE"""),71.04)</f>
        <v>71.040000000000006</v>
      </c>
      <c r="K181" s="3">
        <f ca="1">IFERROR(__xludf.DUMMYFUNCTION("""COMPUTED_VALUE"""),71.77)</f>
        <v>71.77</v>
      </c>
      <c r="L181" s="3">
        <f ca="1">IFERROR(__xludf.DUMMYFUNCTION("""COMPUTED_VALUE"""),11622643)</f>
        <v>11622643</v>
      </c>
      <c r="M181" s="4">
        <f ca="1">IFERROR(__xludf.DUMMYFUNCTION("""COMPUTED_VALUE"""),42388.6666666666)</f>
        <v>42388.666666666599</v>
      </c>
      <c r="N181" s="3">
        <f ca="1">IFERROR(__xludf.DUMMYFUNCTION("""COMPUTED_VALUE"""),48.79)</f>
        <v>48.79</v>
      </c>
      <c r="O181" s="3">
        <f ca="1">IFERROR(__xludf.DUMMYFUNCTION("""COMPUTED_VALUE"""),49.06)</f>
        <v>49.06</v>
      </c>
      <c r="P181" s="3">
        <f ca="1">IFERROR(__xludf.DUMMYFUNCTION("""COMPUTED_VALUE"""),48.57)</f>
        <v>48.57</v>
      </c>
      <c r="Q181" s="3">
        <f ca="1">IFERROR(__xludf.DUMMYFUNCTION("""COMPUTED_VALUE"""),48.88)</f>
        <v>48.88</v>
      </c>
      <c r="R181" s="3">
        <f ca="1">IFERROR(__xludf.DUMMYFUNCTION("""COMPUTED_VALUE"""),14945175)</f>
        <v>14945175</v>
      </c>
      <c r="S181" s="4">
        <f ca="1">IFERROR(__xludf.DUMMYFUNCTION("""COMPUTED_VALUE"""),42388.6666666666)</f>
        <v>42388.666666666599</v>
      </c>
      <c r="T181" s="3">
        <f ca="1">IFERROR(__xludf.DUMMYFUNCTION("""COMPUTED_VALUE"""),54.76)</f>
        <v>54.76</v>
      </c>
      <c r="U181" s="3">
        <f ca="1">IFERROR(__xludf.DUMMYFUNCTION("""COMPUTED_VALUE"""),55.02)</f>
        <v>55.02</v>
      </c>
      <c r="V181" s="3">
        <f ca="1">IFERROR(__xludf.DUMMYFUNCTION("""COMPUTED_VALUE"""),52.33)</f>
        <v>52.33</v>
      </c>
      <c r="W181" s="3">
        <f ca="1">IFERROR(__xludf.DUMMYFUNCTION("""COMPUTED_VALUE"""),53.18)</f>
        <v>53.18</v>
      </c>
      <c r="X181" s="3">
        <f ca="1">IFERROR(__xludf.DUMMYFUNCTION("""COMPUTED_VALUE"""),35872301)</f>
        <v>35872301</v>
      </c>
      <c r="Y181" s="4">
        <f ca="1">IFERROR(__xludf.DUMMYFUNCTION("""COMPUTED_VALUE"""),42388.6666666666)</f>
        <v>42388.666666666599</v>
      </c>
      <c r="Z181" s="3">
        <f ca="1">IFERROR(__xludf.DUMMYFUNCTION("""COMPUTED_VALUE"""),17.58)</f>
        <v>17.579999999999998</v>
      </c>
      <c r="AA181" s="3">
        <f ca="1">IFERROR(__xludf.DUMMYFUNCTION("""COMPUTED_VALUE"""),17.65)</f>
        <v>17.649999999999999</v>
      </c>
      <c r="AB181" s="3">
        <f ca="1">IFERROR(__xludf.DUMMYFUNCTION("""COMPUTED_VALUE"""),17.26)</f>
        <v>17.260000000000002</v>
      </c>
      <c r="AC181" s="3">
        <f ca="1">IFERROR(__xludf.DUMMYFUNCTION("""COMPUTED_VALUE"""),17.39)</f>
        <v>17.39</v>
      </c>
      <c r="AD181" s="3">
        <f ca="1">IFERROR(__xludf.DUMMYFUNCTION("""COMPUTED_VALUE"""),68058023)</f>
        <v>68058023</v>
      </c>
      <c r="AE181" s="4">
        <f ca="1">IFERROR(__xludf.DUMMYFUNCTION("""COMPUTED_VALUE"""),42388.6666666666)</f>
        <v>42388.666666666599</v>
      </c>
      <c r="AF181" s="3">
        <f ca="1">IFERROR(__xludf.DUMMYFUNCTION("""COMPUTED_VALUE"""),67.6)</f>
        <v>67.599999999999994</v>
      </c>
      <c r="AG181" s="3">
        <f ca="1">IFERROR(__xludf.DUMMYFUNCTION("""COMPUTED_VALUE"""),67.85)</f>
        <v>67.849999999999994</v>
      </c>
      <c r="AH181" s="3">
        <f ca="1">IFERROR(__xludf.DUMMYFUNCTION("""COMPUTED_VALUE"""),66.13)</f>
        <v>66.13</v>
      </c>
      <c r="AI181" s="3">
        <f ca="1">IFERROR(__xludf.DUMMYFUNCTION("""COMPUTED_VALUE"""),66.86)</f>
        <v>66.86</v>
      </c>
      <c r="AJ181" s="3">
        <f ca="1">IFERROR(__xludf.DUMMYFUNCTION("""COMPUTED_VALUE"""),13495221)</f>
        <v>13495221</v>
      </c>
      <c r="AK181" s="4">
        <f ca="1">IFERROR(__xludf.DUMMYFUNCTION("""COMPUTED_VALUE"""),42388.6666666666)</f>
        <v>42388.666666666599</v>
      </c>
      <c r="AL181" s="3">
        <f ca="1">IFERROR(__xludf.DUMMYFUNCTION("""COMPUTED_VALUE"""),49.18)</f>
        <v>49.18</v>
      </c>
      <c r="AM181" s="3">
        <f ca="1">IFERROR(__xludf.DUMMYFUNCTION("""COMPUTED_VALUE"""),49.27)</f>
        <v>49.27</v>
      </c>
      <c r="AN181" s="3">
        <f ca="1">IFERROR(__xludf.DUMMYFUNCTION("""COMPUTED_VALUE"""),48.19)</f>
        <v>48.19</v>
      </c>
      <c r="AO181" s="3">
        <f ca="1">IFERROR(__xludf.DUMMYFUNCTION("""COMPUTED_VALUE"""),48.64)</f>
        <v>48.64</v>
      </c>
      <c r="AP181" s="3">
        <f ca="1">IFERROR(__xludf.DUMMYFUNCTION("""COMPUTED_VALUE"""),14844956)</f>
        <v>14844956</v>
      </c>
      <c r="AQ181" s="4">
        <f ca="1">IFERROR(__xludf.DUMMYFUNCTION("""COMPUTED_VALUE"""),42388.6666666666)</f>
        <v>42388.666666666599</v>
      </c>
      <c r="AR181" s="3">
        <f ca="1">IFERROR(__xludf.DUMMYFUNCTION("""COMPUTED_VALUE"""),38.6)</f>
        <v>38.6</v>
      </c>
      <c r="AS181" s="3">
        <f ca="1">IFERROR(__xludf.DUMMYFUNCTION("""COMPUTED_VALUE"""),38.73)</f>
        <v>38.729999999999997</v>
      </c>
      <c r="AT181" s="3">
        <f ca="1">IFERROR(__xludf.DUMMYFUNCTION("""COMPUTED_VALUE"""),37.29)</f>
        <v>37.29</v>
      </c>
      <c r="AU181" s="3">
        <f ca="1">IFERROR(__xludf.DUMMYFUNCTION("""COMPUTED_VALUE"""),37.78)</f>
        <v>37.78</v>
      </c>
      <c r="AV181" s="3">
        <f ca="1">IFERROR(__xludf.DUMMYFUNCTION("""COMPUTED_VALUE"""),9865573)</f>
        <v>9865573</v>
      </c>
      <c r="AW181" s="4">
        <f ca="1">IFERROR(__xludf.DUMMYFUNCTION("""COMPUTED_VALUE"""),42551.6666666666)</f>
        <v>42551.666666666599</v>
      </c>
      <c r="AX181" s="3">
        <f ca="1">IFERROR(__xludf.DUMMYFUNCTION("""COMPUTED_VALUE"""),33.54)</f>
        <v>33.54</v>
      </c>
      <c r="AY181" s="3">
        <f ca="1">IFERROR(__xludf.DUMMYFUNCTION("""COMPUTED_VALUE"""),33.6)</f>
        <v>33.6</v>
      </c>
      <c r="AZ181" s="3">
        <f ca="1">IFERROR(__xludf.DUMMYFUNCTION("""COMPUTED_VALUE"""),33.23)</f>
        <v>33.229999999999997</v>
      </c>
      <c r="BA181" s="3">
        <f ca="1">IFERROR(__xludf.DUMMYFUNCTION("""COMPUTED_VALUE"""),33.59)</f>
        <v>33.590000000000003</v>
      </c>
      <c r="BB181" s="3">
        <f ca="1">IFERROR(__xludf.DUMMYFUNCTION("""COMPUTED_VALUE"""),11927)</f>
        <v>11927</v>
      </c>
      <c r="BC181" s="4">
        <f ca="1">IFERROR(__xludf.DUMMYFUNCTION("""COMPUTED_VALUE"""),42388.6666666666)</f>
        <v>42388.666666666599</v>
      </c>
      <c r="BD181" s="3">
        <f ca="1">IFERROR(__xludf.DUMMYFUNCTION("""COMPUTED_VALUE"""),39.8)</f>
        <v>39.799999999999997</v>
      </c>
      <c r="BE181" s="3">
        <f ca="1">IFERROR(__xludf.DUMMYFUNCTION("""COMPUTED_VALUE"""),39.87)</f>
        <v>39.869999999999997</v>
      </c>
      <c r="BF181" s="3">
        <f ca="1">IFERROR(__xludf.DUMMYFUNCTION("""COMPUTED_VALUE"""),39.03)</f>
        <v>39.03</v>
      </c>
      <c r="BG181" s="3">
        <f ca="1">IFERROR(__xludf.DUMMYFUNCTION("""COMPUTED_VALUE"""),39.38)</f>
        <v>39.380000000000003</v>
      </c>
      <c r="BH181" s="3">
        <f ca="1">IFERROR(__xludf.DUMMYFUNCTION("""COMPUTED_VALUE"""),19658750)</f>
        <v>19658750</v>
      </c>
      <c r="BI181" s="4">
        <f ca="1">IFERROR(__xludf.DUMMYFUNCTION("""COMPUTED_VALUE"""),42388.6666666666)</f>
        <v>42388.666666666599</v>
      </c>
      <c r="BJ181" s="3">
        <f ca="1">IFERROR(__xludf.DUMMYFUNCTION("""COMPUTED_VALUE"""),43.64)</f>
        <v>43.64</v>
      </c>
      <c r="BK181" s="3">
        <f ca="1">IFERROR(__xludf.DUMMYFUNCTION("""COMPUTED_VALUE"""),44.18)</f>
        <v>44.18</v>
      </c>
      <c r="BL181" s="3">
        <f ca="1">IFERROR(__xludf.DUMMYFUNCTION("""COMPUTED_VALUE"""),43.47)</f>
        <v>43.47</v>
      </c>
      <c r="BM181" s="3">
        <f ca="1">IFERROR(__xludf.DUMMYFUNCTION("""COMPUTED_VALUE"""),44.06)</f>
        <v>44.06</v>
      </c>
      <c r="BN181" s="3">
        <f ca="1">IFERROR(__xludf.DUMMYFUNCTION("""COMPUTED_VALUE"""),17884638)</f>
        <v>17884638</v>
      </c>
    </row>
    <row r="182" spans="7:66" ht="13" x14ac:dyDescent="0.15">
      <c r="G182" s="4">
        <f ca="1">IFERROR(__xludf.DUMMYFUNCTION("""COMPUTED_VALUE"""),42389.6666666666)</f>
        <v>42389.666666666599</v>
      </c>
      <c r="H182" s="3">
        <f ca="1">IFERROR(__xludf.DUMMYFUNCTION("""COMPUTED_VALUE"""),70.74)</f>
        <v>70.739999999999995</v>
      </c>
      <c r="I182" s="3">
        <f ca="1">IFERROR(__xludf.DUMMYFUNCTION("""COMPUTED_VALUE"""),71.76)</f>
        <v>71.760000000000005</v>
      </c>
      <c r="J182" s="3">
        <f ca="1">IFERROR(__xludf.DUMMYFUNCTION("""COMPUTED_VALUE"""),68.94)</f>
        <v>68.94</v>
      </c>
      <c r="K182" s="3">
        <f ca="1">IFERROR(__xludf.DUMMYFUNCTION("""COMPUTED_VALUE"""),71.14)</f>
        <v>71.14</v>
      </c>
      <c r="L182" s="3">
        <f ca="1">IFERROR(__xludf.DUMMYFUNCTION("""COMPUTED_VALUE"""),21443240)</f>
        <v>21443240</v>
      </c>
      <c r="M182" s="4">
        <f ca="1">IFERROR(__xludf.DUMMYFUNCTION("""COMPUTED_VALUE"""),42389.6666666666)</f>
        <v>42389.666666666599</v>
      </c>
      <c r="N182" s="3">
        <f ca="1">IFERROR(__xludf.DUMMYFUNCTION("""COMPUTED_VALUE"""),48.34)</f>
        <v>48.34</v>
      </c>
      <c r="O182" s="3">
        <f ca="1">IFERROR(__xludf.DUMMYFUNCTION("""COMPUTED_VALUE"""),48.56)</f>
        <v>48.56</v>
      </c>
      <c r="P182" s="3">
        <f ca="1">IFERROR(__xludf.DUMMYFUNCTION("""COMPUTED_VALUE"""),47.39)</f>
        <v>47.39</v>
      </c>
      <c r="Q182" s="3">
        <f ca="1">IFERROR(__xludf.DUMMYFUNCTION("""COMPUTED_VALUE"""),48.27)</f>
        <v>48.27</v>
      </c>
      <c r="R182" s="3">
        <f ca="1">IFERROR(__xludf.DUMMYFUNCTION("""COMPUTED_VALUE"""),28303167)</f>
        <v>28303167</v>
      </c>
      <c r="S182" s="4">
        <f ca="1">IFERROR(__xludf.DUMMYFUNCTION("""COMPUTED_VALUE"""),42389.6666666666)</f>
        <v>42389.666666666599</v>
      </c>
      <c r="T182" s="3">
        <f ca="1">IFERROR(__xludf.DUMMYFUNCTION("""COMPUTED_VALUE"""),52.13)</f>
        <v>52.13</v>
      </c>
      <c r="U182" s="3">
        <f ca="1">IFERROR(__xludf.DUMMYFUNCTION("""COMPUTED_VALUE"""),52.55)</f>
        <v>52.55</v>
      </c>
      <c r="V182" s="3">
        <f ca="1">IFERROR(__xludf.DUMMYFUNCTION("""COMPUTED_VALUE"""),49.93)</f>
        <v>49.93</v>
      </c>
      <c r="W182" s="3">
        <f ca="1">IFERROR(__xludf.DUMMYFUNCTION("""COMPUTED_VALUE"""),51.77)</f>
        <v>51.77</v>
      </c>
      <c r="X182" s="3">
        <f ca="1">IFERROR(__xludf.DUMMYFUNCTION("""COMPUTED_VALUE"""),51307352)</f>
        <v>51307352</v>
      </c>
      <c r="Y182" s="4">
        <f ca="1">IFERROR(__xludf.DUMMYFUNCTION("""COMPUTED_VALUE"""),42389.6666666666)</f>
        <v>42389.666666666599</v>
      </c>
      <c r="Z182" s="3">
        <f ca="1">IFERROR(__xludf.DUMMYFUNCTION("""COMPUTED_VALUE"""),17.03)</f>
        <v>17.03</v>
      </c>
      <c r="AA182" s="3">
        <f ca="1">IFERROR(__xludf.DUMMYFUNCTION("""COMPUTED_VALUE"""),17.21)</f>
        <v>17.21</v>
      </c>
      <c r="AB182" s="3">
        <f ca="1">IFERROR(__xludf.DUMMYFUNCTION("""COMPUTED_VALUE"""),16.67)</f>
        <v>16.670000000000002</v>
      </c>
      <c r="AC182" s="3">
        <f ca="1">IFERROR(__xludf.DUMMYFUNCTION("""COMPUTED_VALUE"""),17.04)</f>
        <v>17.04</v>
      </c>
      <c r="AD182" s="3">
        <f ca="1">IFERROR(__xludf.DUMMYFUNCTION("""COMPUTED_VALUE"""),87475378)</f>
        <v>87475378</v>
      </c>
      <c r="AE182" s="4">
        <f ca="1">IFERROR(__xludf.DUMMYFUNCTION("""COMPUTED_VALUE"""),42389.6666666666)</f>
        <v>42389.666666666599</v>
      </c>
      <c r="AF182" s="3">
        <f ca="1">IFERROR(__xludf.DUMMYFUNCTION("""COMPUTED_VALUE"""),65.68)</f>
        <v>65.680000000000007</v>
      </c>
      <c r="AG182" s="3">
        <f ca="1">IFERROR(__xludf.DUMMYFUNCTION("""COMPUTED_VALUE"""),67.64)</f>
        <v>67.64</v>
      </c>
      <c r="AH182" s="3">
        <f ca="1">IFERROR(__xludf.DUMMYFUNCTION("""COMPUTED_VALUE"""),64.86)</f>
        <v>64.86</v>
      </c>
      <c r="AI182" s="3">
        <f ca="1">IFERROR(__xludf.DUMMYFUNCTION("""COMPUTED_VALUE"""),66.99)</f>
        <v>66.989999999999995</v>
      </c>
      <c r="AJ182" s="3">
        <f ca="1">IFERROR(__xludf.DUMMYFUNCTION("""COMPUTED_VALUE"""),24665612)</f>
        <v>24665612</v>
      </c>
      <c r="AK182" s="4">
        <f ca="1">IFERROR(__xludf.DUMMYFUNCTION("""COMPUTED_VALUE"""),42389.6666666666)</f>
        <v>42389.666666666599</v>
      </c>
      <c r="AL182" s="3">
        <f ca="1">IFERROR(__xludf.DUMMYFUNCTION("""COMPUTED_VALUE"""),47.95)</f>
        <v>47.95</v>
      </c>
      <c r="AM182" s="3">
        <f ca="1">IFERROR(__xludf.DUMMYFUNCTION("""COMPUTED_VALUE"""),48.43)</f>
        <v>48.43</v>
      </c>
      <c r="AN182" s="3">
        <f ca="1">IFERROR(__xludf.DUMMYFUNCTION("""COMPUTED_VALUE"""),46.82)</f>
        <v>46.82</v>
      </c>
      <c r="AO182" s="3">
        <f ca="1">IFERROR(__xludf.DUMMYFUNCTION("""COMPUTED_VALUE"""),48.01)</f>
        <v>48.01</v>
      </c>
      <c r="AP182" s="3">
        <f ca="1">IFERROR(__xludf.DUMMYFUNCTION("""COMPUTED_VALUE"""),26092675)</f>
        <v>26092675</v>
      </c>
      <c r="AQ182" s="4">
        <f ca="1">IFERROR(__xludf.DUMMYFUNCTION("""COMPUTED_VALUE"""),42389.6666666666)</f>
        <v>42389.666666666599</v>
      </c>
      <c r="AR182" s="3">
        <f ca="1">IFERROR(__xludf.DUMMYFUNCTION("""COMPUTED_VALUE"""),36.94)</f>
        <v>36.94</v>
      </c>
      <c r="AS182" s="3">
        <f ca="1">IFERROR(__xludf.DUMMYFUNCTION("""COMPUTED_VALUE"""),37.82)</f>
        <v>37.82</v>
      </c>
      <c r="AT182" s="3">
        <f ca="1">IFERROR(__xludf.DUMMYFUNCTION("""COMPUTED_VALUE"""),36.29)</f>
        <v>36.29</v>
      </c>
      <c r="AU182" s="3">
        <f ca="1">IFERROR(__xludf.DUMMYFUNCTION("""COMPUTED_VALUE"""),37.5)</f>
        <v>37.5</v>
      </c>
      <c r="AV182" s="3">
        <f ca="1">IFERROR(__xludf.DUMMYFUNCTION("""COMPUTED_VALUE"""),12825387)</f>
        <v>12825387</v>
      </c>
      <c r="AW182" s="4">
        <f ca="1">IFERROR(__xludf.DUMMYFUNCTION("""COMPUTED_VALUE"""),42552.6666666666)</f>
        <v>42552.666666666599</v>
      </c>
      <c r="AX182" s="3">
        <f ca="1">IFERROR(__xludf.DUMMYFUNCTION("""COMPUTED_VALUE"""),33.83)</f>
        <v>33.83</v>
      </c>
      <c r="AY182" s="3">
        <f ca="1">IFERROR(__xludf.DUMMYFUNCTION("""COMPUTED_VALUE"""),33.83)</f>
        <v>33.83</v>
      </c>
      <c r="AZ182" s="3">
        <f ca="1">IFERROR(__xludf.DUMMYFUNCTION("""COMPUTED_VALUE"""),33.53)</f>
        <v>33.53</v>
      </c>
      <c r="BA182" s="3">
        <f ca="1">IFERROR(__xludf.DUMMYFUNCTION("""COMPUTED_VALUE"""),33.57)</f>
        <v>33.57</v>
      </c>
      <c r="BB182" s="3">
        <f ca="1">IFERROR(__xludf.DUMMYFUNCTION("""COMPUTED_VALUE"""),4917)</f>
        <v>4917</v>
      </c>
      <c r="BC182" s="4">
        <f ca="1">IFERROR(__xludf.DUMMYFUNCTION("""COMPUTED_VALUE"""),42389.6666666666)</f>
        <v>42389.666666666599</v>
      </c>
      <c r="BD182" s="3">
        <f ca="1">IFERROR(__xludf.DUMMYFUNCTION("""COMPUTED_VALUE"""),38.71)</f>
        <v>38.71</v>
      </c>
      <c r="BE182" s="3">
        <f ca="1">IFERROR(__xludf.DUMMYFUNCTION("""COMPUTED_VALUE"""),39.46)</f>
        <v>39.46</v>
      </c>
      <c r="BF182" s="3">
        <f ca="1">IFERROR(__xludf.DUMMYFUNCTION("""COMPUTED_VALUE"""),38.03)</f>
        <v>38.03</v>
      </c>
      <c r="BG182" s="3">
        <f ca="1">IFERROR(__xludf.DUMMYFUNCTION("""COMPUTED_VALUE"""),39.07)</f>
        <v>39.07</v>
      </c>
      <c r="BH182" s="3">
        <f ca="1">IFERROR(__xludf.DUMMYFUNCTION("""COMPUTED_VALUE"""),29631845)</f>
        <v>29631845</v>
      </c>
      <c r="BI182" s="4">
        <f ca="1">IFERROR(__xludf.DUMMYFUNCTION("""COMPUTED_VALUE"""),42389.6666666666)</f>
        <v>42389.666666666599</v>
      </c>
      <c r="BJ182" s="3">
        <f ca="1">IFERROR(__xludf.DUMMYFUNCTION("""COMPUTED_VALUE"""),43.88)</f>
        <v>43.88</v>
      </c>
      <c r="BK182" s="3">
        <f ca="1">IFERROR(__xludf.DUMMYFUNCTION("""COMPUTED_VALUE"""),43.95)</f>
        <v>43.95</v>
      </c>
      <c r="BL182" s="3">
        <f ca="1">IFERROR(__xludf.DUMMYFUNCTION("""COMPUTED_VALUE"""),42.45)</f>
        <v>42.45</v>
      </c>
      <c r="BM182" s="3">
        <f ca="1">IFERROR(__xludf.DUMMYFUNCTION("""COMPUTED_VALUE"""),43.07)</f>
        <v>43.07</v>
      </c>
      <c r="BN182" s="3">
        <f ca="1">IFERROR(__xludf.DUMMYFUNCTION("""COMPUTED_VALUE"""),19900140)</f>
        <v>19900140</v>
      </c>
    </row>
    <row r="183" spans="7:66" ht="13" x14ac:dyDescent="0.15">
      <c r="G183" s="4">
        <f ca="1">IFERROR(__xludf.DUMMYFUNCTION("""COMPUTED_VALUE"""),42390.6666666666)</f>
        <v>42390.666666666599</v>
      </c>
      <c r="H183" s="3">
        <f ca="1">IFERROR(__xludf.DUMMYFUNCTION("""COMPUTED_VALUE"""),71.36)</f>
        <v>71.36</v>
      </c>
      <c r="I183" s="3">
        <f ca="1">IFERROR(__xludf.DUMMYFUNCTION("""COMPUTED_VALUE"""),72.91)</f>
        <v>72.91</v>
      </c>
      <c r="J183" s="3">
        <f ca="1">IFERROR(__xludf.DUMMYFUNCTION("""COMPUTED_VALUE"""),71)</f>
        <v>71</v>
      </c>
      <c r="K183" s="3">
        <f ca="1">IFERROR(__xludf.DUMMYFUNCTION("""COMPUTED_VALUE"""),72.05)</f>
        <v>72.05</v>
      </c>
      <c r="L183" s="3">
        <f ca="1">IFERROR(__xludf.DUMMYFUNCTION("""COMPUTED_VALUE"""),15944217)</f>
        <v>15944217</v>
      </c>
      <c r="M183" s="4">
        <f ca="1">IFERROR(__xludf.DUMMYFUNCTION("""COMPUTED_VALUE"""),42390.6666666666)</f>
        <v>42390.666666666599</v>
      </c>
      <c r="N183" s="3">
        <f ca="1">IFERROR(__xludf.DUMMYFUNCTION("""COMPUTED_VALUE"""),48.31)</f>
        <v>48.31</v>
      </c>
      <c r="O183" s="3">
        <f ca="1">IFERROR(__xludf.DUMMYFUNCTION("""COMPUTED_VALUE"""),48.67)</f>
        <v>48.67</v>
      </c>
      <c r="P183" s="3">
        <f ca="1">IFERROR(__xludf.DUMMYFUNCTION("""COMPUTED_VALUE"""),48.01)</f>
        <v>48.01</v>
      </c>
      <c r="Q183" s="3">
        <f ca="1">IFERROR(__xludf.DUMMYFUNCTION("""COMPUTED_VALUE"""),48.46)</f>
        <v>48.46</v>
      </c>
      <c r="R183" s="3">
        <f ca="1">IFERROR(__xludf.DUMMYFUNCTION("""COMPUTED_VALUE"""),21000998)</f>
        <v>21000998</v>
      </c>
      <c r="S183" s="4">
        <f ca="1">IFERROR(__xludf.DUMMYFUNCTION("""COMPUTED_VALUE"""),42390.6666666666)</f>
        <v>42390.666666666599</v>
      </c>
      <c r="T183" s="3">
        <f ca="1">IFERROR(__xludf.DUMMYFUNCTION("""COMPUTED_VALUE"""),51.71)</f>
        <v>51.71</v>
      </c>
      <c r="U183" s="3">
        <f ca="1">IFERROR(__xludf.DUMMYFUNCTION("""COMPUTED_VALUE"""),54.03)</f>
        <v>54.03</v>
      </c>
      <c r="V183" s="3">
        <f ca="1">IFERROR(__xludf.DUMMYFUNCTION("""COMPUTED_VALUE"""),51.37)</f>
        <v>51.37</v>
      </c>
      <c r="W183" s="3">
        <f ca="1">IFERROR(__xludf.DUMMYFUNCTION("""COMPUTED_VALUE"""),53.38)</f>
        <v>53.38</v>
      </c>
      <c r="X183" s="3">
        <f ca="1">IFERROR(__xludf.DUMMYFUNCTION("""COMPUTED_VALUE"""),43670722)</f>
        <v>43670722</v>
      </c>
      <c r="Y183" s="4">
        <f ca="1">IFERROR(__xludf.DUMMYFUNCTION("""COMPUTED_VALUE"""),42390.6666666666)</f>
        <v>42390.666666666599</v>
      </c>
      <c r="Z183" s="3">
        <f ca="1">IFERROR(__xludf.DUMMYFUNCTION("""COMPUTED_VALUE"""),17.06)</f>
        <v>17.059999999999999</v>
      </c>
      <c r="AA183" s="3">
        <f ca="1">IFERROR(__xludf.DUMMYFUNCTION("""COMPUTED_VALUE"""),17.28)</f>
        <v>17.28</v>
      </c>
      <c r="AB183" s="3">
        <f ca="1">IFERROR(__xludf.DUMMYFUNCTION("""COMPUTED_VALUE"""),16.91)</f>
        <v>16.91</v>
      </c>
      <c r="AC183" s="3">
        <f ca="1">IFERROR(__xludf.DUMMYFUNCTION("""COMPUTED_VALUE"""),16.97)</f>
        <v>16.97</v>
      </c>
      <c r="AD183" s="3">
        <f ca="1">IFERROR(__xludf.DUMMYFUNCTION("""COMPUTED_VALUE"""),74325560)</f>
        <v>74325560</v>
      </c>
      <c r="AE183" s="4">
        <f ca="1">IFERROR(__xludf.DUMMYFUNCTION("""COMPUTED_VALUE"""),42390.6666666666)</f>
        <v>42390.666666666599</v>
      </c>
      <c r="AF183" s="3">
        <f ca="1">IFERROR(__xludf.DUMMYFUNCTION("""COMPUTED_VALUE"""),67.16)</f>
        <v>67.16</v>
      </c>
      <c r="AG183" s="3">
        <f ca="1">IFERROR(__xludf.DUMMYFUNCTION("""COMPUTED_VALUE"""),67.5)</f>
        <v>67.5</v>
      </c>
      <c r="AH183" s="3">
        <f ca="1">IFERROR(__xludf.DUMMYFUNCTION("""COMPUTED_VALUE"""),66.16)</f>
        <v>66.16</v>
      </c>
      <c r="AI183" s="3">
        <f ca="1">IFERROR(__xludf.DUMMYFUNCTION("""COMPUTED_VALUE"""),66.79)</f>
        <v>66.790000000000006</v>
      </c>
      <c r="AJ183" s="3">
        <f ca="1">IFERROR(__xludf.DUMMYFUNCTION("""COMPUTED_VALUE"""),17102840)</f>
        <v>17102840</v>
      </c>
      <c r="AK183" s="4">
        <f ca="1">IFERROR(__xludf.DUMMYFUNCTION("""COMPUTED_VALUE"""),42390.6666666666)</f>
        <v>42390.666666666599</v>
      </c>
      <c r="AL183" s="3">
        <f ca="1">IFERROR(__xludf.DUMMYFUNCTION("""COMPUTED_VALUE"""),48.01)</f>
        <v>48.01</v>
      </c>
      <c r="AM183" s="3">
        <f ca="1">IFERROR(__xludf.DUMMYFUNCTION("""COMPUTED_VALUE"""),48.68)</f>
        <v>48.68</v>
      </c>
      <c r="AN183" s="3">
        <f ca="1">IFERROR(__xludf.DUMMYFUNCTION("""COMPUTED_VALUE"""),47.66)</f>
        <v>47.66</v>
      </c>
      <c r="AO183" s="3">
        <f ca="1">IFERROR(__xludf.DUMMYFUNCTION("""COMPUTED_VALUE"""),48.22)</f>
        <v>48.22</v>
      </c>
      <c r="AP183" s="3">
        <f ca="1">IFERROR(__xludf.DUMMYFUNCTION("""COMPUTED_VALUE"""),18593829)</f>
        <v>18593829</v>
      </c>
      <c r="AQ183" s="4">
        <f ca="1">IFERROR(__xludf.DUMMYFUNCTION("""COMPUTED_VALUE"""),42390.6666666666)</f>
        <v>42390.666666666599</v>
      </c>
      <c r="AR183" s="3">
        <f ca="1">IFERROR(__xludf.DUMMYFUNCTION("""COMPUTED_VALUE"""),37.68)</f>
        <v>37.68</v>
      </c>
      <c r="AS183" s="3">
        <f ca="1">IFERROR(__xludf.DUMMYFUNCTION("""COMPUTED_VALUE"""),38.11)</f>
        <v>38.11</v>
      </c>
      <c r="AT183" s="3">
        <f ca="1">IFERROR(__xludf.DUMMYFUNCTION("""COMPUTED_VALUE"""),37.17)</f>
        <v>37.17</v>
      </c>
      <c r="AU183" s="3">
        <f ca="1">IFERROR(__xludf.DUMMYFUNCTION("""COMPUTED_VALUE"""),37.83)</f>
        <v>37.83</v>
      </c>
      <c r="AV183" s="3">
        <f ca="1">IFERROR(__xludf.DUMMYFUNCTION("""COMPUTED_VALUE"""),11700652)</f>
        <v>11700652</v>
      </c>
      <c r="AW183" s="4">
        <f ca="1">IFERROR(__xludf.DUMMYFUNCTION("""COMPUTED_VALUE"""),42556.6666666666)</f>
        <v>42556.666666666599</v>
      </c>
      <c r="AX183" s="3">
        <f ca="1">IFERROR(__xludf.DUMMYFUNCTION("""COMPUTED_VALUE"""),33.61)</f>
        <v>33.61</v>
      </c>
      <c r="AY183" s="3">
        <f ca="1">IFERROR(__xludf.DUMMYFUNCTION("""COMPUTED_VALUE"""),33.84)</f>
        <v>33.840000000000003</v>
      </c>
      <c r="AZ183" s="3">
        <f ca="1">IFERROR(__xludf.DUMMYFUNCTION("""COMPUTED_VALUE"""),33.61)</f>
        <v>33.61</v>
      </c>
      <c r="BA183" s="3">
        <f ca="1">IFERROR(__xludf.DUMMYFUNCTION("""COMPUTED_VALUE"""),33.82)</f>
        <v>33.82</v>
      </c>
      <c r="BB183" s="3">
        <f ca="1">IFERROR(__xludf.DUMMYFUNCTION("""COMPUTED_VALUE"""),2279)</f>
        <v>2279</v>
      </c>
      <c r="BC183" s="4">
        <f ca="1">IFERROR(__xludf.DUMMYFUNCTION("""COMPUTED_VALUE"""),42390.6666666666)</f>
        <v>42390.666666666599</v>
      </c>
      <c r="BD183" s="3">
        <f ca="1">IFERROR(__xludf.DUMMYFUNCTION("""COMPUTED_VALUE"""),39.29)</f>
        <v>39.29</v>
      </c>
      <c r="BE183" s="3">
        <f ca="1">IFERROR(__xludf.DUMMYFUNCTION("""COMPUTED_VALUE"""),39.86)</f>
        <v>39.86</v>
      </c>
      <c r="BF183" s="3">
        <f ca="1">IFERROR(__xludf.DUMMYFUNCTION("""COMPUTED_VALUE"""),38.8)</f>
        <v>38.799999999999997</v>
      </c>
      <c r="BG183" s="3">
        <f ca="1">IFERROR(__xludf.DUMMYFUNCTION("""COMPUTED_VALUE"""),39.29)</f>
        <v>39.29</v>
      </c>
      <c r="BH183" s="3">
        <f ca="1">IFERROR(__xludf.DUMMYFUNCTION("""COMPUTED_VALUE"""),22135853)</f>
        <v>22135853</v>
      </c>
      <c r="BI183" s="4">
        <f ca="1">IFERROR(__xludf.DUMMYFUNCTION("""COMPUTED_VALUE"""),42390.6666666666)</f>
        <v>42390.666666666599</v>
      </c>
      <c r="BJ183" s="3">
        <f ca="1">IFERROR(__xludf.DUMMYFUNCTION("""COMPUTED_VALUE"""),43.2)</f>
        <v>43.2</v>
      </c>
      <c r="BK183" s="3">
        <f ca="1">IFERROR(__xludf.DUMMYFUNCTION("""COMPUTED_VALUE"""),43.36)</f>
        <v>43.36</v>
      </c>
      <c r="BL183" s="3">
        <f ca="1">IFERROR(__xludf.DUMMYFUNCTION("""COMPUTED_VALUE"""),42.65)</f>
        <v>42.65</v>
      </c>
      <c r="BM183" s="3">
        <f ca="1">IFERROR(__xludf.DUMMYFUNCTION("""COMPUTED_VALUE"""),43.03)</f>
        <v>43.03</v>
      </c>
      <c r="BN183" s="3">
        <f ca="1">IFERROR(__xludf.DUMMYFUNCTION("""COMPUTED_VALUE"""),14087880)</f>
        <v>14087880</v>
      </c>
    </row>
    <row r="184" spans="7:66" ht="13" x14ac:dyDescent="0.15">
      <c r="G184" s="4">
        <f ca="1">IFERROR(__xludf.DUMMYFUNCTION("""COMPUTED_VALUE"""),42391.6666666666)</f>
        <v>42391.666666666599</v>
      </c>
      <c r="H184" s="3">
        <f ca="1">IFERROR(__xludf.DUMMYFUNCTION("""COMPUTED_VALUE"""),73.22)</f>
        <v>73.22</v>
      </c>
      <c r="I184" s="3">
        <f ca="1">IFERROR(__xludf.DUMMYFUNCTION("""COMPUTED_VALUE"""),73.59)</f>
        <v>73.59</v>
      </c>
      <c r="J184" s="3">
        <f ca="1">IFERROR(__xludf.DUMMYFUNCTION("""COMPUTED_VALUE"""),72.86)</f>
        <v>72.86</v>
      </c>
      <c r="K184" s="3">
        <f ca="1">IFERROR(__xludf.DUMMYFUNCTION("""COMPUTED_VALUE"""),73.31)</f>
        <v>73.31</v>
      </c>
      <c r="L184" s="3">
        <f ca="1">IFERROR(__xludf.DUMMYFUNCTION("""COMPUTED_VALUE"""),7185111)</f>
        <v>7185111</v>
      </c>
      <c r="M184" s="4">
        <f ca="1">IFERROR(__xludf.DUMMYFUNCTION("""COMPUTED_VALUE"""),42391.6666666666)</f>
        <v>42391.666666666599</v>
      </c>
      <c r="N184" s="3">
        <f ca="1">IFERROR(__xludf.DUMMYFUNCTION("""COMPUTED_VALUE"""),49.01)</f>
        <v>49.01</v>
      </c>
      <c r="O184" s="3">
        <f ca="1">IFERROR(__xludf.DUMMYFUNCTION("""COMPUTED_VALUE"""),49.39)</f>
        <v>49.39</v>
      </c>
      <c r="P184" s="3">
        <f ca="1">IFERROR(__xludf.DUMMYFUNCTION("""COMPUTED_VALUE"""),48.63)</f>
        <v>48.63</v>
      </c>
      <c r="Q184" s="3">
        <f ca="1">IFERROR(__xludf.DUMMYFUNCTION("""COMPUTED_VALUE"""),49.29)</f>
        <v>49.29</v>
      </c>
      <c r="R184" s="3">
        <f ca="1">IFERROR(__xludf.DUMMYFUNCTION("""COMPUTED_VALUE"""),13754517)</f>
        <v>13754517</v>
      </c>
      <c r="S184" s="4">
        <f ca="1">IFERROR(__xludf.DUMMYFUNCTION("""COMPUTED_VALUE"""),42391.6666666666)</f>
        <v>42391.666666666599</v>
      </c>
      <c r="T184" s="3">
        <f ca="1">IFERROR(__xludf.DUMMYFUNCTION("""COMPUTED_VALUE"""),55.33)</f>
        <v>55.33</v>
      </c>
      <c r="U184" s="3">
        <f ca="1">IFERROR(__xludf.DUMMYFUNCTION("""COMPUTED_VALUE"""),56.12)</f>
        <v>56.12</v>
      </c>
      <c r="V184" s="3">
        <f ca="1">IFERROR(__xludf.DUMMYFUNCTION("""COMPUTED_VALUE"""),54.45)</f>
        <v>54.45</v>
      </c>
      <c r="W184" s="3">
        <f ca="1">IFERROR(__xludf.DUMMYFUNCTION("""COMPUTED_VALUE"""),55.74)</f>
        <v>55.74</v>
      </c>
      <c r="X184" s="3">
        <f ca="1">IFERROR(__xludf.DUMMYFUNCTION("""COMPUTED_VALUE"""),38622508)</f>
        <v>38622508</v>
      </c>
      <c r="Y184" s="4">
        <f ca="1">IFERROR(__xludf.DUMMYFUNCTION("""COMPUTED_VALUE"""),42391.6666666666)</f>
        <v>42391.666666666599</v>
      </c>
      <c r="Z184" s="3">
        <f ca="1">IFERROR(__xludf.DUMMYFUNCTION("""COMPUTED_VALUE"""),17.19)</f>
        <v>17.190000000000001</v>
      </c>
      <c r="AA184" s="3">
        <f ca="1">IFERROR(__xludf.DUMMYFUNCTION("""COMPUTED_VALUE"""),17.35)</f>
        <v>17.350000000000001</v>
      </c>
      <c r="AB184" s="3">
        <f ca="1">IFERROR(__xludf.DUMMYFUNCTION("""COMPUTED_VALUE"""),17.16)</f>
        <v>17.16</v>
      </c>
      <c r="AC184" s="3">
        <f ca="1">IFERROR(__xludf.DUMMYFUNCTION("""COMPUTED_VALUE"""),17.28)</f>
        <v>17.28</v>
      </c>
      <c r="AD184" s="3">
        <f ca="1">IFERROR(__xludf.DUMMYFUNCTION("""COMPUTED_VALUE"""),48200021)</f>
        <v>48200021</v>
      </c>
      <c r="AE184" s="4">
        <f ca="1">IFERROR(__xludf.DUMMYFUNCTION("""COMPUTED_VALUE"""),42391.6666666666)</f>
        <v>42391.666666666599</v>
      </c>
      <c r="AF184" s="3">
        <f ca="1">IFERROR(__xludf.DUMMYFUNCTION("""COMPUTED_VALUE"""),67.73)</f>
        <v>67.73</v>
      </c>
      <c r="AG184" s="3">
        <f ca="1">IFERROR(__xludf.DUMMYFUNCTION("""COMPUTED_VALUE"""),68.03)</f>
        <v>68.03</v>
      </c>
      <c r="AH184" s="3">
        <f ca="1">IFERROR(__xludf.DUMMYFUNCTION("""COMPUTED_VALUE"""),67.41)</f>
        <v>67.41</v>
      </c>
      <c r="AI184" s="3">
        <f ca="1">IFERROR(__xludf.DUMMYFUNCTION("""COMPUTED_VALUE"""),67.85)</f>
        <v>67.849999999999994</v>
      </c>
      <c r="AJ184" s="3">
        <f ca="1">IFERROR(__xludf.DUMMYFUNCTION("""COMPUTED_VALUE"""),11343828)</f>
        <v>11343828</v>
      </c>
      <c r="AK184" s="4">
        <f ca="1">IFERROR(__xludf.DUMMYFUNCTION("""COMPUTED_VALUE"""),42391.6666666666)</f>
        <v>42391.666666666599</v>
      </c>
      <c r="AL184" s="3">
        <f ca="1">IFERROR(__xludf.DUMMYFUNCTION("""COMPUTED_VALUE"""),48.84)</f>
        <v>48.84</v>
      </c>
      <c r="AM184" s="3">
        <f ca="1">IFERROR(__xludf.DUMMYFUNCTION("""COMPUTED_VALUE"""),48.99)</f>
        <v>48.99</v>
      </c>
      <c r="AN184" s="3">
        <f ca="1">IFERROR(__xludf.DUMMYFUNCTION("""COMPUTED_VALUE"""),48.22)</f>
        <v>48.22</v>
      </c>
      <c r="AO184" s="3">
        <f ca="1">IFERROR(__xludf.DUMMYFUNCTION("""COMPUTED_VALUE"""),48.64)</f>
        <v>48.64</v>
      </c>
      <c r="AP184" s="3">
        <f ca="1">IFERROR(__xludf.DUMMYFUNCTION("""COMPUTED_VALUE"""),12781561)</f>
        <v>12781561</v>
      </c>
      <c r="AQ184" s="4">
        <f ca="1">IFERROR(__xludf.DUMMYFUNCTION("""COMPUTED_VALUE"""),42391.6666666666)</f>
        <v>42391.666666666599</v>
      </c>
      <c r="AR184" s="3">
        <f ca="1">IFERROR(__xludf.DUMMYFUNCTION("""COMPUTED_VALUE"""),38.54)</f>
        <v>38.54</v>
      </c>
      <c r="AS184" s="3">
        <f ca="1">IFERROR(__xludf.DUMMYFUNCTION("""COMPUTED_VALUE"""),39.08)</f>
        <v>39.08</v>
      </c>
      <c r="AT184" s="3">
        <f ca="1">IFERROR(__xludf.DUMMYFUNCTION("""COMPUTED_VALUE"""),38.15)</f>
        <v>38.15</v>
      </c>
      <c r="AU184" s="3">
        <f ca="1">IFERROR(__xludf.DUMMYFUNCTION("""COMPUTED_VALUE"""),38.51)</f>
        <v>38.51</v>
      </c>
      <c r="AV184" s="3">
        <f ca="1">IFERROR(__xludf.DUMMYFUNCTION("""COMPUTED_VALUE"""),9537605)</f>
        <v>9537605</v>
      </c>
      <c r="AW184" s="4">
        <f ca="1">IFERROR(__xludf.DUMMYFUNCTION("""COMPUTED_VALUE"""),42557.6666666666)</f>
        <v>42557.666666666599</v>
      </c>
      <c r="AX184" s="3">
        <f ca="1">IFERROR(__xludf.DUMMYFUNCTION("""COMPUTED_VALUE"""),33.99)</f>
        <v>33.99</v>
      </c>
      <c r="AY184" s="3">
        <f ca="1">IFERROR(__xludf.DUMMYFUNCTION("""COMPUTED_VALUE"""),33.99)</f>
        <v>33.99</v>
      </c>
      <c r="AZ184" s="3">
        <f ca="1">IFERROR(__xludf.DUMMYFUNCTION("""COMPUTED_VALUE"""),33.58)</f>
        <v>33.58</v>
      </c>
      <c r="BA184" s="3">
        <f ca="1">IFERROR(__xludf.DUMMYFUNCTION("""COMPUTED_VALUE"""),33.77)</f>
        <v>33.770000000000003</v>
      </c>
      <c r="BB184" s="3">
        <f ca="1">IFERROR(__xludf.DUMMYFUNCTION("""COMPUTED_VALUE"""),8300)</f>
        <v>8300</v>
      </c>
      <c r="BC184" s="4">
        <f ca="1">IFERROR(__xludf.DUMMYFUNCTION("""COMPUTED_VALUE"""),42391.6666666666)</f>
        <v>42391.666666666599</v>
      </c>
      <c r="BD184" s="3">
        <f ca="1">IFERROR(__xludf.DUMMYFUNCTION("""COMPUTED_VALUE"""),40.04)</f>
        <v>40.04</v>
      </c>
      <c r="BE184" s="3">
        <f ca="1">IFERROR(__xludf.DUMMYFUNCTION("""COMPUTED_VALUE"""),40.39)</f>
        <v>40.39</v>
      </c>
      <c r="BF184" s="3">
        <f ca="1">IFERROR(__xludf.DUMMYFUNCTION("""COMPUTED_VALUE"""),39.98)</f>
        <v>39.979999999999997</v>
      </c>
      <c r="BG184" s="3">
        <f ca="1">IFERROR(__xludf.DUMMYFUNCTION("""COMPUTED_VALUE"""),40.38)</f>
        <v>40.380000000000003</v>
      </c>
      <c r="BH184" s="3">
        <f ca="1">IFERROR(__xludf.DUMMYFUNCTION("""COMPUTED_VALUE"""),11248235)</f>
        <v>11248235</v>
      </c>
      <c r="BI184" s="4">
        <f ca="1">IFERROR(__xludf.DUMMYFUNCTION("""COMPUTED_VALUE"""),42391.6666666666)</f>
        <v>42391.666666666599</v>
      </c>
      <c r="BJ184" s="3">
        <f ca="1">IFERROR(__xludf.DUMMYFUNCTION("""COMPUTED_VALUE"""),43.29)</f>
        <v>43.29</v>
      </c>
      <c r="BK184" s="3">
        <f ca="1">IFERROR(__xludf.DUMMYFUNCTION("""COMPUTED_VALUE"""),43.83)</f>
        <v>43.83</v>
      </c>
      <c r="BL184" s="3">
        <f ca="1">IFERROR(__xludf.DUMMYFUNCTION("""COMPUTED_VALUE"""),43.08)</f>
        <v>43.08</v>
      </c>
      <c r="BM184" s="3">
        <f ca="1">IFERROR(__xludf.DUMMYFUNCTION("""COMPUTED_VALUE"""),43.8)</f>
        <v>43.8</v>
      </c>
      <c r="BN184" s="3">
        <f ca="1">IFERROR(__xludf.DUMMYFUNCTION("""COMPUTED_VALUE"""),15060464)</f>
        <v>15060464</v>
      </c>
    </row>
    <row r="185" spans="7:66" ht="13" x14ac:dyDescent="0.15">
      <c r="G185" s="4">
        <f ca="1">IFERROR(__xludf.DUMMYFUNCTION("""COMPUTED_VALUE"""),42394.6666666666)</f>
        <v>42394.666666666599</v>
      </c>
      <c r="H185" s="3">
        <f ca="1">IFERROR(__xludf.DUMMYFUNCTION("""COMPUTED_VALUE"""),73.3)</f>
        <v>73.3</v>
      </c>
      <c r="I185" s="3">
        <f ca="1">IFERROR(__xludf.DUMMYFUNCTION("""COMPUTED_VALUE"""),73.5)</f>
        <v>73.5</v>
      </c>
      <c r="J185" s="3">
        <f ca="1">IFERROR(__xludf.DUMMYFUNCTION("""COMPUTED_VALUE"""),72.39)</f>
        <v>72.39</v>
      </c>
      <c r="K185" s="3">
        <f ca="1">IFERROR(__xludf.DUMMYFUNCTION("""COMPUTED_VALUE"""),72.47)</f>
        <v>72.47</v>
      </c>
      <c r="L185" s="3">
        <f ca="1">IFERROR(__xludf.DUMMYFUNCTION("""COMPUTED_VALUE"""),7148402)</f>
        <v>7148402</v>
      </c>
      <c r="M185" s="4">
        <f ca="1">IFERROR(__xludf.DUMMYFUNCTION("""COMPUTED_VALUE"""),42394.6666666666)</f>
        <v>42394.666666666599</v>
      </c>
      <c r="N185" s="3">
        <f ca="1">IFERROR(__xludf.DUMMYFUNCTION("""COMPUTED_VALUE"""),48.49)</f>
        <v>48.49</v>
      </c>
      <c r="O185" s="3">
        <f ca="1">IFERROR(__xludf.DUMMYFUNCTION("""COMPUTED_VALUE"""),49.27)</f>
        <v>49.27</v>
      </c>
      <c r="P185" s="3">
        <f ca="1">IFERROR(__xludf.DUMMYFUNCTION("""COMPUTED_VALUE"""),48.41)</f>
        <v>48.41</v>
      </c>
      <c r="Q185" s="3">
        <f ca="1">IFERROR(__xludf.DUMMYFUNCTION("""COMPUTED_VALUE"""),48.85)</f>
        <v>48.85</v>
      </c>
      <c r="R185" s="3">
        <f ca="1">IFERROR(__xludf.DUMMYFUNCTION("""COMPUTED_VALUE"""),15869448)</f>
        <v>15869448</v>
      </c>
      <c r="S185" s="4">
        <f ca="1">IFERROR(__xludf.DUMMYFUNCTION("""COMPUTED_VALUE"""),42394.6666666666)</f>
        <v>42394.666666666599</v>
      </c>
      <c r="T185" s="3">
        <f ca="1">IFERROR(__xludf.DUMMYFUNCTION("""COMPUTED_VALUE"""),54.68)</f>
        <v>54.68</v>
      </c>
      <c r="U185" s="3">
        <f ca="1">IFERROR(__xludf.DUMMYFUNCTION("""COMPUTED_VALUE"""),56.08)</f>
        <v>56.08</v>
      </c>
      <c r="V185" s="3">
        <f ca="1">IFERROR(__xludf.DUMMYFUNCTION("""COMPUTED_VALUE"""),53.1)</f>
        <v>53.1</v>
      </c>
      <c r="W185" s="3">
        <f ca="1">IFERROR(__xludf.DUMMYFUNCTION("""COMPUTED_VALUE"""),53.14)</f>
        <v>53.14</v>
      </c>
      <c r="X185" s="3">
        <f ca="1">IFERROR(__xludf.DUMMYFUNCTION("""COMPUTED_VALUE"""),29120008)</f>
        <v>29120008</v>
      </c>
      <c r="Y185" s="4">
        <f ca="1">IFERROR(__xludf.DUMMYFUNCTION("""COMPUTED_VALUE"""),42394.6666666666)</f>
        <v>42394.666666666599</v>
      </c>
      <c r="Z185" s="3">
        <f ca="1">IFERROR(__xludf.DUMMYFUNCTION("""COMPUTED_VALUE"""),17.21)</f>
        <v>17.21</v>
      </c>
      <c r="AA185" s="3">
        <f ca="1">IFERROR(__xludf.DUMMYFUNCTION("""COMPUTED_VALUE"""),17.27)</f>
        <v>17.27</v>
      </c>
      <c r="AB185" s="3">
        <f ca="1">IFERROR(__xludf.DUMMYFUNCTION("""COMPUTED_VALUE"""),16.89)</f>
        <v>16.89</v>
      </c>
      <c r="AC185" s="3">
        <f ca="1">IFERROR(__xludf.DUMMYFUNCTION("""COMPUTED_VALUE"""),16.93)</f>
        <v>16.93</v>
      </c>
      <c r="AD185" s="3">
        <f ca="1">IFERROR(__xludf.DUMMYFUNCTION("""COMPUTED_VALUE"""),64160985)</f>
        <v>64160985</v>
      </c>
      <c r="AE185" s="4">
        <f ca="1">IFERROR(__xludf.DUMMYFUNCTION("""COMPUTED_VALUE"""),42394.6666666666)</f>
        <v>42394.666666666599</v>
      </c>
      <c r="AF185" s="3">
        <f ca="1">IFERROR(__xludf.DUMMYFUNCTION("""COMPUTED_VALUE"""),67.65)</f>
        <v>67.650000000000006</v>
      </c>
      <c r="AG185" s="3">
        <f ca="1">IFERROR(__xludf.DUMMYFUNCTION("""COMPUTED_VALUE"""),68.1)</f>
        <v>68.099999999999994</v>
      </c>
      <c r="AH185" s="3">
        <f ca="1">IFERROR(__xludf.DUMMYFUNCTION("""COMPUTED_VALUE"""),67.13)</f>
        <v>67.13</v>
      </c>
      <c r="AI185" s="3">
        <f ca="1">IFERROR(__xludf.DUMMYFUNCTION("""COMPUTED_VALUE"""),67.22)</f>
        <v>67.22</v>
      </c>
      <c r="AJ185" s="3">
        <f ca="1">IFERROR(__xludf.DUMMYFUNCTION("""COMPUTED_VALUE"""),10131859)</f>
        <v>10131859</v>
      </c>
      <c r="AK185" s="4">
        <f ca="1">IFERROR(__xludf.DUMMYFUNCTION("""COMPUTED_VALUE"""),42394.6666666666)</f>
        <v>42394.666666666599</v>
      </c>
      <c r="AL185" s="3">
        <f ca="1">IFERROR(__xludf.DUMMYFUNCTION("""COMPUTED_VALUE"""),48.56)</f>
        <v>48.56</v>
      </c>
      <c r="AM185" s="3">
        <f ca="1">IFERROR(__xludf.DUMMYFUNCTION("""COMPUTED_VALUE"""),48.65)</f>
        <v>48.65</v>
      </c>
      <c r="AN185" s="3">
        <f ca="1">IFERROR(__xludf.DUMMYFUNCTION("""COMPUTED_VALUE"""),47.96)</f>
        <v>47.96</v>
      </c>
      <c r="AO185" s="3">
        <f ca="1">IFERROR(__xludf.DUMMYFUNCTION("""COMPUTED_VALUE"""),48.04)</f>
        <v>48.04</v>
      </c>
      <c r="AP185" s="3">
        <f ca="1">IFERROR(__xludf.DUMMYFUNCTION("""COMPUTED_VALUE"""),14533951)</f>
        <v>14533951</v>
      </c>
      <c r="AQ185" s="4">
        <f ca="1">IFERROR(__xludf.DUMMYFUNCTION("""COMPUTED_VALUE"""),42394.6666666666)</f>
        <v>42394.666666666599</v>
      </c>
      <c r="AR185" s="3">
        <f ca="1">IFERROR(__xludf.DUMMYFUNCTION("""COMPUTED_VALUE"""),38.14)</f>
        <v>38.14</v>
      </c>
      <c r="AS185" s="3">
        <f ca="1">IFERROR(__xludf.DUMMYFUNCTION("""COMPUTED_VALUE"""),38.22)</f>
        <v>38.22</v>
      </c>
      <c r="AT185" s="3">
        <f ca="1">IFERROR(__xludf.DUMMYFUNCTION("""COMPUTED_VALUE"""),37.22)</f>
        <v>37.22</v>
      </c>
      <c r="AU185" s="3">
        <f ca="1">IFERROR(__xludf.DUMMYFUNCTION("""COMPUTED_VALUE"""),37.28)</f>
        <v>37.28</v>
      </c>
      <c r="AV185" s="3">
        <f ca="1">IFERROR(__xludf.DUMMYFUNCTION("""COMPUTED_VALUE"""),11141731)</f>
        <v>11141731</v>
      </c>
      <c r="AW185" s="4">
        <f ca="1">IFERROR(__xludf.DUMMYFUNCTION("""COMPUTED_VALUE"""),42558.6666666666)</f>
        <v>42558.666666666599</v>
      </c>
      <c r="AX185" s="3">
        <f ca="1">IFERROR(__xludf.DUMMYFUNCTION("""COMPUTED_VALUE"""),33.9)</f>
        <v>33.9</v>
      </c>
      <c r="AY185" s="3">
        <f ca="1">IFERROR(__xludf.DUMMYFUNCTION("""COMPUTED_VALUE"""),33.9)</f>
        <v>33.9</v>
      </c>
      <c r="AZ185" s="3">
        <f ca="1">IFERROR(__xludf.DUMMYFUNCTION("""COMPUTED_VALUE"""),33.33)</f>
        <v>33.33</v>
      </c>
      <c r="BA185" s="3">
        <f ca="1">IFERROR(__xludf.DUMMYFUNCTION("""COMPUTED_VALUE"""),33.35)</f>
        <v>33.35</v>
      </c>
      <c r="BB185" s="3">
        <f ca="1">IFERROR(__xludf.DUMMYFUNCTION("""COMPUTED_VALUE"""),3427)</f>
        <v>3427</v>
      </c>
      <c r="BC185" s="4">
        <f ca="1">IFERROR(__xludf.DUMMYFUNCTION("""COMPUTED_VALUE"""),42394.6666666666)</f>
        <v>42394.666666666599</v>
      </c>
      <c r="BD185" s="3">
        <f ca="1">IFERROR(__xludf.DUMMYFUNCTION("""COMPUTED_VALUE"""),40.16)</f>
        <v>40.159999999999997</v>
      </c>
      <c r="BE185" s="3">
        <f ca="1">IFERROR(__xludf.DUMMYFUNCTION("""COMPUTED_VALUE"""),40.51)</f>
        <v>40.51</v>
      </c>
      <c r="BF185" s="3">
        <f ca="1">IFERROR(__xludf.DUMMYFUNCTION("""COMPUTED_VALUE"""),39.84)</f>
        <v>39.840000000000003</v>
      </c>
      <c r="BG185" s="3">
        <f ca="1">IFERROR(__xludf.DUMMYFUNCTION("""COMPUTED_VALUE"""),39.91)</f>
        <v>39.909999999999997</v>
      </c>
      <c r="BH185" s="3">
        <f ca="1">IFERROR(__xludf.DUMMYFUNCTION("""COMPUTED_VALUE"""),10480637)</f>
        <v>10480637</v>
      </c>
      <c r="BI185" s="4">
        <f ca="1">IFERROR(__xludf.DUMMYFUNCTION("""COMPUTED_VALUE"""),42394.6666666666)</f>
        <v>42394.666666666599</v>
      </c>
      <c r="BJ185" s="3">
        <f ca="1">IFERROR(__xludf.DUMMYFUNCTION("""COMPUTED_VALUE"""),43.78)</f>
        <v>43.78</v>
      </c>
      <c r="BK185" s="3">
        <f ca="1">IFERROR(__xludf.DUMMYFUNCTION("""COMPUTED_VALUE"""),43.89)</f>
        <v>43.89</v>
      </c>
      <c r="BL185" s="3">
        <f ca="1">IFERROR(__xludf.DUMMYFUNCTION("""COMPUTED_VALUE"""),43.27)</f>
        <v>43.27</v>
      </c>
      <c r="BM185" s="3">
        <f ca="1">IFERROR(__xludf.DUMMYFUNCTION("""COMPUTED_VALUE"""),43.43)</f>
        <v>43.43</v>
      </c>
      <c r="BN185" s="3">
        <f ca="1">IFERROR(__xludf.DUMMYFUNCTION("""COMPUTED_VALUE"""),13521364)</f>
        <v>13521364</v>
      </c>
    </row>
    <row r="186" spans="7:66" ht="13" x14ac:dyDescent="0.15">
      <c r="G186" s="4">
        <f ca="1">IFERROR(__xludf.DUMMYFUNCTION("""COMPUTED_VALUE"""),42395.6666666666)</f>
        <v>42395.666666666599</v>
      </c>
      <c r="H186" s="3">
        <f ca="1">IFERROR(__xludf.DUMMYFUNCTION("""COMPUTED_VALUE"""),72.74)</f>
        <v>72.739999999999995</v>
      </c>
      <c r="I186" s="3">
        <f ca="1">IFERROR(__xludf.DUMMYFUNCTION("""COMPUTED_VALUE"""),73.68)</f>
        <v>73.680000000000007</v>
      </c>
      <c r="J186" s="3">
        <f ca="1">IFERROR(__xludf.DUMMYFUNCTION("""COMPUTED_VALUE"""),72.38)</f>
        <v>72.38</v>
      </c>
      <c r="K186" s="3">
        <f ca="1">IFERROR(__xludf.DUMMYFUNCTION("""COMPUTED_VALUE"""),73.53)</f>
        <v>73.53</v>
      </c>
      <c r="L186" s="3">
        <f ca="1">IFERROR(__xludf.DUMMYFUNCTION("""COMPUTED_VALUE"""),7950062)</f>
        <v>7950062</v>
      </c>
      <c r="M186" s="4">
        <f ca="1">IFERROR(__xludf.DUMMYFUNCTION("""COMPUTED_VALUE"""),42395.6666666666)</f>
        <v>42395.666666666599</v>
      </c>
      <c r="N186" s="3">
        <f ca="1">IFERROR(__xludf.DUMMYFUNCTION("""COMPUTED_VALUE"""),49)</f>
        <v>49</v>
      </c>
      <c r="O186" s="3">
        <f ca="1">IFERROR(__xludf.DUMMYFUNCTION("""COMPUTED_VALUE"""),49.62)</f>
        <v>49.62</v>
      </c>
      <c r="P186" s="3">
        <f ca="1">IFERROR(__xludf.DUMMYFUNCTION("""COMPUTED_VALUE"""),48.95)</f>
        <v>48.95</v>
      </c>
      <c r="Q186" s="3">
        <f ca="1">IFERROR(__xludf.DUMMYFUNCTION("""COMPUTED_VALUE"""),49.29)</f>
        <v>49.29</v>
      </c>
      <c r="R186" s="3">
        <f ca="1">IFERROR(__xludf.DUMMYFUNCTION("""COMPUTED_VALUE"""),10524137)</f>
        <v>10524137</v>
      </c>
      <c r="S186" s="4">
        <f ca="1">IFERROR(__xludf.DUMMYFUNCTION("""COMPUTED_VALUE"""),42395.6666666666)</f>
        <v>42395.666666666599</v>
      </c>
      <c r="T186" s="3">
        <f ca="1">IFERROR(__xludf.DUMMYFUNCTION("""COMPUTED_VALUE"""),54.1)</f>
        <v>54.1</v>
      </c>
      <c r="U186" s="3">
        <f ca="1">IFERROR(__xludf.DUMMYFUNCTION("""COMPUTED_VALUE"""),55.22)</f>
        <v>55.22</v>
      </c>
      <c r="V186" s="3">
        <f ca="1">IFERROR(__xludf.DUMMYFUNCTION("""COMPUTED_VALUE"""),53.4)</f>
        <v>53.4</v>
      </c>
      <c r="W186" s="3">
        <f ca="1">IFERROR(__xludf.DUMMYFUNCTION("""COMPUTED_VALUE"""),55.15)</f>
        <v>55.15</v>
      </c>
      <c r="X186" s="3">
        <f ca="1">IFERROR(__xludf.DUMMYFUNCTION("""COMPUTED_VALUE"""),25354906)</f>
        <v>25354906</v>
      </c>
      <c r="Y186" s="4">
        <f ca="1">IFERROR(__xludf.DUMMYFUNCTION("""COMPUTED_VALUE"""),42395.6666666666)</f>
        <v>42395.666666666599</v>
      </c>
      <c r="Z186" s="3">
        <f ca="1">IFERROR(__xludf.DUMMYFUNCTION("""COMPUTED_VALUE"""),17)</f>
        <v>17</v>
      </c>
      <c r="AA186" s="3">
        <f ca="1">IFERROR(__xludf.DUMMYFUNCTION("""COMPUTED_VALUE"""),17.26)</f>
        <v>17.260000000000002</v>
      </c>
      <c r="AB186" s="3">
        <f ca="1">IFERROR(__xludf.DUMMYFUNCTION("""COMPUTED_VALUE"""),16.97)</f>
        <v>16.97</v>
      </c>
      <c r="AC186" s="3">
        <f ca="1">IFERROR(__xludf.DUMMYFUNCTION("""COMPUTED_VALUE"""),17.22)</f>
        <v>17.22</v>
      </c>
      <c r="AD186" s="3">
        <f ca="1">IFERROR(__xludf.DUMMYFUNCTION("""COMPUTED_VALUE"""),51968934)</f>
        <v>51968934</v>
      </c>
      <c r="AE186" s="4">
        <f ca="1">IFERROR(__xludf.DUMMYFUNCTION("""COMPUTED_VALUE"""),42395.6666666666)</f>
        <v>42395.666666666599</v>
      </c>
      <c r="AF186" s="3">
        <f ca="1">IFERROR(__xludf.DUMMYFUNCTION("""COMPUTED_VALUE"""),67.26)</f>
        <v>67.260000000000005</v>
      </c>
      <c r="AG186" s="3">
        <f ca="1">IFERROR(__xludf.DUMMYFUNCTION("""COMPUTED_VALUE"""),67.86)</f>
        <v>67.86</v>
      </c>
      <c r="AH186" s="3">
        <f ca="1">IFERROR(__xludf.DUMMYFUNCTION("""COMPUTED_VALUE"""),66.74)</f>
        <v>66.739999999999995</v>
      </c>
      <c r="AI186" s="3">
        <f ca="1">IFERROR(__xludf.DUMMYFUNCTION("""COMPUTED_VALUE"""),67.73)</f>
        <v>67.73</v>
      </c>
      <c r="AJ186" s="3">
        <f ca="1">IFERROR(__xludf.DUMMYFUNCTION("""COMPUTED_VALUE"""),12449656)</f>
        <v>12449656</v>
      </c>
      <c r="AK186" s="4">
        <f ca="1">IFERROR(__xludf.DUMMYFUNCTION("""COMPUTED_VALUE"""),42395.6666666666)</f>
        <v>42395.666666666599</v>
      </c>
      <c r="AL186" s="3">
        <f ca="1">IFERROR(__xludf.DUMMYFUNCTION("""COMPUTED_VALUE"""),48.15)</f>
        <v>48.15</v>
      </c>
      <c r="AM186" s="3">
        <f ca="1">IFERROR(__xludf.DUMMYFUNCTION("""COMPUTED_VALUE"""),48.97)</f>
        <v>48.97</v>
      </c>
      <c r="AN186" s="3">
        <f ca="1">IFERROR(__xludf.DUMMYFUNCTION("""COMPUTED_VALUE"""),48.14)</f>
        <v>48.14</v>
      </c>
      <c r="AO186" s="3">
        <f ca="1">IFERROR(__xludf.DUMMYFUNCTION("""COMPUTED_VALUE"""),48.95)</f>
        <v>48.95</v>
      </c>
      <c r="AP186" s="3">
        <f ca="1">IFERROR(__xludf.DUMMYFUNCTION("""COMPUTED_VALUE"""),12038307)</f>
        <v>12038307</v>
      </c>
      <c r="AQ186" s="4">
        <f ca="1">IFERROR(__xludf.DUMMYFUNCTION("""COMPUTED_VALUE"""),42395.6666666666)</f>
        <v>42395.666666666599</v>
      </c>
      <c r="AR186" s="3">
        <f ca="1">IFERROR(__xludf.DUMMYFUNCTION("""COMPUTED_VALUE"""),37.68)</f>
        <v>37.68</v>
      </c>
      <c r="AS186" s="3">
        <f ca="1">IFERROR(__xludf.DUMMYFUNCTION("""COMPUTED_VALUE"""),38.02)</f>
        <v>38.020000000000003</v>
      </c>
      <c r="AT186" s="3">
        <f ca="1">IFERROR(__xludf.DUMMYFUNCTION("""COMPUTED_VALUE"""),37.28)</f>
        <v>37.28</v>
      </c>
      <c r="AU186" s="3">
        <f ca="1">IFERROR(__xludf.DUMMYFUNCTION("""COMPUTED_VALUE"""),37.92)</f>
        <v>37.92</v>
      </c>
      <c r="AV186" s="3">
        <f ca="1">IFERROR(__xludf.DUMMYFUNCTION("""COMPUTED_VALUE"""),7587807)</f>
        <v>7587807</v>
      </c>
      <c r="AW186" s="4">
        <f ca="1">IFERROR(__xludf.DUMMYFUNCTION("""COMPUTED_VALUE"""),42559.6666666666)</f>
        <v>42559.666666666599</v>
      </c>
      <c r="AX186" s="3">
        <f ca="1">IFERROR(__xludf.DUMMYFUNCTION("""COMPUTED_VALUE"""),33.73)</f>
        <v>33.729999999999997</v>
      </c>
      <c r="AY186" s="3">
        <f ca="1">IFERROR(__xludf.DUMMYFUNCTION("""COMPUTED_VALUE"""),34)</f>
        <v>34</v>
      </c>
      <c r="AZ186" s="3">
        <f ca="1">IFERROR(__xludf.DUMMYFUNCTION("""COMPUTED_VALUE"""),33.6)</f>
        <v>33.6</v>
      </c>
      <c r="BA186" s="3">
        <f ca="1">IFERROR(__xludf.DUMMYFUNCTION("""COMPUTED_VALUE"""),33.93)</f>
        <v>33.93</v>
      </c>
      <c r="BB186" s="3">
        <f ca="1">IFERROR(__xludf.DUMMYFUNCTION("""COMPUTED_VALUE"""),17851)</f>
        <v>17851</v>
      </c>
      <c r="BC186" s="4">
        <f ca="1">IFERROR(__xludf.DUMMYFUNCTION("""COMPUTED_VALUE"""),42395.6666666666)</f>
        <v>42395.666666666599</v>
      </c>
      <c r="BD186" s="3">
        <f ca="1">IFERROR(__xludf.DUMMYFUNCTION("""COMPUTED_VALUE"""),40.07)</f>
        <v>40.07</v>
      </c>
      <c r="BE186" s="3">
        <f ca="1">IFERROR(__xludf.DUMMYFUNCTION("""COMPUTED_VALUE"""),40.39)</f>
        <v>40.39</v>
      </c>
      <c r="BF186" s="3">
        <f ca="1">IFERROR(__xludf.DUMMYFUNCTION("""COMPUTED_VALUE"""),39.82)</f>
        <v>39.82</v>
      </c>
      <c r="BG186" s="3">
        <f ca="1">IFERROR(__xludf.DUMMYFUNCTION("""COMPUTED_VALUE"""),40.3)</f>
        <v>40.299999999999997</v>
      </c>
      <c r="BH186" s="3">
        <f ca="1">IFERROR(__xludf.DUMMYFUNCTION("""COMPUTED_VALUE"""),11473681)</f>
        <v>11473681</v>
      </c>
      <c r="BI186" s="4">
        <f ca="1">IFERROR(__xludf.DUMMYFUNCTION("""COMPUTED_VALUE"""),42395.6666666666)</f>
        <v>42395.666666666599</v>
      </c>
      <c r="BJ186" s="3">
        <f ca="1">IFERROR(__xludf.DUMMYFUNCTION("""COMPUTED_VALUE"""),43.53)</f>
        <v>43.53</v>
      </c>
      <c r="BK186" s="3">
        <f ca="1">IFERROR(__xludf.DUMMYFUNCTION("""COMPUTED_VALUE"""),44.16)</f>
        <v>44.16</v>
      </c>
      <c r="BL186" s="3">
        <f ca="1">IFERROR(__xludf.DUMMYFUNCTION("""COMPUTED_VALUE"""),43.53)</f>
        <v>43.53</v>
      </c>
      <c r="BM186" s="3">
        <f ca="1">IFERROR(__xludf.DUMMYFUNCTION("""COMPUTED_VALUE"""),43.73)</f>
        <v>43.73</v>
      </c>
      <c r="BN186" s="3">
        <f ca="1">IFERROR(__xludf.DUMMYFUNCTION("""COMPUTED_VALUE"""),11459638)</f>
        <v>11459638</v>
      </c>
    </row>
    <row r="187" spans="7:66" ht="13" x14ac:dyDescent="0.15">
      <c r="G187" s="4">
        <f ca="1">IFERROR(__xludf.DUMMYFUNCTION("""COMPUTED_VALUE"""),42396.6666666666)</f>
        <v>42396.666666666599</v>
      </c>
      <c r="H187" s="3">
        <f ca="1">IFERROR(__xludf.DUMMYFUNCTION("""COMPUTED_VALUE"""),73.4)</f>
        <v>73.400000000000006</v>
      </c>
      <c r="I187" s="3">
        <f ca="1">IFERROR(__xludf.DUMMYFUNCTION("""COMPUTED_VALUE"""),73.88)</f>
        <v>73.88</v>
      </c>
      <c r="J187" s="3">
        <f ca="1">IFERROR(__xludf.DUMMYFUNCTION("""COMPUTED_VALUE"""),72.04)</f>
        <v>72.040000000000006</v>
      </c>
      <c r="K187" s="3">
        <f ca="1">IFERROR(__xludf.DUMMYFUNCTION("""COMPUTED_VALUE"""),72.38)</f>
        <v>72.38</v>
      </c>
      <c r="L187" s="3">
        <f ca="1">IFERROR(__xludf.DUMMYFUNCTION("""COMPUTED_VALUE"""),10642669)</f>
        <v>10642669</v>
      </c>
      <c r="M187" s="4">
        <f ca="1">IFERROR(__xludf.DUMMYFUNCTION("""COMPUTED_VALUE"""),42396.6666666666)</f>
        <v>42396.666666666599</v>
      </c>
      <c r="N187" s="3">
        <f ca="1">IFERROR(__xludf.DUMMYFUNCTION("""COMPUTED_VALUE"""),49.37)</f>
        <v>49.37</v>
      </c>
      <c r="O187" s="3">
        <f ca="1">IFERROR(__xludf.DUMMYFUNCTION("""COMPUTED_VALUE"""),49.87)</f>
        <v>49.87</v>
      </c>
      <c r="P187" s="3">
        <f ca="1">IFERROR(__xludf.DUMMYFUNCTION("""COMPUTED_VALUE"""),48.95)</f>
        <v>48.95</v>
      </c>
      <c r="Q187" s="3">
        <f ca="1">IFERROR(__xludf.DUMMYFUNCTION("""COMPUTED_VALUE"""),49.25)</f>
        <v>49.25</v>
      </c>
      <c r="R187" s="3">
        <f ca="1">IFERROR(__xludf.DUMMYFUNCTION("""COMPUTED_VALUE"""),17247388)</f>
        <v>17247388</v>
      </c>
      <c r="S187" s="4">
        <f ca="1">IFERROR(__xludf.DUMMYFUNCTION("""COMPUTED_VALUE"""),42396.6666666666)</f>
        <v>42396.666666666599</v>
      </c>
      <c r="T187" s="3">
        <f ca="1">IFERROR(__xludf.DUMMYFUNCTION("""COMPUTED_VALUE"""),54.77)</f>
        <v>54.77</v>
      </c>
      <c r="U187" s="3">
        <f ca="1">IFERROR(__xludf.DUMMYFUNCTION("""COMPUTED_VALUE"""),56.42)</f>
        <v>56.42</v>
      </c>
      <c r="V187" s="3">
        <f ca="1">IFERROR(__xludf.DUMMYFUNCTION("""COMPUTED_VALUE"""),54.2)</f>
        <v>54.2</v>
      </c>
      <c r="W187" s="3">
        <f ca="1">IFERROR(__xludf.DUMMYFUNCTION("""COMPUTED_VALUE"""),54.89)</f>
        <v>54.89</v>
      </c>
      <c r="X187" s="3">
        <f ca="1">IFERROR(__xludf.DUMMYFUNCTION("""COMPUTED_VALUE"""),36494474)</f>
        <v>36494474</v>
      </c>
      <c r="Y187" s="4">
        <f ca="1">IFERROR(__xludf.DUMMYFUNCTION("""COMPUTED_VALUE"""),42396.6666666666)</f>
        <v>42396.666666666599</v>
      </c>
      <c r="Z187" s="3">
        <f ca="1">IFERROR(__xludf.DUMMYFUNCTION("""COMPUTED_VALUE"""),17.16)</f>
        <v>17.16</v>
      </c>
      <c r="AA187" s="3">
        <f ca="1">IFERROR(__xludf.DUMMYFUNCTION("""COMPUTED_VALUE"""),17.45)</f>
        <v>17.45</v>
      </c>
      <c r="AB187" s="3">
        <f ca="1">IFERROR(__xludf.DUMMYFUNCTION("""COMPUTED_VALUE"""),17.03)</f>
        <v>17.03</v>
      </c>
      <c r="AC187" s="3">
        <f ca="1">IFERROR(__xludf.DUMMYFUNCTION("""COMPUTED_VALUE"""),17.15)</f>
        <v>17.149999999999999</v>
      </c>
      <c r="AD187" s="3">
        <f ca="1">IFERROR(__xludf.DUMMYFUNCTION("""COMPUTED_VALUE"""),62718353)</f>
        <v>62718353</v>
      </c>
      <c r="AE187" s="4">
        <f ca="1">IFERROR(__xludf.DUMMYFUNCTION("""COMPUTED_VALUE"""),42396.6666666666)</f>
        <v>42396.666666666599</v>
      </c>
      <c r="AF187" s="3">
        <f ca="1">IFERROR(__xludf.DUMMYFUNCTION("""COMPUTED_VALUE"""),67.61)</f>
        <v>67.61</v>
      </c>
      <c r="AG187" s="3">
        <f ca="1">IFERROR(__xludf.DUMMYFUNCTION("""COMPUTED_VALUE"""),68.32)</f>
        <v>68.319999999999993</v>
      </c>
      <c r="AH187" s="3">
        <f ca="1">IFERROR(__xludf.DUMMYFUNCTION("""COMPUTED_VALUE"""),66.49)</f>
        <v>66.489999999999995</v>
      </c>
      <c r="AI187" s="3">
        <f ca="1">IFERROR(__xludf.DUMMYFUNCTION("""COMPUTED_VALUE"""),66.96)</f>
        <v>66.959999999999994</v>
      </c>
      <c r="AJ187" s="3">
        <f ca="1">IFERROR(__xludf.DUMMYFUNCTION("""COMPUTED_VALUE"""),15924738)</f>
        <v>15924738</v>
      </c>
      <c r="AK187" s="4">
        <f ca="1">IFERROR(__xludf.DUMMYFUNCTION("""COMPUTED_VALUE"""),42396.6666666666)</f>
        <v>42396.666666666599</v>
      </c>
      <c r="AL187" s="3">
        <f ca="1">IFERROR(__xludf.DUMMYFUNCTION("""COMPUTED_VALUE"""),48.69)</f>
        <v>48.69</v>
      </c>
      <c r="AM187" s="3">
        <f ca="1">IFERROR(__xludf.DUMMYFUNCTION("""COMPUTED_VALUE"""),49.28)</f>
        <v>49.28</v>
      </c>
      <c r="AN187" s="3">
        <f ca="1">IFERROR(__xludf.DUMMYFUNCTION("""COMPUTED_VALUE"""),48.14)</f>
        <v>48.14</v>
      </c>
      <c r="AO187" s="3">
        <f ca="1">IFERROR(__xludf.DUMMYFUNCTION("""COMPUTED_VALUE"""),48.4)</f>
        <v>48.4</v>
      </c>
      <c r="AP187" s="3">
        <f ca="1">IFERROR(__xludf.DUMMYFUNCTION("""COMPUTED_VALUE"""),16437248)</f>
        <v>16437248</v>
      </c>
      <c r="AQ187" s="4">
        <f ca="1">IFERROR(__xludf.DUMMYFUNCTION("""COMPUTED_VALUE"""),42396.6666666666)</f>
        <v>42396.666666666599</v>
      </c>
      <c r="AR187" s="3">
        <f ca="1">IFERROR(__xludf.DUMMYFUNCTION("""COMPUTED_VALUE"""),37.85)</f>
        <v>37.85</v>
      </c>
      <c r="AS187" s="3">
        <f ca="1">IFERROR(__xludf.DUMMYFUNCTION("""COMPUTED_VALUE"""),38.5)</f>
        <v>38.5</v>
      </c>
      <c r="AT187" s="3">
        <f ca="1">IFERROR(__xludf.DUMMYFUNCTION("""COMPUTED_VALUE"""),37.52)</f>
        <v>37.520000000000003</v>
      </c>
      <c r="AU187" s="3">
        <f ca="1">IFERROR(__xludf.DUMMYFUNCTION("""COMPUTED_VALUE"""),37.62)</f>
        <v>37.619999999999997</v>
      </c>
      <c r="AV187" s="3">
        <f ca="1">IFERROR(__xludf.DUMMYFUNCTION("""COMPUTED_VALUE"""),7814346)</f>
        <v>7814346</v>
      </c>
      <c r="AW187" s="4">
        <f ca="1">IFERROR(__xludf.DUMMYFUNCTION("""COMPUTED_VALUE"""),42562.6666666666)</f>
        <v>42562.666666666599</v>
      </c>
      <c r="AX187" s="3">
        <f ca="1">IFERROR(__xludf.DUMMYFUNCTION("""COMPUTED_VALUE"""),34.22)</f>
        <v>34.22</v>
      </c>
      <c r="AY187" s="3">
        <f ca="1">IFERROR(__xludf.DUMMYFUNCTION("""COMPUTED_VALUE"""),34.22)</f>
        <v>34.22</v>
      </c>
      <c r="AZ187" s="3">
        <f ca="1">IFERROR(__xludf.DUMMYFUNCTION("""COMPUTED_VALUE"""),33.86)</f>
        <v>33.86</v>
      </c>
      <c r="BA187" s="3">
        <f ca="1">IFERROR(__xludf.DUMMYFUNCTION("""COMPUTED_VALUE"""),34.19)</f>
        <v>34.19</v>
      </c>
      <c r="BB187" s="3">
        <f ca="1">IFERROR(__xludf.DUMMYFUNCTION("""COMPUTED_VALUE"""),6137)</f>
        <v>6137</v>
      </c>
      <c r="BC187" s="4">
        <f ca="1">IFERROR(__xludf.DUMMYFUNCTION("""COMPUTED_VALUE"""),42396.6666666666)</f>
        <v>42396.666666666599</v>
      </c>
      <c r="BD187" s="3">
        <f ca="1">IFERROR(__xludf.DUMMYFUNCTION("""COMPUTED_VALUE"""),39.97)</f>
        <v>39.97</v>
      </c>
      <c r="BE187" s="3">
        <f ca="1">IFERROR(__xludf.DUMMYFUNCTION("""COMPUTED_VALUE"""),40.21)</f>
        <v>40.21</v>
      </c>
      <c r="BF187" s="3">
        <f ca="1">IFERROR(__xludf.DUMMYFUNCTION("""COMPUTED_VALUE"""),39.29)</f>
        <v>39.29</v>
      </c>
      <c r="BG187" s="3">
        <f ca="1">IFERROR(__xludf.DUMMYFUNCTION("""COMPUTED_VALUE"""),39.47)</f>
        <v>39.47</v>
      </c>
      <c r="BH187" s="3">
        <f ca="1">IFERROR(__xludf.DUMMYFUNCTION("""COMPUTED_VALUE"""),18022352)</f>
        <v>18022352</v>
      </c>
      <c r="BI187" s="4">
        <f ca="1">IFERROR(__xludf.DUMMYFUNCTION("""COMPUTED_VALUE"""),42396.6666666666)</f>
        <v>42396.666666666599</v>
      </c>
      <c r="BJ187" s="3">
        <f ca="1">IFERROR(__xludf.DUMMYFUNCTION("""COMPUTED_VALUE"""),43.65)</f>
        <v>43.65</v>
      </c>
      <c r="BK187" s="3">
        <f ca="1">IFERROR(__xludf.DUMMYFUNCTION("""COMPUTED_VALUE"""),44.15)</f>
        <v>44.15</v>
      </c>
      <c r="BL187" s="3">
        <f ca="1">IFERROR(__xludf.DUMMYFUNCTION("""COMPUTED_VALUE"""),43.46)</f>
        <v>43.46</v>
      </c>
      <c r="BM187" s="3">
        <f ca="1">IFERROR(__xludf.DUMMYFUNCTION("""COMPUTED_VALUE"""),43.83)</f>
        <v>43.83</v>
      </c>
      <c r="BN187" s="3">
        <f ca="1">IFERROR(__xludf.DUMMYFUNCTION("""COMPUTED_VALUE"""),13732107)</f>
        <v>13732107</v>
      </c>
    </row>
    <row r="188" spans="7:66" ht="13" x14ac:dyDescent="0.15">
      <c r="G188" s="4">
        <f ca="1">IFERROR(__xludf.DUMMYFUNCTION("""COMPUTED_VALUE"""),42397.6666666666)</f>
        <v>42397.666666666599</v>
      </c>
      <c r="H188" s="3">
        <f ca="1">IFERROR(__xludf.DUMMYFUNCTION("""COMPUTED_VALUE"""),73.29)</f>
        <v>73.290000000000006</v>
      </c>
      <c r="I188" s="3">
        <f ca="1">IFERROR(__xludf.DUMMYFUNCTION("""COMPUTED_VALUE"""),73.51)</f>
        <v>73.510000000000005</v>
      </c>
      <c r="J188" s="3">
        <f ca="1">IFERROR(__xludf.DUMMYFUNCTION("""COMPUTED_VALUE"""),72.01)</f>
        <v>72.010000000000005</v>
      </c>
      <c r="K188" s="3">
        <f ca="1">IFERROR(__xludf.DUMMYFUNCTION("""COMPUTED_VALUE"""),73.31)</f>
        <v>73.31</v>
      </c>
      <c r="L188" s="3">
        <f ca="1">IFERROR(__xludf.DUMMYFUNCTION("""COMPUTED_VALUE"""),10402172)</f>
        <v>10402172</v>
      </c>
      <c r="M188" s="4">
        <f ca="1">IFERROR(__xludf.DUMMYFUNCTION("""COMPUTED_VALUE"""),42397.6666666666)</f>
        <v>42397.666666666599</v>
      </c>
      <c r="N188" s="3">
        <f ca="1">IFERROR(__xludf.DUMMYFUNCTION("""COMPUTED_VALUE"""),49.42)</f>
        <v>49.42</v>
      </c>
      <c r="O188" s="3">
        <f ca="1">IFERROR(__xludf.DUMMYFUNCTION("""COMPUTED_VALUE"""),49.93)</f>
        <v>49.93</v>
      </c>
      <c r="P188" s="3">
        <f ca="1">IFERROR(__xludf.DUMMYFUNCTION("""COMPUTED_VALUE"""),49.27)</f>
        <v>49.27</v>
      </c>
      <c r="Q188" s="3">
        <f ca="1">IFERROR(__xludf.DUMMYFUNCTION("""COMPUTED_VALUE"""),49.75)</f>
        <v>49.75</v>
      </c>
      <c r="R188" s="3">
        <f ca="1">IFERROR(__xludf.DUMMYFUNCTION("""COMPUTED_VALUE"""),15649161)</f>
        <v>15649161</v>
      </c>
      <c r="S188" s="4">
        <f ca="1">IFERROR(__xludf.DUMMYFUNCTION("""COMPUTED_VALUE"""),42397.6666666666)</f>
        <v>42397.666666666599</v>
      </c>
      <c r="T188" s="3">
        <f ca="1">IFERROR(__xludf.DUMMYFUNCTION("""COMPUTED_VALUE"""),56.97)</f>
        <v>56.97</v>
      </c>
      <c r="U188" s="3">
        <f ca="1">IFERROR(__xludf.DUMMYFUNCTION("""COMPUTED_VALUE"""),57.19)</f>
        <v>57.19</v>
      </c>
      <c r="V188" s="3">
        <f ca="1">IFERROR(__xludf.DUMMYFUNCTION("""COMPUTED_VALUE"""),55.43)</f>
        <v>55.43</v>
      </c>
      <c r="W188" s="3">
        <f ca="1">IFERROR(__xludf.DUMMYFUNCTION("""COMPUTED_VALUE"""),56.56)</f>
        <v>56.56</v>
      </c>
      <c r="X188" s="3">
        <f ca="1">IFERROR(__xludf.DUMMYFUNCTION("""COMPUTED_VALUE"""),38171909)</f>
        <v>38171909</v>
      </c>
      <c r="Y188" s="4">
        <f ca="1">IFERROR(__xludf.DUMMYFUNCTION("""COMPUTED_VALUE"""),42397.6666666666)</f>
        <v>42397.666666666599</v>
      </c>
      <c r="Z188" s="3">
        <f ca="1">IFERROR(__xludf.DUMMYFUNCTION("""COMPUTED_VALUE"""),17.26)</f>
        <v>17.260000000000002</v>
      </c>
      <c r="AA188" s="3">
        <f ca="1">IFERROR(__xludf.DUMMYFUNCTION("""COMPUTED_VALUE"""),17.34)</f>
        <v>17.34</v>
      </c>
      <c r="AB188" s="3">
        <f ca="1">IFERROR(__xludf.DUMMYFUNCTION("""COMPUTED_VALUE"""),17.04)</f>
        <v>17.04</v>
      </c>
      <c r="AC188" s="3">
        <f ca="1">IFERROR(__xludf.DUMMYFUNCTION("""COMPUTED_VALUE"""),17.16)</f>
        <v>17.16</v>
      </c>
      <c r="AD188" s="3">
        <f ca="1">IFERROR(__xludf.DUMMYFUNCTION("""COMPUTED_VALUE"""),64911991)</f>
        <v>64911991</v>
      </c>
      <c r="AE188" s="4">
        <f ca="1">IFERROR(__xludf.DUMMYFUNCTION("""COMPUTED_VALUE"""),42397.6666666666)</f>
        <v>42397.666666666599</v>
      </c>
      <c r="AF188" s="3">
        <f ca="1">IFERROR(__xludf.DUMMYFUNCTION("""COMPUTED_VALUE"""),67.28)</f>
        <v>67.28</v>
      </c>
      <c r="AG188" s="3">
        <f ca="1">IFERROR(__xludf.DUMMYFUNCTION("""COMPUTED_VALUE"""),67.32)</f>
        <v>67.319999999999993</v>
      </c>
      <c r="AH188" s="3">
        <f ca="1">IFERROR(__xludf.DUMMYFUNCTION("""COMPUTED_VALUE"""),65.05)</f>
        <v>65.05</v>
      </c>
      <c r="AI188" s="3">
        <f ca="1">IFERROR(__xludf.DUMMYFUNCTION("""COMPUTED_VALUE"""),65.4)</f>
        <v>65.400000000000006</v>
      </c>
      <c r="AJ188" s="3">
        <f ca="1">IFERROR(__xludf.DUMMYFUNCTION("""COMPUTED_VALUE"""),26127268)</f>
        <v>26127268</v>
      </c>
      <c r="AK188" s="4">
        <f ca="1">IFERROR(__xludf.DUMMYFUNCTION("""COMPUTED_VALUE"""),42397.6666666666)</f>
        <v>42397.666666666599</v>
      </c>
      <c r="AL188" s="3">
        <f ca="1">IFERROR(__xludf.DUMMYFUNCTION("""COMPUTED_VALUE"""),48.64)</f>
        <v>48.64</v>
      </c>
      <c r="AM188" s="3">
        <f ca="1">IFERROR(__xludf.DUMMYFUNCTION("""COMPUTED_VALUE"""),48.81)</f>
        <v>48.81</v>
      </c>
      <c r="AN188" s="3">
        <f ca="1">IFERROR(__xludf.DUMMYFUNCTION("""COMPUTED_VALUE"""),48.18)</f>
        <v>48.18</v>
      </c>
      <c r="AO188" s="3">
        <f ca="1">IFERROR(__xludf.DUMMYFUNCTION("""COMPUTED_VALUE"""),48.68)</f>
        <v>48.68</v>
      </c>
      <c r="AP188" s="3">
        <f ca="1">IFERROR(__xludf.DUMMYFUNCTION("""COMPUTED_VALUE"""),12553037)</f>
        <v>12553037</v>
      </c>
      <c r="AQ188" s="4">
        <f ca="1">IFERROR(__xludf.DUMMYFUNCTION("""COMPUTED_VALUE"""),42397.6666666666)</f>
        <v>42397.666666666599</v>
      </c>
      <c r="AR188" s="3">
        <f ca="1">IFERROR(__xludf.DUMMYFUNCTION("""COMPUTED_VALUE"""),37.96)</f>
        <v>37.96</v>
      </c>
      <c r="AS188" s="3">
        <f ca="1">IFERROR(__xludf.DUMMYFUNCTION("""COMPUTED_VALUE"""),38.02)</f>
        <v>38.020000000000003</v>
      </c>
      <c r="AT188" s="3">
        <f ca="1">IFERROR(__xludf.DUMMYFUNCTION("""COMPUTED_VALUE"""),37.34)</f>
        <v>37.340000000000003</v>
      </c>
      <c r="AU188" s="3">
        <f ca="1">IFERROR(__xludf.DUMMYFUNCTION("""COMPUTED_VALUE"""),37.68)</f>
        <v>37.68</v>
      </c>
      <c r="AV188" s="3">
        <f ca="1">IFERROR(__xludf.DUMMYFUNCTION("""COMPUTED_VALUE"""),6655502)</f>
        <v>6655502</v>
      </c>
      <c r="AW188" s="4">
        <f ca="1">IFERROR(__xludf.DUMMYFUNCTION("""COMPUTED_VALUE"""),42563.6666666666)</f>
        <v>42563.666666666599</v>
      </c>
      <c r="AX188" s="3">
        <f ca="1">IFERROR(__xludf.DUMMYFUNCTION("""COMPUTED_VALUE"""),34.26)</f>
        <v>34.26</v>
      </c>
      <c r="AY188" s="3">
        <f ca="1">IFERROR(__xludf.DUMMYFUNCTION("""COMPUTED_VALUE"""),34.26)</f>
        <v>34.26</v>
      </c>
      <c r="AZ188" s="3">
        <f ca="1">IFERROR(__xludf.DUMMYFUNCTION("""COMPUTED_VALUE"""),33.97)</f>
        <v>33.97</v>
      </c>
      <c r="BA188" s="3">
        <f ca="1">IFERROR(__xludf.DUMMYFUNCTION("""COMPUTED_VALUE"""),34.26)</f>
        <v>34.26</v>
      </c>
      <c r="BB188" s="3">
        <f ca="1">IFERROR(__xludf.DUMMYFUNCTION("""COMPUTED_VALUE"""),918950)</f>
        <v>918950</v>
      </c>
      <c r="BC188" s="4">
        <f ca="1">IFERROR(__xludf.DUMMYFUNCTION("""COMPUTED_VALUE"""),42397.6666666666)</f>
        <v>42397.666666666599</v>
      </c>
      <c r="BD188" s="3">
        <f ca="1">IFERROR(__xludf.DUMMYFUNCTION("""COMPUTED_VALUE"""),40.05)</f>
        <v>40.049999999999997</v>
      </c>
      <c r="BE188" s="3">
        <f ca="1">IFERROR(__xludf.DUMMYFUNCTION("""COMPUTED_VALUE"""),40.13)</f>
        <v>40.130000000000003</v>
      </c>
      <c r="BF188" s="3">
        <f ca="1">IFERROR(__xludf.DUMMYFUNCTION("""COMPUTED_VALUE"""),39.5)</f>
        <v>39.5</v>
      </c>
      <c r="BG188" s="3">
        <f ca="1">IFERROR(__xludf.DUMMYFUNCTION("""COMPUTED_VALUE"""),39.98)</f>
        <v>39.979999999999997</v>
      </c>
      <c r="BH188" s="3">
        <f ca="1">IFERROR(__xludf.DUMMYFUNCTION("""COMPUTED_VALUE"""),17566801)</f>
        <v>17566801</v>
      </c>
      <c r="BI188" s="4">
        <f ca="1">IFERROR(__xludf.DUMMYFUNCTION("""COMPUTED_VALUE"""),42397.6666666666)</f>
        <v>42397.666666666599</v>
      </c>
      <c r="BJ188" s="3">
        <f ca="1">IFERROR(__xludf.DUMMYFUNCTION("""COMPUTED_VALUE"""),43.77)</f>
        <v>43.77</v>
      </c>
      <c r="BK188" s="3">
        <f ca="1">IFERROR(__xludf.DUMMYFUNCTION("""COMPUTED_VALUE"""),44.82)</f>
        <v>44.82</v>
      </c>
      <c r="BL188" s="3">
        <f ca="1">IFERROR(__xludf.DUMMYFUNCTION("""COMPUTED_VALUE"""),43.53)</f>
        <v>43.53</v>
      </c>
      <c r="BM188" s="3">
        <f ca="1">IFERROR(__xludf.DUMMYFUNCTION("""COMPUTED_VALUE"""),44.53)</f>
        <v>44.53</v>
      </c>
      <c r="BN188" s="3">
        <f ca="1">IFERROR(__xludf.DUMMYFUNCTION("""COMPUTED_VALUE"""),15564037)</f>
        <v>15564037</v>
      </c>
    </row>
    <row r="189" spans="7:66" ht="13" x14ac:dyDescent="0.15">
      <c r="G189" s="4">
        <f ca="1">IFERROR(__xludf.DUMMYFUNCTION("""COMPUTED_VALUE"""),42398.6666666666)</f>
        <v>42398.666666666599</v>
      </c>
      <c r="H189" s="3">
        <f ca="1">IFERROR(__xludf.DUMMYFUNCTION("""COMPUTED_VALUE"""),72.94)</f>
        <v>72.94</v>
      </c>
      <c r="I189" s="3">
        <f ca="1">IFERROR(__xludf.DUMMYFUNCTION("""COMPUTED_VALUE"""),74.18)</f>
        <v>74.180000000000007</v>
      </c>
      <c r="J189" s="3">
        <f ca="1">IFERROR(__xludf.DUMMYFUNCTION("""COMPUTED_VALUE"""),72.67)</f>
        <v>72.67</v>
      </c>
      <c r="K189" s="3">
        <f ca="1">IFERROR(__xludf.DUMMYFUNCTION("""COMPUTED_VALUE"""),74.11)</f>
        <v>74.11</v>
      </c>
      <c r="L189" s="3">
        <f ca="1">IFERROR(__xludf.DUMMYFUNCTION("""COMPUTED_VALUE"""),11526278)</f>
        <v>11526278</v>
      </c>
      <c r="M189" s="4">
        <f ca="1">IFERROR(__xludf.DUMMYFUNCTION("""COMPUTED_VALUE"""),42398.6666666666)</f>
        <v>42398.666666666599</v>
      </c>
      <c r="N189" s="3">
        <f ca="1">IFERROR(__xludf.DUMMYFUNCTION("""COMPUTED_VALUE"""),50.09)</f>
        <v>50.09</v>
      </c>
      <c r="O189" s="3">
        <f ca="1">IFERROR(__xludf.DUMMYFUNCTION("""COMPUTED_VALUE"""),50.83)</f>
        <v>50.83</v>
      </c>
      <c r="P189" s="3">
        <f ca="1">IFERROR(__xludf.DUMMYFUNCTION("""COMPUTED_VALUE"""),49.86)</f>
        <v>49.86</v>
      </c>
      <c r="Q189" s="3">
        <f ca="1">IFERROR(__xludf.DUMMYFUNCTION("""COMPUTED_VALUE"""),50.76)</f>
        <v>50.76</v>
      </c>
      <c r="R189" s="3">
        <f ca="1">IFERROR(__xludf.DUMMYFUNCTION("""COMPUTED_VALUE"""),20576334)</f>
        <v>20576334</v>
      </c>
      <c r="S189" s="4">
        <f ca="1">IFERROR(__xludf.DUMMYFUNCTION("""COMPUTED_VALUE"""),42398.6666666666)</f>
        <v>42398.666666666599</v>
      </c>
      <c r="T189" s="3">
        <f ca="1">IFERROR(__xludf.DUMMYFUNCTION("""COMPUTED_VALUE"""),56.66)</f>
        <v>56.66</v>
      </c>
      <c r="U189" s="3">
        <f ca="1">IFERROR(__xludf.DUMMYFUNCTION("""COMPUTED_VALUE"""),58.27)</f>
        <v>58.27</v>
      </c>
      <c r="V189" s="3">
        <f ca="1">IFERROR(__xludf.DUMMYFUNCTION("""COMPUTED_VALUE"""),56.49)</f>
        <v>56.49</v>
      </c>
      <c r="W189" s="3">
        <f ca="1">IFERROR(__xludf.DUMMYFUNCTION("""COMPUTED_VALUE"""),58.21)</f>
        <v>58.21</v>
      </c>
      <c r="X189" s="3">
        <f ca="1">IFERROR(__xludf.DUMMYFUNCTION("""COMPUTED_VALUE"""),31498155)</f>
        <v>31498155</v>
      </c>
      <c r="Y189" s="4">
        <f ca="1">IFERROR(__xludf.DUMMYFUNCTION("""COMPUTED_VALUE"""),42398.6666666666)</f>
        <v>42398.666666666599</v>
      </c>
      <c r="Z189" s="3">
        <f ca="1">IFERROR(__xludf.DUMMYFUNCTION("""COMPUTED_VALUE"""),17.28)</f>
        <v>17.28</v>
      </c>
      <c r="AA189" s="3">
        <f ca="1">IFERROR(__xludf.DUMMYFUNCTION("""COMPUTED_VALUE"""),17.65)</f>
        <v>17.649999999999999</v>
      </c>
      <c r="AB189" s="3">
        <f ca="1">IFERROR(__xludf.DUMMYFUNCTION("""COMPUTED_VALUE"""),17.22)</f>
        <v>17.22</v>
      </c>
      <c r="AC189" s="3">
        <f ca="1">IFERROR(__xludf.DUMMYFUNCTION("""COMPUTED_VALUE"""),17.64)</f>
        <v>17.64</v>
      </c>
      <c r="AD189" s="3">
        <f ca="1">IFERROR(__xludf.DUMMYFUNCTION("""COMPUTED_VALUE"""),81656298)</f>
        <v>81656298</v>
      </c>
      <c r="AE189" s="4">
        <f ca="1">IFERROR(__xludf.DUMMYFUNCTION("""COMPUTED_VALUE"""),42398.6666666666)</f>
        <v>42398.666666666599</v>
      </c>
      <c r="AF189" s="3">
        <f ca="1">IFERROR(__xludf.DUMMYFUNCTION("""COMPUTED_VALUE"""),65.26)</f>
        <v>65.260000000000005</v>
      </c>
      <c r="AG189" s="3">
        <f ca="1">IFERROR(__xludf.DUMMYFUNCTION("""COMPUTED_VALUE"""),66.5)</f>
        <v>66.5</v>
      </c>
      <c r="AH189" s="3">
        <f ca="1">IFERROR(__xludf.DUMMYFUNCTION("""COMPUTED_VALUE"""),65.07)</f>
        <v>65.069999999999993</v>
      </c>
      <c r="AI189" s="3">
        <f ca="1">IFERROR(__xludf.DUMMYFUNCTION("""COMPUTED_VALUE"""),66.47)</f>
        <v>66.47</v>
      </c>
      <c r="AJ189" s="3">
        <f ca="1">IFERROR(__xludf.DUMMYFUNCTION("""COMPUTED_VALUE"""),17578208)</f>
        <v>17578208</v>
      </c>
      <c r="AK189" s="4">
        <f ca="1">IFERROR(__xludf.DUMMYFUNCTION("""COMPUTED_VALUE"""),42398.6666666666)</f>
        <v>42398.666666666599</v>
      </c>
      <c r="AL189" s="3">
        <f ca="1">IFERROR(__xludf.DUMMYFUNCTION("""COMPUTED_VALUE"""),49)</f>
        <v>49</v>
      </c>
      <c r="AM189" s="3">
        <f ca="1">IFERROR(__xludf.DUMMYFUNCTION("""COMPUTED_VALUE"""),50.01)</f>
        <v>50.01</v>
      </c>
      <c r="AN189" s="3">
        <f ca="1">IFERROR(__xludf.DUMMYFUNCTION("""COMPUTED_VALUE"""),48.88)</f>
        <v>48.88</v>
      </c>
      <c r="AO189" s="3">
        <f ca="1">IFERROR(__xludf.DUMMYFUNCTION("""COMPUTED_VALUE"""),49.99)</f>
        <v>49.99</v>
      </c>
      <c r="AP189" s="3">
        <f ca="1">IFERROR(__xludf.DUMMYFUNCTION("""COMPUTED_VALUE"""),14570355)</f>
        <v>14570355</v>
      </c>
      <c r="AQ189" s="4">
        <f ca="1">IFERROR(__xludf.DUMMYFUNCTION("""COMPUTED_VALUE"""),42398.6666666666)</f>
        <v>42398.666666666599</v>
      </c>
      <c r="AR189" s="3">
        <f ca="1">IFERROR(__xludf.DUMMYFUNCTION("""COMPUTED_VALUE"""),37.99)</f>
        <v>37.99</v>
      </c>
      <c r="AS189" s="3">
        <f ca="1">IFERROR(__xludf.DUMMYFUNCTION("""COMPUTED_VALUE"""),38.8)</f>
        <v>38.799999999999997</v>
      </c>
      <c r="AT189" s="3">
        <f ca="1">IFERROR(__xludf.DUMMYFUNCTION("""COMPUTED_VALUE"""),37.7)</f>
        <v>37.700000000000003</v>
      </c>
      <c r="AU189" s="3">
        <f ca="1">IFERROR(__xludf.DUMMYFUNCTION("""COMPUTED_VALUE"""),38.77)</f>
        <v>38.770000000000003</v>
      </c>
      <c r="AV189" s="3">
        <f ca="1">IFERROR(__xludf.DUMMYFUNCTION("""COMPUTED_VALUE"""),8001009)</f>
        <v>8001009</v>
      </c>
      <c r="AW189" s="4">
        <f ca="1">IFERROR(__xludf.DUMMYFUNCTION("""COMPUTED_VALUE"""),42564.6666666666)</f>
        <v>42564.666666666599</v>
      </c>
      <c r="AX189" s="3">
        <f ca="1">IFERROR(__xludf.DUMMYFUNCTION("""COMPUTED_VALUE"""),34.32)</f>
        <v>34.32</v>
      </c>
      <c r="AY189" s="3">
        <f ca="1">IFERROR(__xludf.DUMMYFUNCTION("""COMPUTED_VALUE"""),34.42)</f>
        <v>34.42</v>
      </c>
      <c r="AZ189" s="3">
        <f ca="1">IFERROR(__xludf.DUMMYFUNCTION("""COMPUTED_VALUE"""),34.21)</f>
        <v>34.21</v>
      </c>
      <c r="BA189" s="3">
        <f ca="1">IFERROR(__xludf.DUMMYFUNCTION("""COMPUTED_VALUE"""),34.42)</f>
        <v>34.42</v>
      </c>
      <c r="BB189" s="3">
        <f ca="1">IFERROR(__xludf.DUMMYFUNCTION("""COMPUTED_VALUE"""),27767)</f>
        <v>27767</v>
      </c>
      <c r="BC189" s="4">
        <f ca="1">IFERROR(__xludf.DUMMYFUNCTION("""COMPUTED_VALUE"""),42398.6666666666)</f>
        <v>42398.666666666599</v>
      </c>
      <c r="BD189" s="3">
        <f ca="1">IFERROR(__xludf.DUMMYFUNCTION("""COMPUTED_VALUE"""),40.31)</f>
        <v>40.31</v>
      </c>
      <c r="BE189" s="3">
        <f ca="1">IFERROR(__xludf.DUMMYFUNCTION("""COMPUTED_VALUE"""),41.27)</f>
        <v>41.27</v>
      </c>
      <c r="BF189" s="3">
        <f ca="1">IFERROR(__xludf.DUMMYFUNCTION("""COMPUTED_VALUE"""),40.23)</f>
        <v>40.229999999999997</v>
      </c>
      <c r="BG189" s="3">
        <f ca="1">IFERROR(__xludf.DUMMYFUNCTION("""COMPUTED_VALUE"""),41.24)</f>
        <v>41.24</v>
      </c>
      <c r="BH189" s="3">
        <f ca="1">IFERROR(__xludf.DUMMYFUNCTION("""COMPUTED_VALUE"""),16113314)</f>
        <v>16113314</v>
      </c>
      <c r="BI189" s="4">
        <f ca="1">IFERROR(__xludf.DUMMYFUNCTION("""COMPUTED_VALUE"""),42398.6666666666)</f>
        <v>42398.666666666599</v>
      </c>
      <c r="BJ189" s="3">
        <f ca="1">IFERROR(__xludf.DUMMYFUNCTION("""COMPUTED_VALUE"""),44.82)</f>
        <v>44.82</v>
      </c>
      <c r="BK189" s="3">
        <f ca="1">IFERROR(__xludf.DUMMYFUNCTION("""COMPUTED_VALUE"""),45.46)</f>
        <v>45.46</v>
      </c>
      <c r="BL189" s="3">
        <f ca="1">IFERROR(__xludf.DUMMYFUNCTION("""COMPUTED_VALUE"""),44.82)</f>
        <v>44.82</v>
      </c>
      <c r="BM189" s="3">
        <f ca="1">IFERROR(__xludf.DUMMYFUNCTION("""COMPUTED_VALUE"""),45.42)</f>
        <v>45.42</v>
      </c>
      <c r="BN189" s="3">
        <f ca="1">IFERROR(__xludf.DUMMYFUNCTION("""COMPUTED_VALUE"""),17940362)</f>
        <v>17940362</v>
      </c>
    </row>
    <row r="190" spans="7:66" ht="13" x14ac:dyDescent="0.15">
      <c r="G190" s="4">
        <f ca="1">IFERROR(__xludf.DUMMYFUNCTION("""COMPUTED_VALUE"""),42401.6666666666)</f>
        <v>42401.666666666599</v>
      </c>
      <c r="H190" s="3">
        <f ca="1">IFERROR(__xludf.DUMMYFUNCTION("""COMPUTED_VALUE"""),73.68)</f>
        <v>73.680000000000007</v>
      </c>
      <c r="I190" s="3">
        <f ca="1">IFERROR(__xludf.DUMMYFUNCTION("""COMPUTED_VALUE"""),74.86)</f>
        <v>74.86</v>
      </c>
      <c r="J190" s="3">
        <f ca="1">IFERROR(__xludf.DUMMYFUNCTION("""COMPUTED_VALUE"""),73.33)</f>
        <v>73.33</v>
      </c>
      <c r="K190" s="3">
        <f ca="1">IFERROR(__xludf.DUMMYFUNCTION("""COMPUTED_VALUE"""),74.56)</f>
        <v>74.56</v>
      </c>
      <c r="L190" s="3">
        <f ca="1">IFERROR(__xludf.DUMMYFUNCTION("""COMPUTED_VALUE"""),8299429)</f>
        <v>8299429</v>
      </c>
      <c r="M190" s="4">
        <f ca="1">IFERROR(__xludf.DUMMYFUNCTION("""COMPUTED_VALUE"""),42401.6666666666)</f>
        <v>42401.666666666599</v>
      </c>
      <c r="N190" s="3">
        <f ca="1">IFERROR(__xludf.DUMMYFUNCTION("""COMPUTED_VALUE"""),50.65)</f>
        <v>50.65</v>
      </c>
      <c r="O190" s="3">
        <f ca="1">IFERROR(__xludf.DUMMYFUNCTION("""COMPUTED_VALUE"""),51.14)</f>
        <v>51.14</v>
      </c>
      <c r="P190" s="3">
        <f ca="1">IFERROR(__xludf.DUMMYFUNCTION("""COMPUTED_VALUE"""),50.5)</f>
        <v>50.5</v>
      </c>
      <c r="Q190" s="3">
        <f ca="1">IFERROR(__xludf.DUMMYFUNCTION("""COMPUTED_VALUE"""),50.93)</f>
        <v>50.93</v>
      </c>
      <c r="R190" s="3">
        <f ca="1">IFERROR(__xludf.DUMMYFUNCTION("""COMPUTED_VALUE"""),18573126)</f>
        <v>18573126</v>
      </c>
      <c r="S190" s="4">
        <f ca="1">IFERROR(__xludf.DUMMYFUNCTION("""COMPUTED_VALUE"""),42401.6666666666)</f>
        <v>42401.666666666599</v>
      </c>
      <c r="T190" s="3">
        <f ca="1">IFERROR(__xludf.DUMMYFUNCTION("""COMPUTED_VALUE"""),57.24)</f>
        <v>57.24</v>
      </c>
      <c r="U190" s="3">
        <f ca="1">IFERROR(__xludf.DUMMYFUNCTION("""COMPUTED_VALUE"""),57.67)</f>
        <v>57.67</v>
      </c>
      <c r="V190" s="3">
        <f ca="1">IFERROR(__xludf.DUMMYFUNCTION("""COMPUTED_VALUE"""),56.39)</f>
        <v>56.39</v>
      </c>
      <c r="W190" s="3">
        <f ca="1">IFERROR(__xludf.DUMMYFUNCTION("""COMPUTED_VALUE"""),57.24)</f>
        <v>57.24</v>
      </c>
      <c r="X190" s="3">
        <f ca="1">IFERROR(__xludf.DUMMYFUNCTION("""COMPUTED_VALUE"""),27685093)</f>
        <v>27685093</v>
      </c>
      <c r="Y190" s="4">
        <f ca="1">IFERROR(__xludf.DUMMYFUNCTION("""COMPUTED_VALUE"""),42401.6666666666)</f>
        <v>42401.666666666599</v>
      </c>
      <c r="Z190" s="3">
        <f ca="1">IFERROR(__xludf.DUMMYFUNCTION("""COMPUTED_VALUE"""),17.56)</f>
        <v>17.559999999999999</v>
      </c>
      <c r="AA190" s="3">
        <f ca="1">IFERROR(__xludf.DUMMYFUNCTION("""COMPUTED_VALUE"""),17.65)</f>
        <v>17.649999999999999</v>
      </c>
      <c r="AB190" s="3">
        <f ca="1">IFERROR(__xludf.DUMMYFUNCTION("""COMPUTED_VALUE"""),17.43)</f>
        <v>17.43</v>
      </c>
      <c r="AC190" s="3">
        <f ca="1">IFERROR(__xludf.DUMMYFUNCTION("""COMPUTED_VALUE"""),17.56)</f>
        <v>17.559999999999999</v>
      </c>
      <c r="AD190" s="3">
        <f ca="1">IFERROR(__xludf.DUMMYFUNCTION("""COMPUTED_VALUE"""),68693419)</f>
        <v>68693419</v>
      </c>
      <c r="AE190" s="4">
        <f ca="1">IFERROR(__xludf.DUMMYFUNCTION("""COMPUTED_VALUE"""),42401.6666666666)</f>
        <v>42401.666666666599</v>
      </c>
      <c r="AF190" s="3">
        <f ca="1">IFERROR(__xludf.DUMMYFUNCTION("""COMPUTED_VALUE"""),66.02)</f>
        <v>66.02</v>
      </c>
      <c r="AG190" s="3">
        <f ca="1">IFERROR(__xludf.DUMMYFUNCTION("""COMPUTED_VALUE"""),66.91)</f>
        <v>66.91</v>
      </c>
      <c r="AH190" s="3">
        <f ca="1">IFERROR(__xludf.DUMMYFUNCTION("""COMPUTED_VALUE"""),65.67)</f>
        <v>65.67</v>
      </c>
      <c r="AI190" s="3">
        <f ca="1">IFERROR(__xludf.DUMMYFUNCTION("""COMPUTED_VALUE"""),66.57)</f>
        <v>66.569999999999993</v>
      </c>
      <c r="AJ190" s="3">
        <f ca="1">IFERROR(__xludf.DUMMYFUNCTION("""COMPUTED_VALUE"""),16705670)</f>
        <v>16705670</v>
      </c>
      <c r="AK190" s="4">
        <f ca="1">IFERROR(__xludf.DUMMYFUNCTION("""COMPUTED_VALUE"""),42401.6666666666)</f>
        <v>42401.666666666599</v>
      </c>
      <c r="AL190" s="3">
        <f ca="1">IFERROR(__xludf.DUMMYFUNCTION("""COMPUTED_VALUE"""),49.59)</f>
        <v>49.59</v>
      </c>
      <c r="AM190" s="3">
        <f ca="1">IFERROR(__xludf.DUMMYFUNCTION("""COMPUTED_VALUE"""),50.12)</f>
        <v>50.12</v>
      </c>
      <c r="AN190" s="3">
        <f ca="1">IFERROR(__xludf.DUMMYFUNCTION("""COMPUTED_VALUE"""),49.27)</f>
        <v>49.27</v>
      </c>
      <c r="AO190" s="3">
        <f ca="1">IFERROR(__xludf.DUMMYFUNCTION("""COMPUTED_VALUE"""),49.87)</f>
        <v>49.87</v>
      </c>
      <c r="AP190" s="3">
        <f ca="1">IFERROR(__xludf.DUMMYFUNCTION("""COMPUTED_VALUE"""),15940646)</f>
        <v>15940646</v>
      </c>
      <c r="AQ190" s="4">
        <f ca="1">IFERROR(__xludf.DUMMYFUNCTION("""COMPUTED_VALUE"""),42401.6666666666)</f>
        <v>42401.666666666599</v>
      </c>
      <c r="AR190" s="3">
        <f ca="1">IFERROR(__xludf.DUMMYFUNCTION("""COMPUTED_VALUE"""),38.55)</f>
        <v>38.549999999999997</v>
      </c>
      <c r="AS190" s="3">
        <f ca="1">IFERROR(__xludf.DUMMYFUNCTION("""COMPUTED_VALUE"""),39.03)</f>
        <v>39.03</v>
      </c>
      <c r="AT190" s="3">
        <f ca="1">IFERROR(__xludf.DUMMYFUNCTION("""COMPUTED_VALUE"""),38.08)</f>
        <v>38.08</v>
      </c>
      <c r="AU190" s="3">
        <f ca="1">IFERROR(__xludf.DUMMYFUNCTION("""COMPUTED_VALUE"""),38.93)</f>
        <v>38.93</v>
      </c>
      <c r="AV190" s="3">
        <f ca="1">IFERROR(__xludf.DUMMYFUNCTION("""COMPUTED_VALUE"""),13595400)</f>
        <v>13595400</v>
      </c>
      <c r="AW190" s="4">
        <f ca="1">IFERROR(__xludf.DUMMYFUNCTION("""COMPUTED_VALUE"""),42565.6666666666)</f>
        <v>42565.666666666599</v>
      </c>
      <c r="AX190" s="3">
        <f ca="1">IFERROR(__xludf.DUMMYFUNCTION("""COMPUTED_VALUE"""),34.48)</f>
        <v>34.479999999999997</v>
      </c>
      <c r="AY190" s="3">
        <f ca="1">IFERROR(__xludf.DUMMYFUNCTION("""COMPUTED_VALUE"""),34.48)</f>
        <v>34.479999999999997</v>
      </c>
      <c r="AZ190" s="3">
        <f ca="1">IFERROR(__xludf.DUMMYFUNCTION("""COMPUTED_VALUE"""),34.09)</f>
        <v>34.090000000000003</v>
      </c>
      <c r="BA190" s="3">
        <f ca="1">IFERROR(__xludf.DUMMYFUNCTION("""COMPUTED_VALUE"""),34.23)</f>
        <v>34.229999999999997</v>
      </c>
      <c r="BB190" s="3">
        <f ca="1">IFERROR(__xludf.DUMMYFUNCTION("""COMPUTED_VALUE"""),8375)</f>
        <v>8375</v>
      </c>
      <c r="BC190" s="4">
        <f ca="1">IFERROR(__xludf.DUMMYFUNCTION("""COMPUTED_VALUE"""),42401.6666666666)</f>
        <v>42401.666666666599</v>
      </c>
      <c r="BD190" s="3">
        <f ca="1">IFERROR(__xludf.DUMMYFUNCTION("""COMPUTED_VALUE"""),41.07)</f>
        <v>41.07</v>
      </c>
      <c r="BE190" s="3">
        <f ca="1">IFERROR(__xludf.DUMMYFUNCTION("""COMPUTED_VALUE"""),41.58)</f>
        <v>41.58</v>
      </c>
      <c r="BF190" s="3">
        <f ca="1">IFERROR(__xludf.DUMMYFUNCTION("""COMPUTED_VALUE"""),41.04)</f>
        <v>41.04</v>
      </c>
      <c r="BG190" s="3">
        <f ca="1">IFERROR(__xludf.DUMMYFUNCTION("""COMPUTED_VALUE"""),41.39)</f>
        <v>41.39</v>
      </c>
      <c r="BH190" s="3">
        <f ca="1">IFERROR(__xludf.DUMMYFUNCTION("""COMPUTED_VALUE"""),14797320)</f>
        <v>14797320</v>
      </c>
      <c r="BI190" s="4">
        <f ca="1">IFERROR(__xludf.DUMMYFUNCTION("""COMPUTED_VALUE"""),42401.6666666666)</f>
        <v>42401.666666666599</v>
      </c>
      <c r="BJ190" s="3">
        <f ca="1">IFERROR(__xludf.DUMMYFUNCTION("""COMPUTED_VALUE"""),45.21)</f>
        <v>45.21</v>
      </c>
      <c r="BK190" s="3">
        <f ca="1">IFERROR(__xludf.DUMMYFUNCTION("""COMPUTED_VALUE"""),46.06)</f>
        <v>46.06</v>
      </c>
      <c r="BL190" s="3">
        <f ca="1">IFERROR(__xludf.DUMMYFUNCTION("""COMPUTED_VALUE"""),45.18)</f>
        <v>45.18</v>
      </c>
      <c r="BM190" s="3">
        <f ca="1">IFERROR(__xludf.DUMMYFUNCTION("""COMPUTED_VALUE"""),45.85)</f>
        <v>45.85</v>
      </c>
      <c r="BN190" s="3">
        <f ca="1">IFERROR(__xludf.DUMMYFUNCTION("""COMPUTED_VALUE"""),29610948)</f>
        <v>29610948</v>
      </c>
    </row>
    <row r="191" spans="7:66" ht="13" x14ac:dyDescent="0.15">
      <c r="G191" s="4">
        <f ca="1">IFERROR(__xludf.DUMMYFUNCTION("""COMPUTED_VALUE"""),42402.6666666666)</f>
        <v>42402.666666666599</v>
      </c>
      <c r="H191" s="3">
        <f ca="1">IFERROR(__xludf.DUMMYFUNCTION("""COMPUTED_VALUE"""),74.05)</f>
        <v>74.05</v>
      </c>
      <c r="I191" s="3">
        <f ca="1">IFERROR(__xludf.DUMMYFUNCTION("""COMPUTED_VALUE"""),74.28)</f>
        <v>74.28</v>
      </c>
      <c r="J191" s="3">
        <f ca="1">IFERROR(__xludf.DUMMYFUNCTION("""COMPUTED_VALUE"""),72.85)</f>
        <v>72.849999999999994</v>
      </c>
      <c r="K191" s="3">
        <f ca="1">IFERROR(__xludf.DUMMYFUNCTION("""COMPUTED_VALUE"""),73.11)</f>
        <v>73.11</v>
      </c>
      <c r="L191" s="3">
        <f ca="1">IFERROR(__xludf.DUMMYFUNCTION("""COMPUTED_VALUE"""),9048911)</f>
        <v>9048911</v>
      </c>
      <c r="M191" s="4">
        <f ca="1">IFERROR(__xludf.DUMMYFUNCTION("""COMPUTED_VALUE"""),42402.6666666666)</f>
        <v>42402.666666666599</v>
      </c>
      <c r="N191" s="3">
        <f ca="1">IFERROR(__xludf.DUMMYFUNCTION("""COMPUTED_VALUE"""),50.56)</f>
        <v>50.56</v>
      </c>
      <c r="O191" s="3">
        <f ca="1">IFERROR(__xludf.DUMMYFUNCTION("""COMPUTED_VALUE"""),50.56)</f>
        <v>50.56</v>
      </c>
      <c r="P191" s="3">
        <f ca="1">IFERROR(__xludf.DUMMYFUNCTION("""COMPUTED_VALUE"""),50.16)</f>
        <v>50.16</v>
      </c>
      <c r="Q191" s="3">
        <f ca="1">IFERROR(__xludf.DUMMYFUNCTION("""COMPUTED_VALUE"""),50.28)</f>
        <v>50.28</v>
      </c>
      <c r="R191" s="3">
        <f ca="1">IFERROR(__xludf.DUMMYFUNCTION("""COMPUTED_VALUE"""),14068583)</f>
        <v>14068583</v>
      </c>
      <c r="S191" s="4">
        <f ca="1">IFERROR(__xludf.DUMMYFUNCTION("""COMPUTED_VALUE"""),42402.6666666666)</f>
        <v>42402.666666666599</v>
      </c>
      <c r="T191" s="3">
        <f ca="1">IFERROR(__xludf.DUMMYFUNCTION("""COMPUTED_VALUE"""),55.84)</f>
        <v>55.84</v>
      </c>
      <c r="U191" s="3">
        <f ca="1">IFERROR(__xludf.DUMMYFUNCTION("""COMPUTED_VALUE"""),56.1)</f>
        <v>56.1</v>
      </c>
      <c r="V191" s="3">
        <f ca="1">IFERROR(__xludf.DUMMYFUNCTION("""COMPUTED_VALUE"""),55.05)</f>
        <v>55.05</v>
      </c>
      <c r="W191" s="3">
        <f ca="1">IFERROR(__xludf.DUMMYFUNCTION("""COMPUTED_VALUE"""),55.33)</f>
        <v>55.33</v>
      </c>
      <c r="X191" s="3">
        <f ca="1">IFERROR(__xludf.DUMMYFUNCTION("""COMPUTED_VALUE"""),25231222)</f>
        <v>25231222</v>
      </c>
      <c r="Y191" s="4">
        <f ca="1">IFERROR(__xludf.DUMMYFUNCTION("""COMPUTED_VALUE"""),42402.6666666666)</f>
        <v>42402.666666666599</v>
      </c>
      <c r="Z191" s="3">
        <f ca="1">IFERROR(__xludf.DUMMYFUNCTION("""COMPUTED_VALUE"""),17.31)</f>
        <v>17.309999999999999</v>
      </c>
      <c r="AA191" s="3">
        <f ca="1">IFERROR(__xludf.DUMMYFUNCTION("""COMPUTED_VALUE"""),17.34)</f>
        <v>17.34</v>
      </c>
      <c r="AB191" s="3">
        <f ca="1">IFERROR(__xludf.DUMMYFUNCTION("""COMPUTED_VALUE"""),17.04)</f>
        <v>17.04</v>
      </c>
      <c r="AC191" s="3">
        <f ca="1">IFERROR(__xludf.DUMMYFUNCTION("""COMPUTED_VALUE"""),17.08)</f>
        <v>17.079999999999998</v>
      </c>
      <c r="AD191" s="3">
        <f ca="1">IFERROR(__xludf.DUMMYFUNCTION("""COMPUTED_VALUE"""),69989823)</f>
        <v>69989823</v>
      </c>
      <c r="AE191" s="4">
        <f ca="1">IFERROR(__xludf.DUMMYFUNCTION("""COMPUTED_VALUE"""),42402.6666666666)</f>
        <v>42402.666666666599</v>
      </c>
      <c r="AF191" s="3">
        <f ca="1">IFERROR(__xludf.DUMMYFUNCTION("""COMPUTED_VALUE"""),66.1)</f>
        <v>66.099999999999994</v>
      </c>
      <c r="AG191" s="3">
        <f ca="1">IFERROR(__xludf.DUMMYFUNCTION("""COMPUTED_VALUE"""),66.28)</f>
        <v>66.28</v>
      </c>
      <c r="AH191" s="3">
        <f ca="1">IFERROR(__xludf.DUMMYFUNCTION("""COMPUTED_VALUE"""),65.41)</f>
        <v>65.41</v>
      </c>
      <c r="AI191" s="3">
        <f ca="1">IFERROR(__xludf.DUMMYFUNCTION("""COMPUTED_VALUE"""),65.61)</f>
        <v>65.61</v>
      </c>
      <c r="AJ191" s="3">
        <f ca="1">IFERROR(__xludf.DUMMYFUNCTION("""COMPUTED_VALUE"""),12968699)</f>
        <v>12968699</v>
      </c>
      <c r="AK191" s="4">
        <f ca="1">IFERROR(__xludf.DUMMYFUNCTION("""COMPUTED_VALUE"""),42402.6666666666)</f>
        <v>42402.666666666599</v>
      </c>
      <c r="AL191" s="3">
        <f ca="1">IFERROR(__xludf.DUMMYFUNCTION("""COMPUTED_VALUE"""),49.38)</f>
        <v>49.38</v>
      </c>
      <c r="AM191" s="3">
        <f ca="1">IFERROR(__xludf.DUMMYFUNCTION("""COMPUTED_VALUE"""),49.42)</f>
        <v>49.42</v>
      </c>
      <c r="AN191" s="3">
        <f ca="1">IFERROR(__xludf.DUMMYFUNCTION("""COMPUTED_VALUE"""),48.71)</f>
        <v>48.71</v>
      </c>
      <c r="AO191" s="3">
        <f ca="1">IFERROR(__xludf.DUMMYFUNCTION("""COMPUTED_VALUE"""),48.87)</f>
        <v>48.87</v>
      </c>
      <c r="AP191" s="3">
        <f ca="1">IFERROR(__xludf.DUMMYFUNCTION("""COMPUTED_VALUE"""),15284769)</f>
        <v>15284769</v>
      </c>
      <c r="AQ191" s="4">
        <f ca="1">IFERROR(__xludf.DUMMYFUNCTION("""COMPUTED_VALUE"""),42402.6666666666)</f>
        <v>42402.666666666599</v>
      </c>
      <c r="AR191" s="3">
        <f ca="1">IFERROR(__xludf.DUMMYFUNCTION("""COMPUTED_VALUE"""),38.78)</f>
        <v>38.78</v>
      </c>
      <c r="AS191" s="3">
        <f ca="1">IFERROR(__xludf.DUMMYFUNCTION("""COMPUTED_VALUE"""),38.87)</f>
        <v>38.869999999999997</v>
      </c>
      <c r="AT191" s="3">
        <f ca="1">IFERROR(__xludf.DUMMYFUNCTION("""COMPUTED_VALUE"""),38.22)</f>
        <v>38.22</v>
      </c>
      <c r="AU191" s="3">
        <f ca="1">IFERROR(__xludf.DUMMYFUNCTION("""COMPUTED_VALUE"""),38.67)</f>
        <v>38.67</v>
      </c>
      <c r="AV191" s="3">
        <f ca="1">IFERROR(__xludf.DUMMYFUNCTION("""COMPUTED_VALUE"""),11509388)</f>
        <v>11509388</v>
      </c>
      <c r="AW191" s="4">
        <f ca="1">IFERROR(__xludf.DUMMYFUNCTION("""COMPUTED_VALUE"""),42566.6666666666)</f>
        <v>42566.666666666599</v>
      </c>
      <c r="AX191" s="3">
        <f ca="1">IFERROR(__xludf.DUMMYFUNCTION("""COMPUTED_VALUE"""),34.04)</f>
        <v>34.04</v>
      </c>
      <c r="AY191" s="3">
        <f ca="1">IFERROR(__xludf.DUMMYFUNCTION("""COMPUTED_VALUE"""),34.18)</f>
        <v>34.18</v>
      </c>
      <c r="AZ191" s="3">
        <f ca="1">IFERROR(__xludf.DUMMYFUNCTION("""COMPUTED_VALUE"""),33.97)</f>
        <v>33.97</v>
      </c>
      <c r="BA191" s="3">
        <f ca="1">IFERROR(__xludf.DUMMYFUNCTION("""COMPUTED_VALUE"""),34.18)</f>
        <v>34.18</v>
      </c>
      <c r="BB191" s="3">
        <f ca="1">IFERROR(__xludf.DUMMYFUNCTION("""COMPUTED_VALUE"""),304434)</f>
        <v>304434</v>
      </c>
      <c r="BC191" s="4">
        <f ca="1">IFERROR(__xludf.DUMMYFUNCTION("""COMPUTED_VALUE"""),42402.6666666666)</f>
        <v>42402.666666666599</v>
      </c>
      <c r="BD191" s="3">
        <f ca="1">IFERROR(__xludf.DUMMYFUNCTION("""COMPUTED_VALUE"""),41.27)</f>
        <v>41.27</v>
      </c>
      <c r="BE191" s="3">
        <f ca="1">IFERROR(__xludf.DUMMYFUNCTION("""COMPUTED_VALUE"""),41.28)</f>
        <v>41.28</v>
      </c>
      <c r="BF191" s="3">
        <f ca="1">IFERROR(__xludf.DUMMYFUNCTION("""COMPUTED_VALUE"""),40.52)</f>
        <v>40.520000000000003</v>
      </c>
      <c r="BG191" s="3">
        <f ca="1">IFERROR(__xludf.DUMMYFUNCTION("""COMPUTED_VALUE"""),40.65)</f>
        <v>40.65</v>
      </c>
      <c r="BH191" s="3">
        <f ca="1">IFERROR(__xludf.DUMMYFUNCTION("""COMPUTED_VALUE"""),13951155)</f>
        <v>13951155</v>
      </c>
      <c r="BI191" s="4">
        <f ca="1">IFERROR(__xludf.DUMMYFUNCTION("""COMPUTED_VALUE"""),42402.6666666666)</f>
        <v>42402.666666666599</v>
      </c>
      <c r="BJ191" s="3">
        <f ca="1">IFERROR(__xludf.DUMMYFUNCTION("""COMPUTED_VALUE"""),45.68)</f>
        <v>45.68</v>
      </c>
      <c r="BK191" s="3">
        <f ca="1">IFERROR(__xludf.DUMMYFUNCTION("""COMPUTED_VALUE"""),46.1)</f>
        <v>46.1</v>
      </c>
      <c r="BL191" s="3">
        <f ca="1">IFERROR(__xludf.DUMMYFUNCTION("""COMPUTED_VALUE"""),45.46)</f>
        <v>45.46</v>
      </c>
      <c r="BM191" s="3">
        <f ca="1">IFERROR(__xludf.DUMMYFUNCTION("""COMPUTED_VALUE"""),46.05)</f>
        <v>46.05</v>
      </c>
      <c r="BN191" s="3">
        <f ca="1">IFERROR(__xludf.DUMMYFUNCTION("""COMPUTED_VALUE"""),15970061)</f>
        <v>15970061</v>
      </c>
    </row>
    <row r="192" spans="7:66" ht="13" x14ac:dyDescent="0.15">
      <c r="G192" s="4">
        <f ca="1">IFERROR(__xludf.DUMMYFUNCTION("""COMPUTED_VALUE"""),42403.6666666666)</f>
        <v>42403.666666666599</v>
      </c>
      <c r="H192" s="3">
        <f ca="1">IFERROR(__xludf.DUMMYFUNCTION("""COMPUTED_VALUE"""),73.8)</f>
        <v>73.8</v>
      </c>
      <c r="I192" s="3">
        <f ca="1">IFERROR(__xludf.DUMMYFUNCTION("""COMPUTED_VALUE"""),73.84)</f>
        <v>73.84</v>
      </c>
      <c r="J192" s="3">
        <f ca="1">IFERROR(__xludf.DUMMYFUNCTION("""COMPUTED_VALUE"""),71.52)</f>
        <v>71.52</v>
      </c>
      <c r="K192" s="3">
        <f ca="1">IFERROR(__xludf.DUMMYFUNCTION("""COMPUTED_VALUE"""),72.92)</f>
        <v>72.92</v>
      </c>
      <c r="L192" s="3">
        <f ca="1">IFERROR(__xludf.DUMMYFUNCTION("""COMPUTED_VALUE"""),13351759)</f>
        <v>13351759</v>
      </c>
      <c r="M192" s="4">
        <f ca="1">IFERROR(__xludf.DUMMYFUNCTION("""COMPUTED_VALUE"""),42403.6666666666)</f>
        <v>42403.666666666599</v>
      </c>
      <c r="N192" s="3">
        <f ca="1">IFERROR(__xludf.DUMMYFUNCTION("""COMPUTED_VALUE"""),50.47)</f>
        <v>50.47</v>
      </c>
      <c r="O192" s="3">
        <f ca="1">IFERROR(__xludf.DUMMYFUNCTION("""COMPUTED_VALUE"""),50.56)</f>
        <v>50.56</v>
      </c>
      <c r="P192" s="3">
        <f ca="1">IFERROR(__xludf.DUMMYFUNCTION("""COMPUTED_VALUE"""),49.7)</f>
        <v>49.7</v>
      </c>
      <c r="Q192" s="3">
        <f ca="1">IFERROR(__xludf.DUMMYFUNCTION("""COMPUTED_VALUE"""),50.17)</f>
        <v>50.17</v>
      </c>
      <c r="R192" s="3">
        <f ca="1">IFERROR(__xludf.DUMMYFUNCTION("""COMPUTED_VALUE"""),25209773)</f>
        <v>25209773</v>
      </c>
      <c r="S192" s="4">
        <f ca="1">IFERROR(__xludf.DUMMYFUNCTION("""COMPUTED_VALUE"""),42403.6666666666)</f>
        <v>42403.666666666599</v>
      </c>
      <c r="T192" s="3">
        <f ca="1">IFERROR(__xludf.DUMMYFUNCTION("""COMPUTED_VALUE"""),56.13)</f>
        <v>56.13</v>
      </c>
      <c r="U192" s="3">
        <f ca="1">IFERROR(__xludf.DUMMYFUNCTION("""COMPUTED_VALUE"""),57.35)</f>
        <v>57.35</v>
      </c>
      <c r="V192" s="3">
        <f ca="1">IFERROR(__xludf.DUMMYFUNCTION("""COMPUTED_VALUE"""),54.11)</f>
        <v>54.11</v>
      </c>
      <c r="W192" s="3">
        <f ca="1">IFERROR(__xludf.DUMMYFUNCTION("""COMPUTED_VALUE"""),57.3)</f>
        <v>57.3</v>
      </c>
      <c r="X192" s="3">
        <f ca="1">IFERROR(__xludf.DUMMYFUNCTION("""COMPUTED_VALUE"""),36440662)</f>
        <v>36440662</v>
      </c>
      <c r="Y192" s="4">
        <f ca="1">IFERROR(__xludf.DUMMYFUNCTION("""COMPUTED_VALUE"""),42403.6666666666)</f>
        <v>42403.666666666599</v>
      </c>
      <c r="Z192" s="3">
        <f ca="1">IFERROR(__xludf.DUMMYFUNCTION("""COMPUTED_VALUE"""),17.17)</f>
        <v>17.170000000000002</v>
      </c>
      <c r="AA192" s="3">
        <f ca="1">IFERROR(__xludf.DUMMYFUNCTION("""COMPUTED_VALUE"""),17.17)</f>
        <v>17.170000000000002</v>
      </c>
      <c r="AB192" s="3">
        <f ca="1">IFERROR(__xludf.DUMMYFUNCTION("""COMPUTED_VALUE"""),16.61)</f>
        <v>16.61</v>
      </c>
      <c r="AC192" s="3">
        <f ca="1">IFERROR(__xludf.DUMMYFUNCTION("""COMPUTED_VALUE"""),17.09)</f>
        <v>17.09</v>
      </c>
      <c r="AD192" s="3">
        <f ca="1">IFERROR(__xludf.DUMMYFUNCTION("""COMPUTED_VALUE"""),123420189)</f>
        <v>123420189</v>
      </c>
      <c r="AE192" s="4">
        <f ca="1">IFERROR(__xludf.DUMMYFUNCTION("""COMPUTED_VALUE"""),42403.6666666666)</f>
        <v>42403.666666666599</v>
      </c>
      <c r="AF192" s="3">
        <f ca="1">IFERROR(__xludf.DUMMYFUNCTION("""COMPUTED_VALUE"""),65.8)</f>
        <v>65.8</v>
      </c>
      <c r="AG192" s="3">
        <f ca="1">IFERROR(__xludf.DUMMYFUNCTION("""COMPUTED_VALUE"""),66.11)</f>
        <v>66.11</v>
      </c>
      <c r="AH192" s="3">
        <f ca="1">IFERROR(__xludf.DUMMYFUNCTION("""COMPUTED_VALUE"""),64.57)</f>
        <v>64.569999999999993</v>
      </c>
      <c r="AI192" s="3">
        <f ca="1">IFERROR(__xludf.DUMMYFUNCTION("""COMPUTED_VALUE"""),66.04)</f>
        <v>66.040000000000006</v>
      </c>
      <c r="AJ192" s="3">
        <f ca="1">IFERROR(__xludf.DUMMYFUNCTION("""COMPUTED_VALUE"""),19453147)</f>
        <v>19453147</v>
      </c>
      <c r="AK192" s="4">
        <f ca="1">IFERROR(__xludf.DUMMYFUNCTION("""COMPUTED_VALUE"""),42403.6666666666)</f>
        <v>42403.666666666599</v>
      </c>
      <c r="AL192" s="3">
        <f ca="1">IFERROR(__xludf.DUMMYFUNCTION("""COMPUTED_VALUE"""),49.26)</f>
        <v>49.26</v>
      </c>
      <c r="AM192" s="3">
        <f ca="1">IFERROR(__xludf.DUMMYFUNCTION("""COMPUTED_VALUE"""),49.74)</f>
        <v>49.74</v>
      </c>
      <c r="AN192" s="3">
        <f ca="1">IFERROR(__xludf.DUMMYFUNCTION("""COMPUTED_VALUE"""),48.35)</f>
        <v>48.35</v>
      </c>
      <c r="AO192" s="3">
        <f ca="1">IFERROR(__xludf.DUMMYFUNCTION("""COMPUTED_VALUE"""),49.66)</f>
        <v>49.66</v>
      </c>
      <c r="AP192" s="3">
        <f ca="1">IFERROR(__xludf.DUMMYFUNCTION("""COMPUTED_VALUE"""),25732880)</f>
        <v>25732880</v>
      </c>
      <c r="AQ192" s="4">
        <f ca="1">IFERROR(__xludf.DUMMYFUNCTION("""COMPUTED_VALUE"""),42403.6666666666)</f>
        <v>42403.666666666599</v>
      </c>
      <c r="AR192" s="3">
        <f ca="1">IFERROR(__xludf.DUMMYFUNCTION("""COMPUTED_VALUE"""),39.13)</f>
        <v>39.130000000000003</v>
      </c>
      <c r="AS192" s="3">
        <f ca="1">IFERROR(__xludf.DUMMYFUNCTION("""COMPUTED_VALUE"""),39.97)</f>
        <v>39.97</v>
      </c>
      <c r="AT192" s="3">
        <f ca="1">IFERROR(__xludf.DUMMYFUNCTION("""COMPUTED_VALUE"""),38.63)</f>
        <v>38.630000000000003</v>
      </c>
      <c r="AU192" s="3">
        <f ca="1">IFERROR(__xludf.DUMMYFUNCTION("""COMPUTED_VALUE"""),39.97)</f>
        <v>39.97</v>
      </c>
      <c r="AV192" s="3">
        <f ca="1">IFERROR(__xludf.DUMMYFUNCTION("""COMPUTED_VALUE"""),14414225)</f>
        <v>14414225</v>
      </c>
      <c r="AW192" s="4">
        <f ca="1">IFERROR(__xludf.DUMMYFUNCTION("""COMPUTED_VALUE"""),42569.6666666666)</f>
        <v>42569.666666666599</v>
      </c>
      <c r="AX192" s="3">
        <f ca="1">IFERROR(__xludf.DUMMYFUNCTION("""COMPUTED_VALUE"""),34.22)</f>
        <v>34.22</v>
      </c>
      <c r="AY192" s="3">
        <f ca="1">IFERROR(__xludf.DUMMYFUNCTION("""COMPUTED_VALUE"""),34.22)</f>
        <v>34.22</v>
      </c>
      <c r="AZ192" s="3">
        <f ca="1">IFERROR(__xludf.DUMMYFUNCTION("""COMPUTED_VALUE"""),34.07)</f>
        <v>34.07</v>
      </c>
      <c r="BA192" s="3">
        <f ca="1">IFERROR(__xludf.DUMMYFUNCTION("""COMPUTED_VALUE"""),34.19)</f>
        <v>34.19</v>
      </c>
      <c r="BB192" s="3">
        <f ca="1">IFERROR(__xludf.DUMMYFUNCTION("""COMPUTED_VALUE"""),6692)</f>
        <v>6692</v>
      </c>
      <c r="BC192" s="4">
        <f ca="1">IFERROR(__xludf.DUMMYFUNCTION("""COMPUTED_VALUE"""),42403.6666666666)</f>
        <v>42403.666666666599</v>
      </c>
      <c r="BD192" s="3">
        <f ca="1">IFERROR(__xludf.DUMMYFUNCTION("""COMPUTED_VALUE"""),40.91)</f>
        <v>40.909999999999997</v>
      </c>
      <c r="BE192" s="3">
        <f ca="1">IFERROR(__xludf.DUMMYFUNCTION("""COMPUTED_VALUE"""),40.93)</f>
        <v>40.93</v>
      </c>
      <c r="BF192" s="3">
        <f ca="1">IFERROR(__xludf.DUMMYFUNCTION("""COMPUTED_VALUE"""),39.97)</f>
        <v>39.97</v>
      </c>
      <c r="BG192" s="3">
        <f ca="1">IFERROR(__xludf.DUMMYFUNCTION("""COMPUTED_VALUE"""),40.6)</f>
        <v>40.6</v>
      </c>
      <c r="BH192" s="3">
        <f ca="1">IFERROR(__xludf.DUMMYFUNCTION("""COMPUTED_VALUE"""),21506247)</f>
        <v>21506247</v>
      </c>
      <c r="BI192" s="4">
        <f ca="1">IFERROR(__xludf.DUMMYFUNCTION("""COMPUTED_VALUE"""),42403.6666666666)</f>
        <v>42403.666666666599</v>
      </c>
      <c r="BJ192" s="3">
        <f ca="1">IFERROR(__xludf.DUMMYFUNCTION("""COMPUTED_VALUE"""),46.21)</f>
        <v>46.21</v>
      </c>
      <c r="BK192" s="3">
        <f ca="1">IFERROR(__xludf.DUMMYFUNCTION("""COMPUTED_VALUE"""),46.83)</f>
        <v>46.83</v>
      </c>
      <c r="BL192" s="3">
        <f ca="1">IFERROR(__xludf.DUMMYFUNCTION("""COMPUTED_VALUE"""),46.2)</f>
        <v>46.2</v>
      </c>
      <c r="BM192" s="3">
        <f ca="1">IFERROR(__xludf.DUMMYFUNCTION("""COMPUTED_VALUE"""),46.62)</f>
        <v>46.62</v>
      </c>
      <c r="BN192" s="3">
        <f ca="1">IFERROR(__xludf.DUMMYFUNCTION("""COMPUTED_VALUE"""),32952417)</f>
        <v>32952417</v>
      </c>
    </row>
    <row r="193" spans="7:66" ht="13" x14ac:dyDescent="0.15">
      <c r="G193" s="4">
        <f ca="1">IFERROR(__xludf.DUMMYFUNCTION("""COMPUTED_VALUE"""),42404.6666666666)</f>
        <v>42404.666666666599</v>
      </c>
      <c r="H193" s="3">
        <f ca="1">IFERROR(__xludf.DUMMYFUNCTION("""COMPUTED_VALUE"""),72.69)</f>
        <v>72.69</v>
      </c>
      <c r="I193" s="3">
        <f ca="1">IFERROR(__xludf.DUMMYFUNCTION("""COMPUTED_VALUE"""),72.87)</f>
        <v>72.87</v>
      </c>
      <c r="J193" s="3">
        <f ca="1">IFERROR(__xludf.DUMMYFUNCTION("""COMPUTED_VALUE"""),71.87)</f>
        <v>71.87</v>
      </c>
      <c r="K193" s="3">
        <f ca="1">IFERROR(__xludf.DUMMYFUNCTION("""COMPUTED_VALUE"""),72.5)</f>
        <v>72.5</v>
      </c>
      <c r="L193" s="3">
        <f ca="1">IFERROR(__xludf.DUMMYFUNCTION("""COMPUTED_VALUE"""),9937842)</f>
        <v>9937842</v>
      </c>
      <c r="M193" s="4">
        <f ca="1">IFERROR(__xludf.DUMMYFUNCTION("""COMPUTED_VALUE"""),42404.6666666666)</f>
        <v>42404.666666666599</v>
      </c>
      <c r="N193" s="3">
        <f ca="1">IFERROR(__xludf.DUMMYFUNCTION("""COMPUTED_VALUE"""),49.95)</f>
        <v>49.95</v>
      </c>
      <c r="O193" s="3">
        <f ca="1">IFERROR(__xludf.DUMMYFUNCTION("""COMPUTED_VALUE"""),50.01)</f>
        <v>50.01</v>
      </c>
      <c r="P193" s="3">
        <f ca="1">IFERROR(__xludf.DUMMYFUNCTION("""COMPUTED_VALUE"""),49.47)</f>
        <v>49.47</v>
      </c>
      <c r="Q193" s="3">
        <f ca="1">IFERROR(__xludf.DUMMYFUNCTION("""COMPUTED_VALUE"""),49.71)</f>
        <v>49.71</v>
      </c>
      <c r="R193" s="3">
        <f ca="1">IFERROR(__xludf.DUMMYFUNCTION("""COMPUTED_VALUE"""),21240798)</f>
        <v>21240798</v>
      </c>
      <c r="S193" s="4">
        <f ca="1">IFERROR(__xludf.DUMMYFUNCTION("""COMPUTED_VALUE"""),42404.6666666666)</f>
        <v>42404.666666666599</v>
      </c>
      <c r="T193" s="3">
        <f ca="1">IFERROR(__xludf.DUMMYFUNCTION("""COMPUTED_VALUE"""),57.42)</f>
        <v>57.42</v>
      </c>
      <c r="U193" s="3">
        <f ca="1">IFERROR(__xludf.DUMMYFUNCTION("""COMPUTED_VALUE"""),58.5)</f>
        <v>58.5</v>
      </c>
      <c r="V193" s="3">
        <f ca="1">IFERROR(__xludf.DUMMYFUNCTION("""COMPUTED_VALUE"""),57)</f>
        <v>57</v>
      </c>
      <c r="W193" s="3">
        <f ca="1">IFERROR(__xludf.DUMMYFUNCTION("""COMPUTED_VALUE"""),57.27)</f>
        <v>57.27</v>
      </c>
      <c r="X193" s="3">
        <f ca="1">IFERROR(__xludf.DUMMYFUNCTION("""COMPUTED_VALUE"""),37056132)</f>
        <v>37056132</v>
      </c>
      <c r="Y193" s="4">
        <f ca="1">IFERROR(__xludf.DUMMYFUNCTION("""COMPUTED_VALUE"""),42404.6666666666)</f>
        <v>42404.666666666599</v>
      </c>
      <c r="Z193" s="3">
        <f ca="1">IFERROR(__xludf.DUMMYFUNCTION("""COMPUTED_VALUE"""),16.99)</f>
        <v>16.989999999999998</v>
      </c>
      <c r="AA193" s="3">
        <f ca="1">IFERROR(__xludf.DUMMYFUNCTION("""COMPUTED_VALUE"""),17.36)</f>
        <v>17.36</v>
      </c>
      <c r="AB193" s="3">
        <f ca="1">IFERROR(__xludf.DUMMYFUNCTION("""COMPUTED_VALUE"""),16.99)</f>
        <v>16.989999999999998</v>
      </c>
      <c r="AC193" s="3">
        <f ca="1">IFERROR(__xludf.DUMMYFUNCTION("""COMPUTED_VALUE"""),17.24)</f>
        <v>17.239999999999998</v>
      </c>
      <c r="AD193" s="3">
        <f ca="1">IFERROR(__xludf.DUMMYFUNCTION("""COMPUTED_VALUE"""),78806704)</f>
        <v>78806704</v>
      </c>
      <c r="AE193" s="4">
        <f ca="1">IFERROR(__xludf.DUMMYFUNCTION("""COMPUTED_VALUE"""),42404.6666666666)</f>
        <v>42404.666666666599</v>
      </c>
      <c r="AF193" s="3">
        <f ca="1">IFERROR(__xludf.DUMMYFUNCTION("""COMPUTED_VALUE"""),65.84)</f>
        <v>65.84</v>
      </c>
      <c r="AG193" s="3">
        <f ca="1">IFERROR(__xludf.DUMMYFUNCTION("""COMPUTED_VALUE"""),66.42)</f>
        <v>66.42</v>
      </c>
      <c r="AH193" s="3">
        <f ca="1">IFERROR(__xludf.DUMMYFUNCTION("""COMPUTED_VALUE"""),65.09)</f>
        <v>65.09</v>
      </c>
      <c r="AI193" s="3">
        <f ca="1">IFERROR(__xludf.DUMMYFUNCTION("""COMPUTED_VALUE"""),65.68)</f>
        <v>65.680000000000007</v>
      </c>
      <c r="AJ193" s="3">
        <f ca="1">IFERROR(__xludf.DUMMYFUNCTION("""COMPUTED_VALUE"""),18958125)</f>
        <v>18958125</v>
      </c>
      <c r="AK193" s="4">
        <f ca="1">IFERROR(__xludf.DUMMYFUNCTION("""COMPUTED_VALUE"""),42404.6666666666)</f>
        <v>42404.666666666599</v>
      </c>
      <c r="AL193" s="3">
        <f ca="1">IFERROR(__xludf.DUMMYFUNCTION("""COMPUTED_VALUE"""),49.59)</f>
        <v>49.59</v>
      </c>
      <c r="AM193" s="3">
        <f ca="1">IFERROR(__xludf.DUMMYFUNCTION("""COMPUTED_VALUE"""),50.91)</f>
        <v>50.91</v>
      </c>
      <c r="AN193" s="3">
        <f ca="1">IFERROR(__xludf.DUMMYFUNCTION("""COMPUTED_VALUE"""),49.55)</f>
        <v>49.55</v>
      </c>
      <c r="AO193" s="3">
        <f ca="1">IFERROR(__xludf.DUMMYFUNCTION("""COMPUTED_VALUE"""),50.52)</f>
        <v>50.52</v>
      </c>
      <c r="AP193" s="3">
        <f ca="1">IFERROR(__xludf.DUMMYFUNCTION("""COMPUTED_VALUE"""),18452296)</f>
        <v>18452296</v>
      </c>
      <c r="AQ193" s="4">
        <f ca="1">IFERROR(__xludf.DUMMYFUNCTION("""COMPUTED_VALUE"""),42404.6666666666)</f>
        <v>42404.666666666599</v>
      </c>
      <c r="AR193" s="3">
        <f ca="1">IFERROR(__xludf.DUMMYFUNCTION("""COMPUTED_VALUE"""),40.13)</f>
        <v>40.130000000000003</v>
      </c>
      <c r="AS193" s="3">
        <f ca="1">IFERROR(__xludf.DUMMYFUNCTION("""COMPUTED_VALUE"""),41.35)</f>
        <v>41.35</v>
      </c>
      <c r="AT193" s="3">
        <f ca="1">IFERROR(__xludf.DUMMYFUNCTION("""COMPUTED_VALUE"""),40.1)</f>
        <v>40.1</v>
      </c>
      <c r="AU193" s="3">
        <f ca="1">IFERROR(__xludf.DUMMYFUNCTION("""COMPUTED_VALUE"""),41.08)</f>
        <v>41.08</v>
      </c>
      <c r="AV193" s="3">
        <f ca="1">IFERROR(__xludf.DUMMYFUNCTION("""COMPUTED_VALUE"""),14590407)</f>
        <v>14590407</v>
      </c>
      <c r="AW193" s="4">
        <f ca="1">IFERROR(__xludf.DUMMYFUNCTION("""COMPUTED_VALUE"""),42570.6666666666)</f>
        <v>42570.666666666599</v>
      </c>
      <c r="AX193" s="3">
        <f ca="1">IFERROR(__xludf.DUMMYFUNCTION("""COMPUTED_VALUE"""),34.1)</f>
        <v>34.1</v>
      </c>
      <c r="AY193" s="3">
        <f ca="1">IFERROR(__xludf.DUMMYFUNCTION("""COMPUTED_VALUE"""),34.29)</f>
        <v>34.29</v>
      </c>
      <c r="AZ193" s="3">
        <f ca="1">IFERROR(__xludf.DUMMYFUNCTION("""COMPUTED_VALUE"""),34.1)</f>
        <v>34.1</v>
      </c>
      <c r="BA193" s="3">
        <f ca="1">IFERROR(__xludf.DUMMYFUNCTION("""COMPUTED_VALUE"""),34.29)</f>
        <v>34.29</v>
      </c>
      <c r="BB193" s="3">
        <f ca="1">IFERROR(__xludf.DUMMYFUNCTION("""COMPUTED_VALUE"""),7246)</f>
        <v>7246</v>
      </c>
      <c r="BC193" s="4">
        <f ca="1">IFERROR(__xludf.DUMMYFUNCTION("""COMPUTED_VALUE"""),42404.6666666666)</f>
        <v>42404.666666666599</v>
      </c>
      <c r="BD193" s="3">
        <f ca="1">IFERROR(__xludf.DUMMYFUNCTION("""COMPUTED_VALUE"""),40.52)</f>
        <v>40.520000000000003</v>
      </c>
      <c r="BE193" s="3">
        <f ca="1">IFERROR(__xludf.DUMMYFUNCTION("""COMPUTED_VALUE"""),40.91)</f>
        <v>40.909999999999997</v>
      </c>
      <c r="BF193" s="3">
        <f ca="1">IFERROR(__xludf.DUMMYFUNCTION("""COMPUTED_VALUE"""),40.21)</f>
        <v>40.21</v>
      </c>
      <c r="BG193" s="3">
        <f ca="1">IFERROR(__xludf.DUMMYFUNCTION("""COMPUTED_VALUE"""),40.64)</f>
        <v>40.64</v>
      </c>
      <c r="BH193" s="3">
        <f ca="1">IFERROR(__xludf.DUMMYFUNCTION("""COMPUTED_VALUE"""),18203043)</f>
        <v>18203043</v>
      </c>
      <c r="BI193" s="4">
        <f ca="1">IFERROR(__xludf.DUMMYFUNCTION("""COMPUTED_VALUE"""),42404.6666666666)</f>
        <v>42404.666666666599</v>
      </c>
      <c r="BJ193" s="3">
        <f ca="1">IFERROR(__xludf.DUMMYFUNCTION("""COMPUTED_VALUE"""),46.58)</f>
        <v>46.58</v>
      </c>
      <c r="BK193" s="3">
        <f ca="1">IFERROR(__xludf.DUMMYFUNCTION("""COMPUTED_VALUE"""),46.83)</f>
        <v>46.83</v>
      </c>
      <c r="BL193" s="3">
        <f ca="1">IFERROR(__xludf.DUMMYFUNCTION("""COMPUTED_VALUE"""),46.3)</f>
        <v>46.3</v>
      </c>
      <c r="BM193" s="3">
        <f ca="1">IFERROR(__xludf.DUMMYFUNCTION("""COMPUTED_VALUE"""),46.42)</f>
        <v>46.42</v>
      </c>
      <c r="BN193" s="3">
        <f ca="1">IFERROR(__xludf.DUMMYFUNCTION("""COMPUTED_VALUE"""),27602570)</f>
        <v>27602570</v>
      </c>
    </row>
    <row r="194" spans="7:66" ht="13" x14ac:dyDescent="0.15">
      <c r="G194" s="4">
        <f ca="1">IFERROR(__xludf.DUMMYFUNCTION("""COMPUTED_VALUE"""),42405.6666666666)</f>
        <v>42405.666666666599</v>
      </c>
      <c r="H194" s="3">
        <f ca="1">IFERROR(__xludf.DUMMYFUNCTION("""COMPUTED_VALUE"""),72.18)</f>
        <v>72.180000000000007</v>
      </c>
      <c r="I194" s="3">
        <f ca="1">IFERROR(__xludf.DUMMYFUNCTION("""COMPUTED_VALUE"""),72.24)</f>
        <v>72.239999999999995</v>
      </c>
      <c r="J194" s="3">
        <f ca="1">IFERROR(__xludf.DUMMYFUNCTION("""COMPUTED_VALUE"""),69.96)</f>
        <v>69.959999999999994</v>
      </c>
      <c r="K194" s="3">
        <f ca="1">IFERROR(__xludf.DUMMYFUNCTION("""COMPUTED_VALUE"""),70.16)</f>
        <v>70.16</v>
      </c>
      <c r="L194" s="3">
        <f ca="1">IFERROR(__xludf.DUMMYFUNCTION("""COMPUTED_VALUE"""),12823351)</f>
        <v>12823351</v>
      </c>
      <c r="M194" s="4">
        <f ca="1">IFERROR(__xludf.DUMMYFUNCTION("""COMPUTED_VALUE"""),42405.6666666666)</f>
        <v>42405.666666666599</v>
      </c>
      <c r="N194" s="3">
        <f ca="1">IFERROR(__xludf.DUMMYFUNCTION("""COMPUTED_VALUE"""),49.8)</f>
        <v>49.8</v>
      </c>
      <c r="O194" s="3">
        <f ca="1">IFERROR(__xludf.DUMMYFUNCTION("""COMPUTED_VALUE"""),49.95)</f>
        <v>49.95</v>
      </c>
      <c r="P194" s="3">
        <f ca="1">IFERROR(__xludf.DUMMYFUNCTION("""COMPUTED_VALUE"""),49.37)</f>
        <v>49.37</v>
      </c>
      <c r="Q194" s="3">
        <f ca="1">IFERROR(__xludf.DUMMYFUNCTION("""COMPUTED_VALUE"""),49.63)</f>
        <v>49.63</v>
      </c>
      <c r="R194" s="3">
        <f ca="1">IFERROR(__xludf.DUMMYFUNCTION("""COMPUTED_VALUE"""),20073263)</f>
        <v>20073263</v>
      </c>
      <c r="S194" s="4">
        <f ca="1">IFERROR(__xludf.DUMMYFUNCTION("""COMPUTED_VALUE"""),42405.6666666666)</f>
        <v>42405.666666666599</v>
      </c>
      <c r="T194" s="3">
        <f ca="1">IFERROR(__xludf.DUMMYFUNCTION("""COMPUTED_VALUE"""),56.5)</f>
        <v>56.5</v>
      </c>
      <c r="U194" s="3">
        <f ca="1">IFERROR(__xludf.DUMMYFUNCTION("""COMPUTED_VALUE"""),56.74)</f>
        <v>56.74</v>
      </c>
      <c r="V194" s="3">
        <f ca="1">IFERROR(__xludf.DUMMYFUNCTION("""COMPUTED_VALUE"""),55.47)</f>
        <v>55.47</v>
      </c>
      <c r="W194" s="3">
        <f ca="1">IFERROR(__xludf.DUMMYFUNCTION("""COMPUTED_VALUE"""),55.94)</f>
        <v>55.94</v>
      </c>
      <c r="X194" s="3">
        <f ca="1">IFERROR(__xludf.DUMMYFUNCTION("""COMPUTED_VALUE"""),30240956)</f>
        <v>30240956</v>
      </c>
      <c r="Y194" s="4">
        <f ca="1">IFERROR(__xludf.DUMMYFUNCTION("""COMPUTED_VALUE"""),42405.6666666666)</f>
        <v>42405.666666666599</v>
      </c>
      <c r="Z194" s="3">
        <f ca="1">IFERROR(__xludf.DUMMYFUNCTION("""COMPUTED_VALUE"""),17.26)</f>
        <v>17.260000000000002</v>
      </c>
      <c r="AA194" s="3">
        <f ca="1">IFERROR(__xludf.DUMMYFUNCTION("""COMPUTED_VALUE"""),17.35)</f>
        <v>17.350000000000001</v>
      </c>
      <c r="AB194" s="3">
        <f ca="1">IFERROR(__xludf.DUMMYFUNCTION("""COMPUTED_VALUE"""),16.96)</f>
        <v>16.96</v>
      </c>
      <c r="AC194" s="3">
        <f ca="1">IFERROR(__xludf.DUMMYFUNCTION("""COMPUTED_VALUE"""),17.01)</f>
        <v>17.010000000000002</v>
      </c>
      <c r="AD194" s="3">
        <f ca="1">IFERROR(__xludf.DUMMYFUNCTION("""COMPUTED_VALUE"""),66211805)</f>
        <v>66211805</v>
      </c>
      <c r="AE194" s="4">
        <f ca="1">IFERROR(__xludf.DUMMYFUNCTION("""COMPUTED_VALUE"""),42405.6666666666)</f>
        <v>42405.666666666599</v>
      </c>
      <c r="AF194" s="3">
        <f ca="1">IFERROR(__xludf.DUMMYFUNCTION("""COMPUTED_VALUE"""),65.32)</f>
        <v>65.319999999999993</v>
      </c>
      <c r="AG194" s="3">
        <f ca="1">IFERROR(__xludf.DUMMYFUNCTION("""COMPUTED_VALUE"""),65.5)</f>
        <v>65.5</v>
      </c>
      <c r="AH194" s="3">
        <f ca="1">IFERROR(__xludf.DUMMYFUNCTION("""COMPUTED_VALUE"""),64.07)</f>
        <v>64.069999999999993</v>
      </c>
      <c r="AI194" s="3">
        <f ca="1">IFERROR(__xludf.DUMMYFUNCTION("""COMPUTED_VALUE"""),64.4)</f>
        <v>64.400000000000006</v>
      </c>
      <c r="AJ194" s="3">
        <f ca="1">IFERROR(__xludf.DUMMYFUNCTION("""COMPUTED_VALUE"""),16743961)</f>
        <v>16743961</v>
      </c>
      <c r="AK194" s="4">
        <f ca="1">IFERROR(__xludf.DUMMYFUNCTION("""COMPUTED_VALUE"""),42405.6666666666)</f>
        <v>42405.666666666599</v>
      </c>
      <c r="AL194" s="3">
        <f ca="1">IFERROR(__xludf.DUMMYFUNCTION("""COMPUTED_VALUE"""),50.25)</f>
        <v>50.25</v>
      </c>
      <c r="AM194" s="3">
        <f ca="1">IFERROR(__xludf.DUMMYFUNCTION("""COMPUTED_VALUE"""),50.54)</f>
        <v>50.54</v>
      </c>
      <c r="AN194" s="3">
        <f ca="1">IFERROR(__xludf.DUMMYFUNCTION("""COMPUTED_VALUE"""),49.8)</f>
        <v>49.8</v>
      </c>
      <c r="AO194" s="3">
        <f ca="1">IFERROR(__xludf.DUMMYFUNCTION("""COMPUTED_VALUE"""),50.04)</f>
        <v>50.04</v>
      </c>
      <c r="AP194" s="3">
        <f ca="1">IFERROR(__xludf.DUMMYFUNCTION("""COMPUTED_VALUE"""),15518119)</f>
        <v>15518119</v>
      </c>
      <c r="AQ194" s="4">
        <f ca="1">IFERROR(__xludf.DUMMYFUNCTION("""COMPUTED_VALUE"""),42405.6666666666)</f>
        <v>42405.666666666599</v>
      </c>
      <c r="AR194" s="3">
        <f ca="1">IFERROR(__xludf.DUMMYFUNCTION("""COMPUTED_VALUE"""),40.77)</f>
        <v>40.770000000000003</v>
      </c>
      <c r="AS194" s="3">
        <f ca="1">IFERROR(__xludf.DUMMYFUNCTION("""COMPUTED_VALUE"""),41.19)</f>
        <v>41.19</v>
      </c>
      <c r="AT194" s="3">
        <f ca="1">IFERROR(__xludf.DUMMYFUNCTION("""COMPUTED_VALUE"""),40.47)</f>
        <v>40.47</v>
      </c>
      <c r="AU194" s="3">
        <f ca="1">IFERROR(__xludf.DUMMYFUNCTION("""COMPUTED_VALUE"""),40.61)</f>
        <v>40.61</v>
      </c>
      <c r="AV194" s="3">
        <f ca="1">IFERROR(__xludf.DUMMYFUNCTION("""COMPUTED_VALUE"""),11431867)</f>
        <v>11431867</v>
      </c>
      <c r="AW194" s="4">
        <f ca="1">IFERROR(__xludf.DUMMYFUNCTION("""COMPUTED_VALUE"""),42571.6666666666)</f>
        <v>42571.666666666599</v>
      </c>
      <c r="AX194" s="3">
        <f ca="1">IFERROR(__xludf.DUMMYFUNCTION("""COMPUTED_VALUE"""),34.33)</f>
        <v>34.33</v>
      </c>
      <c r="AY194" s="3">
        <f ca="1">IFERROR(__xludf.DUMMYFUNCTION("""COMPUTED_VALUE"""),34.33)</f>
        <v>34.33</v>
      </c>
      <c r="AZ194" s="3">
        <f ca="1">IFERROR(__xludf.DUMMYFUNCTION("""COMPUTED_VALUE"""),34.17)</f>
        <v>34.17</v>
      </c>
      <c r="BA194" s="3">
        <f ca="1">IFERROR(__xludf.DUMMYFUNCTION("""COMPUTED_VALUE"""),34.24)</f>
        <v>34.24</v>
      </c>
      <c r="BB194" s="3">
        <f ca="1">IFERROR(__xludf.DUMMYFUNCTION("""COMPUTED_VALUE"""),9433)</f>
        <v>9433</v>
      </c>
      <c r="BC194" s="4">
        <f ca="1">IFERROR(__xludf.DUMMYFUNCTION("""COMPUTED_VALUE"""),42405.6666666666)</f>
        <v>42405.666666666599</v>
      </c>
      <c r="BD194" s="3">
        <f ca="1">IFERROR(__xludf.DUMMYFUNCTION("""COMPUTED_VALUE"""),40.48)</f>
        <v>40.479999999999997</v>
      </c>
      <c r="BE194" s="3">
        <f ca="1">IFERROR(__xludf.DUMMYFUNCTION("""COMPUTED_VALUE"""),40.55)</f>
        <v>40.549999999999997</v>
      </c>
      <c r="BF194" s="3">
        <f ca="1">IFERROR(__xludf.DUMMYFUNCTION("""COMPUTED_VALUE"""),39.34)</f>
        <v>39.340000000000003</v>
      </c>
      <c r="BG194" s="3">
        <f ca="1">IFERROR(__xludf.DUMMYFUNCTION("""COMPUTED_VALUE"""),39.5)</f>
        <v>39.5</v>
      </c>
      <c r="BH194" s="3">
        <f ca="1">IFERROR(__xludf.DUMMYFUNCTION("""COMPUTED_VALUE"""),23777385)</f>
        <v>23777385</v>
      </c>
      <c r="BI194" s="4">
        <f ca="1">IFERROR(__xludf.DUMMYFUNCTION("""COMPUTED_VALUE"""),42405.6666666666)</f>
        <v>42405.666666666599</v>
      </c>
      <c r="BJ194" s="3">
        <f ca="1">IFERROR(__xludf.DUMMYFUNCTION("""COMPUTED_VALUE"""),46.15)</f>
        <v>46.15</v>
      </c>
      <c r="BK194" s="3">
        <f ca="1">IFERROR(__xludf.DUMMYFUNCTION("""COMPUTED_VALUE"""),46.75)</f>
        <v>46.75</v>
      </c>
      <c r="BL194" s="3">
        <f ca="1">IFERROR(__xludf.DUMMYFUNCTION("""COMPUTED_VALUE"""),45.74)</f>
        <v>45.74</v>
      </c>
      <c r="BM194" s="3">
        <f ca="1">IFERROR(__xludf.DUMMYFUNCTION("""COMPUTED_VALUE"""),46.57)</f>
        <v>46.57</v>
      </c>
      <c r="BN194" s="3">
        <f ca="1">IFERROR(__xludf.DUMMYFUNCTION("""COMPUTED_VALUE"""),27386322)</f>
        <v>27386322</v>
      </c>
    </row>
    <row r="195" spans="7:66" ht="13" x14ac:dyDescent="0.15">
      <c r="G195" s="4">
        <f ca="1">IFERROR(__xludf.DUMMYFUNCTION("""COMPUTED_VALUE"""),42408.6666666666)</f>
        <v>42408.666666666599</v>
      </c>
      <c r="H195" s="3">
        <f ca="1">IFERROR(__xludf.DUMMYFUNCTION("""COMPUTED_VALUE"""),69.39)</f>
        <v>69.39</v>
      </c>
      <c r="I195" s="3">
        <f ca="1">IFERROR(__xludf.DUMMYFUNCTION("""COMPUTED_VALUE"""),69.39)</f>
        <v>69.39</v>
      </c>
      <c r="J195" s="3">
        <f ca="1">IFERROR(__xludf.DUMMYFUNCTION("""COMPUTED_VALUE"""),67.61)</f>
        <v>67.61</v>
      </c>
      <c r="K195" s="3">
        <f ca="1">IFERROR(__xludf.DUMMYFUNCTION("""COMPUTED_VALUE"""),68.8)</f>
        <v>68.8</v>
      </c>
      <c r="L195" s="3">
        <f ca="1">IFERROR(__xludf.DUMMYFUNCTION("""COMPUTED_VALUE"""),13175976)</f>
        <v>13175976</v>
      </c>
      <c r="M195" s="4">
        <f ca="1">IFERROR(__xludf.DUMMYFUNCTION("""COMPUTED_VALUE"""),42408.6666666666)</f>
        <v>42408.666666666599</v>
      </c>
      <c r="N195" s="3">
        <f ca="1">IFERROR(__xludf.DUMMYFUNCTION("""COMPUTED_VALUE"""),49.3)</f>
        <v>49.3</v>
      </c>
      <c r="O195" s="3">
        <f ca="1">IFERROR(__xludf.DUMMYFUNCTION("""COMPUTED_VALUE"""),49.64)</f>
        <v>49.64</v>
      </c>
      <c r="P195" s="3">
        <f ca="1">IFERROR(__xludf.DUMMYFUNCTION("""COMPUTED_VALUE"""),48.89)</f>
        <v>48.89</v>
      </c>
      <c r="Q195" s="3">
        <f ca="1">IFERROR(__xludf.DUMMYFUNCTION("""COMPUTED_VALUE"""),49.5)</f>
        <v>49.5</v>
      </c>
      <c r="R195" s="3">
        <f ca="1">IFERROR(__xludf.DUMMYFUNCTION("""COMPUTED_VALUE"""),21546933)</f>
        <v>21546933</v>
      </c>
      <c r="S195" s="4">
        <f ca="1">IFERROR(__xludf.DUMMYFUNCTION("""COMPUTED_VALUE"""),42408.6666666666)</f>
        <v>42408.666666666599</v>
      </c>
      <c r="T195" s="3">
        <f ca="1">IFERROR(__xludf.DUMMYFUNCTION("""COMPUTED_VALUE"""),54.83)</f>
        <v>54.83</v>
      </c>
      <c r="U195" s="3">
        <f ca="1">IFERROR(__xludf.DUMMYFUNCTION("""COMPUTED_VALUE"""),56)</f>
        <v>56</v>
      </c>
      <c r="V195" s="3">
        <f ca="1">IFERROR(__xludf.DUMMYFUNCTION("""COMPUTED_VALUE"""),54)</f>
        <v>54</v>
      </c>
      <c r="W195" s="3">
        <f ca="1">IFERROR(__xludf.DUMMYFUNCTION("""COMPUTED_VALUE"""),55.65)</f>
        <v>55.65</v>
      </c>
      <c r="X195" s="3">
        <f ca="1">IFERROR(__xludf.DUMMYFUNCTION("""COMPUTED_VALUE"""),34806733)</f>
        <v>34806733</v>
      </c>
      <c r="Y195" s="4">
        <f ca="1">IFERROR(__xludf.DUMMYFUNCTION("""COMPUTED_VALUE"""),42408.6666666666)</f>
        <v>42408.666666666599</v>
      </c>
      <c r="Z195" s="3">
        <f ca="1">IFERROR(__xludf.DUMMYFUNCTION("""COMPUTED_VALUE"""),16.77)</f>
        <v>16.77</v>
      </c>
      <c r="AA195" s="3">
        <f ca="1">IFERROR(__xludf.DUMMYFUNCTION("""COMPUTED_VALUE"""),16.83)</f>
        <v>16.829999999999998</v>
      </c>
      <c r="AB195" s="3">
        <f ca="1">IFERROR(__xludf.DUMMYFUNCTION("""COMPUTED_VALUE"""),16.35)</f>
        <v>16.350000000000001</v>
      </c>
      <c r="AC195" s="3">
        <f ca="1">IFERROR(__xludf.DUMMYFUNCTION("""COMPUTED_VALUE"""),16.58)</f>
        <v>16.579999999999998</v>
      </c>
      <c r="AD195" s="3">
        <f ca="1">IFERROR(__xludf.DUMMYFUNCTION("""COMPUTED_VALUE"""),107483960)</f>
        <v>107483960</v>
      </c>
      <c r="AE195" s="4">
        <f ca="1">IFERROR(__xludf.DUMMYFUNCTION("""COMPUTED_VALUE"""),42408.6666666666)</f>
        <v>42408.666666666599</v>
      </c>
      <c r="AF195" s="3">
        <f ca="1">IFERROR(__xludf.DUMMYFUNCTION("""COMPUTED_VALUE"""),63.68)</f>
        <v>63.68</v>
      </c>
      <c r="AG195" s="3">
        <f ca="1">IFERROR(__xludf.DUMMYFUNCTION("""COMPUTED_VALUE"""),63.95)</f>
        <v>63.95</v>
      </c>
      <c r="AH195" s="3">
        <f ca="1">IFERROR(__xludf.DUMMYFUNCTION("""COMPUTED_VALUE"""),62.76)</f>
        <v>62.76</v>
      </c>
      <c r="AI195" s="3">
        <f ca="1">IFERROR(__xludf.DUMMYFUNCTION("""COMPUTED_VALUE"""),63.52)</f>
        <v>63.52</v>
      </c>
      <c r="AJ195" s="3">
        <f ca="1">IFERROR(__xludf.DUMMYFUNCTION("""COMPUTED_VALUE"""),24652766)</f>
        <v>24652766</v>
      </c>
      <c r="AK195" s="4">
        <f ca="1">IFERROR(__xludf.DUMMYFUNCTION("""COMPUTED_VALUE"""),42408.6666666666)</f>
        <v>42408.666666666599</v>
      </c>
      <c r="AL195" s="3">
        <f ca="1">IFERROR(__xludf.DUMMYFUNCTION("""COMPUTED_VALUE"""),49.49)</f>
        <v>49.49</v>
      </c>
      <c r="AM195" s="3">
        <f ca="1">IFERROR(__xludf.DUMMYFUNCTION("""COMPUTED_VALUE"""),49.76)</f>
        <v>49.76</v>
      </c>
      <c r="AN195" s="3">
        <f ca="1">IFERROR(__xludf.DUMMYFUNCTION("""COMPUTED_VALUE"""),48.97)</f>
        <v>48.97</v>
      </c>
      <c r="AO195" s="3">
        <f ca="1">IFERROR(__xludf.DUMMYFUNCTION("""COMPUTED_VALUE"""),49.62)</f>
        <v>49.62</v>
      </c>
      <c r="AP195" s="3">
        <f ca="1">IFERROR(__xludf.DUMMYFUNCTION("""COMPUTED_VALUE"""),20001178)</f>
        <v>20001178</v>
      </c>
      <c r="AQ195" s="4">
        <f ca="1">IFERROR(__xludf.DUMMYFUNCTION("""COMPUTED_VALUE"""),42408.6666666666)</f>
        <v>42408.666666666599</v>
      </c>
      <c r="AR195" s="3">
        <f ca="1">IFERROR(__xludf.DUMMYFUNCTION("""COMPUTED_VALUE"""),40)</f>
        <v>40</v>
      </c>
      <c r="AS195" s="3">
        <f ca="1">IFERROR(__xludf.DUMMYFUNCTION("""COMPUTED_VALUE"""),40.32)</f>
        <v>40.32</v>
      </c>
      <c r="AT195" s="3">
        <f ca="1">IFERROR(__xludf.DUMMYFUNCTION("""COMPUTED_VALUE"""),38.97)</f>
        <v>38.97</v>
      </c>
      <c r="AU195" s="3">
        <f ca="1">IFERROR(__xludf.DUMMYFUNCTION("""COMPUTED_VALUE"""),39.54)</f>
        <v>39.54</v>
      </c>
      <c r="AV195" s="3">
        <f ca="1">IFERROR(__xludf.DUMMYFUNCTION("""COMPUTED_VALUE"""),11603720)</f>
        <v>11603720</v>
      </c>
      <c r="AW195" s="4">
        <f ca="1">IFERROR(__xludf.DUMMYFUNCTION("""COMPUTED_VALUE"""),42572.6666666666)</f>
        <v>42572.666666666599</v>
      </c>
      <c r="AX195" s="3">
        <f ca="1">IFERROR(__xludf.DUMMYFUNCTION("""COMPUTED_VALUE"""),34.26)</f>
        <v>34.26</v>
      </c>
      <c r="AY195" s="3">
        <f ca="1">IFERROR(__xludf.DUMMYFUNCTION("""COMPUTED_VALUE"""),34.36)</f>
        <v>34.36</v>
      </c>
      <c r="AZ195" s="3">
        <f ca="1">IFERROR(__xludf.DUMMYFUNCTION("""COMPUTED_VALUE"""),34.11)</f>
        <v>34.11</v>
      </c>
      <c r="BA195" s="3">
        <f ca="1">IFERROR(__xludf.DUMMYFUNCTION("""COMPUTED_VALUE"""),34.34)</f>
        <v>34.340000000000003</v>
      </c>
      <c r="BB195" s="3">
        <f ca="1">IFERROR(__xludf.DUMMYFUNCTION("""COMPUTED_VALUE"""),8293)</f>
        <v>8293</v>
      </c>
      <c r="BC195" s="4">
        <f ca="1">IFERROR(__xludf.DUMMYFUNCTION("""COMPUTED_VALUE"""),42408.6666666666)</f>
        <v>42408.666666666599</v>
      </c>
      <c r="BD195" s="3">
        <f ca="1">IFERROR(__xludf.DUMMYFUNCTION("""COMPUTED_VALUE"""),38.84)</f>
        <v>38.840000000000003</v>
      </c>
      <c r="BE195" s="3">
        <f ca="1">IFERROR(__xludf.DUMMYFUNCTION("""COMPUTED_VALUE"""),39.04)</f>
        <v>39.04</v>
      </c>
      <c r="BF195" s="3">
        <f ca="1">IFERROR(__xludf.DUMMYFUNCTION("""COMPUTED_VALUE"""),38.26)</f>
        <v>38.26</v>
      </c>
      <c r="BG195" s="3">
        <f ca="1">IFERROR(__xludf.DUMMYFUNCTION("""COMPUTED_VALUE"""),38.93)</f>
        <v>38.93</v>
      </c>
      <c r="BH195" s="3">
        <f ca="1">IFERROR(__xludf.DUMMYFUNCTION("""COMPUTED_VALUE"""),24820851)</f>
        <v>24820851</v>
      </c>
      <c r="BI195" s="4">
        <f ca="1">IFERROR(__xludf.DUMMYFUNCTION("""COMPUTED_VALUE"""),42408.6666666666)</f>
        <v>42408.666666666599</v>
      </c>
      <c r="BJ195" s="3">
        <f ca="1">IFERROR(__xludf.DUMMYFUNCTION("""COMPUTED_VALUE"""),46.47)</f>
        <v>46.47</v>
      </c>
      <c r="BK195" s="3">
        <f ca="1">IFERROR(__xludf.DUMMYFUNCTION("""COMPUTED_VALUE"""),47)</f>
        <v>47</v>
      </c>
      <c r="BL195" s="3">
        <f ca="1">IFERROR(__xludf.DUMMYFUNCTION("""COMPUTED_VALUE"""),45.98)</f>
        <v>45.98</v>
      </c>
      <c r="BM195" s="3">
        <f ca="1">IFERROR(__xludf.DUMMYFUNCTION("""COMPUTED_VALUE"""),46.41)</f>
        <v>46.41</v>
      </c>
      <c r="BN195" s="3">
        <f ca="1">IFERROR(__xludf.DUMMYFUNCTION("""COMPUTED_VALUE"""),29012354)</f>
        <v>29012354</v>
      </c>
    </row>
    <row r="196" spans="7:66" ht="13" x14ac:dyDescent="0.15">
      <c r="G196" s="4">
        <f ca="1">IFERROR(__xludf.DUMMYFUNCTION("""COMPUTED_VALUE"""),42409.6666666666)</f>
        <v>42409.666666666599</v>
      </c>
      <c r="H196" s="3">
        <f ca="1">IFERROR(__xludf.DUMMYFUNCTION("""COMPUTED_VALUE"""),67.92)</f>
        <v>67.92</v>
      </c>
      <c r="I196" s="3">
        <f ca="1">IFERROR(__xludf.DUMMYFUNCTION("""COMPUTED_VALUE"""),69.49)</f>
        <v>69.489999999999995</v>
      </c>
      <c r="J196" s="3">
        <f ca="1">IFERROR(__xludf.DUMMYFUNCTION("""COMPUTED_VALUE"""),67.8)</f>
        <v>67.8</v>
      </c>
      <c r="K196" s="3">
        <f ca="1">IFERROR(__xludf.DUMMYFUNCTION("""COMPUTED_VALUE"""),68.69)</f>
        <v>68.69</v>
      </c>
      <c r="L196" s="3">
        <f ca="1">IFERROR(__xludf.DUMMYFUNCTION("""COMPUTED_VALUE"""),14473732)</f>
        <v>14473732</v>
      </c>
      <c r="M196" s="4">
        <f ca="1">IFERROR(__xludf.DUMMYFUNCTION("""COMPUTED_VALUE"""),42409.6666666666)</f>
        <v>42409.666666666599</v>
      </c>
      <c r="N196" s="3">
        <f ca="1">IFERROR(__xludf.DUMMYFUNCTION("""COMPUTED_VALUE"""),49.11)</f>
        <v>49.11</v>
      </c>
      <c r="O196" s="3">
        <f ca="1">IFERROR(__xludf.DUMMYFUNCTION("""COMPUTED_VALUE"""),50.1)</f>
        <v>50.1</v>
      </c>
      <c r="P196" s="3">
        <f ca="1">IFERROR(__xludf.DUMMYFUNCTION("""COMPUTED_VALUE"""),49.07)</f>
        <v>49.07</v>
      </c>
      <c r="Q196" s="3">
        <f ca="1">IFERROR(__xludf.DUMMYFUNCTION("""COMPUTED_VALUE"""),49.83)</f>
        <v>49.83</v>
      </c>
      <c r="R196" s="3">
        <f ca="1">IFERROR(__xludf.DUMMYFUNCTION("""COMPUTED_VALUE"""),24376347)</f>
        <v>24376347</v>
      </c>
      <c r="S196" s="4">
        <f ca="1">IFERROR(__xludf.DUMMYFUNCTION("""COMPUTED_VALUE"""),42409.6666666666)</f>
        <v>42409.666666666599</v>
      </c>
      <c r="T196" s="3">
        <f ca="1">IFERROR(__xludf.DUMMYFUNCTION("""COMPUTED_VALUE"""),54.82)</f>
        <v>54.82</v>
      </c>
      <c r="U196" s="3">
        <f ca="1">IFERROR(__xludf.DUMMYFUNCTION("""COMPUTED_VALUE"""),55.49)</f>
        <v>55.49</v>
      </c>
      <c r="V196" s="3">
        <f ca="1">IFERROR(__xludf.DUMMYFUNCTION("""COMPUTED_VALUE"""),53.44)</f>
        <v>53.44</v>
      </c>
      <c r="W196" s="3">
        <f ca="1">IFERROR(__xludf.DUMMYFUNCTION("""COMPUTED_VALUE"""),54.31)</f>
        <v>54.31</v>
      </c>
      <c r="X196" s="3">
        <f ca="1">IFERROR(__xludf.DUMMYFUNCTION("""COMPUTED_VALUE"""),37411318)</f>
        <v>37411318</v>
      </c>
      <c r="Y196" s="4">
        <f ca="1">IFERROR(__xludf.DUMMYFUNCTION("""COMPUTED_VALUE"""),42409.6666666666)</f>
        <v>42409.666666666599</v>
      </c>
      <c r="Z196" s="3">
        <f ca="1">IFERROR(__xludf.DUMMYFUNCTION("""COMPUTED_VALUE"""),16.26)</f>
        <v>16.260000000000002</v>
      </c>
      <c r="AA196" s="3">
        <f ca="1">IFERROR(__xludf.DUMMYFUNCTION("""COMPUTED_VALUE"""),16.67)</f>
        <v>16.670000000000002</v>
      </c>
      <c r="AB196" s="3">
        <f ca="1">IFERROR(__xludf.DUMMYFUNCTION("""COMPUTED_VALUE"""),16.26)</f>
        <v>16.260000000000002</v>
      </c>
      <c r="AC196" s="3">
        <f ca="1">IFERROR(__xludf.DUMMYFUNCTION("""COMPUTED_VALUE"""),16.56)</f>
        <v>16.559999999999999</v>
      </c>
      <c r="AD196" s="3">
        <f ca="1">IFERROR(__xludf.DUMMYFUNCTION("""COMPUTED_VALUE"""),137225164)</f>
        <v>137225164</v>
      </c>
      <c r="AE196" s="4">
        <f ca="1">IFERROR(__xludf.DUMMYFUNCTION("""COMPUTED_VALUE"""),42409.6666666666)</f>
        <v>42409.666666666599</v>
      </c>
      <c r="AF196" s="3">
        <f ca="1">IFERROR(__xludf.DUMMYFUNCTION("""COMPUTED_VALUE"""),62.75)</f>
        <v>62.75</v>
      </c>
      <c r="AG196" s="3">
        <f ca="1">IFERROR(__xludf.DUMMYFUNCTION("""COMPUTED_VALUE"""),64.63)</f>
        <v>64.63</v>
      </c>
      <c r="AH196" s="3">
        <f ca="1">IFERROR(__xludf.DUMMYFUNCTION("""COMPUTED_VALUE"""),62.68)</f>
        <v>62.68</v>
      </c>
      <c r="AI196" s="3">
        <f ca="1">IFERROR(__xludf.DUMMYFUNCTION("""COMPUTED_VALUE"""),63.99)</f>
        <v>63.99</v>
      </c>
      <c r="AJ196" s="3">
        <f ca="1">IFERROR(__xludf.DUMMYFUNCTION("""COMPUTED_VALUE"""),20741677)</f>
        <v>20741677</v>
      </c>
      <c r="AK196" s="4">
        <f ca="1">IFERROR(__xludf.DUMMYFUNCTION("""COMPUTED_VALUE"""),42409.6666666666)</f>
        <v>42409.666666666599</v>
      </c>
      <c r="AL196" s="3">
        <f ca="1">IFERROR(__xludf.DUMMYFUNCTION("""COMPUTED_VALUE"""),49.04)</f>
        <v>49.04</v>
      </c>
      <c r="AM196" s="3">
        <f ca="1">IFERROR(__xludf.DUMMYFUNCTION("""COMPUTED_VALUE"""),50.26)</f>
        <v>50.26</v>
      </c>
      <c r="AN196" s="3">
        <f ca="1">IFERROR(__xludf.DUMMYFUNCTION("""COMPUTED_VALUE"""),49.04)</f>
        <v>49.04</v>
      </c>
      <c r="AO196" s="3">
        <f ca="1">IFERROR(__xludf.DUMMYFUNCTION("""COMPUTED_VALUE"""),49.92)</f>
        <v>49.92</v>
      </c>
      <c r="AP196" s="3">
        <f ca="1">IFERROR(__xludf.DUMMYFUNCTION("""COMPUTED_VALUE"""),15369951)</f>
        <v>15369951</v>
      </c>
      <c r="AQ196" s="4">
        <f ca="1">IFERROR(__xludf.DUMMYFUNCTION("""COMPUTED_VALUE"""),42409.6666666666)</f>
        <v>42409.666666666599</v>
      </c>
      <c r="AR196" s="3">
        <f ca="1">IFERROR(__xludf.DUMMYFUNCTION("""COMPUTED_VALUE"""),39.16)</f>
        <v>39.159999999999997</v>
      </c>
      <c r="AS196" s="3">
        <f ca="1">IFERROR(__xludf.DUMMYFUNCTION("""COMPUTED_VALUE"""),40.23)</f>
        <v>40.229999999999997</v>
      </c>
      <c r="AT196" s="3">
        <f ca="1">IFERROR(__xludf.DUMMYFUNCTION("""COMPUTED_VALUE"""),39.16)</f>
        <v>39.159999999999997</v>
      </c>
      <c r="AU196" s="3">
        <f ca="1">IFERROR(__xludf.DUMMYFUNCTION("""COMPUTED_VALUE"""),40.03)</f>
        <v>40.03</v>
      </c>
      <c r="AV196" s="3">
        <f ca="1">IFERROR(__xludf.DUMMYFUNCTION("""COMPUTED_VALUE"""),10256796)</f>
        <v>10256796</v>
      </c>
      <c r="AW196" s="4">
        <f ca="1">IFERROR(__xludf.DUMMYFUNCTION("""COMPUTED_VALUE"""),42573.6666666666)</f>
        <v>42573.666666666599</v>
      </c>
      <c r="AX196" s="3">
        <f ca="1">IFERROR(__xludf.DUMMYFUNCTION("""COMPUTED_VALUE"""),34.5)</f>
        <v>34.5</v>
      </c>
      <c r="AY196" s="3">
        <f ca="1">IFERROR(__xludf.DUMMYFUNCTION("""COMPUTED_VALUE"""),34.72)</f>
        <v>34.72</v>
      </c>
      <c r="AZ196" s="3">
        <f ca="1">IFERROR(__xludf.DUMMYFUNCTION("""COMPUTED_VALUE"""),34.46)</f>
        <v>34.46</v>
      </c>
      <c r="BA196" s="3">
        <f ca="1">IFERROR(__xludf.DUMMYFUNCTION("""COMPUTED_VALUE"""),34.6)</f>
        <v>34.6</v>
      </c>
      <c r="BB196" s="3">
        <f ca="1">IFERROR(__xludf.DUMMYFUNCTION("""COMPUTED_VALUE"""),10860)</f>
        <v>10860</v>
      </c>
      <c r="BC196" s="4">
        <f ca="1">IFERROR(__xludf.DUMMYFUNCTION("""COMPUTED_VALUE"""),42409.6666666666)</f>
        <v>42409.666666666599</v>
      </c>
      <c r="BD196" s="3">
        <f ca="1">IFERROR(__xludf.DUMMYFUNCTION("""COMPUTED_VALUE"""),38.46)</f>
        <v>38.46</v>
      </c>
      <c r="BE196" s="3">
        <f ca="1">IFERROR(__xludf.DUMMYFUNCTION("""COMPUTED_VALUE"""),39.3)</f>
        <v>39.299999999999997</v>
      </c>
      <c r="BF196" s="3">
        <f ca="1">IFERROR(__xludf.DUMMYFUNCTION("""COMPUTED_VALUE"""),38.4)</f>
        <v>38.4</v>
      </c>
      <c r="BG196" s="3">
        <f ca="1">IFERROR(__xludf.DUMMYFUNCTION("""COMPUTED_VALUE"""),38.75)</f>
        <v>38.75</v>
      </c>
      <c r="BH196" s="3">
        <f ca="1">IFERROR(__xludf.DUMMYFUNCTION("""COMPUTED_VALUE"""),24755356)</f>
        <v>24755356</v>
      </c>
      <c r="BI196" s="4">
        <f ca="1">IFERROR(__xludf.DUMMYFUNCTION("""COMPUTED_VALUE"""),42409.6666666666)</f>
        <v>42409.666666666599</v>
      </c>
      <c r="BJ196" s="3">
        <f ca="1">IFERROR(__xludf.DUMMYFUNCTION("""COMPUTED_VALUE"""),46.25)</f>
        <v>46.25</v>
      </c>
      <c r="BK196" s="3">
        <f ca="1">IFERROR(__xludf.DUMMYFUNCTION("""COMPUTED_VALUE"""),46.75)</f>
        <v>46.75</v>
      </c>
      <c r="BL196" s="3">
        <f ca="1">IFERROR(__xludf.DUMMYFUNCTION("""COMPUTED_VALUE"""),46.14)</f>
        <v>46.14</v>
      </c>
      <c r="BM196" s="3">
        <f ca="1">IFERROR(__xludf.DUMMYFUNCTION("""COMPUTED_VALUE"""),46.57)</f>
        <v>46.57</v>
      </c>
      <c r="BN196" s="3">
        <f ca="1">IFERROR(__xludf.DUMMYFUNCTION("""COMPUTED_VALUE"""),22620865)</f>
        <v>22620865</v>
      </c>
    </row>
    <row r="197" spans="7:66" ht="13" x14ac:dyDescent="0.15">
      <c r="G197" s="4">
        <f ca="1">IFERROR(__xludf.DUMMYFUNCTION("""COMPUTED_VALUE"""),42410.6666666666)</f>
        <v>42410.666666666599</v>
      </c>
      <c r="H197" s="3">
        <f ca="1">IFERROR(__xludf.DUMMYFUNCTION("""COMPUTED_VALUE"""),68.75)</f>
        <v>68.75</v>
      </c>
      <c r="I197" s="3">
        <f ca="1">IFERROR(__xludf.DUMMYFUNCTION("""COMPUTED_VALUE"""),69.76)</f>
        <v>69.760000000000005</v>
      </c>
      <c r="J197" s="3">
        <f ca="1">IFERROR(__xludf.DUMMYFUNCTION("""COMPUTED_VALUE"""),68.54)</f>
        <v>68.540000000000006</v>
      </c>
      <c r="K197" s="3">
        <f ca="1">IFERROR(__xludf.DUMMYFUNCTION("""COMPUTED_VALUE"""),68.57)</f>
        <v>68.569999999999993</v>
      </c>
      <c r="L197" s="3">
        <f ca="1">IFERROR(__xludf.DUMMYFUNCTION("""COMPUTED_VALUE"""),13287159)</f>
        <v>13287159</v>
      </c>
      <c r="M197" s="4">
        <f ca="1">IFERROR(__xludf.DUMMYFUNCTION("""COMPUTED_VALUE"""),42410.6666666666)</f>
        <v>42410.666666666599</v>
      </c>
      <c r="N197" s="3">
        <f ca="1">IFERROR(__xludf.DUMMYFUNCTION("""COMPUTED_VALUE"""),50.01)</f>
        <v>50.01</v>
      </c>
      <c r="O197" s="3">
        <f ca="1">IFERROR(__xludf.DUMMYFUNCTION("""COMPUTED_VALUE"""),50.3)</f>
        <v>50.3</v>
      </c>
      <c r="P197" s="3">
        <f ca="1">IFERROR(__xludf.DUMMYFUNCTION("""COMPUTED_VALUE"""),49.71)</f>
        <v>49.71</v>
      </c>
      <c r="Q197" s="3">
        <f ca="1">IFERROR(__xludf.DUMMYFUNCTION("""COMPUTED_VALUE"""),49.77)</f>
        <v>49.77</v>
      </c>
      <c r="R197" s="3">
        <f ca="1">IFERROR(__xludf.DUMMYFUNCTION("""COMPUTED_VALUE"""),14798708)</f>
        <v>14798708</v>
      </c>
      <c r="S197" s="4">
        <f ca="1">IFERROR(__xludf.DUMMYFUNCTION("""COMPUTED_VALUE"""),42410.6666666666)</f>
        <v>42410.666666666599</v>
      </c>
      <c r="T197" s="3">
        <f ca="1">IFERROR(__xludf.DUMMYFUNCTION("""COMPUTED_VALUE"""),54.15)</f>
        <v>54.15</v>
      </c>
      <c r="U197" s="3">
        <f ca="1">IFERROR(__xludf.DUMMYFUNCTION("""COMPUTED_VALUE"""),55.32)</f>
        <v>55.32</v>
      </c>
      <c r="V197" s="3">
        <f ca="1">IFERROR(__xludf.DUMMYFUNCTION("""COMPUTED_VALUE"""),53.51)</f>
        <v>53.51</v>
      </c>
      <c r="W197" s="3">
        <f ca="1">IFERROR(__xludf.DUMMYFUNCTION("""COMPUTED_VALUE"""),54.09)</f>
        <v>54.09</v>
      </c>
      <c r="X197" s="3">
        <f ca="1">IFERROR(__xludf.DUMMYFUNCTION("""COMPUTED_VALUE"""),30215826)</f>
        <v>30215826</v>
      </c>
      <c r="Y197" s="4">
        <f ca="1">IFERROR(__xludf.DUMMYFUNCTION("""COMPUTED_VALUE"""),42410.6666666666)</f>
        <v>42410.666666666599</v>
      </c>
      <c r="Z197" s="3">
        <f ca="1">IFERROR(__xludf.DUMMYFUNCTION("""COMPUTED_VALUE"""),16.68)</f>
        <v>16.68</v>
      </c>
      <c r="AA197" s="3">
        <f ca="1">IFERROR(__xludf.DUMMYFUNCTION("""COMPUTED_VALUE"""),16.87)</f>
        <v>16.87</v>
      </c>
      <c r="AB197" s="3">
        <f ca="1">IFERROR(__xludf.DUMMYFUNCTION("""COMPUTED_VALUE"""),16.46)</f>
        <v>16.46</v>
      </c>
      <c r="AC197" s="3">
        <f ca="1">IFERROR(__xludf.DUMMYFUNCTION("""COMPUTED_VALUE"""),16.47)</f>
        <v>16.47</v>
      </c>
      <c r="AD197" s="3">
        <f ca="1">IFERROR(__xludf.DUMMYFUNCTION("""COMPUTED_VALUE"""),65667678)</f>
        <v>65667678</v>
      </c>
      <c r="AE197" s="4">
        <f ca="1">IFERROR(__xludf.DUMMYFUNCTION("""COMPUTED_VALUE"""),42410.6666666666)</f>
        <v>42410.666666666599</v>
      </c>
      <c r="AF197" s="3">
        <f ca="1">IFERROR(__xludf.DUMMYFUNCTION("""COMPUTED_VALUE"""),64.41)</f>
        <v>64.41</v>
      </c>
      <c r="AG197" s="3">
        <f ca="1">IFERROR(__xludf.DUMMYFUNCTION("""COMPUTED_VALUE"""),65.56)</f>
        <v>65.56</v>
      </c>
      <c r="AH197" s="3">
        <f ca="1">IFERROR(__xludf.DUMMYFUNCTION("""COMPUTED_VALUE"""),64.36)</f>
        <v>64.36</v>
      </c>
      <c r="AI197" s="3">
        <f ca="1">IFERROR(__xludf.DUMMYFUNCTION("""COMPUTED_VALUE"""),64.56)</f>
        <v>64.56</v>
      </c>
      <c r="AJ197" s="3">
        <f ca="1">IFERROR(__xludf.DUMMYFUNCTION("""COMPUTED_VALUE"""),14728499)</f>
        <v>14728499</v>
      </c>
      <c r="AK197" s="4">
        <f ca="1">IFERROR(__xludf.DUMMYFUNCTION("""COMPUTED_VALUE"""),42410.6666666666)</f>
        <v>42410.666666666599</v>
      </c>
      <c r="AL197" s="3">
        <f ca="1">IFERROR(__xludf.DUMMYFUNCTION("""COMPUTED_VALUE"""),50.04)</f>
        <v>50.04</v>
      </c>
      <c r="AM197" s="3">
        <f ca="1">IFERROR(__xludf.DUMMYFUNCTION("""COMPUTED_VALUE"""),50.51)</f>
        <v>50.51</v>
      </c>
      <c r="AN197" s="3">
        <f ca="1">IFERROR(__xludf.DUMMYFUNCTION("""COMPUTED_VALUE"""),49.64)</f>
        <v>49.64</v>
      </c>
      <c r="AO197" s="3">
        <f ca="1">IFERROR(__xludf.DUMMYFUNCTION("""COMPUTED_VALUE"""),49.68)</f>
        <v>49.68</v>
      </c>
      <c r="AP197" s="3">
        <f ca="1">IFERROR(__xludf.DUMMYFUNCTION("""COMPUTED_VALUE"""),15079367)</f>
        <v>15079367</v>
      </c>
      <c r="AQ197" s="4">
        <f ca="1">IFERROR(__xludf.DUMMYFUNCTION("""COMPUTED_VALUE"""),42410.6666666666)</f>
        <v>42410.666666666599</v>
      </c>
      <c r="AR197" s="3">
        <f ca="1">IFERROR(__xludf.DUMMYFUNCTION("""COMPUTED_VALUE"""),40.2)</f>
        <v>40.200000000000003</v>
      </c>
      <c r="AS197" s="3">
        <f ca="1">IFERROR(__xludf.DUMMYFUNCTION("""COMPUTED_VALUE"""),40.61)</f>
        <v>40.61</v>
      </c>
      <c r="AT197" s="3">
        <f ca="1">IFERROR(__xludf.DUMMYFUNCTION("""COMPUTED_VALUE"""),39.55)</f>
        <v>39.549999999999997</v>
      </c>
      <c r="AU197" s="3">
        <f ca="1">IFERROR(__xludf.DUMMYFUNCTION("""COMPUTED_VALUE"""),39.65)</f>
        <v>39.65</v>
      </c>
      <c r="AV197" s="3">
        <f ca="1">IFERROR(__xludf.DUMMYFUNCTION("""COMPUTED_VALUE"""),11372359)</f>
        <v>11372359</v>
      </c>
      <c r="AW197" s="4">
        <f ca="1">IFERROR(__xludf.DUMMYFUNCTION("""COMPUTED_VALUE"""),42576.6666666666)</f>
        <v>42576.666666666599</v>
      </c>
      <c r="AX197" s="3">
        <f ca="1">IFERROR(__xludf.DUMMYFUNCTION("""COMPUTED_VALUE"""),34.65)</f>
        <v>34.65</v>
      </c>
      <c r="AY197" s="3">
        <f ca="1">IFERROR(__xludf.DUMMYFUNCTION("""COMPUTED_VALUE"""),34.65)</f>
        <v>34.65</v>
      </c>
      <c r="AZ197" s="3">
        <f ca="1">IFERROR(__xludf.DUMMYFUNCTION("""COMPUTED_VALUE"""),34.4)</f>
        <v>34.4</v>
      </c>
      <c r="BA197" s="3">
        <f ca="1">IFERROR(__xludf.DUMMYFUNCTION("""COMPUTED_VALUE"""),34.55)</f>
        <v>34.549999999999997</v>
      </c>
      <c r="BB197" s="3">
        <f ca="1">IFERROR(__xludf.DUMMYFUNCTION("""COMPUTED_VALUE"""),22813)</f>
        <v>22813</v>
      </c>
      <c r="BC197" s="4">
        <f ca="1">IFERROR(__xludf.DUMMYFUNCTION("""COMPUTED_VALUE"""),42410.6666666666)</f>
        <v>42410.666666666599</v>
      </c>
      <c r="BD197" s="3">
        <f ca="1">IFERROR(__xludf.DUMMYFUNCTION("""COMPUTED_VALUE"""),39.08)</f>
        <v>39.08</v>
      </c>
      <c r="BE197" s="3">
        <f ca="1">IFERROR(__xludf.DUMMYFUNCTION("""COMPUTED_VALUE"""),39.53)</f>
        <v>39.53</v>
      </c>
      <c r="BF197" s="3">
        <f ca="1">IFERROR(__xludf.DUMMYFUNCTION("""COMPUTED_VALUE"""),38.79)</f>
        <v>38.79</v>
      </c>
      <c r="BG197" s="3">
        <f ca="1">IFERROR(__xludf.DUMMYFUNCTION("""COMPUTED_VALUE"""),38.83)</f>
        <v>38.83</v>
      </c>
      <c r="BH197" s="3">
        <f ca="1">IFERROR(__xludf.DUMMYFUNCTION("""COMPUTED_VALUE"""),16974976)</f>
        <v>16974976</v>
      </c>
      <c r="BI197" s="4">
        <f ca="1">IFERROR(__xludf.DUMMYFUNCTION("""COMPUTED_VALUE"""),42410.6666666666)</f>
        <v>42410.666666666599</v>
      </c>
      <c r="BJ197" s="3">
        <f ca="1">IFERROR(__xludf.DUMMYFUNCTION("""COMPUTED_VALUE"""),46.46)</f>
        <v>46.46</v>
      </c>
      <c r="BK197" s="3">
        <f ca="1">IFERROR(__xludf.DUMMYFUNCTION("""COMPUTED_VALUE"""),46.77)</f>
        <v>46.77</v>
      </c>
      <c r="BL197" s="3">
        <f ca="1">IFERROR(__xludf.DUMMYFUNCTION("""COMPUTED_VALUE"""),45.72)</f>
        <v>45.72</v>
      </c>
      <c r="BM197" s="3">
        <f ca="1">IFERROR(__xludf.DUMMYFUNCTION("""COMPUTED_VALUE"""),46.52)</f>
        <v>46.52</v>
      </c>
      <c r="BN197" s="3">
        <f ca="1">IFERROR(__xludf.DUMMYFUNCTION("""COMPUTED_VALUE"""),25920640)</f>
        <v>25920640</v>
      </c>
    </row>
    <row r="198" spans="7:66" ht="13" x14ac:dyDescent="0.15">
      <c r="G198" s="4">
        <f ca="1">IFERROR(__xludf.DUMMYFUNCTION("""COMPUTED_VALUE"""),42411.6666666666)</f>
        <v>42411.666666666599</v>
      </c>
      <c r="H198" s="3">
        <f ca="1">IFERROR(__xludf.DUMMYFUNCTION("""COMPUTED_VALUE"""),67.59)</f>
        <v>67.59</v>
      </c>
      <c r="I198" s="3">
        <f ca="1">IFERROR(__xludf.DUMMYFUNCTION("""COMPUTED_VALUE"""),68.96)</f>
        <v>68.959999999999994</v>
      </c>
      <c r="J198" s="3">
        <f ca="1">IFERROR(__xludf.DUMMYFUNCTION("""COMPUTED_VALUE"""),67.59)</f>
        <v>67.59</v>
      </c>
      <c r="K198" s="3">
        <f ca="1">IFERROR(__xludf.DUMMYFUNCTION("""COMPUTED_VALUE"""),68.53)</f>
        <v>68.53</v>
      </c>
      <c r="L198" s="3">
        <f ca="1">IFERROR(__xludf.DUMMYFUNCTION("""COMPUTED_VALUE"""),13565278)</f>
        <v>13565278</v>
      </c>
      <c r="M198" s="4">
        <f ca="1">IFERROR(__xludf.DUMMYFUNCTION("""COMPUTED_VALUE"""),42411.6666666666)</f>
        <v>42411.666666666599</v>
      </c>
      <c r="N198" s="3">
        <f ca="1">IFERROR(__xludf.DUMMYFUNCTION("""COMPUTED_VALUE"""),49.18)</f>
        <v>49.18</v>
      </c>
      <c r="O198" s="3">
        <f ca="1">IFERROR(__xludf.DUMMYFUNCTION("""COMPUTED_VALUE"""),49.6)</f>
        <v>49.6</v>
      </c>
      <c r="P198" s="3">
        <f ca="1">IFERROR(__xludf.DUMMYFUNCTION("""COMPUTED_VALUE"""),48.88)</f>
        <v>48.88</v>
      </c>
      <c r="Q198" s="3">
        <f ca="1">IFERROR(__xludf.DUMMYFUNCTION("""COMPUTED_VALUE"""),49.37)</f>
        <v>49.37</v>
      </c>
      <c r="R198" s="3">
        <f ca="1">IFERROR(__xludf.DUMMYFUNCTION("""COMPUTED_VALUE"""),26010413)</f>
        <v>26010413</v>
      </c>
      <c r="S198" s="4">
        <f ca="1">IFERROR(__xludf.DUMMYFUNCTION("""COMPUTED_VALUE"""),42411.6666666666)</f>
        <v>42411.666666666599</v>
      </c>
      <c r="T198" s="3">
        <f ca="1">IFERROR(__xludf.DUMMYFUNCTION("""COMPUTED_VALUE"""),53.15)</f>
        <v>53.15</v>
      </c>
      <c r="U198" s="3">
        <f ca="1">IFERROR(__xludf.DUMMYFUNCTION("""COMPUTED_VALUE"""),54.27)</f>
        <v>54.27</v>
      </c>
      <c r="V198" s="3">
        <f ca="1">IFERROR(__xludf.DUMMYFUNCTION("""COMPUTED_VALUE"""),52.37)</f>
        <v>52.37</v>
      </c>
      <c r="W198" s="3">
        <f ca="1">IFERROR(__xludf.DUMMYFUNCTION("""COMPUTED_VALUE"""),53.86)</f>
        <v>53.86</v>
      </c>
      <c r="X198" s="3">
        <f ca="1">IFERROR(__xludf.DUMMYFUNCTION("""COMPUTED_VALUE"""),47986947)</f>
        <v>47986947</v>
      </c>
      <c r="Y198" s="4">
        <f ca="1">IFERROR(__xludf.DUMMYFUNCTION("""COMPUTED_VALUE"""),42411.6666666666)</f>
        <v>42411.666666666599</v>
      </c>
      <c r="Z198" s="3">
        <f ca="1">IFERROR(__xludf.DUMMYFUNCTION("""COMPUTED_VALUE"""),16.03)</f>
        <v>16.03</v>
      </c>
      <c r="AA198" s="3">
        <f ca="1">IFERROR(__xludf.DUMMYFUNCTION("""COMPUTED_VALUE"""),16.14)</f>
        <v>16.14</v>
      </c>
      <c r="AB198" s="3">
        <f ca="1">IFERROR(__xludf.DUMMYFUNCTION("""COMPUTED_VALUE"""),15.86)</f>
        <v>15.86</v>
      </c>
      <c r="AC198" s="3">
        <f ca="1">IFERROR(__xludf.DUMMYFUNCTION("""COMPUTED_VALUE"""),15.96)</f>
        <v>15.96</v>
      </c>
      <c r="AD198" s="3">
        <f ca="1">IFERROR(__xludf.DUMMYFUNCTION("""COMPUTED_VALUE"""),126268811)</f>
        <v>126268811</v>
      </c>
      <c r="AE198" s="4">
        <f ca="1">IFERROR(__xludf.DUMMYFUNCTION("""COMPUTED_VALUE"""),42411.6666666666)</f>
        <v>42411.666666666599</v>
      </c>
      <c r="AF198" s="3">
        <f ca="1">IFERROR(__xludf.DUMMYFUNCTION("""COMPUTED_VALUE"""),63.4)</f>
        <v>63.4</v>
      </c>
      <c r="AG198" s="3">
        <f ca="1">IFERROR(__xludf.DUMMYFUNCTION("""COMPUTED_VALUE"""),64.03)</f>
        <v>64.03</v>
      </c>
      <c r="AH198" s="3">
        <f ca="1">IFERROR(__xludf.DUMMYFUNCTION("""COMPUTED_VALUE"""),63.04)</f>
        <v>63.04</v>
      </c>
      <c r="AI198" s="3">
        <f ca="1">IFERROR(__xludf.DUMMYFUNCTION("""COMPUTED_VALUE"""),63.52)</f>
        <v>63.52</v>
      </c>
      <c r="AJ198" s="3">
        <f ca="1">IFERROR(__xludf.DUMMYFUNCTION("""COMPUTED_VALUE"""),22801091)</f>
        <v>22801091</v>
      </c>
      <c r="AK198" s="4">
        <f ca="1">IFERROR(__xludf.DUMMYFUNCTION("""COMPUTED_VALUE"""),42411.6666666666)</f>
        <v>42411.666666666599</v>
      </c>
      <c r="AL198" s="3">
        <f ca="1">IFERROR(__xludf.DUMMYFUNCTION("""COMPUTED_VALUE"""),48.82)</f>
        <v>48.82</v>
      </c>
      <c r="AM198" s="3">
        <f ca="1">IFERROR(__xludf.DUMMYFUNCTION("""COMPUTED_VALUE"""),49.36)</f>
        <v>49.36</v>
      </c>
      <c r="AN198" s="3">
        <f ca="1">IFERROR(__xludf.DUMMYFUNCTION("""COMPUTED_VALUE"""),48.11)</f>
        <v>48.11</v>
      </c>
      <c r="AO198" s="3">
        <f ca="1">IFERROR(__xludf.DUMMYFUNCTION("""COMPUTED_VALUE"""),48.69)</f>
        <v>48.69</v>
      </c>
      <c r="AP198" s="3">
        <f ca="1">IFERROR(__xludf.DUMMYFUNCTION("""COMPUTED_VALUE"""),19180314)</f>
        <v>19180314</v>
      </c>
      <c r="AQ198" s="4">
        <f ca="1">IFERROR(__xludf.DUMMYFUNCTION("""COMPUTED_VALUE"""),42411.6666666666)</f>
        <v>42411.666666666599</v>
      </c>
      <c r="AR198" s="3">
        <f ca="1">IFERROR(__xludf.DUMMYFUNCTION("""COMPUTED_VALUE"""),38.84)</f>
        <v>38.840000000000003</v>
      </c>
      <c r="AS198" s="3">
        <f ca="1">IFERROR(__xludf.DUMMYFUNCTION("""COMPUTED_VALUE"""),39.35)</f>
        <v>39.35</v>
      </c>
      <c r="AT198" s="3">
        <f ca="1">IFERROR(__xludf.DUMMYFUNCTION("""COMPUTED_VALUE"""),38.47)</f>
        <v>38.47</v>
      </c>
      <c r="AU198" s="3">
        <f ca="1">IFERROR(__xludf.DUMMYFUNCTION("""COMPUTED_VALUE"""),38.79)</f>
        <v>38.79</v>
      </c>
      <c r="AV198" s="3">
        <f ca="1">IFERROR(__xludf.DUMMYFUNCTION("""COMPUTED_VALUE"""),13535045)</f>
        <v>13535045</v>
      </c>
      <c r="AW198" s="4">
        <f ca="1">IFERROR(__xludf.DUMMYFUNCTION("""COMPUTED_VALUE"""),42577.6666666666)</f>
        <v>42577.666666666599</v>
      </c>
      <c r="AX198" s="3">
        <f ca="1">IFERROR(__xludf.DUMMYFUNCTION("""COMPUTED_VALUE"""),34.65)</f>
        <v>34.65</v>
      </c>
      <c r="AY198" s="3">
        <f ca="1">IFERROR(__xludf.DUMMYFUNCTION("""COMPUTED_VALUE"""),34.65)</f>
        <v>34.65</v>
      </c>
      <c r="AZ198" s="3">
        <f ca="1">IFERROR(__xludf.DUMMYFUNCTION("""COMPUTED_VALUE"""),34.32)</f>
        <v>34.32</v>
      </c>
      <c r="BA198" s="3">
        <f ca="1">IFERROR(__xludf.DUMMYFUNCTION("""COMPUTED_VALUE"""),34.36)</f>
        <v>34.36</v>
      </c>
      <c r="BB198" s="3">
        <f ca="1">IFERROR(__xludf.DUMMYFUNCTION("""COMPUTED_VALUE"""),8534)</f>
        <v>8534</v>
      </c>
      <c r="BC198" s="4">
        <f ca="1">IFERROR(__xludf.DUMMYFUNCTION("""COMPUTED_VALUE"""),42411.6666666666)</f>
        <v>42411.666666666599</v>
      </c>
      <c r="BD198" s="3">
        <f ca="1">IFERROR(__xludf.DUMMYFUNCTION("""COMPUTED_VALUE"""),38.33)</f>
        <v>38.33</v>
      </c>
      <c r="BE198" s="3">
        <f ca="1">IFERROR(__xludf.DUMMYFUNCTION("""COMPUTED_VALUE"""),38.98)</f>
        <v>38.979999999999997</v>
      </c>
      <c r="BF198" s="3">
        <f ca="1">IFERROR(__xludf.DUMMYFUNCTION("""COMPUTED_VALUE"""),38.25)</f>
        <v>38.25</v>
      </c>
      <c r="BG198" s="3">
        <f ca="1">IFERROR(__xludf.DUMMYFUNCTION("""COMPUTED_VALUE"""),38.73)</f>
        <v>38.729999999999997</v>
      </c>
      <c r="BH198" s="3">
        <f ca="1">IFERROR(__xludf.DUMMYFUNCTION("""COMPUTED_VALUE"""),24627335)</f>
        <v>24627335</v>
      </c>
      <c r="BI198" s="4">
        <f ca="1">IFERROR(__xludf.DUMMYFUNCTION("""COMPUTED_VALUE"""),42411.6666666666)</f>
        <v>42411.666666666599</v>
      </c>
      <c r="BJ198" s="3">
        <f ca="1">IFERROR(__xludf.DUMMYFUNCTION("""COMPUTED_VALUE"""),46.23)</f>
        <v>46.23</v>
      </c>
      <c r="BK198" s="3">
        <f ca="1">IFERROR(__xludf.DUMMYFUNCTION("""COMPUTED_VALUE"""),46.61)</f>
        <v>46.61</v>
      </c>
      <c r="BL198" s="3">
        <f ca="1">IFERROR(__xludf.DUMMYFUNCTION("""COMPUTED_VALUE"""),45.68)</f>
        <v>45.68</v>
      </c>
      <c r="BM198" s="3">
        <f ca="1">IFERROR(__xludf.DUMMYFUNCTION("""COMPUTED_VALUE"""),45.7)</f>
        <v>45.7</v>
      </c>
      <c r="BN198" s="3">
        <f ca="1">IFERROR(__xludf.DUMMYFUNCTION("""COMPUTED_VALUE"""),25390041)</f>
        <v>25390041</v>
      </c>
    </row>
    <row r="199" spans="7:66" ht="13" x14ac:dyDescent="0.15">
      <c r="G199" s="4">
        <f ca="1">IFERROR(__xludf.DUMMYFUNCTION("""COMPUTED_VALUE"""),42412.6666666666)</f>
        <v>42412.666666666599</v>
      </c>
      <c r="H199" s="3">
        <f ca="1">IFERROR(__xludf.DUMMYFUNCTION("""COMPUTED_VALUE"""),69.28)</f>
        <v>69.28</v>
      </c>
      <c r="I199" s="3">
        <f ca="1">IFERROR(__xludf.DUMMYFUNCTION("""COMPUTED_VALUE"""),69.82)</f>
        <v>69.819999999999993</v>
      </c>
      <c r="J199" s="3">
        <f ca="1">IFERROR(__xludf.DUMMYFUNCTION("""COMPUTED_VALUE"""),68.63)</f>
        <v>68.63</v>
      </c>
      <c r="K199" s="3">
        <f ca="1">IFERROR(__xludf.DUMMYFUNCTION("""COMPUTED_VALUE"""),69.79)</f>
        <v>69.790000000000006</v>
      </c>
      <c r="L199" s="3">
        <f ca="1">IFERROR(__xludf.DUMMYFUNCTION("""COMPUTED_VALUE"""),10927225)</f>
        <v>10927225</v>
      </c>
      <c r="M199" s="4">
        <f ca="1">IFERROR(__xludf.DUMMYFUNCTION("""COMPUTED_VALUE"""),42412.6666666666)</f>
        <v>42412.666666666599</v>
      </c>
      <c r="N199" s="3">
        <f ca="1">IFERROR(__xludf.DUMMYFUNCTION("""COMPUTED_VALUE"""),49.67)</f>
        <v>49.67</v>
      </c>
      <c r="O199" s="3">
        <f ca="1">IFERROR(__xludf.DUMMYFUNCTION("""COMPUTED_VALUE"""),50.08)</f>
        <v>50.08</v>
      </c>
      <c r="P199" s="3">
        <f ca="1">IFERROR(__xludf.DUMMYFUNCTION("""COMPUTED_VALUE"""),49.44)</f>
        <v>49.44</v>
      </c>
      <c r="Q199" s="3">
        <f ca="1">IFERROR(__xludf.DUMMYFUNCTION("""COMPUTED_VALUE"""),50.07)</f>
        <v>50.07</v>
      </c>
      <c r="R199" s="3">
        <f ca="1">IFERROR(__xludf.DUMMYFUNCTION("""COMPUTED_VALUE"""),12464006)</f>
        <v>12464006</v>
      </c>
      <c r="S199" s="4">
        <f ca="1">IFERROR(__xludf.DUMMYFUNCTION("""COMPUTED_VALUE"""),42412.6666666666)</f>
        <v>42412.666666666599</v>
      </c>
      <c r="T199" s="3">
        <f ca="1">IFERROR(__xludf.DUMMYFUNCTION("""COMPUTED_VALUE"""),54.6)</f>
        <v>54.6</v>
      </c>
      <c r="U199" s="3">
        <f ca="1">IFERROR(__xludf.DUMMYFUNCTION("""COMPUTED_VALUE"""),55.52)</f>
        <v>55.52</v>
      </c>
      <c r="V199" s="3">
        <f ca="1">IFERROR(__xludf.DUMMYFUNCTION("""COMPUTED_VALUE"""),54.11)</f>
        <v>54.11</v>
      </c>
      <c r="W199" s="3">
        <f ca="1">IFERROR(__xludf.DUMMYFUNCTION("""COMPUTED_VALUE"""),55.28)</f>
        <v>55.28</v>
      </c>
      <c r="X199" s="3">
        <f ca="1">IFERROR(__xludf.DUMMYFUNCTION("""COMPUTED_VALUE"""),25782048)</f>
        <v>25782048</v>
      </c>
      <c r="Y199" s="4">
        <f ca="1">IFERROR(__xludf.DUMMYFUNCTION("""COMPUTED_VALUE"""),42412.6666666666)</f>
        <v>42412.666666666599</v>
      </c>
      <c r="Z199" s="3">
        <f ca="1">IFERROR(__xludf.DUMMYFUNCTION("""COMPUTED_VALUE"""),16.35)</f>
        <v>16.350000000000001</v>
      </c>
      <c r="AA199" s="3">
        <f ca="1">IFERROR(__xludf.DUMMYFUNCTION("""COMPUTED_VALUE"""),16.64)</f>
        <v>16.64</v>
      </c>
      <c r="AB199" s="3">
        <f ca="1">IFERROR(__xludf.DUMMYFUNCTION("""COMPUTED_VALUE"""),16.27)</f>
        <v>16.27</v>
      </c>
      <c r="AC199" s="3">
        <f ca="1">IFERROR(__xludf.DUMMYFUNCTION("""COMPUTED_VALUE"""),16.64)</f>
        <v>16.64</v>
      </c>
      <c r="AD199" s="3">
        <f ca="1">IFERROR(__xludf.DUMMYFUNCTION("""COMPUTED_VALUE"""),97189788)</f>
        <v>97189788</v>
      </c>
      <c r="AE199" s="4">
        <f ca="1">IFERROR(__xludf.DUMMYFUNCTION("""COMPUTED_VALUE"""),42412.6666666666)</f>
        <v>42412.666666666599</v>
      </c>
      <c r="AF199" s="3">
        <f ca="1">IFERROR(__xludf.DUMMYFUNCTION("""COMPUTED_VALUE"""),63.87)</f>
        <v>63.87</v>
      </c>
      <c r="AG199" s="3">
        <f ca="1">IFERROR(__xludf.DUMMYFUNCTION("""COMPUTED_VALUE"""),64.4)</f>
        <v>64.400000000000006</v>
      </c>
      <c r="AH199" s="3">
        <f ca="1">IFERROR(__xludf.DUMMYFUNCTION("""COMPUTED_VALUE"""),63.33)</f>
        <v>63.33</v>
      </c>
      <c r="AI199" s="3">
        <f ca="1">IFERROR(__xludf.DUMMYFUNCTION("""COMPUTED_VALUE"""),64.37)</f>
        <v>64.37</v>
      </c>
      <c r="AJ199" s="3">
        <f ca="1">IFERROR(__xludf.DUMMYFUNCTION("""COMPUTED_VALUE"""),10315981)</f>
        <v>10315981</v>
      </c>
      <c r="AK199" s="4">
        <f ca="1">IFERROR(__xludf.DUMMYFUNCTION("""COMPUTED_VALUE"""),42412.6666666666)</f>
        <v>42412.666666666599</v>
      </c>
      <c r="AL199" s="3">
        <f ca="1">IFERROR(__xludf.DUMMYFUNCTION("""COMPUTED_VALUE"""),48.98)</f>
        <v>48.98</v>
      </c>
      <c r="AM199" s="3">
        <f ca="1">IFERROR(__xludf.DUMMYFUNCTION("""COMPUTED_VALUE"""),49.68)</f>
        <v>49.68</v>
      </c>
      <c r="AN199" s="3">
        <f ca="1">IFERROR(__xludf.DUMMYFUNCTION("""COMPUTED_VALUE"""),48.88)</f>
        <v>48.88</v>
      </c>
      <c r="AO199" s="3">
        <f ca="1">IFERROR(__xludf.DUMMYFUNCTION("""COMPUTED_VALUE"""),49.67)</f>
        <v>49.67</v>
      </c>
      <c r="AP199" s="3">
        <f ca="1">IFERROR(__xludf.DUMMYFUNCTION("""COMPUTED_VALUE"""),19249081)</f>
        <v>19249081</v>
      </c>
      <c r="AQ199" s="4">
        <f ca="1">IFERROR(__xludf.DUMMYFUNCTION("""COMPUTED_VALUE"""),42412.6666666666)</f>
        <v>42412.666666666599</v>
      </c>
      <c r="AR199" s="3">
        <f ca="1">IFERROR(__xludf.DUMMYFUNCTION("""COMPUTED_VALUE"""),39.34)</f>
        <v>39.340000000000003</v>
      </c>
      <c r="AS199" s="3">
        <f ca="1">IFERROR(__xludf.DUMMYFUNCTION("""COMPUTED_VALUE"""),39.94)</f>
        <v>39.94</v>
      </c>
      <c r="AT199" s="3">
        <f ca="1">IFERROR(__xludf.DUMMYFUNCTION("""COMPUTED_VALUE"""),38.9)</f>
        <v>38.9</v>
      </c>
      <c r="AU199" s="3">
        <f ca="1">IFERROR(__xludf.DUMMYFUNCTION("""COMPUTED_VALUE"""),39.94)</f>
        <v>39.94</v>
      </c>
      <c r="AV199" s="3">
        <f ca="1">IFERROR(__xludf.DUMMYFUNCTION("""COMPUTED_VALUE"""),8596391)</f>
        <v>8596391</v>
      </c>
      <c r="AW199" s="4">
        <f ca="1">IFERROR(__xludf.DUMMYFUNCTION("""COMPUTED_VALUE"""),42578.6666666666)</f>
        <v>42578.666666666599</v>
      </c>
      <c r="AX199" s="3">
        <f ca="1">IFERROR(__xludf.DUMMYFUNCTION("""COMPUTED_VALUE"""),34.57)</f>
        <v>34.57</v>
      </c>
      <c r="AY199" s="3">
        <f ca="1">IFERROR(__xludf.DUMMYFUNCTION("""COMPUTED_VALUE"""),34.57)</f>
        <v>34.57</v>
      </c>
      <c r="AZ199" s="3">
        <f ca="1">IFERROR(__xludf.DUMMYFUNCTION("""COMPUTED_VALUE"""),33.98)</f>
        <v>33.979999999999997</v>
      </c>
      <c r="BA199" s="3">
        <f ca="1">IFERROR(__xludf.DUMMYFUNCTION("""COMPUTED_VALUE"""),34.1)</f>
        <v>34.1</v>
      </c>
      <c r="BB199" s="3">
        <f ca="1">IFERROR(__xludf.DUMMYFUNCTION("""COMPUTED_VALUE"""),8401)</f>
        <v>8401</v>
      </c>
      <c r="BC199" s="4">
        <f ca="1">IFERROR(__xludf.DUMMYFUNCTION("""COMPUTED_VALUE"""),42412.6666666666)</f>
        <v>42412.666666666599</v>
      </c>
      <c r="BD199" s="3">
        <f ca="1">IFERROR(__xludf.DUMMYFUNCTION("""COMPUTED_VALUE"""),39.04)</f>
        <v>39.04</v>
      </c>
      <c r="BE199" s="3">
        <f ca="1">IFERROR(__xludf.DUMMYFUNCTION("""COMPUTED_VALUE"""),39.3)</f>
        <v>39.299999999999997</v>
      </c>
      <c r="BF199" s="3">
        <f ca="1">IFERROR(__xludf.DUMMYFUNCTION("""COMPUTED_VALUE"""),38.82)</f>
        <v>38.82</v>
      </c>
      <c r="BG199" s="3">
        <f ca="1">IFERROR(__xludf.DUMMYFUNCTION("""COMPUTED_VALUE"""),39.27)</f>
        <v>39.270000000000003</v>
      </c>
      <c r="BH199" s="3">
        <f ca="1">IFERROR(__xludf.DUMMYFUNCTION("""COMPUTED_VALUE"""),10893423)</f>
        <v>10893423</v>
      </c>
      <c r="BI199" s="4">
        <f ca="1">IFERROR(__xludf.DUMMYFUNCTION("""COMPUTED_VALUE"""),42412.6666666666)</f>
        <v>42412.666666666599</v>
      </c>
      <c r="BJ199" s="3">
        <f ca="1">IFERROR(__xludf.DUMMYFUNCTION("""COMPUTED_VALUE"""),45.67)</f>
        <v>45.67</v>
      </c>
      <c r="BK199" s="3">
        <f ca="1">IFERROR(__xludf.DUMMYFUNCTION("""COMPUTED_VALUE"""),45.93)</f>
        <v>45.93</v>
      </c>
      <c r="BL199" s="3">
        <f ca="1">IFERROR(__xludf.DUMMYFUNCTION("""COMPUTED_VALUE"""),45.19)</f>
        <v>45.19</v>
      </c>
      <c r="BM199" s="3">
        <f ca="1">IFERROR(__xludf.DUMMYFUNCTION("""COMPUTED_VALUE"""),45.56)</f>
        <v>45.56</v>
      </c>
      <c r="BN199" s="3">
        <f ca="1">IFERROR(__xludf.DUMMYFUNCTION("""COMPUTED_VALUE"""),21018740)</f>
        <v>21018740</v>
      </c>
    </row>
    <row r="200" spans="7:66" ht="13" x14ac:dyDescent="0.15">
      <c r="G200" s="4">
        <f ca="1">IFERROR(__xludf.DUMMYFUNCTION("""COMPUTED_VALUE"""),42416.6666666666)</f>
        <v>42416.666666666599</v>
      </c>
      <c r="H200" s="3">
        <f ca="1">IFERROR(__xludf.DUMMYFUNCTION("""COMPUTED_VALUE"""),70.82)</f>
        <v>70.819999999999993</v>
      </c>
      <c r="I200" s="3">
        <f ca="1">IFERROR(__xludf.DUMMYFUNCTION("""COMPUTED_VALUE"""),71.5)</f>
        <v>71.5</v>
      </c>
      <c r="J200" s="3">
        <f ca="1">IFERROR(__xludf.DUMMYFUNCTION("""COMPUTED_VALUE"""),70.4)</f>
        <v>70.400000000000006</v>
      </c>
      <c r="K200" s="3">
        <f ca="1">IFERROR(__xludf.DUMMYFUNCTION("""COMPUTED_VALUE"""),71.48)</f>
        <v>71.48</v>
      </c>
      <c r="L200" s="3">
        <f ca="1">IFERROR(__xludf.DUMMYFUNCTION("""COMPUTED_VALUE"""),10470402)</f>
        <v>10470402</v>
      </c>
      <c r="M200" s="4">
        <f ca="1">IFERROR(__xludf.DUMMYFUNCTION("""COMPUTED_VALUE"""),42416.6666666666)</f>
        <v>42416.666666666599</v>
      </c>
      <c r="N200" s="3">
        <f ca="1">IFERROR(__xludf.DUMMYFUNCTION("""COMPUTED_VALUE"""),50.5)</f>
        <v>50.5</v>
      </c>
      <c r="O200" s="3">
        <f ca="1">IFERROR(__xludf.DUMMYFUNCTION("""COMPUTED_VALUE"""),50.54)</f>
        <v>50.54</v>
      </c>
      <c r="P200" s="3">
        <f ca="1">IFERROR(__xludf.DUMMYFUNCTION("""COMPUTED_VALUE"""),50.09)</f>
        <v>50.09</v>
      </c>
      <c r="Q200" s="3">
        <f ca="1">IFERROR(__xludf.DUMMYFUNCTION("""COMPUTED_VALUE"""),50.47)</f>
        <v>50.47</v>
      </c>
      <c r="R200" s="3">
        <f ca="1">IFERROR(__xludf.DUMMYFUNCTION("""COMPUTED_VALUE"""),15217653)</f>
        <v>15217653</v>
      </c>
      <c r="S200" s="4">
        <f ca="1">IFERROR(__xludf.DUMMYFUNCTION("""COMPUTED_VALUE"""),42416.6666666666)</f>
        <v>42416.666666666599</v>
      </c>
      <c r="T200" s="3">
        <f ca="1">IFERROR(__xludf.DUMMYFUNCTION("""COMPUTED_VALUE"""),56.21)</f>
        <v>56.21</v>
      </c>
      <c r="U200" s="3">
        <f ca="1">IFERROR(__xludf.DUMMYFUNCTION("""COMPUTED_VALUE"""),56.38)</f>
        <v>56.38</v>
      </c>
      <c r="V200" s="3">
        <f ca="1">IFERROR(__xludf.DUMMYFUNCTION("""COMPUTED_VALUE"""),55.02)</f>
        <v>55.02</v>
      </c>
      <c r="W200" s="3">
        <f ca="1">IFERROR(__xludf.DUMMYFUNCTION("""COMPUTED_VALUE"""),55.83)</f>
        <v>55.83</v>
      </c>
      <c r="X200" s="3">
        <f ca="1">IFERROR(__xludf.DUMMYFUNCTION("""COMPUTED_VALUE"""),33800213)</f>
        <v>33800213</v>
      </c>
      <c r="Y200" s="4">
        <f ca="1">IFERROR(__xludf.DUMMYFUNCTION("""COMPUTED_VALUE"""),42416.6666666666)</f>
        <v>42416.666666666599</v>
      </c>
      <c r="Z200" s="3">
        <f ca="1">IFERROR(__xludf.DUMMYFUNCTION("""COMPUTED_VALUE"""),16.92)</f>
        <v>16.920000000000002</v>
      </c>
      <c r="AA200" s="3">
        <f ca="1">IFERROR(__xludf.DUMMYFUNCTION("""COMPUTED_VALUE"""),16.98)</f>
        <v>16.98</v>
      </c>
      <c r="AB200" s="3">
        <f ca="1">IFERROR(__xludf.DUMMYFUNCTION("""COMPUTED_VALUE"""),16.75)</f>
        <v>16.75</v>
      </c>
      <c r="AC200" s="3">
        <f ca="1">IFERROR(__xludf.DUMMYFUNCTION("""COMPUTED_VALUE"""),16.91)</f>
        <v>16.91</v>
      </c>
      <c r="AD200" s="3">
        <f ca="1">IFERROR(__xludf.DUMMYFUNCTION("""COMPUTED_VALUE"""),79200767)</f>
        <v>79200767</v>
      </c>
      <c r="AE200" s="4">
        <f ca="1">IFERROR(__xludf.DUMMYFUNCTION("""COMPUTED_VALUE"""),42416.6666666666)</f>
        <v>42416.666666666599</v>
      </c>
      <c r="AF200" s="3">
        <f ca="1">IFERROR(__xludf.DUMMYFUNCTION("""COMPUTED_VALUE"""),65.06)</f>
        <v>65.06</v>
      </c>
      <c r="AG200" s="3">
        <f ca="1">IFERROR(__xludf.DUMMYFUNCTION("""COMPUTED_VALUE"""),65.61)</f>
        <v>65.61</v>
      </c>
      <c r="AH200" s="3">
        <f ca="1">IFERROR(__xludf.DUMMYFUNCTION("""COMPUTED_VALUE"""),64.84)</f>
        <v>64.84</v>
      </c>
      <c r="AI200" s="3">
        <f ca="1">IFERROR(__xludf.DUMMYFUNCTION("""COMPUTED_VALUE"""),65.58)</f>
        <v>65.58</v>
      </c>
      <c r="AJ200" s="3">
        <f ca="1">IFERROR(__xludf.DUMMYFUNCTION("""COMPUTED_VALUE"""),17302955)</f>
        <v>17302955</v>
      </c>
      <c r="AK200" s="4">
        <f ca="1">IFERROR(__xludf.DUMMYFUNCTION("""COMPUTED_VALUE"""),42416.6666666666)</f>
        <v>42416.666666666599</v>
      </c>
      <c r="AL200" s="3">
        <f ca="1">IFERROR(__xludf.DUMMYFUNCTION("""COMPUTED_VALUE"""),50.3)</f>
        <v>50.3</v>
      </c>
      <c r="AM200" s="3">
        <f ca="1">IFERROR(__xludf.DUMMYFUNCTION("""COMPUTED_VALUE"""),50.73)</f>
        <v>50.73</v>
      </c>
      <c r="AN200" s="3">
        <f ca="1">IFERROR(__xludf.DUMMYFUNCTION("""COMPUTED_VALUE"""),49.87)</f>
        <v>49.87</v>
      </c>
      <c r="AO200" s="3">
        <f ca="1">IFERROR(__xludf.DUMMYFUNCTION("""COMPUTED_VALUE"""),50.67)</f>
        <v>50.67</v>
      </c>
      <c r="AP200" s="3">
        <f ca="1">IFERROR(__xludf.DUMMYFUNCTION("""COMPUTED_VALUE"""),15037927)</f>
        <v>15037927</v>
      </c>
      <c r="AQ200" s="4">
        <f ca="1">IFERROR(__xludf.DUMMYFUNCTION("""COMPUTED_VALUE"""),42416.6666666666)</f>
        <v>42416.666666666599</v>
      </c>
      <c r="AR200" s="3">
        <f ca="1">IFERROR(__xludf.DUMMYFUNCTION("""COMPUTED_VALUE"""),40.34)</f>
        <v>40.340000000000003</v>
      </c>
      <c r="AS200" s="3">
        <f ca="1">IFERROR(__xludf.DUMMYFUNCTION("""COMPUTED_VALUE"""),40.6)</f>
        <v>40.6</v>
      </c>
      <c r="AT200" s="3">
        <f ca="1">IFERROR(__xludf.DUMMYFUNCTION("""COMPUTED_VALUE"""),39.83)</f>
        <v>39.83</v>
      </c>
      <c r="AU200" s="3">
        <f ca="1">IFERROR(__xludf.DUMMYFUNCTION("""COMPUTED_VALUE"""),40.55)</f>
        <v>40.549999999999997</v>
      </c>
      <c r="AV200" s="3">
        <f ca="1">IFERROR(__xludf.DUMMYFUNCTION("""COMPUTED_VALUE"""),6786824)</f>
        <v>6786824</v>
      </c>
      <c r="AW200" s="4">
        <f ca="1">IFERROR(__xludf.DUMMYFUNCTION("""COMPUTED_VALUE"""),42579.6666666666)</f>
        <v>42579.666666666599</v>
      </c>
      <c r="AX200" s="3">
        <f ca="1">IFERROR(__xludf.DUMMYFUNCTION("""COMPUTED_VALUE"""),34.16)</f>
        <v>34.159999999999997</v>
      </c>
      <c r="AY200" s="3">
        <f ca="1">IFERROR(__xludf.DUMMYFUNCTION("""COMPUTED_VALUE"""),34.42)</f>
        <v>34.42</v>
      </c>
      <c r="AZ200" s="3">
        <f ca="1">IFERROR(__xludf.DUMMYFUNCTION("""COMPUTED_VALUE"""),33.99)</f>
        <v>33.99</v>
      </c>
      <c r="BA200" s="3">
        <f ca="1">IFERROR(__xludf.DUMMYFUNCTION("""COMPUTED_VALUE"""),34.31)</f>
        <v>34.31</v>
      </c>
      <c r="BB200" s="3">
        <f ca="1">IFERROR(__xludf.DUMMYFUNCTION("""COMPUTED_VALUE"""),10622)</f>
        <v>10622</v>
      </c>
      <c r="BC200" s="4">
        <f ca="1">IFERROR(__xludf.DUMMYFUNCTION("""COMPUTED_VALUE"""),42416.6666666666)</f>
        <v>42416.666666666599</v>
      </c>
      <c r="BD200" s="3">
        <f ca="1">IFERROR(__xludf.DUMMYFUNCTION("""COMPUTED_VALUE"""),39.71)</f>
        <v>39.71</v>
      </c>
      <c r="BE200" s="3">
        <f ca="1">IFERROR(__xludf.DUMMYFUNCTION("""COMPUTED_VALUE"""),39.98)</f>
        <v>39.979999999999997</v>
      </c>
      <c r="BF200" s="3">
        <f ca="1">IFERROR(__xludf.DUMMYFUNCTION("""COMPUTED_VALUE"""),39.49)</f>
        <v>39.49</v>
      </c>
      <c r="BG200" s="3">
        <f ca="1">IFERROR(__xludf.DUMMYFUNCTION("""COMPUTED_VALUE"""),39.97)</f>
        <v>39.97</v>
      </c>
      <c r="BH200" s="3">
        <f ca="1">IFERROR(__xludf.DUMMYFUNCTION("""COMPUTED_VALUE"""),10293312)</f>
        <v>10293312</v>
      </c>
      <c r="BI200" s="4">
        <f ca="1">IFERROR(__xludf.DUMMYFUNCTION("""COMPUTED_VALUE"""),42416.6666666666)</f>
        <v>42416.666666666599</v>
      </c>
      <c r="BJ200" s="3">
        <f ca="1">IFERROR(__xludf.DUMMYFUNCTION("""COMPUTED_VALUE"""),45.79)</f>
        <v>45.79</v>
      </c>
      <c r="BK200" s="3">
        <f ca="1">IFERROR(__xludf.DUMMYFUNCTION("""COMPUTED_VALUE"""),45.95)</f>
        <v>45.95</v>
      </c>
      <c r="BL200" s="3">
        <f ca="1">IFERROR(__xludf.DUMMYFUNCTION("""COMPUTED_VALUE"""),45.37)</f>
        <v>45.37</v>
      </c>
      <c r="BM200" s="3">
        <f ca="1">IFERROR(__xludf.DUMMYFUNCTION("""COMPUTED_VALUE"""),45.85)</f>
        <v>45.85</v>
      </c>
      <c r="BN200" s="3">
        <f ca="1">IFERROR(__xludf.DUMMYFUNCTION("""COMPUTED_VALUE"""),14638647)</f>
        <v>14638647</v>
      </c>
    </row>
    <row r="201" spans="7:66" ht="13" x14ac:dyDescent="0.15">
      <c r="G201" s="4">
        <f ca="1">IFERROR(__xludf.DUMMYFUNCTION("""COMPUTED_VALUE"""),42417.6666666666)</f>
        <v>42417.666666666599</v>
      </c>
      <c r="H201" s="3">
        <f ca="1">IFERROR(__xludf.DUMMYFUNCTION("""COMPUTED_VALUE"""),72.23)</f>
        <v>72.23</v>
      </c>
      <c r="I201" s="3">
        <f ca="1">IFERROR(__xludf.DUMMYFUNCTION("""COMPUTED_VALUE"""),73.21)</f>
        <v>73.209999999999994</v>
      </c>
      <c r="J201" s="3">
        <f ca="1">IFERROR(__xludf.DUMMYFUNCTION("""COMPUTED_VALUE"""),72.14)</f>
        <v>72.14</v>
      </c>
      <c r="K201" s="3">
        <f ca="1">IFERROR(__xludf.DUMMYFUNCTION("""COMPUTED_VALUE"""),73.02)</f>
        <v>73.02</v>
      </c>
      <c r="L201" s="3">
        <f ca="1">IFERROR(__xludf.DUMMYFUNCTION("""COMPUTED_VALUE"""),9774726)</f>
        <v>9774726</v>
      </c>
      <c r="M201" s="4">
        <f ca="1">IFERROR(__xludf.DUMMYFUNCTION("""COMPUTED_VALUE"""),42417.6666666666)</f>
        <v>42417.666666666599</v>
      </c>
      <c r="N201" s="3">
        <f ca="1">IFERROR(__xludf.DUMMYFUNCTION("""COMPUTED_VALUE"""),50.69)</f>
        <v>50.69</v>
      </c>
      <c r="O201" s="3">
        <f ca="1">IFERROR(__xludf.DUMMYFUNCTION("""COMPUTED_VALUE"""),51.14)</f>
        <v>51.14</v>
      </c>
      <c r="P201" s="3">
        <f ca="1">IFERROR(__xludf.DUMMYFUNCTION("""COMPUTED_VALUE"""),50.54)</f>
        <v>50.54</v>
      </c>
      <c r="Q201" s="3">
        <f ca="1">IFERROR(__xludf.DUMMYFUNCTION("""COMPUTED_VALUE"""),50.99)</f>
        <v>50.99</v>
      </c>
      <c r="R201" s="3">
        <f ca="1">IFERROR(__xludf.DUMMYFUNCTION("""COMPUTED_VALUE"""),11040533)</f>
        <v>11040533</v>
      </c>
      <c r="S201" s="4">
        <f ca="1">IFERROR(__xludf.DUMMYFUNCTION("""COMPUTED_VALUE"""),42417.6666666666)</f>
        <v>42417.666666666599</v>
      </c>
      <c r="T201" s="3">
        <f ca="1">IFERROR(__xludf.DUMMYFUNCTION("""COMPUTED_VALUE"""),56.5)</f>
        <v>56.5</v>
      </c>
      <c r="U201" s="3">
        <f ca="1">IFERROR(__xludf.DUMMYFUNCTION("""COMPUTED_VALUE"""),57.91)</f>
        <v>57.91</v>
      </c>
      <c r="V201" s="3">
        <f ca="1">IFERROR(__xludf.DUMMYFUNCTION("""COMPUTED_VALUE"""),56.28)</f>
        <v>56.28</v>
      </c>
      <c r="W201" s="3">
        <f ca="1">IFERROR(__xludf.DUMMYFUNCTION("""COMPUTED_VALUE"""),57.66)</f>
        <v>57.66</v>
      </c>
      <c r="X201" s="3">
        <f ca="1">IFERROR(__xludf.DUMMYFUNCTION("""COMPUTED_VALUE"""),29280045)</f>
        <v>29280045</v>
      </c>
      <c r="Y201" s="4">
        <f ca="1">IFERROR(__xludf.DUMMYFUNCTION("""COMPUTED_VALUE"""),42417.6666666666)</f>
        <v>42417.666666666599</v>
      </c>
      <c r="Z201" s="3">
        <f ca="1">IFERROR(__xludf.DUMMYFUNCTION("""COMPUTED_VALUE"""),17.07)</f>
        <v>17.07</v>
      </c>
      <c r="AA201" s="3">
        <f ca="1">IFERROR(__xludf.DUMMYFUNCTION("""COMPUTED_VALUE"""),17.22)</f>
        <v>17.22</v>
      </c>
      <c r="AB201" s="3">
        <f ca="1">IFERROR(__xludf.DUMMYFUNCTION("""COMPUTED_VALUE"""),17.07)</f>
        <v>17.07</v>
      </c>
      <c r="AC201" s="3">
        <f ca="1">IFERROR(__xludf.DUMMYFUNCTION("""COMPUTED_VALUE"""),17.13)</f>
        <v>17.13</v>
      </c>
      <c r="AD201" s="3">
        <f ca="1">IFERROR(__xludf.DUMMYFUNCTION("""COMPUTED_VALUE"""),64863007)</f>
        <v>64863007</v>
      </c>
      <c r="AE201" s="4">
        <f ca="1">IFERROR(__xludf.DUMMYFUNCTION("""COMPUTED_VALUE"""),42417.6666666666)</f>
        <v>42417.666666666599</v>
      </c>
      <c r="AF201" s="3">
        <f ca="1">IFERROR(__xludf.DUMMYFUNCTION("""COMPUTED_VALUE"""),66.09)</f>
        <v>66.09</v>
      </c>
      <c r="AG201" s="3">
        <f ca="1">IFERROR(__xludf.DUMMYFUNCTION("""COMPUTED_VALUE"""),66.49)</f>
        <v>66.489999999999995</v>
      </c>
      <c r="AH201" s="3">
        <f ca="1">IFERROR(__xludf.DUMMYFUNCTION("""COMPUTED_VALUE"""),65.59)</f>
        <v>65.59</v>
      </c>
      <c r="AI201" s="3">
        <f ca="1">IFERROR(__xludf.DUMMYFUNCTION("""COMPUTED_VALUE"""),66.41)</f>
        <v>66.41</v>
      </c>
      <c r="AJ201" s="3">
        <f ca="1">IFERROR(__xludf.DUMMYFUNCTION("""COMPUTED_VALUE"""),12140012)</f>
        <v>12140012</v>
      </c>
      <c r="AK201" s="4">
        <f ca="1">IFERROR(__xludf.DUMMYFUNCTION("""COMPUTED_VALUE"""),42417.6666666666)</f>
        <v>42417.666666666599</v>
      </c>
      <c r="AL201" s="3">
        <f ca="1">IFERROR(__xludf.DUMMYFUNCTION("""COMPUTED_VALUE"""),51)</f>
        <v>51</v>
      </c>
      <c r="AM201" s="3">
        <f ca="1">IFERROR(__xludf.DUMMYFUNCTION("""COMPUTED_VALUE"""),51.64)</f>
        <v>51.64</v>
      </c>
      <c r="AN201" s="3">
        <f ca="1">IFERROR(__xludf.DUMMYFUNCTION("""COMPUTED_VALUE"""),50.85)</f>
        <v>50.85</v>
      </c>
      <c r="AO201" s="3">
        <f ca="1">IFERROR(__xludf.DUMMYFUNCTION("""COMPUTED_VALUE"""),51.45)</f>
        <v>51.45</v>
      </c>
      <c r="AP201" s="3">
        <f ca="1">IFERROR(__xludf.DUMMYFUNCTION("""COMPUTED_VALUE"""),15619908)</f>
        <v>15619908</v>
      </c>
      <c r="AQ201" s="4">
        <f ca="1">IFERROR(__xludf.DUMMYFUNCTION("""COMPUTED_VALUE"""),42417.6666666666)</f>
        <v>42417.666666666599</v>
      </c>
      <c r="AR201" s="3">
        <f ca="1">IFERROR(__xludf.DUMMYFUNCTION("""COMPUTED_VALUE"""),40.88)</f>
        <v>40.880000000000003</v>
      </c>
      <c r="AS201" s="3">
        <f ca="1">IFERROR(__xludf.DUMMYFUNCTION("""COMPUTED_VALUE"""),41.58)</f>
        <v>41.58</v>
      </c>
      <c r="AT201" s="3">
        <f ca="1">IFERROR(__xludf.DUMMYFUNCTION("""COMPUTED_VALUE"""),40.87)</f>
        <v>40.869999999999997</v>
      </c>
      <c r="AU201" s="3">
        <f ca="1">IFERROR(__xludf.DUMMYFUNCTION("""COMPUTED_VALUE"""),41.35)</f>
        <v>41.35</v>
      </c>
      <c r="AV201" s="3">
        <f ca="1">IFERROR(__xludf.DUMMYFUNCTION("""COMPUTED_VALUE"""),7494220)</f>
        <v>7494220</v>
      </c>
      <c r="AW201" s="4">
        <f ca="1">IFERROR(__xludf.DUMMYFUNCTION("""COMPUTED_VALUE"""),42580.6666666666)</f>
        <v>42580.666666666599</v>
      </c>
      <c r="AX201" s="3">
        <f ca="1">IFERROR(__xludf.DUMMYFUNCTION("""COMPUTED_VALUE"""),34.36)</f>
        <v>34.36</v>
      </c>
      <c r="AY201" s="3">
        <f ca="1">IFERROR(__xludf.DUMMYFUNCTION("""COMPUTED_VALUE"""),34.77)</f>
        <v>34.770000000000003</v>
      </c>
      <c r="AZ201" s="3">
        <f ca="1">IFERROR(__xludf.DUMMYFUNCTION("""COMPUTED_VALUE"""),34.36)</f>
        <v>34.36</v>
      </c>
      <c r="BA201" s="3">
        <f ca="1">IFERROR(__xludf.DUMMYFUNCTION("""COMPUTED_VALUE"""),34.68)</f>
        <v>34.68</v>
      </c>
      <c r="BB201" s="3">
        <f ca="1">IFERROR(__xludf.DUMMYFUNCTION("""COMPUTED_VALUE"""),17521)</f>
        <v>17521</v>
      </c>
      <c r="BC201" s="4">
        <f ca="1">IFERROR(__xludf.DUMMYFUNCTION("""COMPUTED_VALUE"""),42417.6666666666)</f>
        <v>42417.666666666599</v>
      </c>
      <c r="BD201" s="3">
        <f ca="1">IFERROR(__xludf.DUMMYFUNCTION("""COMPUTED_VALUE"""),40.2)</f>
        <v>40.200000000000003</v>
      </c>
      <c r="BE201" s="3">
        <f ca="1">IFERROR(__xludf.DUMMYFUNCTION("""COMPUTED_VALUE"""),40.87)</f>
        <v>40.869999999999997</v>
      </c>
      <c r="BF201" s="3">
        <f ca="1">IFERROR(__xludf.DUMMYFUNCTION("""COMPUTED_VALUE"""),40.15)</f>
        <v>40.15</v>
      </c>
      <c r="BG201" s="3">
        <f ca="1">IFERROR(__xludf.DUMMYFUNCTION("""COMPUTED_VALUE"""),40.79)</f>
        <v>40.79</v>
      </c>
      <c r="BH201" s="3">
        <f ca="1">IFERROR(__xludf.DUMMYFUNCTION("""COMPUTED_VALUE"""),11128836)</f>
        <v>11128836</v>
      </c>
      <c r="BI201" s="4">
        <f ca="1">IFERROR(__xludf.DUMMYFUNCTION("""COMPUTED_VALUE"""),42417.6666666666)</f>
        <v>42417.666666666599</v>
      </c>
      <c r="BJ201" s="3">
        <f ca="1">IFERROR(__xludf.DUMMYFUNCTION("""COMPUTED_VALUE"""),46)</f>
        <v>46</v>
      </c>
      <c r="BK201" s="3">
        <f ca="1">IFERROR(__xludf.DUMMYFUNCTION("""COMPUTED_VALUE"""),46)</f>
        <v>46</v>
      </c>
      <c r="BL201" s="3">
        <f ca="1">IFERROR(__xludf.DUMMYFUNCTION("""COMPUTED_VALUE"""),45.46)</f>
        <v>45.46</v>
      </c>
      <c r="BM201" s="3">
        <f ca="1">IFERROR(__xludf.DUMMYFUNCTION("""COMPUTED_VALUE"""),45.76)</f>
        <v>45.76</v>
      </c>
      <c r="BN201" s="3">
        <f ca="1">IFERROR(__xludf.DUMMYFUNCTION("""COMPUTED_VALUE"""),19080334)</f>
        <v>19080334</v>
      </c>
    </row>
    <row r="202" spans="7:66" ht="13" x14ac:dyDescent="0.15">
      <c r="G202" s="4">
        <f ca="1">IFERROR(__xludf.DUMMYFUNCTION("""COMPUTED_VALUE"""),42418.6666666666)</f>
        <v>42418.666666666599</v>
      </c>
      <c r="H202" s="3">
        <f ca="1">IFERROR(__xludf.DUMMYFUNCTION("""COMPUTED_VALUE"""),73.06)</f>
        <v>73.06</v>
      </c>
      <c r="I202" s="3">
        <f ca="1">IFERROR(__xludf.DUMMYFUNCTION("""COMPUTED_VALUE"""),73.08)</f>
        <v>73.08</v>
      </c>
      <c r="J202" s="3">
        <f ca="1">IFERROR(__xludf.DUMMYFUNCTION("""COMPUTED_VALUE"""),72.29)</f>
        <v>72.290000000000006</v>
      </c>
      <c r="K202" s="3">
        <f ca="1">IFERROR(__xludf.DUMMYFUNCTION("""COMPUTED_VALUE"""),72.54)</f>
        <v>72.540000000000006</v>
      </c>
      <c r="L202" s="3">
        <f ca="1">IFERROR(__xludf.DUMMYFUNCTION("""COMPUTED_VALUE"""),6974156)</f>
        <v>6974156</v>
      </c>
      <c r="M202" s="4">
        <f ca="1">IFERROR(__xludf.DUMMYFUNCTION("""COMPUTED_VALUE"""),42418.6666666666)</f>
        <v>42418.666666666599</v>
      </c>
      <c r="N202" s="3">
        <f ca="1">IFERROR(__xludf.DUMMYFUNCTION("""COMPUTED_VALUE"""),50.82)</f>
        <v>50.82</v>
      </c>
      <c r="O202" s="3">
        <f ca="1">IFERROR(__xludf.DUMMYFUNCTION("""COMPUTED_VALUE"""),50.92)</f>
        <v>50.92</v>
      </c>
      <c r="P202" s="3">
        <f ca="1">IFERROR(__xludf.DUMMYFUNCTION("""COMPUTED_VALUE"""),50.49)</f>
        <v>50.49</v>
      </c>
      <c r="Q202" s="3">
        <f ca="1">IFERROR(__xludf.DUMMYFUNCTION("""COMPUTED_VALUE"""),50.76)</f>
        <v>50.76</v>
      </c>
      <c r="R202" s="3">
        <f ca="1">IFERROR(__xludf.DUMMYFUNCTION("""COMPUTED_VALUE"""),13101903)</f>
        <v>13101903</v>
      </c>
      <c r="S202" s="4">
        <f ca="1">IFERROR(__xludf.DUMMYFUNCTION("""COMPUTED_VALUE"""),42418.6666666666)</f>
        <v>42418.666666666599</v>
      </c>
      <c r="T202" s="3">
        <f ca="1">IFERROR(__xludf.DUMMYFUNCTION("""COMPUTED_VALUE"""),58.15)</f>
        <v>58.15</v>
      </c>
      <c r="U202" s="3">
        <f ca="1">IFERROR(__xludf.DUMMYFUNCTION("""COMPUTED_VALUE"""),58.24)</f>
        <v>58.24</v>
      </c>
      <c r="V202" s="3">
        <f ca="1">IFERROR(__xludf.DUMMYFUNCTION("""COMPUTED_VALUE"""),56.66)</f>
        <v>56.66</v>
      </c>
      <c r="W202" s="3">
        <f ca="1">IFERROR(__xludf.DUMMYFUNCTION("""COMPUTED_VALUE"""),56.94)</f>
        <v>56.94</v>
      </c>
      <c r="X202" s="3">
        <f ca="1">IFERROR(__xludf.DUMMYFUNCTION("""COMPUTED_VALUE"""),28832298)</f>
        <v>28832298</v>
      </c>
      <c r="Y202" s="4">
        <f ca="1">IFERROR(__xludf.DUMMYFUNCTION("""COMPUTED_VALUE"""),42418.6666666666)</f>
        <v>42418.666666666599</v>
      </c>
      <c r="Z202" s="3">
        <f ca="1">IFERROR(__xludf.DUMMYFUNCTION("""COMPUTED_VALUE"""),17.2)</f>
        <v>17.2</v>
      </c>
      <c r="AA202" s="3">
        <f ca="1">IFERROR(__xludf.DUMMYFUNCTION("""COMPUTED_VALUE"""),17.2)</f>
        <v>17.2</v>
      </c>
      <c r="AB202" s="3">
        <f ca="1">IFERROR(__xludf.DUMMYFUNCTION("""COMPUTED_VALUE"""),16.96)</f>
        <v>16.96</v>
      </c>
      <c r="AC202" s="3">
        <f ca="1">IFERROR(__xludf.DUMMYFUNCTION("""COMPUTED_VALUE"""),17.04)</f>
        <v>17.04</v>
      </c>
      <c r="AD202" s="3">
        <f ca="1">IFERROR(__xludf.DUMMYFUNCTION("""COMPUTED_VALUE"""),64575062)</f>
        <v>64575062</v>
      </c>
      <c r="AE202" s="4">
        <f ca="1">IFERROR(__xludf.DUMMYFUNCTION("""COMPUTED_VALUE"""),42418.6666666666)</f>
        <v>42418.666666666599</v>
      </c>
      <c r="AF202" s="3">
        <f ca="1">IFERROR(__xludf.DUMMYFUNCTION("""COMPUTED_VALUE"""),66.49)</f>
        <v>66.489999999999995</v>
      </c>
      <c r="AG202" s="3">
        <f ca="1">IFERROR(__xludf.DUMMYFUNCTION("""COMPUTED_VALUE"""),66.76)</f>
        <v>66.760000000000005</v>
      </c>
      <c r="AH202" s="3">
        <f ca="1">IFERROR(__xludf.DUMMYFUNCTION("""COMPUTED_VALUE"""),65.84)</f>
        <v>65.84</v>
      </c>
      <c r="AI202" s="3">
        <f ca="1">IFERROR(__xludf.DUMMYFUNCTION("""COMPUTED_VALUE"""),66)</f>
        <v>66</v>
      </c>
      <c r="AJ202" s="3">
        <f ca="1">IFERROR(__xludf.DUMMYFUNCTION("""COMPUTED_VALUE"""),9722072)</f>
        <v>9722072</v>
      </c>
      <c r="AK202" s="4">
        <f ca="1">IFERROR(__xludf.DUMMYFUNCTION("""COMPUTED_VALUE"""),42418.6666666666)</f>
        <v>42418.666666666599</v>
      </c>
      <c r="AL202" s="3">
        <f ca="1">IFERROR(__xludf.DUMMYFUNCTION("""COMPUTED_VALUE"""),51.5)</f>
        <v>51.5</v>
      </c>
      <c r="AM202" s="3">
        <f ca="1">IFERROR(__xludf.DUMMYFUNCTION("""COMPUTED_VALUE"""),51.61)</f>
        <v>51.61</v>
      </c>
      <c r="AN202" s="3">
        <f ca="1">IFERROR(__xludf.DUMMYFUNCTION("""COMPUTED_VALUE"""),51.23)</f>
        <v>51.23</v>
      </c>
      <c r="AO202" s="3">
        <f ca="1">IFERROR(__xludf.DUMMYFUNCTION("""COMPUTED_VALUE"""),51.42)</f>
        <v>51.42</v>
      </c>
      <c r="AP202" s="3">
        <f ca="1">IFERROR(__xludf.DUMMYFUNCTION("""COMPUTED_VALUE"""),9587830)</f>
        <v>9587830</v>
      </c>
      <c r="AQ202" s="4">
        <f ca="1">IFERROR(__xludf.DUMMYFUNCTION("""COMPUTED_VALUE"""),42418.6666666666)</f>
        <v>42418.666666666599</v>
      </c>
      <c r="AR202" s="3">
        <f ca="1">IFERROR(__xludf.DUMMYFUNCTION("""COMPUTED_VALUE"""),41.4)</f>
        <v>41.4</v>
      </c>
      <c r="AS202" s="3">
        <f ca="1">IFERROR(__xludf.DUMMYFUNCTION("""COMPUTED_VALUE"""),41.41)</f>
        <v>41.41</v>
      </c>
      <c r="AT202" s="3">
        <f ca="1">IFERROR(__xludf.DUMMYFUNCTION("""COMPUTED_VALUE"""),40.93)</f>
        <v>40.93</v>
      </c>
      <c r="AU202" s="3">
        <f ca="1">IFERROR(__xludf.DUMMYFUNCTION("""COMPUTED_VALUE"""),41.23)</f>
        <v>41.23</v>
      </c>
      <c r="AV202" s="3">
        <f ca="1">IFERROR(__xludf.DUMMYFUNCTION("""COMPUTED_VALUE"""),5410158)</f>
        <v>5410158</v>
      </c>
      <c r="AW202" s="4">
        <f ca="1">IFERROR(__xludf.DUMMYFUNCTION("""COMPUTED_VALUE"""),42583.6666666666)</f>
        <v>42583.666666666599</v>
      </c>
      <c r="AX202" s="3">
        <f ca="1">IFERROR(__xludf.DUMMYFUNCTION("""COMPUTED_VALUE"""),34.71)</f>
        <v>34.71</v>
      </c>
      <c r="AY202" s="3">
        <f ca="1">IFERROR(__xludf.DUMMYFUNCTION("""COMPUTED_VALUE"""),34.82)</f>
        <v>34.82</v>
      </c>
      <c r="AZ202" s="3">
        <f ca="1">IFERROR(__xludf.DUMMYFUNCTION("""COMPUTED_VALUE"""),34.6)</f>
        <v>34.6</v>
      </c>
      <c r="BA202" s="3">
        <f ca="1">IFERROR(__xludf.DUMMYFUNCTION("""COMPUTED_VALUE"""),34.79)</f>
        <v>34.79</v>
      </c>
      <c r="BB202" s="3">
        <f ca="1">IFERROR(__xludf.DUMMYFUNCTION("""COMPUTED_VALUE"""),30670)</f>
        <v>30670</v>
      </c>
      <c r="BC202" s="4">
        <f ca="1">IFERROR(__xludf.DUMMYFUNCTION("""COMPUTED_VALUE"""),42418.6666666666)</f>
        <v>42418.666666666599</v>
      </c>
      <c r="BD202" s="3">
        <f ca="1">IFERROR(__xludf.DUMMYFUNCTION("""COMPUTED_VALUE"""),40.93)</f>
        <v>40.93</v>
      </c>
      <c r="BE202" s="3">
        <f ca="1">IFERROR(__xludf.DUMMYFUNCTION("""COMPUTED_VALUE"""),40.98)</f>
        <v>40.98</v>
      </c>
      <c r="BF202" s="3">
        <f ca="1">IFERROR(__xludf.DUMMYFUNCTION("""COMPUTED_VALUE"""),40.55)</f>
        <v>40.549999999999997</v>
      </c>
      <c r="BG202" s="3">
        <f ca="1">IFERROR(__xludf.DUMMYFUNCTION("""COMPUTED_VALUE"""),40.63)</f>
        <v>40.630000000000003</v>
      </c>
      <c r="BH202" s="3">
        <f ca="1">IFERROR(__xludf.DUMMYFUNCTION("""COMPUTED_VALUE"""),11578396)</f>
        <v>11578396</v>
      </c>
      <c r="BI202" s="4">
        <f ca="1">IFERROR(__xludf.DUMMYFUNCTION("""COMPUTED_VALUE"""),42418.6666666666)</f>
        <v>42418.666666666599</v>
      </c>
      <c r="BJ202" s="3">
        <f ca="1">IFERROR(__xludf.DUMMYFUNCTION("""COMPUTED_VALUE"""),45.67)</f>
        <v>45.67</v>
      </c>
      <c r="BK202" s="3">
        <f ca="1">IFERROR(__xludf.DUMMYFUNCTION("""COMPUTED_VALUE"""),46.67)</f>
        <v>46.67</v>
      </c>
      <c r="BL202" s="3">
        <f ca="1">IFERROR(__xludf.DUMMYFUNCTION("""COMPUTED_VALUE"""),45.63)</f>
        <v>45.63</v>
      </c>
      <c r="BM202" s="3">
        <f ca="1">IFERROR(__xludf.DUMMYFUNCTION("""COMPUTED_VALUE"""),46.51)</f>
        <v>46.51</v>
      </c>
      <c r="BN202" s="3">
        <f ca="1">IFERROR(__xludf.DUMMYFUNCTION("""COMPUTED_VALUE"""),18884259)</f>
        <v>18884259</v>
      </c>
    </row>
    <row r="203" spans="7:66" ht="13" x14ac:dyDescent="0.15">
      <c r="G203" s="4">
        <f ca="1">IFERROR(__xludf.DUMMYFUNCTION("""COMPUTED_VALUE"""),42419.6666666666)</f>
        <v>42419.666666666599</v>
      </c>
      <c r="H203" s="3">
        <f ca="1">IFERROR(__xludf.DUMMYFUNCTION("""COMPUTED_VALUE"""),72.08)</f>
        <v>72.08</v>
      </c>
      <c r="I203" s="3">
        <f ca="1">IFERROR(__xludf.DUMMYFUNCTION("""COMPUTED_VALUE"""),72.76)</f>
        <v>72.760000000000005</v>
      </c>
      <c r="J203" s="3">
        <f ca="1">IFERROR(__xludf.DUMMYFUNCTION("""COMPUTED_VALUE"""),71.65)</f>
        <v>71.650000000000006</v>
      </c>
      <c r="K203" s="3">
        <f ca="1">IFERROR(__xludf.DUMMYFUNCTION("""COMPUTED_VALUE"""),72.74)</f>
        <v>72.739999999999995</v>
      </c>
      <c r="L203" s="3">
        <f ca="1">IFERROR(__xludf.DUMMYFUNCTION("""COMPUTED_VALUE"""),7591642)</f>
        <v>7591642</v>
      </c>
      <c r="M203" s="4">
        <f ca="1">IFERROR(__xludf.DUMMYFUNCTION("""COMPUTED_VALUE"""),42419.6666666666)</f>
        <v>42419.666666666599</v>
      </c>
      <c r="N203" s="3">
        <f ca="1">IFERROR(__xludf.DUMMYFUNCTION("""COMPUTED_VALUE"""),50.62)</f>
        <v>50.62</v>
      </c>
      <c r="O203" s="3">
        <f ca="1">IFERROR(__xludf.DUMMYFUNCTION("""COMPUTED_VALUE"""),50.94)</f>
        <v>50.94</v>
      </c>
      <c r="P203" s="3">
        <f ca="1">IFERROR(__xludf.DUMMYFUNCTION("""COMPUTED_VALUE"""),50.34)</f>
        <v>50.34</v>
      </c>
      <c r="Q203" s="3">
        <f ca="1">IFERROR(__xludf.DUMMYFUNCTION("""COMPUTED_VALUE"""),50.84)</f>
        <v>50.84</v>
      </c>
      <c r="R203" s="3">
        <f ca="1">IFERROR(__xludf.DUMMYFUNCTION("""COMPUTED_VALUE"""),9794968)</f>
        <v>9794968</v>
      </c>
      <c r="S203" s="4">
        <f ca="1">IFERROR(__xludf.DUMMYFUNCTION("""COMPUTED_VALUE"""),42419.6666666666)</f>
        <v>42419.666666666599</v>
      </c>
      <c r="T203" s="3">
        <f ca="1">IFERROR(__xludf.DUMMYFUNCTION("""COMPUTED_VALUE"""),56.18)</f>
        <v>56.18</v>
      </c>
      <c r="U203" s="3">
        <f ca="1">IFERROR(__xludf.DUMMYFUNCTION("""COMPUTED_VALUE"""),56.83)</f>
        <v>56.83</v>
      </c>
      <c r="V203" s="3">
        <f ca="1">IFERROR(__xludf.DUMMYFUNCTION("""COMPUTED_VALUE"""),55.7)</f>
        <v>55.7</v>
      </c>
      <c r="W203" s="3">
        <f ca="1">IFERROR(__xludf.DUMMYFUNCTION("""COMPUTED_VALUE"""),56.81)</f>
        <v>56.81</v>
      </c>
      <c r="X203" s="3">
        <f ca="1">IFERROR(__xludf.DUMMYFUNCTION("""COMPUTED_VALUE"""),25128752)</f>
        <v>25128752</v>
      </c>
      <c r="Y203" s="4">
        <f ca="1">IFERROR(__xludf.DUMMYFUNCTION("""COMPUTED_VALUE"""),42419.6666666666)</f>
        <v>42419.666666666599</v>
      </c>
      <c r="Z203" s="3">
        <f ca="1">IFERROR(__xludf.DUMMYFUNCTION("""COMPUTED_VALUE"""),16.9)</f>
        <v>16.899999999999999</v>
      </c>
      <c r="AA203" s="3">
        <f ca="1">IFERROR(__xludf.DUMMYFUNCTION("""COMPUTED_VALUE"""),17.11)</f>
        <v>17.11</v>
      </c>
      <c r="AB203" s="3">
        <f ca="1">IFERROR(__xludf.DUMMYFUNCTION("""COMPUTED_VALUE"""),16.88)</f>
        <v>16.88</v>
      </c>
      <c r="AC203" s="3">
        <f ca="1">IFERROR(__xludf.DUMMYFUNCTION("""COMPUTED_VALUE"""),17.04)</f>
        <v>17.04</v>
      </c>
      <c r="AD203" s="3">
        <f ca="1">IFERROR(__xludf.DUMMYFUNCTION("""COMPUTED_VALUE"""),74315121)</f>
        <v>74315121</v>
      </c>
      <c r="AE203" s="4">
        <f ca="1">IFERROR(__xludf.DUMMYFUNCTION("""COMPUTED_VALUE"""),42419.6666666666)</f>
        <v>42419.666666666599</v>
      </c>
      <c r="AF203" s="3">
        <f ca="1">IFERROR(__xludf.DUMMYFUNCTION("""COMPUTED_VALUE"""),65.68)</f>
        <v>65.680000000000007</v>
      </c>
      <c r="AG203" s="3">
        <f ca="1">IFERROR(__xludf.DUMMYFUNCTION("""COMPUTED_VALUE"""),66.12)</f>
        <v>66.12</v>
      </c>
      <c r="AH203" s="3">
        <f ca="1">IFERROR(__xludf.DUMMYFUNCTION("""COMPUTED_VALUE"""),65.52)</f>
        <v>65.52</v>
      </c>
      <c r="AI203" s="3">
        <f ca="1">IFERROR(__xludf.DUMMYFUNCTION("""COMPUTED_VALUE"""),65.93)</f>
        <v>65.930000000000007</v>
      </c>
      <c r="AJ203" s="3">
        <f ca="1">IFERROR(__xludf.DUMMYFUNCTION("""COMPUTED_VALUE"""),8875405)</f>
        <v>8875405</v>
      </c>
      <c r="AK203" s="4">
        <f ca="1">IFERROR(__xludf.DUMMYFUNCTION("""COMPUTED_VALUE"""),42419.6666666666)</f>
        <v>42419.666666666599</v>
      </c>
      <c r="AL203" s="3">
        <f ca="1">IFERROR(__xludf.DUMMYFUNCTION("""COMPUTED_VALUE"""),50.98)</f>
        <v>50.98</v>
      </c>
      <c r="AM203" s="3">
        <f ca="1">IFERROR(__xludf.DUMMYFUNCTION("""COMPUTED_VALUE"""),51.38)</f>
        <v>51.38</v>
      </c>
      <c r="AN203" s="3">
        <f ca="1">IFERROR(__xludf.DUMMYFUNCTION("""COMPUTED_VALUE"""),50.89)</f>
        <v>50.89</v>
      </c>
      <c r="AO203" s="3">
        <f ca="1">IFERROR(__xludf.DUMMYFUNCTION("""COMPUTED_VALUE"""),51.32)</f>
        <v>51.32</v>
      </c>
      <c r="AP203" s="3">
        <f ca="1">IFERROR(__xludf.DUMMYFUNCTION("""COMPUTED_VALUE"""),12613634)</f>
        <v>12613634</v>
      </c>
      <c r="AQ203" s="4">
        <f ca="1">IFERROR(__xludf.DUMMYFUNCTION("""COMPUTED_VALUE"""),42419.6666666666)</f>
        <v>42419.666666666599</v>
      </c>
      <c r="AR203" s="3">
        <f ca="1">IFERROR(__xludf.DUMMYFUNCTION("""COMPUTED_VALUE"""),41.01)</f>
        <v>41.01</v>
      </c>
      <c r="AS203" s="3">
        <f ca="1">IFERROR(__xludf.DUMMYFUNCTION("""COMPUTED_VALUE"""),41.04)</f>
        <v>41.04</v>
      </c>
      <c r="AT203" s="3">
        <f ca="1">IFERROR(__xludf.DUMMYFUNCTION("""COMPUTED_VALUE"""),40.58)</f>
        <v>40.58</v>
      </c>
      <c r="AU203" s="3">
        <f ca="1">IFERROR(__xludf.DUMMYFUNCTION("""COMPUTED_VALUE"""),40.75)</f>
        <v>40.75</v>
      </c>
      <c r="AV203" s="3">
        <f ca="1">IFERROR(__xludf.DUMMYFUNCTION("""COMPUTED_VALUE"""),5930473)</f>
        <v>5930473</v>
      </c>
      <c r="AW203" s="4">
        <f ca="1">IFERROR(__xludf.DUMMYFUNCTION("""COMPUTED_VALUE"""),42584.6666666666)</f>
        <v>42584.666666666599</v>
      </c>
      <c r="AX203" s="3">
        <f ca="1">IFERROR(__xludf.DUMMYFUNCTION("""COMPUTED_VALUE"""),34.75)</f>
        <v>34.75</v>
      </c>
      <c r="AY203" s="3">
        <f ca="1">IFERROR(__xludf.DUMMYFUNCTION("""COMPUTED_VALUE"""),34.75)</f>
        <v>34.75</v>
      </c>
      <c r="AZ203" s="3">
        <f ca="1">IFERROR(__xludf.DUMMYFUNCTION("""COMPUTED_VALUE"""),34.19)</f>
        <v>34.19</v>
      </c>
      <c r="BA203" s="3">
        <f ca="1">IFERROR(__xludf.DUMMYFUNCTION("""COMPUTED_VALUE"""),34.26)</f>
        <v>34.26</v>
      </c>
      <c r="BB203" s="3">
        <f ca="1">IFERROR(__xludf.DUMMYFUNCTION("""COMPUTED_VALUE"""),90128)</f>
        <v>90128</v>
      </c>
      <c r="BC203" s="4">
        <f ca="1">IFERROR(__xludf.DUMMYFUNCTION("""COMPUTED_VALUE"""),42419.6666666666)</f>
        <v>42419.666666666599</v>
      </c>
      <c r="BD203" s="3">
        <f ca="1">IFERROR(__xludf.DUMMYFUNCTION("""COMPUTED_VALUE"""),40.48)</f>
        <v>40.479999999999997</v>
      </c>
      <c r="BE203" s="3">
        <f ca="1">IFERROR(__xludf.DUMMYFUNCTION("""COMPUTED_VALUE"""),40.78)</f>
        <v>40.78</v>
      </c>
      <c r="BF203" s="3">
        <f ca="1">IFERROR(__xludf.DUMMYFUNCTION("""COMPUTED_VALUE"""),40.38)</f>
        <v>40.380000000000003</v>
      </c>
      <c r="BG203" s="3">
        <f ca="1">IFERROR(__xludf.DUMMYFUNCTION("""COMPUTED_VALUE"""),40.66)</f>
        <v>40.659999999999997</v>
      </c>
      <c r="BH203" s="3">
        <f ca="1">IFERROR(__xludf.DUMMYFUNCTION("""COMPUTED_VALUE"""),8579509)</f>
        <v>8579509</v>
      </c>
      <c r="BI203" s="4">
        <f ca="1">IFERROR(__xludf.DUMMYFUNCTION("""COMPUTED_VALUE"""),42419.6666666666)</f>
        <v>42419.666666666599</v>
      </c>
      <c r="BJ203" s="3">
        <f ca="1">IFERROR(__xludf.DUMMYFUNCTION("""COMPUTED_VALUE"""),46.31)</f>
        <v>46.31</v>
      </c>
      <c r="BK203" s="3">
        <f ca="1">IFERROR(__xludf.DUMMYFUNCTION("""COMPUTED_VALUE"""),46.44)</f>
        <v>46.44</v>
      </c>
      <c r="BL203" s="3">
        <f ca="1">IFERROR(__xludf.DUMMYFUNCTION("""COMPUTED_VALUE"""),45.9)</f>
        <v>45.9</v>
      </c>
      <c r="BM203" s="3">
        <f ca="1">IFERROR(__xludf.DUMMYFUNCTION("""COMPUTED_VALUE"""),46.2)</f>
        <v>46.2</v>
      </c>
      <c r="BN203" s="3">
        <f ca="1">IFERROR(__xludf.DUMMYFUNCTION("""COMPUTED_VALUE"""),17020139)</f>
        <v>17020139</v>
      </c>
    </row>
    <row r="204" spans="7:66" ht="13" x14ac:dyDescent="0.15">
      <c r="G204" s="4">
        <f ca="1">IFERROR(__xludf.DUMMYFUNCTION("""COMPUTED_VALUE"""),42422.6666666666)</f>
        <v>42422.666666666599</v>
      </c>
      <c r="H204" s="3">
        <f ca="1">IFERROR(__xludf.DUMMYFUNCTION("""COMPUTED_VALUE"""),73.39)</f>
        <v>73.39</v>
      </c>
      <c r="I204" s="3">
        <f ca="1">IFERROR(__xludf.DUMMYFUNCTION("""COMPUTED_VALUE"""),74.26)</f>
        <v>74.260000000000005</v>
      </c>
      <c r="J204" s="3">
        <f ca="1">IFERROR(__xludf.DUMMYFUNCTION("""COMPUTED_VALUE"""),73.33)</f>
        <v>73.33</v>
      </c>
      <c r="K204" s="3">
        <f ca="1">IFERROR(__xludf.DUMMYFUNCTION("""COMPUTED_VALUE"""),74.15)</f>
        <v>74.150000000000006</v>
      </c>
      <c r="L204" s="3">
        <f ca="1">IFERROR(__xludf.DUMMYFUNCTION("""COMPUTED_VALUE"""),5644952)</f>
        <v>5644952</v>
      </c>
      <c r="M204" s="4">
        <f ca="1">IFERROR(__xludf.DUMMYFUNCTION("""COMPUTED_VALUE"""),42422.6666666666)</f>
        <v>42422.666666666599</v>
      </c>
      <c r="N204" s="3">
        <f ca="1">IFERROR(__xludf.DUMMYFUNCTION("""COMPUTED_VALUE"""),51.13)</f>
        <v>51.13</v>
      </c>
      <c r="O204" s="3">
        <f ca="1">IFERROR(__xludf.DUMMYFUNCTION("""COMPUTED_VALUE"""),51.24)</f>
        <v>51.24</v>
      </c>
      <c r="P204" s="3">
        <f ca="1">IFERROR(__xludf.DUMMYFUNCTION("""COMPUTED_VALUE"""),50.95)</f>
        <v>50.95</v>
      </c>
      <c r="Q204" s="3">
        <f ca="1">IFERROR(__xludf.DUMMYFUNCTION("""COMPUTED_VALUE"""),51.09)</f>
        <v>51.09</v>
      </c>
      <c r="R204" s="3">
        <f ca="1">IFERROR(__xludf.DUMMYFUNCTION("""COMPUTED_VALUE"""),9151997)</f>
        <v>9151997</v>
      </c>
      <c r="S204" s="4">
        <f ca="1">IFERROR(__xludf.DUMMYFUNCTION("""COMPUTED_VALUE"""),42422.6666666666)</f>
        <v>42422.666666666599</v>
      </c>
      <c r="T204" s="3">
        <f ca="1">IFERROR(__xludf.DUMMYFUNCTION("""COMPUTED_VALUE"""),57.89)</f>
        <v>57.89</v>
      </c>
      <c r="U204" s="3">
        <f ca="1">IFERROR(__xludf.DUMMYFUNCTION("""COMPUTED_VALUE"""),58.52)</f>
        <v>58.52</v>
      </c>
      <c r="V204" s="3">
        <f ca="1">IFERROR(__xludf.DUMMYFUNCTION("""COMPUTED_VALUE"""),57.64)</f>
        <v>57.64</v>
      </c>
      <c r="W204" s="3">
        <f ca="1">IFERROR(__xludf.DUMMYFUNCTION("""COMPUTED_VALUE"""),58.26)</f>
        <v>58.26</v>
      </c>
      <c r="X204" s="3">
        <f ca="1">IFERROR(__xludf.DUMMYFUNCTION("""COMPUTED_VALUE"""),24708265)</f>
        <v>24708265</v>
      </c>
      <c r="Y204" s="4">
        <f ca="1">IFERROR(__xludf.DUMMYFUNCTION("""COMPUTED_VALUE"""),42422.6666666666)</f>
        <v>42422.666666666599</v>
      </c>
      <c r="Z204" s="3">
        <f ca="1">IFERROR(__xludf.DUMMYFUNCTION("""COMPUTED_VALUE"""),17.24)</f>
        <v>17.239999999999998</v>
      </c>
      <c r="AA204" s="3">
        <f ca="1">IFERROR(__xludf.DUMMYFUNCTION("""COMPUTED_VALUE"""),17.37)</f>
        <v>17.37</v>
      </c>
      <c r="AB204" s="3">
        <f ca="1">IFERROR(__xludf.DUMMYFUNCTION("""COMPUTED_VALUE"""),17.24)</f>
        <v>17.239999999999998</v>
      </c>
      <c r="AC204" s="3">
        <f ca="1">IFERROR(__xludf.DUMMYFUNCTION("""COMPUTED_VALUE"""),17.3)</f>
        <v>17.3</v>
      </c>
      <c r="AD204" s="3">
        <f ca="1">IFERROR(__xludf.DUMMYFUNCTION("""COMPUTED_VALUE"""),42573679)</f>
        <v>42573679</v>
      </c>
      <c r="AE204" s="4">
        <f ca="1">IFERROR(__xludf.DUMMYFUNCTION("""COMPUTED_VALUE"""),42422.6666666666)</f>
        <v>42422.666666666599</v>
      </c>
      <c r="AF204" s="3">
        <f ca="1">IFERROR(__xludf.DUMMYFUNCTION("""COMPUTED_VALUE"""),66.47)</f>
        <v>66.47</v>
      </c>
      <c r="AG204" s="3">
        <f ca="1">IFERROR(__xludf.DUMMYFUNCTION("""COMPUTED_VALUE"""),66.88)</f>
        <v>66.88</v>
      </c>
      <c r="AH204" s="3">
        <f ca="1">IFERROR(__xludf.DUMMYFUNCTION("""COMPUTED_VALUE"""),66.36)</f>
        <v>66.36</v>
      </c>
      <c r="AI204" s="3">
        <f ca="1">IFERROR(__xludf.DUMMYFUNCTION("""COMPUTED_VALUE"""),66.87)</f>
        <v>66.87</v>
      </c>
      <c r="AJ204" s="3">
        <f ca="1">IFERROR(__xludf.DUMMYFUNCTION("""COMPUTED_VALUE"""),7515726)</f>
        <v>7515726</v>
      </c>
      <c r="AK204" s="4">
        <f ca="1">IFERROR(__xludf.DUMMYFUNCTION("""COMPUTED_VALUE"""),42422.6666666666)</f>
        <v>42422.666666666599</v>
      </c>
      <c r="AL204" s="3">
        <f ca="1">IFERROR(__xludf.DUMMYFUNCTION("""COMPUTED_VALUE"""),51.8)</f>
        <v>51.8</v>
      </c>
      <c r="AM204" s="3">
        <f ca="1">IFERROR(__xludf.DUMMYFUNCTION("""COMPUTED_VALUE"""),52.44)</f>
        <v>52.44</v>
      </c>
      <c r="AN204" s="3">
        <f ca="1">IFERROR(__xludf.DUMMYFUNCTION("""COMPUTED_VALUE"""),51.8)</f>
        <v>51.8</v>
      </c>
      <c r="AO204" s="3">
        <f ca="1">IFERROR(__xludf.DUMMYFUNCTION("""COMPUTED_VALUE"""),52.19)</f>
        <v>52.19</v>
      </c>
      <c r="AP204" s="3">
        <f ca="1">IFERROR(__xludf.DUMMYFUNCTION("""COMPUTED_VALUE"""),12143817)</f>
        <v>12143817</v>
      </c>
      <c r="AQ204" s="4">
        <f ca="1">IFERROR(__xludf.DUMMYFUNCTION("""COMPUTED_VALUE"""),42422.6666666666)</f>
        <v>42422.666666666599</v>
      </c>
      <c r="AR204" s="3">
        <f ca="1">IFERROR(__xludf.DUMMYFUNCTION("""COMPUTED_VALUE"""),41.21)</f>
        <v>41.21</v>
      </c>
      <c r="AS204" s="3">
        <f ca="1">IFERROR(__xludf.DUMMYFUNCTION("""COMPUTED_VALUE"""),41.67)</f>
        <v>41.67</v>
      </c>
      <c r="AT204" s="3">
        <f ca="1">IFERROR(__xludf.DUMMYFUNCTION("""COMPUTED_VALUE"""),41.15)</f>
        <v>41.15</v>
      </c>
      <c r="AU204" s="3">
        <f ca="1">IFERROR(__xludf.DUMMYFUNCTION("""COMPUTED_VALUE"""),41.53)</f>
        <v>41.53</v>
      </c>
      <c r="AV204" s="3">
        <f ca="1">IFERROR(__xludf.DUMMYFUNCTION("""COMPUTED_VALUE"""),5360470)</f>
        <v>5360470</v>
      </c>
      <c r="AW204" s="4">
        <f ca="1">IFERROR(__xludf.DUMMYFUNCTION("""COMPUTED_VALUE"""),42585.6666666666)</f>
        <v>42585.666666666599</v>
      </c>
      <c r="AX204" s="3">
        <f ca="1">IFERROR(__xludf.DUMMYFUNCTION("""COMPUTED_VALUE"""),34.28)</f>
        <v>34.28</v>
      </c>
      <c r="AY204" s="3">
        <f ca="1">IFERROR(__xludf.DUMMYFUNCTION("""COMPUTED_VALUE"""),34.28)</f>
        <v>34.28</v>
      </c>
      <c r="AZ204" s="3">
        <f ca="1">IFERROR(__xludf.DUMMYFUNCTION("""COMPUTED_VALUE"""),33.91)</f>
        <v>33.909999999999997</v>
      </c>
      <c r="BA204" s="3">
        <f ca="1">IFERROR(__xludf.DUMMYFUNCTION("""COMPUTED_VALUE"""),34)</f>
        <v>34</v>
      </c>
      <c r="BB204" s="3">
        <f ca="1">IFERROR(__xludf.DUMMYFUNCTION("""COMPUTED_VALUE"""),21960)</f>
        <v>21960</v>
      </c>
      <c r="BC204" s="4">
        <f ca="1">IFERROR(__xludf.DUMMYFUNCTION("""COMPUTED_VALUE"""),42422.6666666666)</f>
        <v>42422.666666666599</v>
      </c>
      <c r="BD204" s="3">
        <f ca="1">IFERROR(__xludf.DUMMYFUNCTION("""COMPUTED_VALUE"""),41.03)</f>
        <v>41.03</v>
      </c>
      <c r="BE204" s="3">
        <f ca="1">IFERROR(__xludf.DUMMYFUNCTION("""COMPUTED_VALUE"""),41.26)</f>
        <v>41.26</v>
      </c>
      <c r="BF204" s="3">
        <f ca="1">IFERROR(__xludf.DUMMYFUNCTION("""COMPUTED_VALUE"""),40.97)</f>
        <v>40.97</v>
      </c>
      <c r="BG204" s="3">
        <f ca="1">IFERROR(__xludf.DUMMYFUNCTION("""COMPUTED_VALUE"""),41.2)</f>
        <v>41.2</v>
      </c>
      <c r="BH204" s="3">
        <f ca="1">IFERROR(__xludf.DUMMYFUNCTION("""COMPUTED_VALUE"""),6590650)</f>
        <v>6590650</v>
      </c>
      <c r="BI204" s="4">
        <f ca="1">IFERROR(__xludf.DUMMYFUNCTION("""COMPUTED_VALUE"""),42422.6666666666)</f>
        <v>42422.666666666599</v>
      </c>
      <c r="BJ204" s="3">
        <f ca="1">IFERROR(__xludf.DUMMYFUNCTION("""COMPUTED_VALUE"""),46.45)</f>
        <v>46.45</v>
      </c>
      <c r="BK204" s="3">
        <f ca="1">IFERROR(__xludf.DUMMYFUNCTION("""COMPUTED_VALUE"""),46.74)</f>
        <v>46.74</v>
      </c>
      <c r="BL204" s="3">
        <f ca="1">IFERROR(__xludf.DUMMYFUNCTION("""COMPUTED_VALUE"""),46.19)</f>
        <v>46.19</v>
      </c>
      <c r="BM204" s="3">
        <f ca="1">IFERROR(__xludf.DUMMYFUNCTION("""COMPUTED_VALUE"""),46.74)</f>
        <v>46.74</v>
      </c>
      <c r="BN204" s="3">
        <f ca="1">IFERROR(__xludf.DUMMYFUNCTION("""COMPUTED_VALUE"""),12436748)</f>
        <v>12436748</v>
      </c>
    </row>
    <row r="205" spans="7:66" ht="13" x14ac:dyDescent="0.15">
      <c r="G205" s="4">
        <f ca="1">IFERROR(__xludf.DUMMYFUNCTION("""COMPUTED_VALUE"""),42423.6666666666)</f>
        <v>42423.666666666599</v>
      </c>
      <c r="H205" s="3">
        <f ca="1">IFERROR(__xludf.DUMMYFUNCTION("""COMPUTED_VALUE"""),73.94)</f>
        <v>73.94</v>
      </c>
      <c r="I205" s="3">
        <f ca="1">IFERROR(__xludf.DUMMYFUNCTION("""COMPUTED_VALUE"""),74.46)</f>
        <v>74.459999999999994</v>
      </c>
      <c r="J205" s="3">
        <f ca="1">IFERROR(__xludf.DUMMYFUNCTION("""COMPUTED_VALUE"""),73.54)</f>
        <v>73.540000000000006</v>
      </c>
      <c r="K205" s="3">
        <f ca="1">IFERROR(__xludf.DUMMYFUNCTION("""COMPUTED_VALUE"""),73.74)</f>
        <v>73.739999999999995</v>
      </c>
      <c r="L205" s="3">
        <f ca="1">IFERROR(__xludf.DUMMYFUNCTION("""COMPUTED_VALUE"""),6456665)</f>
        <v>6456665</v>
      </c>
      <c r="M205" s="4">
        <f ca="1">IFERROR(__xludf.DUMMYFUNCTION("""COMPUTED_VALUE"""),42423.6666666666)</f>
        <v>42423.666666666599</v>
      </c>
      <c r="N205" s="3">
        <f ca="1">IFERROR(__xludf.DUMMYFUNCTION("""COMPUTED_VALUE"""),50.99)</f>
        <v>50.99</v>
      </c>
      <c r="O205" s="3">
        <f ca="1">IFERROR(__xludf.DUMMYFUNCTION("""COMPUTED_VALUE"""),51.18)</f>
        <v>51.18</v>
      </c>
      <c r="P205" s="3">
        <f ca="1">IFERROR(__xludf.DUMMYFUNCTION("""COMPUTED_VALUE"""),50.87)</f>
        <v>50.87</v>
      </c>
      <c r="Q205" s="3">
        <f ca="1">IFERROR(__xludf.DUMMYFUNCTION("""COMPUTED_VALUE"""),51.08)</f>
        <v>51.08</v>
      </c>
      <c r="R205" s="3">
        <f ca="1">IFERROR(__xludf.DUMMYFUNCTION("""COMPUTED_VALUE"""),9986502)</f>
        <v>9986502</v>
      </c>
      <c r="S205" s="4">
        <f ca="1">IFERROR(__xludf.DUMMYFUNCTION("""COMPUTED_VALUE"""),42423.6666666666)</f>
        <v>42423.666666666599</v>
      </c>
      <c r="T205" s="3">
        <f ca="1">IFERROR(__xludf.DUMMYFUNCTION("""COMPUTED_VALUE"""),57.7)</f>
        <v>57.7</v>
      </c>
      <c r="U205" s="3">
        <f ca="1">IFERROR(__xludf.DUMMYFUNCTION("""COMPUTED_VALUE"""),57.98)</f>
        <v>57.98</v>
      </c>
      <c r="V205" s="3">
        <f ca="1">IFERROR(__xludf.DUMMYFUNCTION("""COMPUTED_VALUE"""),56.17)</f>
        <v>56.17</v>
      </c>
      <c r="W205" s="3">
        <f ca="1">IFERROR(__xludf.DUMMYFUNCTION("""COMPUTED_VALUE"""),56.27)</f>
        <v>56.27</v>
      </c>
      <c r="X205" s="3">
        <f ca="1">IFERROR(__xludf.DUMMYFUNCTION("""COMPUTED_VALUE"""),21455029)</f>
        <v>21455029</v>
      </c>
      <c r="Y205" s="4">
        <f ca="1">IFERROR(__xludf.DUMMYFUNCTION("""COMPUTED_VALUE"""),42423.6666666666)</f>
        <v>42423.666666666599</v>
      </c>
      <c r="Z205" s="3">
        <f ca="1">IFERROR(__xludf.DUMMYFUNCTION("""COMPUTED_VALUE"""),17.22)</f>
        <v>17.22</v>
      </c>
      <c r="AA205" s="3">
        <f ca="1">IFERROR(__xludf.DUMMYFUNCTION("""COMPUTED_VALUE"""),17.24)</f>
        <v>17.239999999999998</v>
      </c>
      <c r="AB205" s="3">
        <f ca="1">IFERROR(__xludf.DUMMYFUNCTION("""COMPUTED_VALUE"""),16.96)</f>
        <v>16.96</v>
      </c>
      <c r="AC205" s="3">
        <f ca="1">IFERROR(__xludf.DUMMYFUNCTION("""COMPUTED_VALUE"""),17)</f>
        <v>17</v>
      </c>
      <c r="AD205" s="3">
        <f ca="1">IFERROR(__xludf.DUMMYFUNCTION("""COMPUTED_VALUE"""),58126171)</f>
        <v>58126171</v>
      </c>
      <c r="AE205" s="4">
        <f ca="1">IFERROR(__xludf.DUMMYFUNCTION("""COMPUTED_VALUE"""),42423.6666666666)</f>
        <v>42423.666666666599</v>
      </c>
      <c r="AF205" s="3">
        <f ca="1">IFERROR(__xludf.DUMMYFUNCTION("""COMPUTED_VALUE"""),66.69)</f>
        <v>66.69</v>
      </c>
      <c r="AG205" s="3">
        <f ca="1">IFERROR(__xludf.DUMMYFUNCTION("""COMPUTED_VALUE"""),67.04)</f>
        <v>67.040000000000006</v>
      </c>
      <c r="AH205" s="3">
        <f ca="1">IFERROR(__xludf.DUMMYFUNCTION("""COMPUTED_VALUE"""),66.3)</f>
        <v>66.3</v>
      </c>
      <c r="AI205" s="3">
        <f ca="1">IFERROR(__xludf.DUMMYFUNCTION("""COMPUTED_VALUE"""),66.37)</f>
        <v>66.37</v>
      </c>
      <c r="AJ205" s="3">
        <f ca="1">IFERROR(__xludf.DUMMYFUNCTION("""COMPUTED_VALUE"""),8211934)</f>
        <v>8211934</v>
      </c>
      <c r="AK205" s="4">
        <f ca="1">IFERROR(__xludf.DUMMYFUNCTION("""COMPUTED_VALUE"""),42423.6666666666)</f>
        <v>42423.666666666599</v>
      </c>
      <c r="AL205" s="3">
        <f ca="1">IFERROR(__xludf.DUMMYFUNCTION("""COMPUTED_VALUE"""),51.97)</f>
        <v>51.97</v>
      </c>
      <c r="AM205" s="3">
        <f ca="1">IFERROR(__xludf.DUMMYFUNCTION("""COMPUTED_VALUE"""),52.16)</f>
        <v>52.16</v>
      </c>
      <c r="AN205" s="3">
        <f ca="1">IFERROR(__xludf.DUMMYFUNCTION("""COMPUTED_VALUE"""),51.56)</f>
        <v>51.56</v>
      </c>
      <c r="AO205" s="3">
        <f ca="1">IFERROR(__xludf.DUMMYFUNCTION("""COMPUTED_VALUE"""),51.67)</f>
        <v>51.67</v>
      </c>
      <c r="AP205" s="3">
        <f ca="1">IFERROR(__xludf.DUMMYFUNCTION("""COMPUTED_VALUE"""),9727887)</f>
        <v>9727887</v>
      </c>
      <c r="AQ205" s="4">
        <f ca="1">IFERROR(__xludf.DUMMYFUNCTION("""COMPUTED_VALUE"""),42423.6666666666)</f>
        <v>42423.666666666599</v>
      </c>
      <c r="AR205" s="3">
        <f ca="1">IFERROR(__xludf.DUMMYFUNCTION("""COMPUTED_VALUE"""),41.2)</f>
        <v>41.2</v>
      </c>
      <c r="AS205" s="3">
        <f ca="1">IFERROR(__xludf.DUMMYFUNCTION("""COMPUTED_VALUE"""),41.22)</f>
        <v>41.22</v>
      </c>
      <c r="AT205" s="3">
        <f ca="1">IFERROR(__xludf.DUMMYFUNCTION("""COMPUTED_VALUE"""),40.44)</f>
        <v>40.44</v>
      </c>
      <c r="AU205" s="3">
        <f ca="1">IFERROR(__xludf.DUMMYFUNCTION("""COMPUTED_VALUE"""),40.51)</f>
        <v>40.51</v>
      </c>
      <c r="AV205" s="3">
        <f ca="1">IFERROR(__xludf.DUMMYFUNCTION("""COMPUTED_VALUE"""),6533736)</f>
        <v>6533736</v>
      </c>
      <c r="AW205" s="4">
        <f ca="1">IFERROR(__xludf.DUMMYFUNCTION("""COMPUTED_VALUE"""),42586.6666666666)</f>
        <v>42586.666666666599</v>
      </c>
      <c r="AX205" s="3">
        <f ca="1">IFERROR(__xludf.DUMMYFUNCTION("""COMPUTED_VALUE"""),34.16)</f>
        <v>34.159999999999997</v>
      </c>
      <c r="AY205" s="3">
        <f ca="1">IFERROR(__xludf.DUMMYFUNCTION("""COMPUTED_VALUE"""),34.16)</f>
        <v>34.159999999999997</v>
      </c>
      <c r="AZ205" s="3">
        <f ca="1">IFERROR(__xludf.DUMMYFUNCTION("""COMPUTED_VALUE"""),33.82)</f>
        <v>33.82</v>
      </c>
      <c r="BA205" s="3">
        <f ca="1">IFERROR(__xludf.DUMMYFUNCTION("""COMPUTED_VALUE"""),33.94)</f>
        <v>33.94</v>
      </c>
      <c r="BB205" s="3">
        <f ca="1">IFERROR(__xludf.DUMMYFUNCTION("""COMPUTED_VALUE"""),234053)</f>
        <v>234053</v>
      </c>
      <c r="BC205" s="4">
        <f ca="1">IFERROR(__xludf.DUMMYFUNCTION("""COMPUTED_VALUE"""),42423.6666666666)</f>
        <v>42423.666666666599</v>
      </c>
      <c r="BD205" s="3">
        <f ca="1">IFERROR(__xludf.DUMMYFUNCTION("""COMPUTED_VALUE"""),41.03)</f>
        <v>41.03</v>
      </c>
      <c r="BE205" s="3">
        <f ca="1">IFERROR(__xludf.DUMMYFUNCTION("""COMPUTED_VALUE"""),41.07)</f>
        <v>41.07</v>
      </c>
      <c r="BF205" s="3">
        <f ca="1">IFERROR(__xludf.DUMMYFUNCTION("""COMPUTED_VALUE"""),40.47)</f>
        <v>40.47</v>
      </c>
      <c r="BG205" s="3">
        <f ca="1">IFERROR(__xludf.DUMMYFUNCTION("""COMPUTED_VALUE"""),40.55)</f>
        <v>40.549999999999997</v>
      </c>
      <c r="BH205" s="3">
        <f ca="1">IFERROR(__xludf.DUMMYFUNCTION("""COMPUTED_VALUE"""),8189484)</f>
        <v>8189484</v>
      </c>
      <c r="BI205" s="4">
        <f ca="1">IFERROR(__xludf.DUMMYFUNCTION("""COMPUTED_VALUE"""),42423.6666666666)</f>
        <v>42423.666666666599</v>
      </c>
      <c r="BJ205" s="3">
        <f ca="1">IFERROR(__xludf.DUMMYFUNCTION("""COMPUTED_VALUE"""),46.59)</f>
        <v>46.59</v>
      </c>
      <c r="BK205" s="3">
        <f ca="1">IFERROR(__xludf.DUMMYFUNCTION("""COMPUTED_VALUE"""),46.89)</f>
        <v>46.89</v>
      </c>
      <c r="BL205" s="3">
        <f ca="1">IFERROR(__xludf.DUMMYFUNCTION("""COMPUTED_VALUE"""),46.38)</f>
        <v>46.38</v>
      </c>
      <c r="BM205" s="3">
        <f ca="1">IFERROR(__xludf.DUMMYFUNCTION("""COMPUTED_VALUE"""),46.78)</f>
        <v>46.78</v>
      </c>
      <c r="BN205" s="3">
        <f ca="1">IFERROR(__xludf.DUMMYFUNCTION("""COMPUTED_VALUE"""),11788834)</f>
        <v>11788834</v>
      </c>
    </row>
    <row r="206" spans="7:66" ht="13" x14ac:dyDescent="0.15">
      <c r="G206" s="4">
        <f ca="1">IFERROR(__xludf.DUMMYFUNCTION("""COMPUTED_VALUE"""),42424.6666666666)</f>
        <v>42424.666666666599</v>
      </c>
      <c r="H206" s="3">
        <f ca="1">IFERROR(__xludf.DUMMYFUNCTION("""COMPUTED_VALUE"""),73.13)</f>
        <v>73.13</v>
      </c>
      <c r="I206" s="3">
        <f ca="1">IFERROR(__xludf.DUMMYFUNCTION("""COMPUTED_VALUE"""),74.29)</f>
        <v>74.290000000000006</v>
      </c>
      <c r="J206" s="3">
        <f ca="1">IFERROR(__xludf.DUMMYFUNCTION("""COMPUTED_VALUE"""),72.31)</f>
        <v>72.31</v>
      </c>
      <c r="K206" s="3">
        <f ca="1">IFERROR(__xludf.DUMMYFUNCTION("""COMPUTED_VALUE"""),74.17)</f>
        <v>74.17</v>
      </c>
      <c r="L206" s="3">
        <f ca="1">IFERROR(__xludf.DUMMYFUNCTION("""COMPUTED_VALUE"""),10821583)</f>
        <v>10821583</v>
      </c>
      <c r="M206" s="4">
        <f ca="1">IFERROR(__xludf.DUMMYFUNCTION("""COMPUTED_VALUE"""),42424.6666666666)</f>
        <v>42424.666666666599</v>
      </c>
      <c r="N206" s="3">
        <f ca="1">IFERROR(__xludf.DUMMYFUNCTION("""COMPUTED_VALUE"""),50.84)</f>
        <v>50.84</v>
      </c>
      <c r="O206" s="3">
        <f ca="1">IFERROR(__xludf.DUMMYFUNCTION("""COMPUTED_VALUE"""),51.3)</f>
        <v>51.3</v>
      </c>
      <c r="P206" s="3">
        <f ca="1">IFERROR(__xludf.DUMMYFUNCTION("""COMPUTED_VALUE"""),50.58)</f>
        <v>50.58</v>
      </c>
      <c r="Q206" s="3">
        <f ca="1">IFERROR(__xludf.DUMMYFUNCTION("""COMPUTED_VALUE"""),51.24)</f>
        <v>51.24</v>
      </c>
      <c r="R206" s="3">
        <f ca="1">IFERROR(__xludf.DUMMYFUNCTION("""COMPUTED_VALUE"""),13271668)</f>
        <v>13271668</v>
      </c>
      <c r="S206" s="4">
        <f ca="1">IFERROR(__xludf.DUMMYFUNCTION("""COMPUTED_VALUE"""),42424.6666666666)</f>
        <v>42424.666666666599</v>
      </c>
      <c r="T206" s="3">
        <f ca="1">IFERROR(__xludf.DUMMYFUNCTION("""COMPUTED_VALUE"""),55.22)</f>
        <v>55.22</v>
      </c>
      <c r="U206" s="3">
        <f ca="1">IFERROR(__xludf.DUMMYFUNCTION("""COMPUTED_VALUE"""),56.97)</f>
        <v>56.97</v>
      </c>
      <c r="V206" s="3">
        <f ca="1">IFERROR(__xludf.DUMMYFUNCTION("""COMPUTED_VALUE"""),55.07)</f>
        <v>55.07</v>
      </c>
      <c r="W206" s="3">
        <f ca="1">IFERROR(__xludf.DUMMYFUNCTION("""COMPUTED_VALUE"""),56.84)</f>
        <v>56.84</v>
      </c>
      <c r="X206" s="3">
        <f ca="1">IFERROR(__xludf.DUMMYFUNCTION("""COMPUTED_VALUE"""),25279831)</f>
        <v>25279831</v>
      </c>
      <c r="Y206" s="4">
        <f ca="1">IFERROR(__xludf.DUMMYFUNCTION("""COMPUTED_VALUE"""),42424.6666666666)</f>
        <v>42424.666666666599</v>
      </c>
      <c r="Z206" s="3">
        <f ca="1">IFERROR(__xludf.DUMMYFUNCTION("""COMPUTED_VALUE"""),16.75)</f>
        <v>16.75</v>
      </c>
      <c r="AA206" s="3">
        <f ca="1">IFERROR(__xludf.DUMMYFUNCTION("""COMPUTED_VALUE"""),17)</f>
        <v>17</v>
      </c>
      <c r="AB206" s="3">
        <f ca="1">IFERROR(__xludf.DUMMYFUNCTION("""COMPUTED_VALUE"""),16.61)</f>
        <v>16.61</v>
      </c>
      <c r="AC206" s="3">
        <f ca="1">IFERROR(__xludf.DUMMYFUNCTION("""COMPUTED_VALUE"""),16.96)</f>
        <v>16.96</v>
      </c>
      <c r="AD206" s="3">
        <f ca="1">IFERROR(__xludf.DUMMYFUNCTION("""COMPUTED_VALUE"""),72317654)</f>
        <v>72317654</v>
      </c>
      <c r="AE206" s="4">
        <f ca="1">IFERROR(__xludf.DUMMYFUNCTION("""COMPUTED_VALUE"""),42424.6666666666)</f>
        <v>42424.666666666599</v>
      </c>
      <c r="AF206" s="3">
        <f ca="1">IFERROR(__xludf.DUMMYFUNCTION("""COMPUTED_VALUE"""),65.99)</f>
        <v>65.989999999999995</v>
      </c>
      <c r="AG206" s="3">
        <f ca="1">IFERROR(__xludf.DUMMYFUNCTION("""COMPUTED_VALUE"""),66.68)</f>
        <v>66.680000000000007</v>
      </c>
      <c r="AH206" s="3">
        <f ca="1">IFERROR(__xludf.DUMMYFUNCTION("""COMPUTED_VALUE"""),65.29)</f>
        <v>65.290000000000006</v>
      </c>
      <c r="AI206" s="3">
        <f ca="1">IFERROR(__xludf.DUMMYFUNCTION("""COMPUTED_VALUE"""),66.59)</f>
        <v>66.59</v>
      </c>
      <c r="AJ206" s="3">
        <f ca="1">IFERROR(__xludf.DUMMYFUNCTION("""COMPUTED_VALUE"""),11118606)</f>
        <v>11118606</v>
      </c>
      <c r="AK206" s="4">
        <f ca="1">IFERROR(__xludf.DUMMYFUNCTION("""COMPUTED_VALUE"""),42424.6666666666)</f>
        <v>42424.666666666599</v>
      </c>
      <c r="AL206" s="3">
        <f ca="1">IFERROR(__xludf.DUMMYFUNCTION("""COMPUTED_VALUE"""),51.06)</f>
        <v>51.06</v>
      </c>
      <c r="AM206" s="3">
        <f ca="1">IFERROR(__xludf.DUMMYFUNCTION("""COMPUTED_VALUE"""),51.83)</f>
        <v>51.83</v>
      </c>
      <c r="AN206" s="3">
        <f ca="1">IFERROR(__xludf.DUMMYFUNCTION("""COMPUTED_VALUE"""),50.74)</f>
        <v>50.74</v>
      </c>
      <c r="AO206" s="3">
        <f ca="1">IFERROR(__xludf.DUMMYFUNCTION("""COMPUTED_VALUE"""),51.7)</f>
        <v>51.7</v>
      </c>
      <c r="AP206" s="3">
        <f ca="1">IFERROR(__xludf.DUMMYFUNCTION("""COMPUTED_VALUE"""),17347268)</f>
        <v>17347268</v>
      </c>
      <c r="AQ206" s="4">
        <f ca="1">IFERROR(__xludf.DUMMYFUNCTION("""COMPUTED_VALUE"""),42424.6666666666)</f>
        <v>42424.666666666599</v>
      </c>
      <c r="AR206" s="3">
        <f ca="1">IFERROR(__xludf.DUMMYFUNCTION("""COMPUTED_VALUE"""),40.1)</f>
        <v>40.1</v>
      </c>
      <c r="AS206" s="3">
        <f ca="1">IFERROR(__xludf.DUMMYFUNCTION("""COMPUTED_VALUE"""),40.98)</f>
        <v>40.98</v>
      </c>
      <c r="AT206" s="3">
        <f ca="1">IFERROR(__xludf.DUMMYFUNCTION("""COMPUTED_VALUE"""),39.91)</f>
        <v>39.909999999999997</v>
      </c>
      <c r="AU206" s="3">
        <f ca="1">IFERROR(__xludf.DUMMYFUNCTION("""COMPUTED_VALUE"""),40.93)</f>
        <v>40.93</v>
      </c>
      <c r="AV206" s="3">
        <f ca="1">IFERROR(__xludf.DUMMYFUNCTION("""COMPUTED_VALUE"""),10142443)</f>
        <v>10142443</v>
      </c>
      <c r="AW206" s="4">
        <f ca="1">IFERROR(__xludf.DUMMYFUNCTION("""COMPUTED_VALUE"""),42587.6666666666)</f>
        <v>42587.666666666599</v>
      </c>
      <c r="AX206" s="3">
        <f ca="1">IFERROR(__xludf.DUMMYFUNCTION("""COMPUTED_VALUE"""),33.98)</f>
        <v>33.979999999999997</v>
      </c>
      <c r="AY206" s="3">
        <f ca="1">IFERROR(__xludf.DUMMYFUNCTION("""COMPUTED_VALUE"""),34.03)</f>
        <v>34.03</v>
      </c>
      <c r="AZ206" s="3">
        <f ca="1">IFERROR(__xludf.DUMMYFUNCTION("""COMPUTED_VALUE"""),33.88)</f>
        <v>33.880000000000003</v>
      </c>
      <c r="BA206" s="3">
        <f ca="1">IFERROR(__xludf.DUMMYFUNCTION("""COMPUTED_VALUE"""),33.94)</f>
        <v>33.94</v>
      </c>
      <c r="BB206" s="3">
        <f ca="1">IFERROR(__xludf.DUMMYFUNCTION("""COMPUTED_VALUE"""),21511)</f>
        <v>21511</v>
      </c>
      <c r="BC206" s="4">
        <f ca="1">IFERROR(__xludf.DUMMYFUNCTION("""COMPUTED_VALUE"""),42424.6666666666)</f>
        <v>42424.666666666599</v>
      </c>
      <c r="BD206" s="3">
        <f ca="1">IFERROR(__xludf.DUMMYFUNCTION("""COMPUTED_VALUE"""),40.11)</f>
        <v>40.11</v>
      </c>
      <c r="BE206" s="3">
        <f ca="1">IFERROR(__xludf.DUMMYFUNCTION("""COMPUTED_VALUE"""),40.94)</f>
        <v>40.94</v>
      </c>
      <c r="BF206" s="3">
        <f ca="1">IFERROR(__xludf.DUMMYFUNCTION("""COMPUTED_VALUE"""),39.9)</f>
        <v>39.9</v>
      </c>
      <c r="BG206" s="3">
        <f ca="1">IFERROR(__xludf.DUMMYFUNCTION("""COMPUTED_VALUE"""),40.86)</f>
        <v>40.86</v>
      </c>
      <c r="BH206" s="3">
        <f ca="1">IFERROR(__xludf.DUMMYFUNCTION("""COMPUTED_VALUE"""),10144362)</f>
        <v>10144362</v>
      </c>
      <c r="BI206" s="4">
        <f ca="1">IFERROR(__xludf.DUMMYFUNCTION("""COMPUTED_VALUE"""),42424.6666666666)</f>
        <v>42424.666666666599</v>
      </c>
      <c r="BJ206" s="3">
        <f ca="1">IFERROR(__xludf.DUMMYFUNCTION("""COMPUTED_VALUE"""),46.78)</f>
        <v>46.78</v>
      </c>
      <c r="BK206" s="3">
        <f ca="1">IFERROR(__xludf.DUMMYFUNCTION("""COMPUTED_VALUE"""),47.09)</f>
        <v>47.09</v>
      </c>
      <c r="BL206" s="3">
        <f ca="1">IFERROR(__xludf.DUMMYFUNCTION("""COMPUTED_VALUE"""),46.58)</f>
        <v>46.58</v>
      </c>
      <c r="BM206" s="3">
        <f ca="1">IFERROR(__xludf.DUMMYFUNCTION("""COMPUTED_VALUE"""),47)</f>
        <v>47</v>
      </c>
      <c r="BN206" s="3">
        <f ca="1">IFERROR(__xludf.DUMMYFUNCTION("""COMPUTED_VALUE"""),16750863)</f>
        <v>16750863</v>
      </c>
    </row>
    <row r="207" spans="7:66" ht="13" x14ac:dyDescent="0.15">
      <c r="G207" s="4">
        <f ca="1">IFERROR(__xludf.DUMMYFUNCTION("""COMPUTED_VALUE"""),42425.6666666666)</f>
        <v>42425.666666666599</v>
      </c>
      <c r="H207" s="3">
        <f ca="1">IFERROR(__xludf.DUMMYFUNCTION("""COMPUTED_VALUE"""),74.25)</f>
        <v>74.25</v>
      </c>
      <c r="I207" s="3">
        <f ca="1">IFERROR(__xludf.DUMMYFUNCTION("""COMPUTED_VALUE"""),74.93)</f>
        <v>74.930000000000007</v>
      </c>
      <c r="J207" s="3">
        <f ca="1">IFERROR(__xludf.DUMMYFUNCTION("""COMPUTED_VALUE"""),73.83)</f>
        <v>73.83</v>
      </c>
      <c r="K207" s="3">
        <f ca="1">IFERROR(__xludf.DUMMYFUNCTION("""COMPUTED_VALUE"""),74.91)</f>
        <v>74.91</v>
      </c>
      <c r="L207" s="3">
        <f ca="1">IFERROR(__xludf.DUMMYFUNCTION("""COMPUTED_VALUE"""),5548163)</f>
        <v>5548163</v>
      </c>
      <c r="M207" s="4">
        <f ca="1">IFERROR(__xludf.DUMMYFUNCTION("""COMPUTED_VALUE"""),42425.6666666666)</f>
        <v>42425.666666666599</v>
      </c>
      <c r="N207" s="3">
        <f ca="1">IFERROR(__xludf.DUMMYFUNCTION("""COMPUTED_VALUE"""),51.37)</f>
        <v>51.37</v>
      </c>
      <c r="O207" s="3">
        <f ca="1">IFERROR(__xludf.DUMMYFUNCTION("""COMPUTED_VALUE"""),51.85)</f>
        <v>51.85</v>
      </c>
      <c r="P207" s="3">
        <f ca="1">IFERROR(__xludf.DUMMYFUNCTION("""COMPUTED_VALUE"""),51.25)</f>
        <v>51.25</v>
      </c>
      <c r="Q207" s="3">
        <f ca="1">IFERROR(__xludf.DUMMYFUNCTION("""COMPUTED_VALUE"""),51.82)</f>
        <v>51.82</v>
      </c>
      <c r="R207" s="3">
        <f ca="1">IFERROR(__xludf.DUMMYFUNCTION("""COMPUTED_VALUE"""),9511955)</f>
        <v>9511955</v>
      </c>
      <c r="S207" s="4">
        <f ca="1">IFERROR(__xludf.DUMMYFUNCTION("""COMPUTED_VALUE"""),42425.6666666666)</f>
        <v>42425.666666666599</v>
      </c>
      <c r="T207" s="3">
        <f ca="1">IFERROR(__xludf.DUMMYFUNCTION("""COMPUTED_VALUE"""),56.67)</f>
        <v>56.67</v>
      </c>
      <c r="U207" s="3">
        <f ca="1">IFERROR(__xludf.DUMMYFUNCTION("""COMPUTED_VALUE"""),57.04)</f>
        <v>57.04</v>
      </c>
      <c r="V207" s="3">
        <f ca="1">IFERROR(__xludf.DUMMYFUNCTION("""COMPUTED_VALUE"""),55.78)</f>
        <v>55.78</v>
      </c>
      <c r="W207" s="3">
        <f ca="1">IFERROR(__xludf.DUMMYFUNCTION("""COMPUTED_VALUE"""),56.89)</f>
        <v>56.89</v>
      </c>
      <c r="X207" s="3">
        <f ca="1">IFERROR(__xludf.DUMMYFUNCTION("""COMPUTED_VALUE"""),18588937)</f>
        <v>18588937</v>
      </c>
      <c r="Y207" s="4">
        <f ca="1">IFERROR(__xludf.DUMMYFUNCTION("""COMPUTED_VALUE"""),42425.6666666666)</f>
        <v>42425.666666666599</v>
      </c>
      <c r="Z207" s="3">
        <f ca="1">IFERROR(__xludf.DUMMYFUNCTION("""COMPUTED_VALUE"""),16.96)</f>
        <v>16.96</v>
      </c>
      <c r="AA207" s="3">
        <f ca="1">IFERROR(__xludf.DUMMYFUNCTION("""COMPUTED_VALUE"""),17.2)</f>
        <v>17.2</v>
      </c>
      <c r="AB207" s="3">
        <f ca="1">IFERROR(__xludf.DUMMYFUNCTION("""COMPUTED_VALUE"""),16.96)</f>
        <v>16.96</v>
      </c>
      <c r="AC207" s="3">
        <f ca="1">IFERROR(__xludf.DUMMYFUNCTION("""COMPUTED_VALUE"""),17.19)</f>
        <v>17.190000000000001</v>
      </c>
      <c r="AD207" s="3">
        <f ca="1">IFERROR(__xludf.DUMMYFUNCTION("""COMPUTED_VALUE"""),71254109)</f>
        <v>71254109</v>
      </c>
      <c r="AE207" s="4">
        <f ca="1">IFERROR(__xludf.DUMMYFUNCTION("""COMPUTED_VALUE"""),42425.6666666666)</f>
        <v>42425.666666666599</v>
      </c>
      <c r="AF207" s="3">
        <f ca="1">IFERROR(__xludf.DUMMYFUNCTION("""COMPUTED_VALUE"""),66.89)</f>
        <v>66.89</v>
      </c>
      <c r="AG207" s="3">
        <f ca="1">IFERROR(__xludf.DUMMYFUNCTION("""COMPUTED_VALUE"""),67.46)</f>
        <v>67.459999999999994</v>
      </c>
      <c r="AH207" s="3">
        <f ca="1">IFERROR(__xludf.DUMMYFUNCTION("""COMPUTED_VALUE"""),66.56)</f>
        <v>66.56</v>
      </c>
      <c r="AI207" s="3">
        <f ca="1">IFERROR(__xludf.DUMMYFUNCTION("""COMPUTED_VALUE"""),67.42)</f>
        <v>67.42</v>
      </c>
      <c r="AJ207" s="3">
        <f ca="1">IFERROR(__xludf.DUMMYFUNCTION("""COMPUTED_VALUE"""),9496414)</f>
        <v>9496414</v>
      </c>
      <c r="AK207" s="4">
        <f ca="1">IFERROR(__xludf.DUMMYFUNCTION("""COMPUTED_VALUE"""),42425.6666666666)</f>
        <v>42425.666666666599</v>
      </c>
      <c r="AL207" s="3">
        <f ca="1">IFERROR(__xludf.DUMMYFUNCTION("""COMPUTED_VALUE"""),51.85)</f>
        <v>51.85</v>
      </c>
      <c r="AM207" s="3">
        <f ca="1">IFERROR(__xludf.DUMMYFUNCTION("""COMPUTED_VALUE"""),52.4)</f>
        <v>52.4</v>
      </c>
      <c r="AN207" s="3">
        <f ca="1">IFERROR(__xludf.DUMMYFUNCTION("""COMPUTED_VALUE"""),51.69)</f>
        <v>51.69</v>
      </c>
      <c r="AO207" s="3">
        <f ca="1">IFERROR(__xludf.DUMMYFUNCTION("""COMPUTED_VALUE"""),52.38)</f>
        <v>52.38</v>
      </c>
      <c r="AP207" s="3">
        <f ca="1">IFERROR(__xludf.DUMMYFUNCTION("""COMPUTED_VALUE"""),9312686)</f>
        <v>9312686</v>
      </c>
      <c r="AQ207" s="4">
        <f ca="1">IFERROR(__xludf.DUMMYFUNCTION("""COMPUTED_VALUE"""),42425.6666666666)</f>
        <v>42425.666666666599</v>
      </c>
      <c r="AR207" s="3">
        <f ca="1">IFERROR(__xludf.DUMMYFUNCTION("""COMPUTED_VALUE"""),41.03)</f>
        <v>41.03</v>
      </c>
      <c r="AS207" s="3">
        <f ca="1">IFERROR(__xludf.DUMMYFUNCTION("""COMPUTED_VALUE"""),41.49)</f>
        <v>41.49</v>
      </c>
      <c r="AT207" s="3">
        <f ca="1">IFERROR(__xludf.DUMMYFUNCTION("""COMPUTED_VALUE"""),40.67)</f>
        <v>40.67</v>
      </c>
      <c r="AU207" s="3">
        <f ca="1">IFERROR(__xludf.DUMMYFUNCTION("""COMPUTED_VALUE"""),41.46)</f>
        <v>41.46</v>
      </c>
      <c r="AV207" s="3">
        <f ca="1">IFERROR(__xludf.DUMMYFUNCTION("""COMPUTED_VALUE"""),5135660)</f>
        <v>5135660</v>
      </c>
      <c r="AW207" s="4">
        <f ca="1">IFERROR(__xludf.DUMMYFUNCTION("""COMPUTED_VALUE"""),42590.6666666666)</f>
        <v>42590.666666666599</v>
      </c>
      <c r="AX207" s="3">
        <f ca="1">IFERROR(__xludf.DUMMYFUNCTION("""COMPUTED_VALUE"""),33.94)</f>
        <v>33.94</v>
      </c>
      <c r="AY207" s="3">
        <f ca="1">IFERROR(__xludf.DUMMYFUNCTION("""COMPUTED_VALUE"""),34.07)</f>
        <v>34.07</v>
      </c>
      <c r="AZ207" s="3">
        <f ca="1">IFERROR(__xludf.DUMMYFUNCTION("""COMPUTED_VALUE"""),33.93)</f>
        <v>33.93</v>
      </c>
      <c r="BA207" s="3">
        <f ca="1">IFERROR(__xludf.DUMMYFUNCTION("""COMPUTED_VALUE"""),33.93)</f>
        <v>33.93</v>
      </c>
      <c r="BB207" s="3">
        <f ca="1">IFERROR(__xludf.DUMMYFUNCTION("""COMPUTED_VALUE"""),45060)</f>
        <v>45060</v>
      </c>
      <c r="BC207" s="4">
        <f ca="1">IFERROR(__xludf.DUMMYFUNCTION("""COMPUTED_VALUE"""),42425.6666666666)</f>
        <v>42425.666666666599</v>
      </c>
      <c r="BD207" s="3">
        <f ca="1">IFERROR(__xludf.DUMMYFUNCTION("""COMPUTED_VALUE"""),41)</f>
        <v>41</v>
      </c>
      <c r="BE207" s="3">
        <f ca="1">IFERROR(__xludf.DUMMYFUNCTION("""COMPUTED_VALUE"""),41.39)</f>
        <v>41.39</v>
      </c>
      <c r="BF207" s="3">
        <f ca="1">IFERROR(__xludf.DUMMYFUNCTION("""COMPUTED_VALUE"""),40.68)</f>
        <v>40.68</v>
      </c>
      <c r="BG207" s="3">
        <f ca="1">IFERROR(__xludf.DUMMYFUNCTION("""COMPUTED_VALUE"""),41.37)</f>
        <v>41.37</v>
      </c>
      <c r="BH207" s="3">
        <f ca="1">IFERROR(__xludf.DUMMYFUNCTION("""COMPUTED_VALUE"""),9403419)</f>
        <v>9403419</v>
      </c>
      <c r="BI207" s="4">
        <f ca="1">IFERROR(__xludf.DUMMYFUNCTION("""COMPUTED_VALUE"""),42425.6666666666)</f>
        <v>42425.666666666599</v>
      </c>
      <c r="BJ207" s="3">
        <f ca="1">IFERROR(__xludf.DUMMYFUNCTION("""COMPUTED_VALUE"""),47.15)</f>
        <v>47.15</v>
      </c>
      <c r="BK207" s="3">
        <f ca="1">IFERROR(__xludf.DUMMYFUNCTION("""COMPUTED_VALUE"""),47.48)</f>
        <v>47.48</v>
      </c>
      <c r="BL207" s="3">
        <f ca="1">IFERROR(__xludf.DUMMYFUNCTION("""COMPUTED_VALUE"""),47.01)</f>
        <v>47.01</v>
      </c>
      <c r="BM207" s="3">
        <f ca="1">IFERROR(__xludf.DUMMYFUNCTION("""COMPUTED_VALUE"""),47.48)</f>
        <v>47.48</v>
      </c>
      <c r="BN207" s="3">
        <f ca="1">IFERROR(__xludf.DUMMYFUNCTION("""COMPUTED_VALUE"""),12161923)</f>
        <v>12161923</v>
      </c>
    </row>
    <row r="208" spans="7:66" ht="13" x14ac:dyDescent="0.15">
      <c r="G208" s="4">
        <f ca="1">IFERROR(__xludf.DUMMYFUNCTION("""COMPUTED_VALUE"""),42426.6666666666)</f>
        <v>42426.666666666599</v>
      </c>
      <c r="H208" s="3">
        <f ca="1">IFERROR(__xludf.DUMMYFUNCTION("""COMPUTED_VALUE"""),75.33)</f>
        <v>75.33</v>
      </c>
      <c r="I208" s="3">
        <f ca="1">IFERROR(__xludf.DUMMYFUNCTION("""COMPUTED_VALUE"""),75.39)</f>
        <v>75.39</v>
      </c>
      <c r="J208" s="3">
        <f ca="1">IFERROR(__xludf.DUMMYFUNCTION("""COMPUTED_VALUE"""),74.68)</f>
        <v>74.680000000000007</v>
      </c>
      <c r="K208" s="3">
        <f ca="1">IFERROR(__xludf.DUMMYFUNCTION("""COMPUTED_VALUE"""),74.83)</f>
        <v>74.83</v>
      </c>
      <c r="L208" s="3">
        <f ca="1">IFERROR(__xludf.DUMMYFUNCTION("""COMPUTED_VALUE"""),6966311)</f>
        <v>6966311</v>
      </c>
      <c r="M208" s="4">
        <f ca="1">IFERROR(__xludf.DUMMYFUNCTION("""COMPUTED_VALUE"""),42426.6666666666)</f>
        <v>42426.666666666599</v>
      </c>
      <c r="N208" s="3">
        <f ca="1">IFERROR(__xludf.DUMMYFUNCTION("""COMPUTED_VALUE"""),51.96)</f>
        <v>51.96</v>
      </c>
      <c r="O208" s="3">
        <f ca="1">IFERROR(__xludf.DUMMYFUNCTION("""COMPUTED_VALUE"""),51.96)</f>
        <v>51.96</v>
      </c>
      <c r="P208" s="3">
        <f ca="1">IFERROR(__xludf.DUMMYFUNCTION("""COMPUTED_VALUE"""),50.99)</f>
        <v>50.99</v>
      </c>
      <c r="Q208" s="3">
        <f ca="1">IFERROR(__xludf.DUMMYFUNCTION("""COMPUTED_VALUE"""),51.09)</f>
        <v>51.09</v>
      </c>
      <c r="R208" s="3">
        <f ca="1">IFERROR(__xludf.DUMMYFUNCTION("""COMPUTED_VALUE"""),28143926)</f>
        <v>28143926</v>
      </c>
      <c r="S208" s="4">
        <f ca="1">IFERROR(__xludf.DUMMYFUNCTION("""COMPUTED_VALUE"""),42426.6666666666)</f>
        <v>42426.666666666599</v>
      </c>
      <c r="T208" s="3">
        <f ca="1">IFERROR(__xludf.DUMMYFUNCTION("""COMPUTED_VALUE"""),57.84)</f>
        <v>57.84</v>
      </c>
      <c r="U208" s="3">
        <f ca="1">IFERROR(__xludf.DUMMYFUNCTION("""COMPUTED_VALUE"""),58)</f>
        <v>58</v>
      </c>
      <c r="V208" s="3">
        <f ca="1">IFERROR(__xludf.DUMMYFUNCTION("""COMPUTED_VALUE"""),57.04)</f>
        <v>57.04</v>
      </c>
      <c r="W208" s="3">
        <f ca="1">IFERROR(__xludf.DUMMYFUNCTION("""COMPUTED_VALUE"""),57.23)</f>
        <v>57.23</v>
      </c>
      <c r="X208" s="3">
        <f ca="1">IFERROR(__xludf.DUMMYFUNCTION("""COMPUTED_VALUE"""),21155074)</f>
        <v>21155074</v>
      </c>
      <c r="Y208" s="4">
        <f ca="1">IFERROR(__xludf.DUMMYFUNCTION("""COMPUTED_VALUE"""),42426.6666666666)</f>
        <v>42426.666666666599</v>
      </c>
      <c r="Z208" s="3">
        <f ca="1">IFERROR(__xludf.DUMMYFUNCTION("""COMPUTED_VALUE"""),17.3)</f>
        <v>17.3</v>
      </c>
      <c r="AA208" s="3">
        <f ca="1">IFERROR(__xludf.DUMMYFUNCTION("""COMPUTED_VALUE"""),17.47)</f>
        <v>17.47</v>
      </c>
      <c r="AB208" s="3">
        <f ca="1">IFERROR(__xludf.DUMMYFUNCTION("""COMPUTED_VALUE"""),17.22)</f>
        <v>17.22</v>
      </c>
      <c r="AC208" s="3">
        <f ca="1">IFERROR(__xludf.DUMMYFUNCTION("""COMPUTED_VALUE"""),17.31)</f>
        <v>17.309999999999999</v>
      </c>
      <c r="AD208" s="3">
        <f ca="1">IFERROR(__xludf.DUMMYFUNCTION("""COMPUTED_VALUE"""),81312974)</f>
        <v>81312974</v>
      </c>
      <c r="AE208" s="4">
        <f ca="1">IFERROR(__xludf.DUMMYFUNCTION("""COMPUTED_VALUE"""),42426.6666666666)</f>
        <v>42426.666666666599</v>
      </c>
      <c r="AF208" s="3">
        <f ca="1">IFERROR(__xludf.DUMMYFUNCTION("""COMPUTED_VALUE"""),67.73)</f>
        <v>67.73</v>
      </c>
      <c r="AG208" s="3">
        <f ca="1">IFERROR(__xludf.DUMMYFUNCTION("""COMPUTED_VALUE"""),68)</f>
        <v>68</v>
      </c>
      <c r="AH208" s="3">
        <f ca="1">IFERROR(__xludf.DUMMYFUNCTION("""COMPUTED_VALUE"""),67.24)</f>
        <v>67.239999999999995</v>
      </c>
      <c r="AI208" s="3">
        <f ca="1">IFERROR(__xludf.DUMMYFUNCTION("""COMPUTED_VALUE"""),67.3)</f>
        <v>67.3</v>
      </c>
      <c r="AJ208" s="3">
        <f ca="1">IFERROR(__xludf.DUMMYFUNCTION("""COMPUTED_VALUE"""),10365818)</f>
        <v>10365818</v>
      </c>
      <c r="AK208" s="4">
        <f ca="1">IFERROR(__xludf.DUMMYFUNCTION("""COMPUTED_VALUE"""),42426.6666666666)</f>
        <v>42426.666666666599</v>
      </c>
      <c r="AL208" s="3">
        <f ca="1">IFERROR(__xludf.DUMMYFUNCTION("""COMPUTED_VALUE"""),52.51)</f>
        <v>52.51</v>
      </c>
      <c r="AM208" s="3">
        <f ca="1">IFERROR(__xludf.DUMMYFUNCTION("""COMPUTED_VALUE"""),52.85)</f>
        <v>52.85</v>
      </c>
      <c r="AN208" s="3">
        <f ca="1">IFERROR(__xludf.DUMMYFUNCTION("""COMPUTED_VALUE"""),52.44)</f>
        <v>52.44</v>
      </c>
      <c r="AO208" s="3">
        <f ca="1">IFERROR(__xludf.DUMMYFUNCTION("""COMPUTED_VALUE"""),52.45)</f>
        <v>52.45</v>
      </c>
      <c r="AP208" s="3">
        <f ca="1">IFERROR(__xludf.DUMMYFUNCTION("""COMPUTED_VALUE"""),8312343)</f>
        <v>8312343</v>
      </c>
      <c r="AQ208" s="4">
        <f ca="1">IFERROR(__xludf.DUMMYFUNCTION("""COMPUTED_VALUE"""),42426.6666666666)</f>
        <v>42426.666666666599</v>
      </c>
      <c r="AR208" s="3">
        <f ca="1">IFERROR(__xludf.DUMMYFUNCTION("""COMPUTED_VALUE"""),41.8)</f>
        <v>41.8</v>
      </c>
      <c r="AS208" s="3">
        <f ca="1">IFERROR(__xludf.DUMMYFUNCTION("""COMPUTED_VALUE"""),42.29)</f>
        <v>42.29</v>
      </c>
      <c r="AT208" s="3">
        <f ca="1">IFERROR(__xludf.DUMMYFUNCTION("""COMPUTED_VALUE"""),41.8)</f>
        <v>41.8</v>
      </c>
      <c r="AU208" s="3">
        <f ca="1">IFERROR(__xludf.DUMMYFUNCTION("""COMPUTED_VALUE"""),42.06)</f>
        <v>42.06</v>
      </c>
      <c r="AV208" s="3">
        <f ca="1">IFERROR(__xludf.DUMMYFUNCTION("""COMPUTED_VALUE"""),6753080)</f>
        <v>6753080</v>
      </c>
      <c r="AW208" s="4">
        <f ca="1">IFERROR(__xludf.DUMMYFUNCTION("""COMPUTED_VALUE"""),42591.6666666666)</f>
        <v>42591.666666666599</v>
      </c>
      <c r="AX208" s="3">
        <f ca="1">IFERROR(__xludf.DUMMYFUNCTION("""COMPUTED_VALUE"""),34.1)</f>
        <v>34.1</v>
      </c>
      <c r="AY208" s="3">
        <f ca="1">IFERROR(__xludf.DUMMYFUNCTION("""COMPUTED_VALUE"""),34.16)</f>
        <v>34.159999999999997</v>
      </c>
      <c r="AZ208" s="3">
        <f ca="1">IFERROR(__xludf.DUMMYFUNCTION("""COMPUTED_VALUE"""),33.83)</f>
        <v>33.83</v>
      </c>
      <c r="BA208" s="3">
        <f ca="1">IFERROR(__xludf.DUMMYFUNCTION("""COMPUTED_VALUE"""),34.16)</f>
        <v>34.159999999999997</v>
      </c>
      <c r="BB208" s="3">
        <f ca="1">IFERROR(__xludf.DUMMYFUNCTION("""COMPUTED_VALUE"""),204328)</f>
        <v>204328</v>
      </c>
      <c r="BC208" s="4">
        <f ca="1">IFERROR(__xludf.DUMMYFUNCTION("""COMPUTED_VALUE"""),42426.6666666666)</f>
        <v>42426.666666666599</v>
      </c>
      <c r="BD208" s="3">
        <f ca="1">IFERROR(__xludf.DUMMYFUNCTION("""COMPUTED_VALUE"""),41.6)</f>
        <v>41.6</v>
      </c>
      <c r="BE208" s="3">
        <f ca="1">IFERROR(__xludf.DUMMYFUNCTION("""COMPUTED_VALUE"""),41.64)</f>
        <v>41.64</v>
      </c>
      <c r="BF208" s="3">
        <f ca="1">IFERROR(__xludf.DUMMYFUNCTION("""COMPUTED_VALUE"""),41.17)</f>
        <v>41.17</v>
      </c>
      <c r="BG208" s="3">
        <f ca="1">IFERROR(__xludf.DUMMYFUNCTION("""COMPUTED_VALUE"""),41.26)</f>
        <v>41.26</v>
      </c>
      <c r="BH208" s="3">
        <f ca="1">IFERROR(__xludf.DUMMYFUNCTION("""COMPUTED_VALUE"""),9772945)</f>
        <v>9772945</v>
      </c>
      <c r="BI208" s="4">
        <f ca="1">IFERROR(__xludf.DUMMYFUNCTION("""COMPUTED_VALUE"""),42426.6666666666)</f>
        <v>42426.666666666599</v>
      </c>
      <c r="BJ208" s="3">
        <f ca="1">IFERROR(__xludf.DUMMYFUNCTION("""COMPUTED_VALUE"""),47.21)</f>
        <v>47.21</v>
      </c>
      <c r="BK208" s="3">
        <f ca="1">IFERROR(__xludf.DUMMYFUNCTION("""COMPUTED_VALUE"""),47.32)</f>
        <v>47.32</v>
      </c>
      <c r="BL208" s="3">
        <f ca="1">IFERROR(__xludf.DUMMYFUNCTION("""COMPUTED_VALUE"""),46.16)</f>
        <v>46.16</v>
      </c>
      <c r="BM208" s="3">
        <f ca="1">IFERROR(__xludf.DUMMYFUNCTION("""COMPUTED_VALUE"""),46.17)</f>
        <v>46.17</v>
      </c>
      <c r="BN208" s="3">
        <f ca="1">IFERROR(__xludf.DUMMYFUNCTION("""COMPUTED_VALUE"""),32953633)</f>
        <v>32953633</v>
      </c>
    </row>
    <row r="209" spans="7:66" ht="13" x14ac:dyDescent="0.15">
      <c r="G209" s="4">
        <f ca="1">IFERROR(__xludf.DUMMYFUNCTION("""COMPUTED_VALUE"""),42429.6666666666)</f>
        <v>42429.666666666599</v>
      </c>
      <c r="H209" s="3">
        <f ca="1">IFERROR(__xludf.DUMMYFUNCTION("""COMPUTED_VALUE"""),74.85)</f>
        <v>74.849999999999994</v>
      </c>
      <c r="I209" s="3">
        <f ca="1">IFERROR(__xludf.DUMMYFUNCTION("""COMPUTED_VALUE"""),75.43)</f>
        <v>75.430000000000007</v>
      </c>
      <c r="J209" s="3">
        <f ca="1">IFERROR(__xludf.DUMMYFUNCTION("""COMPUTED_VALUE"""),74.44)</f>
        <v>74.44</v>
      </c>
      <c r="K209" s="3">
        <f ca="1">IFERROR(__xludf.DUMMYFUNCTION("""COMPUTED_VALUE"""),74.44)</f>
        <v>74.44</v>
      </c>
      <c r="L209" s="3">
        <f ca="1">IFERROR(__xludf.DUMMYFUNCTION("""COMPUTED_VALUE"""),8742790)</f>
        <v>8742790</v>
      </c>
      <c r="M209" s="4">
        <f ca="1">IFERROR(__xludf.DUMMYFUNCTION("""COMPUTED_VALUE"""),42429.6666666666)</f>
        <v>42429.666666666599</v>
      </c>
      <c r="N209" s="3">
        <f ca="1">IFERROR(__xludf.DUMMYFUNCTION("""COMPUTED_VALUE"""),51.06)</f>
        <v>51.06</v>
      </c>
      <c r="O209" s="3">
        <f ca="1">IFERROR(__xludf.DUMMYFUNCTION("""COMPUTED_VALUE"""),51.46)</f>
        <v>51.46</v>
      </c>
      <c r="P209" s="3">
        <f ca="1">IFERROR(__xludf.DUMMYFUNCTION("""COMPUTED_VALUE"""),50.91)</f>
        <v>50.91</v>
      </c>
      <c r="Q209" s="3">
        <f ca="1">IFERROR(__xludf.DUMMYFUNCTION("""COMPUTED_VALUE"""),50.92)</f>
        <v>50.92</v>
      </c>
      <c r="R209" s="3">
        <f ca="1">IFERROR(__xludf.DUMMYFUNCTION("""COMPUTED_VALUE"""),13596765)</f>
        <v>13596765</v>
      </c>
      <c r="S209" s="4">
        <f ca="1">IFERROR(__xludf.DUMMYFUNCTION("""COMPUTED_VALUE"""),42429.6666666666)</f>
        <v>42429.666666666599</v>
      </c>
      <c r="T209" s="3">
        <f ca="1">IFERROR(__xludf.DUMMYFUNCTION("""COMPUTED_VALUE"""),57.46)</f>
        <v>57.46</v>
      </c>
      <c r="U209" s="3">
        <f ca="1">IFERROR(__xludf.DUMMYFUNCTION("""COMPUTED_VALUE"""),57.62)</f>
        <v>57.62</v>
      </c>
      <c r="V209" s="3">
        <f ca="1">IFERROR(__xludf.DUMMYFUNCTION("""COMPUTED_VALUE"""),56.53)</f>
        <v>56.53</v>
      </c>
      <c r="W209" s="3">
        <f ca="1">IFERROR(__xludf.DUMMYFUNCTION("""COMPUTED_VALUE"""),56.58)</f>
        <v>56.58</v>
      </c>
      <c r="X209" s="3">
        <f ca="1">IFERROR(__xludf.DUMMYFUNCTION("""COMPUTED_VALUE"""),22983290)</f>
        <v>22983290</v>
      </c>
      <c r="Y209" s="4">
        <f ca="1">IFERROR(__xludf.DUMMYFUNCTION("""COMPUTED_VALUE"""),42429.6666666666)</f>
        <v>42429.666666666599</v>
      </c>
      <c r="Z209" s="3">
        <f ca="1">IFERROR(__xludf.DUMMYFUNCTION("""COMPUTED_VALUE"""),17.3)</f>
        <v>17.3</v>
      </c>
      <c r="AA209" s="3">
        <f ca="1">IFERROR(__xludf.DUMMYFUNCTION("""COMPUTED_VALUE"""),17.39)</f>
        <v>17.39</v>
      </c>
      <c r="AB209" s="3">
        <f ca="1">IFERROR(__xludf.DUMMYFUNCTION("""COMPUTED_VALUE"""),17.12)</f>
        <v>17.12</v>
      </c>
      <c r="AC209" s="3">
        <f ca="1">IFERROR(__xludf.DUMMYFUNCTION("""COMPUTED_VALUE"""),17.13)</f>
        <v>17.13</v>
      </c>
      <c r="AD209" s="3">
        <f ca="1">IFERROR(__xludf.DUMMYFUNCTION("""COMPUTED_VALUE"""),57551613)</f>
        <v>57551613</v>
      </c>
      <c r="AE209" s="4">
        <f ca="1">IFERROR(__xludf.DUMMYFUNCTION("""COMPUTED_VALUE"""),42429.6666666666)</f>
        <v>42429.666666666599</v>
      </c>
      <c r="AF209" s="3">
        <f ca="1">IFERROR(__xludf.DUMMYFUNCTION("""COMPUTED_VALUE"""),67.1)</f>
        <v>67.099999999999994</v>
      </c>
      <c r="AG209" s="3">
        <f ca="1">IFERROR(__xludf.DUMMYFUNCTION("""COMPUTED_VALUE"""),67.27)</f>
        <v>67.27</v>
      </c>
      <c r="AH209" s="3">
        <f ca="1">IFERROR(__xludf.DUMMYFUNCTION("""COMPUTED_VALUE"""),66.2)</f>
        <v>66.2</v>
      </c>
      <c r="AI209" s="3">
        <f ca="1">IFERROR(__xludf.DUMMYFUNCTION("""COMPUTED_VALUE"""),66.23)</f>
        <v>66.23</v>
      </c>
      <c r="AJ209" s="3">
        <f ca="1">IFERROR(__xludf.DUMMYFUNCTION("""COMPUTED_VALUE"""),11091742)</f>
        <v>11091742</v>
      </c>
      <c r="AK209" s="4">
        <f ca="1">IFERROR(__xludf.DUMMYFUNCTION("""COMPUTED_VALUE"""),42429.6666666666)</f>
        <v>42429.666666666599</v>
      </c>
      <c r="AL209" s="3">
        <f ca="1">IFERROR(__xludf.DUMMYFUNCTION("""COMPUTED_VALUE"""),52.45)</f>
        <v>52.45</v>
      </c>
      <c r="AM209" s="3">
        <f ca="1">IFERROR(__xludf.DUMMYFUNCTION("""COMPUTED_VALUE"""),52.72)</f>
        <v>52.72</v>
      </c>
      <c r="AN209" s="3">
        <f ca="1">IFERROR(__xludf.DUMMYFUNCTION("""COMPUTED_VALUE"""),52.1)</f>
        <v>52.1</v>
      </c>
      <c r="AO209" s="3">
        <f ca="1">IFERROR(__xludf.DUMMYFUNCTION("""COMPUTED_VALUE"""),52.12)</f>
        <v>52.12</v>
      </c>
      <c r="AP209" s="3">
        <f ca="1">IFERROR(__xludf.DUMMYFUNCTION("""COMPUTED_VALUE"""),13823027)</f>
        <v>13823027</v>
      </c>
      <c r="AQ209" s="4">
        <f ca="1">IFERROR(__xludf.DUMMYFUNCTION("""COMPUTED_VALUE"""),42429.6666666666)</f>
        <v>42429.666666666599</v>
      </c>
      <c r="AR209" s="3">
        <f ca="1">IFERROR(__xludf.DUMMYFUNCTION("""COMPUTED_VALUE"""),42.14)</f>
        <v>42.14</v>
      </c>
      <c r="AS209" s="3">
        <f ca="1">IFERROR(__xludf.DUMMYFUNCTION("""COMPUTED_VALUE"""),42.56)</f>
        <v>42.56</v>
      </c>
      <c r="AT209" s="3">
        <f ca="1">IFERROR(__xludf.DUMMYFUNCTION("""COMPUTED_VALUE"""),41.78)</f>
        <v>41.78</v>
      </c>
      <c r="AU209" s="3">
        <f ca="1">IFERROR(__xludf.DUMMYFUNCTION("""COMPUTED_VALUE"""),41.8)</f>
        <v>41.8</v>
      </c>
      <c r="AV209" s="3">
        <f ca="1">IFERROR(__xludf.DUMMYFUNCTION("""COMPUTED_VALUE"""),6838992)</f>
        <v>6838992</v>
      </c>
      <c r="AW209" s="4">
        <f ca="1">IFERROR(__xludf.DUMMYFUNCTION("""COMPUTED_VALUE"""),42592.6666666666)</f>
        <v>42592.666666666599</v>
      </c>
      <c r="AX209" s="3">
        <f ca="1">IFERROR(__xludf.DUMMYFUNCTION("""COMPUTED_VALUE"""),34.24)</f>
        <v>34.24</v>
      </c>
      <c r="AY209" s="3">
        <f ca="1">IFERROR(__xludf.DUMMYFUNCTION("""COMPUTED_VALUE"""),34.24)</f>
        <v>34.24</v>
      </c>
      <c r="AZ209" s="3">
        <f ca="1">IFERROR(__xludf.DUMMYFUNCTION("""COMPUTED_VALUE"""),34.02)</f>
        <v>34.020000000000003</v>
      </c>
      <c r="BA209" s="3">
        <f ca="1">IFERROR(__xludf.DUMMYFUNCTION("""COMPUTED_VALUE"""),34.09)</f>
        <v>34.090000000000003</v>
      </c>
      <c r="BB209" s="3">
        <f ca="1">IFERROR(__xludf.DUMMYFUNCTION("""COMPUTED_VALUE"""),12323)</f>
        <v>12323</v>
      </c>
      <c r="BC209" s="4">
        <f ca="1">IFERROR(__xludf.DUMMYFUNCTION("""COMPUTED_VALUE"""),42429.6666666666)</f>
        <v>42429.666666666599</v>
      </c>
      <c r="BD209" s="3">
        <f ca="1">IFERROR(__xludf.DUMMYFUNCTION("""COMPUTED_VALUE"""),41.22)</f>
        <v>41.22</v>
      </c>
      <c r="BE209" s="3">
        <f ca="1">IFERROR(__xludf.DUMMYFUNCTION("""COMPUTED_VALUE"""),41.61)</f>
        <v>41.61</v>
      </c>
      <c r="BF209" s="3">
        <f ca="1">IFERROR(__xludf.DUMMYFUNCTION("""COMPUTED_VALUE"""),40.97)</f>
        <v>40.97</v>
      </c>
      <c r="BG209" s="3">
        <f ca="1">IFERROR(__xludf.DUMMYFUNCTION("""COMPUTED_VALUE"""),40.97)</f>
        <v>40.97</v>
      </c>
      <c r="BH209" s="3">
        <f ca="1">IFERROR(__xludf.DUMMYFUNCTION("""COMPUTED_VALUE"""),13601895)</f>
        <v>13601895</v>
      </c>
      <c r="BI209" s="4">
        <f ca="1">IFERROR(__xludf.DUMMYFUNCTION("""COMPUTED_VALUE"""),42429.6666666666)</f>
        <v>42429.666666666599</v>
      </c>
      <c r="BJ209" s="3">
        <f ca="1">IFERROR(__xludf.DUMMYFUNCTION("""COMPUTED_VALUE"""),46.1)</f>
        <v>46.1</v>
      </c>
      <c r="BK209" s="3">
        <f ca="1">IFERROR(__xludf.DUMMYFUNCTION("""COMPUTED_VALUE"""),46.74)</f>
        <v>46.74</v>
      </c>
      <c r="BL209" s="3">
        <f ca="1">IFERROR(__xludf.DUMMYFUNCTION("""COMPUTED_VALUE"""),46.06)</f>
        <v>46.06</v>
      </c>
      <c r="BM209" s="3">
        <f ca="1">IFERROR(__xludf.DUMMYFUNCTION("""COMPUTED_VALUE"""),46.3)</f>
        <v>46.3</v>
      </c>
      <c r="BN209" s="3">
        <f ca="1">IFERROR(__xludf.DUMMYFUNCTION("""COMPUTED_VALUE"""),20137793)</f>
        <v>20137793</v>
      </c>
    </row>
    <row r="210" spans="7:66" ht="13" x14ac:dyDescent="0.15">
      <c r="G210" s="4">
        <f ca="1">IFERROR(__xludf.DUMMYFUNCTION("""COMPUTED_VALUE"""),42430.6666666666)</f>
        <v>42430.666666666599</v>
      </c>
      <c r="H210" s="3">
        <f ca="1">IFERROR(__xludf.DUMMYFUNCTION("""COMPUTED_VALUE"""),75.09)</f>
        <v>75.09</v>
      </c>
      <c r="I210" s="3">
        <f ca="1">IFERROR(__xludf.DUMMYFUNCTION("""COMPUTED_VALUE"""),76.47)</f>
        <v>76.47</v>
      </c>
      <c r="J210" s="3">
        <f ca="1">IFERROR(__xludf.DUMMYFUNCTION("""COMPUTED_VALUE"""),74.84)</f>
        <v>74.84</v>
      </c>
      <c r="K210" s="3">
        <f ca="1">IFERROR(__xludf.DUMMYFUNCTION("""COMPUTED_VALUE"""),76.41)</f>
        <v>76.41</v>
      </c>
      <c r="L210" s="3">
        <f ca="1">IFERROR(__xludf.DUMMYFUNCTION("""COMPUTED_VALUE"""),9345777)</f>
        <v>9345777</v>
      </c>
      <c r="M210" s="4">
        <f ca="1">IFERROR(__xludf.DUMMYFUNCTION("""COMPUTED_VALUE"""),42430.6666666666)</f>
        <v>42430.666666666599</v>
      </c>
      <c r="N210" s="3">
        <f ca="1">IFERROR(__xludf.DUMMYFUNCTION("""COMPUTED_VALUE"""),51.21)</f>
        <v>51.21</v>
      </c>
      <c r="O210" s="3">
        <f ca="1">IFERROR(__xludf.DUMMYFUNCTION("""COMPUTED_VALUE"""),51.5)</f>
        <v>51.5</v>
      </c>
      <c r="P210" s="3">
        <f ca="1">IFERROR(__xludf.DUMMYFUNCTION("""COMPUTED_VALUE"""),51.13)</f>
        <v>51.13</v>
      </c>
      <c r="Q210" s="3">
        <f ca="1">IFERROR(__xludf.DUMMYFUNCTION("""COMPUTED_VALUE"""),51.41)</f>
        <v>51.41</v>
      </c>
      <c r="R210" s="3">
        <f ca="1">IFERROR(__xludf.DUMMYFUNCTION("""COMPUTED_VALUE"""),13169709)</f>
        <v>13169709</v>
      </c>
      <c r="S210" s="4">
        <f ca="1">IFERROR(__xludf.DUMMYFUNCTION("""COMPUTED_VALUE"""),42430.6666666666)</f>
        <v>42430.666666666599</v>
      </c>
      <c r="T210" s="3">
        <f ca="1">IFERROR(__xludf.DUMMYFUNCTION("""COMPUTED_VALUE"""),56.98)</f>
        <v>56.98</v>
      </c>
      <c r="U210" s="3">
        <f ca="1">IFERROR(__xludf.DUMMYFUNCTION("""COMPUTED_VALUE"""),58.15)</f>
        <v>58.15</v>
      </c>
      <c r="V210" s="3">
        <f ca="1">IFERROR(__xludf.DUMMYFUNCTION("""COMPUTED_VALUE"""),56.4)</f>
        <v>56.4</v>
      </c>
      <c r="W210" s="3">
        <f ca="1">IFERROR(__xludf.DUMMYFUNCTION("""COMPUTED_VALUE"""),58.06)</f>
        <v>58.06</v>
      </c>
      <c r="X210" s="3">
        <f ca="1">IFERROR(__xludf.DUMMYFUNCTION("""COMPUTED_VALUE"""),23642993)</f>
        <v>23642993</v>
      </c>
      <c r="Y210" s="4">
        <f ca="1">IFERROR(__xludf.DUMMYFUNCTION("""COMPUTED_VALUE"""),42430.6666666666)</f>
        <v>42430.666666666599</v>
      </c>
      <c r="Z210" s="3">
        <f ca="1">IFERROR(__xludf.DUMMYFUNCTION("""COMPUTED_VALUE"""),17.25)</f>
        <v>17.25</v>
      </c>
      <c r="AA210" s="3">
        <f ca="1">IFERROR(__xludf.DUMMYFUNCTION("""COMPUTED_VALUE"""),17.74)</f>
        <v>17.739999999999998</v>
      </c>
      <c r="AB210" s="3">
        <f ca="1">IFERROR(__xludf.DUMMYFUNCTION("""COMPUTED_VALUE"""),17.25)</f>
        <v>17.25</v>
      </c>
      <c r="AC210" s="3">
        <f ca="1">IFERROR(__xludf.DUMMYFUNCTION("""COMPUTED_VALUE"""),17.7)</f>
        <v>17.7</v>
      </c>
      <c r="AD210" s="3">
        <f ca="1">IFERROR(__xludf.DUMMYFUNCTION("""COMPUTED_VALUE"""),81417470)</f>
        <v>81417470</v>
      </c>
      <c r="AE210" s="4">
        <f ca="1">IFERROR(__xludf.DUMMYFUNCTION("""COMPUTED_VALUE"""),42430.6666666666)</f>
        <v>42430.666666666599</v>
      </c>
      <c r="AF210" s="3">
        <f ca="1">IFERROR(__xludf.DUMMYFUNCTION("""COMPUTED_VALUE"""),66.6)</f>
        <v>66.599999999999994</v>
      </c>
      <c r="AG210" s="3">
        <f ca="1">IFERROR(__xludf.DUMMYFUNCTION("""COMPUTED_VALUE"""),67.67)</f>
        <v>67.67</v>
      </c>
      <c r="AH210" s="3">
        <f ca="1">IFERROR(__xludf.DUMMYFUNCTION("""COMPUTED_VALUE"""),66.16)</f>
        <v>66.16</v>
      </c>
      <c r="AI210" s="3">
        <f ca="1">IFERROR(__xludf.DUMMYFUNCTION("""COMPUTED_VALUE"""),67.65)</f>
        <v>67.650000000000006</v>
      </c>
      <c r="AJ210" s="3">
        <f ca="1">IFERROR(__xludf.DUMMYFUNCTION("""COMPUTED_VALUE"""),14549057)</f>
        <v>14549057</v>
      </c>
      <c r="AK210" s="4">
        <f ca="1">IFERROR(__xludf.DUMMYFUNCTION("""COMPUTED_VALUE"""),42430.6666666666)</f>
        <v>42430.666666666599</v>
      </c>
      <c r="AL210" s="3">
        <f ca="1">IFERROR(__xludf.DUMMYFUNCTION("""COMPUTED_VALUE"""),52.33)</f>
        <v>52.33</v>
      </c>
      <c r="AM210" s="3">
        <f ca="1">IFERROR(__xludf.DUMMYFUNCTION("""COMPUTED_VALUE"""),53.22)</f>
        <v>53.22</v>
      </c>
      <c r="AN210" s="3">
        <f ca="1">IFERROR(__xludf.DUMMYFUNCTION("""COMPUTED_VALUE"""),52.33)</f>
        <v>52.33</v>
      </c>
      <c r="AO210" s="3">
        <f ca="1">IFERROR(__xludf.DUMMYFUNCTION("""COMPUTED_VALUE"""),53.14)</f>
        <v>53.14</v>
      </c>
      <c r="AP210" s="3">
        <f ca="1">IFERROR(__xludf.DUMMYFUNCTION("""COMPUTED_VALUE"""),13424822)</f>
        <v>13424822</v>
      </c>
      <c r="AQ210" s="4">
        <f ca="1">IFERROR(__xludf.DUMMYFUNCTION("""COMPUTED_VALUE"""),42430.6666666666)</f>
        <v>42430.666666666599</v>
      </c>
      <c r="AR210" s="3">
        <f ca="1">IFERROR(__xludf.DUMMYFUNCTION("""COMPUTED_VALUE"""),42.3)</f>
        <v>42.3</v>
      </c>
      <c r="AS210" s="3">
        <f ca="1">IFERROR(__xludf.DUMMYFUNCTION("""COMPUTED_VALUE"""),42.98)</f>
        <v>42.98</v>
      </c>
      <c r="AT210" s="3">
        <f ca="1">IFERROR(__xludf.DUMMYFUNCTION("""COMPUTED_VALUE"""),42.03)</f>
        <v>42.03</v>
      </c>
      <c r="AU210" s="3">
        <f ca="1">IFERROR(__xludf.DUMMYFUNCTION("""COMPUTED_VALUE"""),42.87)</f>
        <v>42.87</v>
      </c>
      <c r="AV210" s="3">
        <f ca="1">IFERROR(__xludf.DUMMYFUNCTION("""COMPUTED_VALUE"""),12092542)</f>
        <v>12092542</v>
      </c>
      <c r="AW210" s="4">
        <f ca="1">IFERROR(__xludf.DUMMYFUNCTION("""COMPUTED_VALUE"""),42593.6666666666)</f>
        <v>42593.666666666599</v>
      </c>
      <c r="AX210" s="3">
        <f ca="1">IFERROR(__xludf.DUMMYFUNCTION("""COMPUTED_VALUE"""),34.22)</f>
        <v>34.22</v>
      </c>
      <c r="AY210" s="3">
        <f ca="1">IFERROR(__xludf.DUMMYFUNCTION("""COMPUTED_VALUE"""),34.22)</f>
        <v>34.22</v>
      </c>
      <c r="AZ210" s="3">
        <f ca="1">IFERROR(__xludf.DUMMYFUNCTION("""COMPUTED_VALUE"""),33.62)</f>
        <v>33.619999999999997</v>
      </c>
      <c r="BA210" s="3">
        <f ca="1">IFERROR(__xludf.DUMMYFUNCTION("""COMPUTED_VALUE"""),33.77)</f>
        <v>33.770000000000003</v>
      </c>
      <c r="BB210" s="3">
        <f ca="1">IFERROR(__xludf.DUMMYFUNCTION("""COMPUTED_VALUE"""),19380)</f>
        <v>19380</v>
      </c>
      <c r="BC210" s="4">
        <f ca="1">IFERROR(__xludf.DUMMYFUNCTION("""COMPUTED_VALUE"""),42430.6666666666)</f>
        <v>42430.666666666599</v>
      </c>
      <c r="BD210" s="3">
        <f ca="1">IFERROR(__xludf.DUMMYFUNCTION("""COMPUTED_VALUE"""),41.32)</f>
        <v>41.32</v>
      </c>
      <c r="BE210" s="3">
        <f ca="1">IFERROR(__xludf.DUMMYFUNCTION("""COMPUTED_VALUE"""),42.19)</f>
        <v>42.19</v>
      </c>
      <c r="BF210" s="3">
        <f ca="1">IFERROR(__xludf.DUMMYFUNCTION("""COMPUTED_VALUE"""),41.26)</f>
        <v>41.26</v>
      </c>
      <c r="BG210" s="3">
        <f ca="1">IFERROR(__xludf.DUMMYFUNCTION("""COMPUTED_VALUE"""),42.19)</f>
        <v>42.19</v>
      </c>
      <c r="BH210" s="3">
        <f ca="1">IFERROR(__xludf.DUMMYFUNCTION("""COMPUTED_VALUE"""),12304420)</f>
        <v>12304420</v>
      </c>
      <c r="BI210" s="4">
        <f ca="1">IFERROR(__xludf.DUMMYFUNCTION("""COMPUTED_VALUE"""),42430.6666666666)</f>
        <v>42430.666666666599</v>
      </c>
      <c r="BJ210" s="3">
        <f ca="1">IFERROR(__xludf.DUMMYFUNCTION("""COMPUTED_VALUE"""),46.54)</f>
        <v>46.54</v>
      </c>
      <c r="BK210" s="3">
        <f ca="1">IFERROR(__xludf.DUMMYFUNCTION("""COMPUTED_VALUE"""),46.65)</f>
        <v>46.65</v>
      </c>
      <c r="BL210" s="3">
        <f ca="1">IFERROR(__xludf.DUMMYFUNCTION("""COMPUTED_VALUE"""),45.78)</f>
        <v>45.78</v>
      </c>
      <c r="BM210" s="3">
        <f ca="1">IFERROR(__xludf.DUMMYFUNCTION("""COMPUTED_VALUE"""),46.07)</f>
        <v>46.07</v>
      </c>
      <c r="BN210" s="3">
        <f ca="1">IFERROR(__xludf.DUMMYFUNCTION("""COMPUTED_VALUE"""),23641743)</f>
        <v>23641743</v>
      </c>
    </row>
    <row r="211" spans="7:66" ht="13" x14ac:dyDescent="0.15">
      <c r="G211" s="4">
        <f ca="1">IFERROR(__xludf.DUMMYFUNCTION("""COMPUTED_VALUE"""),42431.6666666666)</f>
        <v>42431.666666666599</v>
      </c>
      <c r="H211" s="3">
        <f ca="1">IFERROR(__xludf.DUMMYFUNCTION("""COMPUTED_VALUE"""),76.28)</f>
        <v>76.28</v>
      </c>
      <c r="I211" s="3">
        <f ca="1">IFERROR(__xludf.DUMMYFUNCTION("""COMPUTED_VALUE"""),76.42)</f>
        <v>76.42</v>
      </c>
      <c r="J211" s="3">
        <f ca="1">IFERROR(__xludf.DUMMYFUNCTION("""COMPUTED_VALUE"""),75.8)</f>
        <v>75.8</v>
      </c>
      <c r="K211" s="3">
        <f ca="1">IFERROR(__xludf.DUMMYFUNCTION("""COMPUTED_VALUE"""),76.34)</f>
        <v>76.34</v>
      </c>
      <c r="L211" s="3">
        <f ca="1">IFERROR(__xludf.DUMMYFUNCTION("""COMPUTED_VALUE"""),7637770)</f>
        <v>7637770</v>
      </c>
      <c r="M211" s="4">
        <f ca="1">IFERROR(__xludf.DUMMYFUNCTION("""COMPUTED_VALUE"""),42431.6666666666)</f>
        <v>42431.666666666599</v>
      </c>
      <c r="N211" s="3">
        <f ca="1">IFERROR(__xludf.DUMMYFUNCTION("""COMPUTED_VALUE"""),51.47)</f>
        <v>51.47</v>
      </c>
      <c r="O211" s="3">
        <f ca="1">IFERROR(__xludf.DUMMYFUNCTION("""COMPUTED_VALUE"""),51.56)</f>
        <v>51.56</v>
      </c>
      <c r="P211" s="3">
        <f ca="1">IFERROR(__xludf.DUMMYFUNCTION("""COMPUTED_VALUE"""),51.15)</f>
        <v>51.15</v>
      </c>
      <c r="Q211" s="3">
        <f ca="1">IFERROR(__xludf.DUMMYFUNCTION("""COMPUTED_VALUE"""),51.56)</f>
        <v>51.56</v>
      </c>
      <c r="R211" s="3">
        <f ca="1">IFERROR(__xludf.DUMMYFUNCTION("""COMPUTED_VALUE"""),16157730)</f>
        <v>16157730</v>
      </c>
      <c r="S211" s="4">
        <f ca="1">IFERROR(__xludf.DUMMYFUNCTION("""COMPUTED_VALUE"""),42431.6666666666)</f>
        <v>42431.666666666599</v>
      </c>
      <c r="T211" s="3">
        <f ca="1">IFERROR(__xludf.DUMMYFUNCTION("""COMPUTED_VALUE"""),57.7)</f>
        <v>57.7</v>
      </c>
      <c r="U211" s="3">
        <f ca="1">IFERROR(__xludf.DUMMYFUNCTION("""COMPUTED_VALUE"""),59.52)</f>
        <v>59.52</v>
      </c>
      <c r="V211" s="3">
        <f ca="1">IFERROR(__xludf.DUMMYFUNCTION("""COMPUTED_VALUE"""),57.42)</f>
        <v>57.42</v>
      </c>
      <c r="W211" s="3">
        <f ca="1">IFERROR(__xludf.DUMMYFUNCTION("""COMPUTED_VALUE"""),59.48)</f>
        <v>59.48</v>
      </c>
      <c r="X211" s="3">
        <f ca="1">IFERROR(__xludf.DUMMYFUNCTION("""COMPUTED_VALUE"""),26794967)</f>
        <v>26794967</v>
      </c>
      <c r="Y211" s="4">
        <f ca="1">IFERROR(__xludf.DUMMYFUNCTION("""COMPUTED_VALUE"""),42431.6666666666)</f>
        <v>42431.666666666599</v>
      </c>
      <c r="Z211" s="3">
        <f ca="1">IFERROR(__xludf.DUMMYFUNCTION("""COMPUTED_VALUE"""),17.72)</f>
        <v>17.72</v>
      </c>
      <c r="AA211" s="3">
        <f ca="1">IFERROR(__xludf.DUMMYFUNCTION("""COMPUTED_VALUE"""),17.91)</f>
        <v>17.91</v>
      </c>
      <c r="AB211" s="3">
        <f ca="1">IFERROR(__xludf.DUMMYFUNCTION("""COMPUTED_VALUE"""),17.69)</f>
        <v>17.690000000000001</v>
      </c>
      <c r="AC211" s="3">
        <f ca="1">IFERROR(__xludf.DUMMYFUNCTION("""COMPUTED_VALUE"""),17.9)</f>
        <v>17.899999999999999</v>
      </c>
      <c r="AD211" s="3">
        <f ca="1">IFERROR(__xludf.DUMMYFUNCTION("""COMPUTED_VALUE"""),73000508)</f>
        <v>73000508</v>
      </c>
      <c r="AE211" s="4">
        <f ca="1">IFERROR(__xludf.DUMMYFUNCTION("""COMPUTED_VALUE"""),42431.6666666666)</f>
        <v>42431.666666666599</v>
      </c>
      <c r="AF211" s="3">
        <f ca="1">IFERROR(__xludf.DUMMYFUNCTION("""COMPUTED_VALUE"""),67.49)</f>
        <v>67.489999999999995</v>
      </c>
      <c r="AG211" s="3">
        <f ca="1">IFERROR(__xludf.DUMMYFUNCTION("""COMPUTED_VALUE"""),67.78)</f>
        <v>67.78</v>
      </c>
      <c r="AH211" s="3">
        <f ca="1">IFERROR(__xludf.DUMMYFUNCTION("""COMPUTED_VALUE"""),67.35)</f>
        <v>67.349999999999994</v>
      </c>
      <c r="AI211" s="3">
        <f ca="1">IFERROR(__xludf.DUMMYFUNCTION("""COMPUTED_VALUE"""),67.76)</f>
        <v>67.760000000000005</v>
      </c>
      <c r="AJ211" s="3">
        <f ca="1">IFERROR(__xludf.DUMMYFUNCTION("""COMPUTED_VALUE"""),10923739)</f>
        <v>10923739</v>
      </c>
      <c r="AK211" s="4">
        <f ca="1">IFERROR(__xludf.DUMMYFUNCTION("""COMPUTED_VALUE"""),42431.6666666666)</f>
        <v>42431.666666666599</v>
      </c>
      <c r="AL211" s="3">
        <f ca="1">IFERROR(__xludf.DUMMYFUNCTION("""COMPUTED_VALUE"""),53)</f>
        <v>53</v>
      </c>
      <c r="AM211" s="3">
        <f ca="1">IFERROR(__xludf.DUMMYFUNCTION("""COMPUTED_VALUE"""),53.24)</f>
        <v>53.24</v>
      </c>
      <c r="AN211" s="3">
        <f ca="1">IFERROR(__xludf.DUMMYFUNCTION("""COMPUTED_VALUE"""),52.91)</f>
        <v>52.91</v>
      </c>
      <c r="AO211" s="3">
        <f ca="1">IFERROR(__xludf.DUMMYFUNCTION("""COMPUTED_VALUE"""),53.18)</f>
        <v>53.18</v>
      </c>
      <c r="AP211" s="3">
        <f ca="1">IFERROR(__xludf.DUMMYFUNCTION("""COMPUTED_VALUE"""),8877784)</f>
        <v>8877784</v>
      </c>
      <c r="AQ211" s="4">
        <f ca="1">IFERROR(__xludf.DUMMYFUNCTION("""COMPUTED_VALUE"""),42431.6666666666)</f>
        <v>42431.666666666599</v>
      </c>
      <c r="AR211" s="3">
        <f ca="1">IFERROR(__xludf.DUMMYFUNCTION("""COMPUTED_VALUE"""),42.39)</f>
        <v>42.39</v>
      </c>
      <c r="AS211" s="3">
        <f ca="1">IFERROR(__xludf.DUMMYFUNCTION("""COMPUTED_VALUE"""),42.79)</f>
        <v>42.79</v>
      </c>
      <c r="AT211" s="3">
        <f ca="1">IFERROR(__xludf.DUMMYFUNCTION("""COMPUTED_VALUE"""),42.26)</f>
        <v>42.26</v>
      </c>
      <c r="AU211" s="3">
        <f ca="1">IFERROR(__xludf.DUMMYFUNCTION("""COMPUTED_VALUE"""),42.7)</f>
        <v>42.7</v>
      </c>
      <c r="AV211" s="3">
        <f ca="1">IFERROR(__xludf.DUMMYFUNCTION("""COMPUTED_VALUE"""),9864349)</f>
        <v>9864349</v>
      </c>
      <c r="AW211" s="4">
        <f ca="1">IFERROR(__xludf.DUMMYFUNCTION("""COMPUTED_VALUE"""),42594.6666666666)</f>
        <v>42594.666666666599</v>
      </c>
      <c r="AX211" s="3">
        <f ca="1">IFERROR(__xludf.DUMMYFUNCTION("""COMPUTED_VALUE"""),34.11)</f>
        <v>34.11</v>
      </c>
      <c r="AY211" s="3">
        <f ca="1">IFERROR(__xludf.DUMMYFUNCTION("""COMPUTED_VALUE"""),34.11)</f>
        <v>34.11</v>
      </c>
      <c r="AZ211" s="3">
        <f ca="1">IFERROR(__xludf.DUMMYFUNCTION("""COMPUTED_VALUE"""),33.79)</f>
        <v>33.79</v>
      </c>
      <c r="BA211" s="3">
        <f ca="1">IFERROR(__xludf.DUMMYFUNCTION("""COMPUTED_VALUE"""),33.88)</f>
        <v>33.880000000000003</v>
      </c>
      <c r="BB211" s="3">
        <f ca="1">IFERROR(__xludf.DUMMYFUNCTION("""COMPUTED_VALUE"""),11588)</f>
        <v>11588</v>
      </c>
      <c r="BC211" s="4">
        <f ca="1">IFERROR(__xludf.DUMMYFUNCTION("""COMPUTED_VALUE"""),42431.6666666666)</f>
        <v>42431.666666666599</v>
      </c>
      <c r="BD211" s="3">
        <f ca="1">IFERROR(__xludf.DUMMYFUNCTION("""COMPUTED_VALUE"""),42.04)</f>
        <v>42.04</v>
      </c>
      <c r="BE211" s="3">
        <f ca="1">IFERROR(__xludf.DUMMYFUNCTION("""COMPUTED_VALUE"""),42.31)</f>
        <v>42.31</v>
      </c>
      <c r="BF211" s="3">
        <f ca="1">IFERROR(__xludf.DUMMYFUNCTION("""COMPUTED_VALUE"""),41.97)</f>
        <v>41.97</v>
      </c>
      <c r="BG211" s="3">
        <f ca="1">IFERROR(__xludf.DUMMYFUNCTION("""COMPUTED_VALUE"""),42.31)</f>
        <v>42.31</v>
      </c>
      <c r="BH211" s="3">
        <f ca="1">IFERROR(__xludf.DUMMYFUNCTION("""COMPUTED_VALUE"""),8748244)</f>
        <v>8748244</v>
      </c>
      <c r="BI211" s="4">
        <f ca="1">IFERROR(__xludf.DUMMYFUNCTION("""COMPUTED_VALUE"""),42431.6666666666)</f>
        <v>42431.666666666599</v>
      </c>
      <c r="BJ211" s="3">
        <f ca="1">IFERROR(__xludf.DUMMYFUNCTION("""COMPUTED_VALUE"""),45.95)</f>
        <v>45.95</v>
      </c>
      <c r="BK211" s="3">
        <f ca="1">IFERROR(__xludf.DUMMYFUNCTION("""COMPUTED_VALUE"""),46.33)</f>
        <v>46.33</v>
      </c>
      <c r="BL211" s="3">
        <f ca="1">IFERROR(__xludf.DUMMYFUNCTION("""COMPUTED_VALUE"""),45.08)</f>
        <v>45.08</v>
      </c>
      <c r="BM211" s="3">
        <f ca="1">IFERROR(__xludf.DUMMYFUNCTION("""COMPUTED_VALUE"""),46.31)</f>
        <v>46.31</v>
      </c>
      <c r="BN211" s="3">
        <f ca="1">IFERROR(__xludf.DUMMYFUNCTION("""COMPUTED_VALUE"""),30224174)</f>
        <v>30224174</v>
      </c>
    </row>
    <row r="212" spans="7:66" ht="13" x14ac:dyDescent="0.15">
      <c r="G212" s="4">
        <f ca="1">IFERROR(__xludf.DUMMYFUNCTION("""COMPUTED_VALUE"""),42432.6666666666)</f>
        <v>42432.666666666599</v>
      </c>
      <c r="H212" s="3">
        <f ca="1">IFERROR(__xludf.DUMMYFUNCTION("""COMPUTED_VALUE"""),76.21)</f>
        <v>76.209999999999994</v>
      </c>
      <c r="I212" s="3">
        <f ca="1">IFERROR(__xludf.DUMMYFUNCTION("""COMPUTED_VALUE"""),76.8)</f>
        <v>76.8</v>
      </c>
      <c r="J212" s="3">
        <f ca="1">IFERROR(__xludf.DUMMYFUNCTION("""COMPUTED_VALUE"""),76.01)</f>
        <v>76.010000000000005</v>
      </c>
      <c r="K212" s="3">
        <f ca="1">IFERROR(__xludf.DUMMYFUNCTION("""COMPUTED_VALUE"""),76.79)</f>
        <v>76.790000000000006</v>
      </c>
      <c r="L212" s="3">
        <f ca="1">IFERROR(__xludf.DUMMYFUNCTION("""COMPUTED_VALUE"""),9519500)</f>
        <v>9519500</v>
      </c>
      <c r="M212" s="4">
        <f ca="1">IFERROR(__xludf.DUMMYFUNCTION("""COMPUTED_VALUE"""),42432.6666666666)</f>
        <v>42432.666666666599</v>
      </c>
      <c r="N212" s="3">
        <f ca="1">IFERROR(__xludf.DUMMYFUNCTION("""COMPUTED_VALUE"""),51.35)</f>
        <v>51.35</v>
      </c>
      <c r="O212" s="3">
        <f ca="1">IFERROR(__xludf.DUMMYFUNCTION("""COMPUTED_VALUE"""),51.82)</f>
        <v>51.82</v>
      </c>
      <c r="P212" s="3">
        <f ca="1">IFERROR(__xludf.DUMMYFUNCTION("""COMPUTED_VALUE"""),51.17)</f>
        <v>51.17</v>
      </c>
      <c r="Q212" s="3">
        <f ca="1">IFERROR(__xludf.DUMMYFUNCTION("""COMPUTED_VALUE"""),51.82)</f>
        <v>51.82</v>
      </c>
      <c r="R212" s="3">
        <f ca="1">IFERROR(__xludf.DUMMYFUNCTION("""COMPUTED_VALUE"""),10743936)</f>
        <v>10743936</v>
      </c>
      <c r="S212" s="4">
        <f ca="1">IFERROR(__xludf.DUMMYFUNCTION("""COMPUTED_VALUE"""),42432.6666666666)</f>
        <v>42432.666666666599</v>
      </c>
      <c r="T212" s="3">
        <f ca="1">IFERROR(__xludf.DUMMYFUNCTION("""COMPUTED_VALUE"""),59.24)</f>
        <v>59.24</v>
      </c>
      <c r="U212" s="3">
        <f ca="1">IFERROR(__xludf.DUMMYFUNCTION("""COMPUTED_VALUE"""),60.49)</f>
        <v>60.49</v>
      </c>
      <c r="V212" s="3">
        <f ca="1">IFERROR(__xludf.DUMMYFUNCTION("""COMPUTED_VALUE"""),59.21)</f>
        <v>59.21</v>
      </c>
      <c r="W212" s="3">
        <f ca="1">IFERROR(__xludf.DUMMYFUNCTION("""COMPUTED_VALUE"""),60.38)</f>
        <v>60.38</v>
      </c>
      <c r="X212" s="3">
        <f ca="1">IFERROR(__xludf.DUMMYFUNCTION("""COMPUTED_VALUE"""),24395607)</f>
        <v>24395607</v>
      </c>
      <c r="Y212" s="4">
        <f ca="1">IFERROR(__xludf.DUMMYFUNCTION("""COMPUTED_VALUE"""),42432.6666666666)</f>
        <v>42432.666666666599</v>
      </c>
      <c r="Z212" s="3">
        <f ca="1">IFERROR(__xludf.DUMMYFUNCTION("""COMPUTED_VALUE"""),17.88)</f>
        <v>17.88</v>
      </c>
      <c r="AA212" s="3">
        <f ca="1">IFERROR(__xludf.DUMMYFUNCTION("""COMPUTED_VALUE"""),18.03)</f>
        <v>18.03</v>
      </c>
      <c r="AB212" s="3">
        <f ca="1">IFERROR(__xludf.DUMMYFUNCTION("""COMPUTED_VALUE"""),17.8)</f>
        <v>17.8</v>
      </c>
      <c r="AC212" s="3">
        <f ca="1">IFERROR(__xludf.DUMMYFUNCTION("""COMPUTED_VALUE"""),18.02)</f>
        <v>18.02</v>
      </c>
      <c r="AD212" s="3">
        <f ca="1">IFERROR(__xludf.DUMMYFUNCTION("""COMPUTED_VALUE"""),62261334)</f>
        <v>62261334</v>
      </c>
      <c r="AE212" s="4">
        <f ca="1">IFERROR(__xludf.DUMMYFUNCTION("""COMPUTED_VALUE"""),42432.6666666666)</f>
        <v>42432.666666666599</v>
      </c>
      <c r="AF212" s="3">
        <f ca="1">IFERROR(__xludf.DUMMYFUNCTION("""COMPUTED_VALUE"""),67.59)</f>
        <v>67.59</v>
      </c>
      <c r="AG212" s="3">
        <f ca="1">IFERROR(__xludf.DUMMYFUNCTION("""COMPUTED_VALUE"""),67.65)</f>
        <v>67.650000000000006</v>
      </c>
      <c r="AH212" s="3">
        <f ca="1">IFERROR(__xludf.DUMMYFUNCTION("""COMPUTED_VALUE"""),66.95)</f>
        <v>66.95</v>
      </c>
      <c r="AI212" s="3">
        <f ca="1">IFERROR(__xludf.DUMMYFUNCTION("""COMPUTED_VALUE"""),67.57)</f>
        <v>67.569999999999993</v>
      </c>
      <c r="AJ212" s="3">
        <f ca="1">IFERROR(__xludf.DUMMYFUNCTION("""COMPUTED_VALUE"""),10815045)</f>
        <v>10815045</v>
      </c>
      <c r="AK212" s="4">
        <f ca="1">IFERROR(__xludf.DUMMYFUNCTION("""COMPUTED_VALUE"""),42432.6666666666)</f>
        <v>42432.666666666599</v>
      </c>
      <c r="AL212" s="3">
        <f ca="1">IFERROR(__xludf.DUMMYFUNCTION("""COMPUTED_VALUE"""),53.15)</f>
        <v>53.15</v>
      </c>
      <c r="AM212" s="3">
        <f ca="1">IFERROR(__xludf.DUMMYFUNCTION("""COMPUTED_VALUE"""),53.61)</f>
        <v>53.61</v>
      </c>
      <c r="AN212" s="3">
        <f ca="1">IFERROR(__xludf.DUMMYFUNCTION("""COMPUTED_VALUE"""),53.06)</f>
        <v>53.06</v>
      </c>
      <c r="AO212" s="3">
        <f ca="1">IFERROR(__xludf.DUMMYFUNCTION("""COMPUTED_VALUE"""),53.56)</f>
        <v>53.56</v>
      </c>
      <c r="AP212" s="3">
        <f ca="1">IFERROR(__xludf.DUMMYFUNCTION("""COMPUTED_VALUE"""),9808973)</f>
        <v>9808973</v>
      </c>
      <c r="AQ212" s="4">
        <f ca="1">IFERROR(__xludf.DUMMYFUNCTION("""COMPUTED_VALUE"""),42432.6666666666)</f>
        <v>42432.666666666599</v>
      </c>
      <c r="AR212" s="3">
        <f ca="1">IFERROR(__xludf.DUMMYFUNCTION("""COMPUTED_VALUE"""),42.61)</f>
        <v>42.61</v>
      </c>
      <c r="AS212" s="3">
        <f ca="1">IFERROR(__xludf.DUMMYFUNCTION("""COMPUTED_VALUE"""),43.07)</f>
        <v>43.07</v>
      </c>
      <c r="AT212" s="3">
        <f ca="1">IFERROR(__xludf.DUMMYFUNCTION("""COMPUTED_VALUE"""),42.53)</f>
        <v>42.53</v>
      </c>
      <c r="AU212" s="3">
        <f ca="1">IFERROR(__xludf.DUMMYFUNCTION("""COMPUTED_VALUE"""),42.96)</f>
        <v>42.96</v>
      </c>
      <c r="AV212" s="3">
        <f ca="1">IFERROR(__xludf.DUMMYFUNCTION("""COMPUTED_VALUE"""),8605688)</f>
        <v>8605688</v>
      </c>
      <c r="AW212" s="4">
        <f ca="1">IFERROR(__xludf.DUMMYFUNCTION("""COMPUTED_VALUE"""),42597.6666666666)</f>
        <v>42597.666666666599</v>
      </c>
      <c r="AX212" s="3">
        <f ca="1">IFERROR(__xludf.DUMMYFUNCTION("""COMPUTED_VALUE"""),34.09)</f>
        <v>34.090000000000003</v>
      </c>
      <c r="AY212" s="3">
        <f ca="1">IFERROR(__xludf.DUMMYFUNCTION("""COMPUTED_VALUE"""),34.09)</f>
        <v>34.090000000000003</v>
      </c>
      <c r="AZ212" s="3">
        <f ca="1">IFERROR(__xludf.DUMMYFUNCTION("""COMPUTED_VALUE"""),33.83)</f>
        <v>33.83</v>
      </c>
      <c r="BA212" s="3">
        <f ca="1">IFERROR(__xludf.DUMMYFUNCTION("""COMPUTED_VALUE"""),33.84)</f>
        <v>33.840000000000003</v>
      </c>
      <c r="BB212" s="3">
        <f ca="1">IFERROR(__xludf.DUMMYFUNCTION("""COMPUTED_VALUE"""),14936)</f>
        <v>14936</v>
      </c>
      <c r="BC212" s="4">
        <f ca="1">IFERROR(__xludf.DUMMYFUNCTION("""COMPUTED_VALUE"""),42432.6666666666)</f>
        <v>42432.666666666599</v>
      </c>
      <c r="BD212" s="3">
        <f ca="1">IFERROR(__xludf.DUMMYFUNCTION("""COMPUTED_VALUE"""),42.33)</f>
        <v>42.33</v>
      </c>
      <c r="BE212" s="3">
        <f ca="1">IFERROR(__xludf.DUMMYFUNCTION("""COMPUTED_VALUE"""),42.34)</f>
        <v>42.34</v>
      </c>
      <c r="BF212" s="3">
        <f ca="1">IFERROR(__xludf.DUMMYFUNCTION("""COMPUTED_VALUE"""),41.98)</f>
        <v>41.98</v>
      </c>
      <c r="BG212" s="3">
        <f ca="1">IFERROR(__xludf.DUMMYFUNCTION("""COMPUTED_VALUE"""),42.31)</f>
        <v>42.31</v>
      </c>
      <c r="BH212" s="3">
        <f ca="1">IFERROR(__xludf.DUMMYFUNCTION("""COMPUTED_VALUE"""),7883885)</f>
        <v>7883885</v>
      </c>
      <c r="BI212" s="4">
        <f ca="1">IFERROR(__xludf.DUMMYFUNCTION("""COMPUTED_VALUE"""),42432.6666666666)</f>
        <v>42432.666666666599</v>
      </c>
      <c r="BJ212" s="3">
        <f ca="1">IFERROR(__xludf.DUMMYFUNCTION("""COMPUTED_VALUE"""),46.38)</f>
        <v>46.38</v>
      </c>
      <c r="BK212" s="3">
        <f ca="1">IFERROR(__xludf.DUMMYFUNCTION("""COMPUTED_VALUE"""),46.59)</f>
        <v>46.59</v>
      </c>
      <c r="BL212" s="3">
        <f ca="1">IFERROR(__xludf.DUMMYFUNCTION("""COMPUTED_VALUE"""),45.76)</f>
        <v>45.76</v>
      </c>
      <c r="BM212" s="3">
        <f ca="1">IFERROR(__xludf.DUMMYFUNCTION("""COMPUTED_VALUE"""),46.59)</f>
        <v>46.59</v>
      </c>
      <c r="BN212" s="3">
        <f ca="1">IFERROR(__xludf.DUMMYFUNCTION("""COMPUTED_VALUE"""),21274288)</f>
        <v>21274288</v>
      </c>
    </row>
    <row r="213" spans="7:66" ht="13" x14ac:dyDescent="0.15">
      <c r="G213" s="4">
        <f ca="1">IFERROR(__xludf.DUMMYFUNCTION("""COMPUTED_VALUE"""),42433.6666666666)</f>
        <v>42433.666666666599</v>
      </c>
      <c r="H213" s="3">
        <f ca="1">IFERROR(__xludf.DUMMYFUNCTION("""COMPUTED_VALUE"""),76.83)</f>
        <v>76.83</v>
      </c>
      <c r="I213" s="3">
        <f ca="1">IFERROR(__xludf.DUMMYFUNCTION("""COMPUTED_VALUE"""),77.05)</f>
        <v>77.05</v>
      </c>
      <c r="J213" s="3">
        <f ca="1">IFERROR(__xludf.DUMMYFUNCTION("""COMPUTED_VALUE"""),76.38)</f>
        <v>76.38</v>
      </c>
      <c r="K213" s="3">
        <f ca="1">IFERROR(__xludf.DUMMYFUNCTION("""COMPUTED_VALUE"""),76.72)</f>
        <v>76.72</v>
      </c>
      <c r="L213" s="3">
        <f ca="1">IFERROR(__xludf.DUMMYFUNCTION("""COMPUTED_VALUE"""),7746724)</f>
        <v>7746724</v>
      </c>
      <c r="M213" s="4">
        <f ca="1">IFERROR(__xludf.DUMMYFUNCTION("""COMPUTED_VALUE"""),42433.6666666666)</f>
        <v>42433.666666666599</v>
      </c>
      <c r="N213" s="3">
        <f ca="1">IFERROR(__xludf.DUMMYFUNCTION("""COMPUTED_VALUE"""),51.8)</f>
        <v>51.8</v>
      </c>
      <c r="O213" s="3">
        <f ca="1">IFERROR(__xludf.DUMMYFUNCTION("""COMPUTED_VALUE"""),52.17)</f>
        <v>52.17</v>
      </c>
      <c r="P213" s="3">
        <f ca="1">IFERROR(__xludf.DUMMYFUNCTION("""COMPUTED_VALUE"""),51.6)</f>
        <v>51.6</v>
      </c>
      <c r="Q213" s="3">
        <f ca="1">IFERROR(__xludf.DUMMYFUNCTION("""COMPUTED_VALUE"""),52.04)</f>
        <v>52.04</v>
      </c>
      <c r="R213" s="3">
        <f ca="1">IFERROR(__xludf.DUMMYFUNCTION("""COMPUTED_VALUE"""),17384650)</f>
        <v>17384650</v>
      </c>
      <c r="S213" s="4">
        <f ca="1">IFERROR(__xludf.DUMMYFUNCTION("""COMPUTED_VALUE"""),42433.6666666666)</f>
        <v>42433.666666666599</v>
      </c>
      <c r="T213" s="3">
        <f ca="1">IFERROR(__xludf.DUMMYFUNCTION("""COMPUTED_VALUE"""),60.72)</f>
        <v>60.72</v>
      </c>
      <c r="U213" s="3">
        <f ca="1">IFERROR(__xludf.DUMMYFUNCTION("""COMPUTED_VALUE"""),61.83)</f>
        <v>61.83</v>
      </c>
      <c r="V213" s="3">
        <f ca="1">IFERROR(__xludf.DUMMYFUNCTION("""COMPUTED_VALUE"""),60.07)</f>
        <v>60.07</v>
      </c>
      <c r="W213" s="3">
        <f ca="1">IFERROR(__xludf.DUMMYFUNCTION("""COMPUTED_VALUE"""),60.96)</f>
        <v>60.96</v>
      </c>
      <c r="X213" s="3">
        <f ca="1">IFERROR(__xludf.DUMMYFUNCTION("""COMPUTED_VALUE"""),30551608)</f>
        <v>30551608</v>
      </c>
      <c r="Y213" s="4">
        <f ca="1">IFERROR(__xludf.DUMMYFUNCTION("""COMPUTED_VALUE"""),42433.6666666666)</f>
        <v>42433.666666666599</v>
      </c>
      <c r="Z213" s="3">
        <f ca="1">IFERROR(__xludf.DUMMYFUNCTION("""COMPUTED_VALUE"""),18.11)</f>
        <v>18.11</v>
      </c>
      <c r="AA213" s="3">
        <f ca="1">IFERROR(__xludf.DUMMYFUNCTION("""COMPUTED_VALUE"""),18.18)</f>
        <v>18.18</v>
      </c>
      <c r="AB213" s="3">
        <f ca="1">IFERROR(__xludf.DUMMYFUNCTION("""COMPUTED_VALUE"""),17.95)</f>
        <v>17.95</v>
      </c>
      <c r="AC213" s="3">
        <f ca="1">IFERROR(__xludf.DUMMYFUNCTION("""COMPUTED_VALUE"""),18.09)</f>
        <v>18.09</v>
      </c>
      <c r="AD213" s="3">
        <f ca="1">IFERROR(__xludf.DUMMYFUNCTION("""COMPUTED_VALUE"""),57438887)</f>
        <v>57438887</v>
      </c>
      <c r="AE213" s="4">
        <f ca="1">IFERROR(__xludf.DUMMYFUNCTION("""COMPUTED_VALUE"""),42433.6666666666)</f>
        <v>42433.666666666599</v>
      </c>
      <c r="AF213" s="3">
        <f ca="1">IFERROR(__xludf.DUMMYFUNCTION("""COMPUTED_VALUE"""),67.57)</f>
        <v>67.569999999999993</v>
      </c>
      <c r="AG213" s="3">
        <f ca="1">IFERROR(__xludf.DUMMYFUNCTION("""COMPUTED_VALUE"""),67.84)</f>
        <v>67.84</v>
      </c>
      <c r="AH213" s="3">
        <f ca="1">IFERROR(__xludf.DUMMYFUNCTION("""COMPUTED_VALUE"""),67.1)</f>
        <v>67.099999999999994</v>
      </c>
      <c r="AI213" s="3">
        <f ca="1">IFERROR(__xludf.DUMMYFUNCTION("""COMPUTED_VALUE"""),67.41)</f>
        <v>67.41</v>
      </c>
      <c r="AJ213" s="3">
        <f ca="1">IFERROR(__xludf.DUMMYFUNCTION("""COMPUTED_VALUE"""),9855654)</f>
        <v>9855654</v>
      </c>
      <c r="AK213" s="4">
        <f ca="1">IFERROR(__xludf.DUMMYFUNCTION("""COMPUTED_VALUE"""),42433.6666666666)</f>
        <v>42433.666666666599</v>
      </c>
      <c r="AL213" s="3">
        <f ca="1">IFERROR(__xludf.DUMMYFUNCTION("""COMPUTED_VALUE"""),53.53)</f>
        <v>53.53</v>
      </c>
      <c r="AM213" s="3">
        <f ca="1">IFERROR(__xludf.DUMMYFUNCTION("""COMPUTED_VALUE"""),54.1)</f>
        <v>54.1</v>
      </c>
      <c r="AN213" s="3">
        <f ca="1">IFERROR(__xludf.DUMMYFUNCTION("""COMPUTED_VALUE"""),53.41)</f>
        <v>53.41</v>
      </c>
      <c r="AO213" s="3">
        <f ca="1">IFERROR(__xludf.DUMMYFUNCTION("""COMPUTED_VALUE"""),53.78)</f>
        <v>53.78</v>
      </c>
      <c r="AP213" s="3">
        <f ca="1">IFERROR(__xludf.DUMMYFUNCTION("""COMPUTED_VALUE"""),10006912)</f>
        <v>10006912</v>
      </c>
      <c r="AQ213" s="4">
        <f ca="1">IFERROR(__xludf.DUMMYFUNCTION("""COMPUTED_VALUE"""),42433.6666666666)</f>
        <v>42433.666666666599</v>
      </c>
      <c r="AR213" s="3">
        <f ca="1">IFERROR(__xludf.DUMMYFUNCTION("""COMPUTED_VALUE"""),43.01)</f>
        <v>43.01</v>
      </c>
      <c r="AS213" s="3">
        <f ca="1">IFERROR(__xludf.DUMMYFUNCTION("""COMPUTED_VALUE"""),43.74)</f>
        <v>43.74</v>
      </c>
      <c r="AT213" s="3">
        <f ca="1">IFERROR(__xludf.DUMMYFUNCTION("""COMPUTED_VALUE"""),42.87)</f>
        <v>42.87</v>
      </c>
      <c r="AU213" s="3">
        <f ca="1">IFERROR(__xludf.DUMMYFUNCTION("""COMPUTED_VALUE"""),43.46)</f>
        <v>43.46</v>
      </c>
      <c r="AV213" s="3">
        <f ca="1">IFERROR(__xludf.DUMMYFUNCTION("""COMPUTED_VALUE"""),9907754)</f>
        <v>9907754</v>
      </c>
      <c r="AW213" s="4">
        <f ca="1">IFERROR(__xludf.DUMMYFUNCTION("""COMPUTED_VALUE"""),42598.6666666666)</f>
        <v>42598.666666666599</v>
      </c>
      <c r="AX213" s="3">
        <f ca="1">IFERROR(__xludf.DUMMYFUNCTION("""COMPUTED_VALUE"""),33.63)</f>
        <v>33.630000000000003</v>
      </c>
      <c r="AY213" s="3">
        <f ca="1">IFERROR(__xludf.DUMMYFUNCTION("""COMPUTED_VALUE"""),33.63)</f>
        <v>33.630000000000003</v>
      </c>
      <c r="AZ213" s="3">
        <f ca="1">IFERROR(__xludf.DUMMYFUNCTION("""COMPUTED_VALUE"""),33.43)</f>
        <v>33.43</v>
      </c>
      <c r="BA213" s="3">
        <f ca="1">IFERROR(__xludf.DUMMYFUNCTION("""COMPUTED_VALUE"""),33.43)</f>
        <v>33.43</v>
      </c>
      <c r="BB213" s="3">
        <f ca="1">IFERROR(__xludf.DUMMYFUNCTION("""COMPUTED_VALUE"""),18638)</f>
        <v>18638</v>
      </c>
      <c r="BC213" s="4">
        <f ca="1">IFERROR(__xludf.DUMMYFUNCTION("""COMPUTED_VALUE"""),42433.6666666666)</f>
        <v>42433.666666666599</v>
      </c>
      <c r="BD213" s="3">
        <f ca="1">IFERROR(__xludf.DUMMYFUNCTION("""COMPUTED_VALUE"""),42.32)</f>
        <v>42.32</v>
      </c>
      <c r="BE213" s="3">
        <f ca="1">IFERROR(__xludf.DUMMYFUNCTION("""COMPUTED_VALUE"""),42.63)</f>
        <v>42.63</v>
      </c>
      <c r="BF213" s="3">
        <f ca="1">IFERROR(__xludf.DUMMYFUNCTION("""COMPUTED_VALUE"""),42.15)</f>
        <v>42.15</v>
      </c>
      <c r="BG213" s="3">
        <f ca="1">IFERROR(__xludf.DUMMYFUNCTION("""COMPUTED_VALUE"""),42.42)</f>
        <v>42.42</v>
      </c>
      <c r="BH213" s="3">
        <f ca="1">IFERROR(__xludf.DUMMYFUNCTION("""COMPUTED_VALUE"""),7885913)</f>
        <v>7885913</v>
      </c>
      <c r="BI213" s="4">
        <f ca="1">IFERROR(__xludf.DUMMYFUNCTION("""COMPUTED_VALUE"""),42433.6666666666)</f>
        <v>42433.666666666599</v>
      </c>
      <c r="BJ213" s="3">
        <f ca="1">IFERROR(__xludf.DUMMYFUNCTION("""COMPUTED_VALUE"""),46.29)</f>
        <v>46.29</v>
      </c>
      <c r="BK213" s="3">
        <f ca="1">IFERROR(__xludf.DUMMYFUNCTION("""COMPUTED_VALUE"""),47.26)</f>
        <v>47.26</v>
      </c>
      <c r="BL213" s="3">
        <f ca="1">IFERROR(__xludf.DUMMYFUNCTION("""COMPUTED_VALUE"""),46.18)</f>
        <v>46.18</v>
      </c>
      <c r="BM213" s="3">
        <f ca="1">IFERROR(__xludf.DUMMYFUNCTION("""COMPUTED_VALUE"""),47.11)</f>
        <v>47.11</v>
      </c>
      <c r="BN213" s="3">
        <f ca="1">IFERROR(__xludf.DUMMYFUNCTION("""COMPUTED_VALUE"""),22128436)</f>
        <v>22128436</v>
      </c>
    </row>
    <row r="214" spans="7:66" ht="13" x14ac:dyDescent="0.15">
      <c r="G214" s="4">
        <f ca="1">IFERROR(__xludf.DUMMYFUNCTION("""COMPUTED_VALUE"""),42436.6666666666)</f>
        <v>42436.666666666599</v>
      </c>
      <c r="H214" s="3">
        <f ca="1">IFERROR(__xludf.DUMMYFUNCTION("""COMPUTED_VALUE"""),76.32)</f>
        <v>76.319999999999993</v>
      </c>
      <c r="I214" s="3">
        <f ca="1">IFERROR(__xludf.DUMMYFUNCTION("""COMPUTED_VALUE"""),76.78)</f>
        <v>76.78</v>
      </c>
      <c r="J214" s="3">
        <f ca="1">IFERROR(__xludf.DUMMYFUNCTION("""COMPUTED_VALUE"""),75.94)</f>
        <v>75.94</v>
      </c>
      <c r="K214" s="3">
        <f ca="1">IFERROR(__xludf.DUMMYFUNCTION("""COMPUTED_VALUE"""),76.39)</f>
        <v>76.39</v>
      </c>
      <c r="L214" s="3">
        <f ca="1">IFERROR(__xludf.DUMMYFUNCTION("""COMPUTED_VALUE"""),7435489)</f>
        <v>7435489</v>
      </c>
      <c r="M214" s="4">
        <f ca="1">IFERROR(__xludf.DUMMYFUNCTION("""COMPUTED_VALUE"""),42436.6666666666)</f>
        <v>42436.666666666599</v>
      </c>
      <c r="N214" s="3">
        <f ca="1">IFERROR(__xludf.DUMMYFUNCTION("""COMPUTED_VALUE"""),51.82)</f>
        <v>51.82</v>
      </c>
      <c r="O214" s="3">
        <f ca="1">IFERROR(__xludf.DUMMYFUNCTION("""COMPUTED_VALUE"""),52)</f>
        <v>52</v>
      </c>
      <c r="P214" s="3">
        <f ca="1">IFERROR(__xludf.DUMMYFUNCTION("""COMPUTED_VALUE"""),51.63)</f>
        <v>51.63</v>
      </c>
      <c r="Q214" s="3">
        <f ca="1">IFERROR(__xludf.DUMMYFUNCTION("""COMPUTED_VALUE"""),51.72)</f>
        <v>51.72</v>
      </c>
      <c r="R214" s="3">
        <f ca="1">IFERROR(__xludf.DUMMYFUNCTION("""COMPUTED_VALUE"""),14095858)</f>
        <v>14095858</v>
      </c>
      <c r="S214" s="4">
        <f ca="1">IFERROR(__xludf.DUMMYFUNCTION("""COMPUTED_VALUE"""),42436.6666666666)</f>
        <v>42436.666666666599</v>
      </c>
      <c r="T214" s="3">
        <f ca="1">IFERROR(__xludf.DUMMYFUNCTION("""COMPUTED_VALUE"""),60.93)</f>
        <v>60.93</v>
      </c>
      <c r="U214" s="3">
        <f ca="1">IFERROR(__xludf.DUMMYFUNCTION("""COMPUTED_VALUE"""),62.46)</f>
        <v>62.46</v>
      </c>
      <c r="V214" s="3">
        <f ca="1">IFERROR(__xludf.DUMMYFUNCTION("""COMPUTED_VALUE"""),60.64)</f>
        <v>60.64</v>
      </c>
      <c r="W214" s="3">
        <f ca="1">IFERROR(__xludf.DUMMYFUNCTION("""COMPUTED_VALUE"""),62.39)</f>
        <v>62.39</v>
      </c>
      <c r="X214" s="3">
        <f ca="1">IFERROR(__xludf.DUMMYFUNCTION("""COMPUTED_VALUE"""),33360502)</f>
        <v>33360502</v>
      </c>
      <c r="Y214" s="4">
        <f ca="1">IFERROR(__xludf.DUMMYFUNCTION("""COMPUTED_VALUE"""),42436.6666666666)</f>
        <v>42436.666666666599</v>
      </c>
      <c r="Z214" s="3">
        <f ca="1">IFERROR(__xludf.DUMMYFUNCTION("""COMPUTED_VALUE"""),17.97)</f>
        <v>17.97</v>
      </c>
      <c r="AA214" s="3">
        <f ca="1">IFERROR(__xludf.DUMMYFUNCTION("""COMPUTED_VALUE"""),18.1)</f>
        <v>18.100000000000001</v>
      </c>
      <c r="AB214" s="3">
        <f ca="1">IFERROR(__xludf.DUMMYFUNCTION("""COMPUTED_VALUE"""),17.91)</f>
        <v>17.91</v>
      </c>
      <c r="AC214" s="3">
        <f ca="1">IFERROR(__xludf.DUMMYFUNCTION("""COMPUTED_VALUE"""),18.08)</f>
        <v>18.079999999999998</v>
      </c>
      <c r="AD214" s="3">
        <f ca="1">IFERROR(__xludf.DUMMYFUNCTION("""COMPUTED_VALUE"""),39196822)</f>
        <v>39196822</v>
      </c>
      <c r="AE214" s="4">
        <f ca="1">IFERROR(__xludf.DUMMYFUNCTION("""COMPUTED_VALUE"""),42436.6666666666)</f>
        <v>42436.666666666599</v>
      </c>
      <c r="AF214" s="3">
        <f ca="1">IFERROR(__xludf.DUMMYFUNCTION("""COMPUTED_VALUE"""),66.97)</f>
        <v>66.97</v>
      </c>
      <c r="AG214" s="3">
        <f ca="1">IFERROR(__xludf.DUMMYFUNCTION("""COMPUTED_VALUE"""),68.18)</f>
        <v>68.180000000000007</v>
      </c>
      <c r="AH214" s="3">
        <f ca="1">IFERROR(__xludf.DUMMYFUNCTION("""COMPUTED_VALUE"""),66.96)</f>
        <v>66.959999999999994</v>
      </c>
      <c r="AI214" s="3">
        <f ca="1">IFERROR(__xludf.DUMMYFUNCTION("""COMPUTED_VALUE"""),67.95)</f>
        <v>67.95</v>
      </c>
      <c r="AJ214" s="3">
        <f ca="1">IFERROR(__xludf.DUMMYFUNCTION("""COMPUTED_VALUE"""),11082434)</f>
        <v>11082434</v>
      </c>
      <c r="AK214" s="4">
        <f ca="1">IFERROR(__xludf.DUMMYFUNCTION("""COMPUTED_VALUE"""),42436.6666666666)</f>
        <v>42436.666666666599</v>
      </c>
      <c r="AL214" s="3">
        <f ca="1">IFERROR(__xludf.DUMMYFUNCTION("""COMPUTED_VALUE"""),53.5)</f>
        <v>53.5</v>
      </c>
      <c r="AM214" s="3">
        <f ca="1">IFERROR(__xludf.DUMMYFUNCTION("""COMPUTED_VALUE"""),53.96)</f>
        <v>53.96</v>
      </c>
      <c r="AN214" s="3">
        <f ca="1">IFERROR(__xludf.DUMMYFUNCTION("""COMPUTED_VALUE"""),53.42)</f>
        <v>53.42</v>
      </c>
      <c r="AO214" s="3">
        <f ca="1">IFERROR(__xludf.DUMMYFUNCTION("""COMPUTED_VALUE"""),53.94)</f>
        <v>53.94</v>
      </c>
      <c r="AP214" s="3">
        <f ca="1">IFERROR(__xludf.DUMMYFUNCTION("""COMPUTED_VALUE"""),11753981)</f>
        <v>11753981</v>
      </c>
      <c r="AQ214" s="4">
        <f ca="1">IFERROR(__xludf.DUMMYFUNCTION("""COMPUTED_VALUE"""),42436.6666666666)</f>
        <v>42436.666666666599</v>
      </c>
      <c r="AR214" s="3">
        <f ca="1">IFERROR(__xludf.DUMMYFUNCTION("""COMPUTED_VALUE"""),43.48)</f>
        <v>43.48</v>
      </c>
      <c r="AS214" s="3">
        <f ca="1">IFERROR(__xludf.DUMMYFUNCTION("""COMPUTED_VALUE"""),44.06)</f>
        <v>44.06</v>
      </c>
      <c r="AT214" s="3">
        <f ca="1">IFERROR(__xludf.DUMMYFUNCTION("""COMPUTED_VALUE"""),43.47)</f>
        <v>43.47</v>
      </c>
      <c r="AU214" s="3">
        <f ca="1">IFERROR(__xludf.DUMMYFUNCTION("""COMPUTED_VALUE"""),43.96)</f>
        <v>43.96</v>
      </c>
      <c r="AV214" s="3">
        <f ca="1">IFERROR(__xludf.DUMMYFUNCTION("""COMPUTED_VALUE"""),7884393)</f>
        <v>7884393</v>
      </c>
      <c r="AW214" s="4">
        <f ca="1">IFERROR(__xludf.DUMMYFUNCTION("""COMPUTED_VALUE"""),42599.6666666666)</f>
        <v>42599.666666666599</v>
      </c>
      <c r="AX214" s="3">
        <f ca="1">IFERROR(__xludf.DUMMYFUNCTION("""COMPUTED_VALUE"""),33.6)</f>
        <v>33.6</v>
      </c>
      <c r="AY214" s="3">
        <f ca="1">IFERROR(__xludf.DUMMYFUNCTION("""COMPUTED_VALUE"""),33.6)</f>
        <v>33.6</v>
      </c>
      <c r="AZ214" s="3">
        <f ca="1">IFERROR(__xludf.DUMMYFUNCTION("""COMPUTED_VALUE"""),33.26)</f>
        <v>33.26</v>
      </c>
      <c r="BA214" s="3">
        <f ca="1">IFERROR(__xludf.DUMMYFUNCTION("""COMPUTED_VALUE"""),33.57)</f>
        <v>33.57</v>
      </c>
      <c r="BB214" s="3">
        <f ca="1">IFERROR(__xludf.DUMMYFUNCTION("""COMPUTED_VALUE"""),18267)</f>
        <v>18267</v>
      </c>
      <c r="BC214" s="4">
        <f ca="1">IFERROR(__xludf.DUMMYFUNCTION("""COMPUTED_VALUE"""),42436.6666666666)</f>
        <v>42436.666666666599</v>
      </c>
      <c r="BD214" s="3">
        <f ca="1">IFERROR(__xludf.DUMMYFUNCTION("""COMPUTED_VALUE"""),42.18)</f>
        <v>42.18</v>
      </c>
      <c r="BE214" s="3">
        <f ca="1">IFERROR(__xludf.DUMMYFUNCTION("""COMPUTED_VALUE"""),42.35)</f>
        <v>42.35</v>
      </c>
      <c r="BF214" s="3">
        <f ca="1">IFERROR(__xludf.DUMMYFUNCTION("""COMPUTED_VALUE"""),41.85)</f>
        <v>41.85</v>
      </c>
      <c r="BG214" s="3">
        <f ca="1">IFERROR(__xludf.DUMMYFUNCTION("""COMPUTED_VALUE"""),42.16)</f>
        <v>42.16</v>
      </c>
      <c r="BH214" s="3">
        <f ca="1">IFERROR(__xludf.DUMMYFUNCTION("""COMPUTED_VALUE"""),15813499)</f>
        <v>15813499</v>
      </c>
      <c r="BI214" s="4">
        <f ca="1">IFERROR(__xludf.DUMMYFUNCTION("""COMPUTED_VALUE"""),42436.6666666666)</f>
        <v>42436.666666666599</v>
      </c>
      <c r="BJ214" s="3">
        <f ca="1">IFERROR(__xludf.DUMMYFUNCTION("""COMPUTED_VALUE"""),47.03)</f>
        <v>47.03</v>
      </c>
      <c r="BK214" s="3">
        <f ca="1">IFERROR(__xludf.DUMMYFUNCTION("""COMPUTED_VALUE"""),47.47)</f>
        <v>47.47</v>
      </c>
      <c r="BL214" s="3">
        <f ca="1">IFERROR(__xludf.DUMMYFUNCTION("""COMPUTED_VALUE"""),46.88)</f>
        <v>46.88</v>
      </c>
      <c r="BM214" s="3">
        <f ca="1">IFERROR(__xludf.DUMMYFUNCTION("""COMPUTED_VALUE"""),47.37)</f>
        <v>47.37</v>
      </c>
      <c r="BN214" s="3">
        <f ca="1">IFERROR(__xludf.DUMMYFUNCTION("""COMPUTED_VALUE"""),18492787)</f>
        <v>18492787</v>
      </c>
    </row>
    <row r="215" spans="7:66" ht="13" x14ac:dyDescent="0.15">
      <c r="G215" s="4">
        <f ca="1">IFERROR(__xludf.DUMMYFUNCTION("""COMPUTED_VALUE"""),42437.6666666666)</f>
        <v>42437.666666666599</v>
      </c>
      <c r="H215" s="3">
        <f ca="1">IFERROR(__xludf.DUMMYFUNCTION("""COMPUTED_VALUE"""),75.94)</f>
        <v>75.94</v>
      </c>
      <c r="I215" s="3">
        <f ca="1">IFERROR(__xludf.DUMMYFUNCTION("""COMPUTED_VALUE"""),76.5)</f>
        <v>76.5</v>
      </c>
      <c r="J215" s="3">
        <f ca="1">IFERROR(__xludf.DUMMYFUNCTION("""COMPUTED_VALUE"""),75.72)</f>
        <v>75.72</v>
      </c>
      <c r="K215" s="3">
        <f ca="1">IFERROR(__xludf.DUMMYFUNCTION("""COMPUTED_VALUE"""),75.79)</f>
        <v>75.790000000000006</v>
      </c>
      <c r="L215" s="3">
        <f ca="1">IFERROR(__xludf.DUMMYFUNCTION("""COMPUTED_VALUE"""),6340033)</f>
        <v>6340033</v>
      </c>
      <c r="M215" s="4">
        <f ca="1">IFERROR(__xludf.DUMMYFUNCTION("""COMPUTED_VALUE"""),42437.6666666666)</f>
        <v>42437.666666666599</v>
      </c>
      <c r="N215" s="3">
        <f ca="1">IFERROR(__xludf.DUMMYFUNCTION("""COMPUTED_VALUE"""),51.58)</f>
        <v>51.58</v>
      </c>
      <c r="O215" s="3">
        <f ca="1">IFERROR(__xludf.DUMMYFUNCTION("""COMPUTED_VALUE"""),52.15)</f>
        <v>52.15</v>
      </c>
      <c r="P215" s="3">
        <f ca="1">IFERROR(__xludf.DUMMYFUNCTION("""COMPUTED_VALUE"""),51.49)</f>
        <v>51.49</v>
      </c>
      <c r="Q215" s="3">
        <f ca="1">IFERROR(__xludf.DUMMYFUNCTION("""COMPUTED_VALUE"""),51.87)</f>
        <v>51.87</v>
      </c>
      <c r="R215" s="3">
        <f ca="1">IFERROR(__xludf.DUMMYFUNCTION("""COMPUTED_VALUE"""),11554949)</f>
        <v>11554949</v>
      </c>
      <c r="S215" s="4">
        <f ca="1">IFERROR(__xludf.DUMMYFUNCTION("""COMPUTED_VALUE"""),42437.6666666666)</f>
        <v>42437.666666666599</v>
      </c>
      <c r="T215" s="3">
        <f ca="1">IFERROR(__xludf.DUMMYFUNCTION("""COMPUTED_VALUE"""),61.88)</f>
        <v>61.88</v>
      </c>
      <c r="U215" s="3">
        <f ca="1">IFERROR(__xludf.DUMMYFUNCTION("""COMPUTED_VALUE"""),61.92)</f>
        <v>61.92</v>
      </c>
      <c r="V215" s="3">
        <f ca="1">IFERROR(__xludf.DUMMYFUNCTION("""COMPUTED_VALUE"""),59.67)</f>
        <v>59.67</v>
      </c>
      <c r="W215" s="3">
        <f ca="1">IFERROR(__xludf.DUMMYFUNCTION("""COMPUTED_VALUE"""),59.77)</f>
        <v>59.77</v>
      </c>
      <c r="X215" s="3">
        <f ca="1">IFERROR(__xludf.DUMMYFUNCTION("""COMPUTED_VALUE"""),29817592)</f>
        <v>29817592</v>
      </c>
      <c r="Y215" s="4">
        <f ca="1">IFERROR(__xludf.DUMMYFUNCTION("""COMPUTED_VALUE"""),42437.6666666666)</f>
        <v>42437.666666666599</v>
      </c>
      <c r="Z215" s="3">
        <f ca="1">IFERROR(__xludf.DUMMYFUNCTION("""COMPUTED_VALUE"""),17.92)</f>
        <v>17.920000000000002</v>
      </c>
      <c r="AA215" s="3">
        <f ca="1">IFERROR(__xludf.DUMMYFUNCTION("""COMPUTED_VALUE"""),18)</f>
        <v>18</v>
      </c>
      <c r="AB215" s="3">
        <f ca="1">IFERROR(__xludf.DUMMYFUNCTION("""COMPUTED_VALUE"""),17.77)</f>
        <v>17.77</v>
      </c>
      <c r="AC215" s="3">
        <f ca="1">IFERROR(__xludf.DUMMYFUNCTION("""COMPUTED_VALUE"""),17.79)</f>
        <v>17.79</v>
      </c>
      <c r="AD215" s="3">
        <f ca="1">IFERROR(__xludf.DUMMYFUNCTION("""COMPUTED_VALUE"""),76916759)</f>
        <v>76916759</v>
      </c>
      <c r="AE215" s="4">
        <f ca="1">IFERROR(__xludf.DUMMYFUNCTION("""COMPUTED_VALUE"""),42437.6666666666)</f>
        <v>42437.666666666599</v>
      </c>
      <c r="AF215" s="3">
        <f ca="1">IFERROR(__xludf.DUMMYFUNCTION("""COMPUTED_VALUE"""),67.55)</f>
        <v>67.55</v>
      </c>
      <c r="AG215" s="3">
        <f ca="1">IFERROR(__xludf.DUMMYFUNCTION("""COMPUTED_VALUE"""),67.77)</f>
        <v>67.77</v>
      </c>
      <c r="AH215" s="3">
        <f ca="1">IFERROR(__xludf.DUMMYFUNCTION("""COMPUTED_VALUE"""),67.03)</f>
        <v>67.03</v>
      </c>
      <c r="AI215" s="3">
        <f ca="1">IFERROR(__xludf.DUMMYFUNCTION("""COMPUTED_VALUE"""),67.12)</f>
        <v>67.12</v>
      </c>
      <c r="AJ215" s="3">
        <f ca="1">IFERROR(__xludf.DUMMYFUNCTION("""COMPUTED_VALUE"""),8204189)</f>
        <v>8204189</v>
      </c>
      <c r="AK215" s="4">
        <f ca="1">IFERROR(__xludf.DUMMYFUNCTION("""COMPUTED_VALUE"""),42437.6666666666)</f>
        <v>42437.666666666599</v>
      </c>
      <c r="AL215" s="3">
        <f ca="1">IFERROR(__xludf.DUMMYFUNCTION("""COMPUTED_VALUE"""),53.5)</f>
        <v>53.5</v>
      </c>
      <c r="AM215" s="3">
        <f ca="1">IFERROR(__xludf.DUMMYFUNCTION("""COMPUTED_VALUE"""),53.54)</f>
        <v>53.54</v>
      </c>
      <c r="AN215" s="3">
        <f ca="1">IFERROR(__xludf.DUMMYFUNCTION("""COMPUTED_VALUE"""),53.1)</f>
        <v>53.1</v>
      </c>
      <c r="AO215" s="3">
        <f ca="1">IFERROR(__xludf.DUMMYFUNCTION("""COMPUTED_VALUE"""),53.18)</f>
        <v>53.18</v>
      </c>
      <c r="AP215" s="3">
        <f ca="1">IFERROR(__xludf.DUMMYFUNCTION("""COMPUTED_VALUE"""),12241121)</f>
        <v>12241121</v>
      </c>
      <c r="AQ215" s="4">
        <f ca="1">IFERROR(__xludf.DUMMYFUNCTION("""COMPUTED_VALUE"""),42437.6666666666)</f>
        <v>42437.666666666599</v>
      </c>
      <c r="AR215" s="3">
        <f ca="1">IFERROR(__xludf.DUMMYFUNCTION("""COMPUTED_VALUE"""),43.6)</f>
        <v>43.6</v>
      </c>
      <c r="AS215" s="3">
        <f ca="1">IFERROR(__xludf.DUMMYFUNCTION("""COMPUTED_VALUE"""),43.61)</f>
        <v>43.61</v>
      </c>
      <c r="AT215" s="3">
        <f ca="1">IFERROR(__xludf.DUMMYFUNCTION("""COMPUTED_VALUE"""),42.85)</f>
        <v>42.85</v>
      </c>
      <c r="AU215" s="3">
        <f ca="1">IFERROR(__xludf.DUMMYFUNCTION("""COMPUTED_VALUE"""),43.1)</f>
        <v>43.1</v>
      </c>
      <c r="AV215" s="3">
        <f ca="1">IFERROR(__xludf.DUMMYFUNCTION("""COMPUTED_VALUE"""),6288850)</f>
        <v>6288850</v>
      </c>
      <c r="AW215" s="4">
        <f ca="1">IFERROR(__xludf.DUMMYFUNCTION("""COMPUTED_VALUE"""),42600.6666666666)</f>
        <v>42600.666666666599</v>
      </c>
      <c r="AX215" s="3">
        <f ca="1">IFERROR(__xludf.DUMMYFUNCTION("""COMPUTED_VALUE"""),33.59)</f>
        <v>33.590000000000003</v>
      </c>
      <c r="AY215" s="3">
        <f ca="1">IFERROR(__xludf.DUMMYFUNCTION("""COMPUTED_VALUE"""),33.59)</f>
        <v>33.590000000000003</v>
      </c>
      <c r="AZ215" s="3">
        <f ca="1">IFERROR(__xludf.DUMMYFUNCTION("""COMPUTED_VALUE"""),33.4)</f>
        <v>33.4</v>
      </c>
      <c r="BA215" s="3">
        <f ca="1">IFERROR(__xludf.DUMMYFUNCTION("""COMPUTED_VALUE"""),33.5)</f>
        <v>33.5</v>
      </c>
      <c r="BB215" s="3">
        <f ca="1">IFERROR(__xludf.DUMMYFUNCTION("""COMPUTED_VALUE"""),11678)</f>
        <v>11678</v>
      </c>
      <c r="BC215" s="4">
        <f ca="1">IFERROR(__xludf.DUMMYFUNCTION("""COMPUTED_VALUE"""),42437.6666666666)</f>
        <v>42437.666666666599</v>
      </c>
      <c r="BD215" s="3">
        <f ca="1">IFERROR(__xludf.DUMMYFUNCTION("""COMPUTED_VALUE"""),41.91)</f>
        <v>41.91</v>
      </c>
      <c r="BE215" s="3">
        <f ca="1">IFERROR(__xludf.DUMMYFUNCTION("""COMPUTED_VALUE"""),42.25)</f>
        <v>42.25</v>
      </c>
      <c r="BF215" s="3">
        <f ca="1">IFERROR(__xludf.DUMMYFUNCTION("""COMPUTED_VALUE"""),41.75)</f>
        <v>41.75</v>
      </c>
      <c r="BG215" s="3">
        <f ca="1">IFERROR(__xludf.DUMMYFUNCTION("""COMPUTED_VALUE"""),41.9)</f>
        <v>41.9</v>
      </c>
      <c r="BH215" s="3">
        <f ca="1">IFERROR(__xludf.DUMMYFUNCTION("""COMPUTED_VALUE"""),11700533)</f>
        <v>11700533</v>
      </c>
      <c r="BI215" s="4">
        <f ca="1">IFERROR(__xludf.DUMMYFUNCTION("""COMPUTED_VALUE"""),42437.6666666666)</f>
        <v>42437.666666666599</v>
      </c>
      <c r="BJ215" s="3">
        <f ca="1">IFERROR(__xludf.DUMMYFUNCTION("""COMPUTED_VALUE"""),47.46)</f>
        <v>47.46</v>
      </c>
      <c r="BK215" s="3">
        <f ca="1">IFERROR(__xludf.DUMMYFUNCTION("""COMPUTED_VALUE"""),47.88)</f>
        <v>47.88</v>
      </c>
      <c r="BL215" s="3">
        <f ca="1">IFERROR(__xludf.DUMMYFUNCTION("""COMPUTED_VALUE"""),47.21)</f>
        <v>47.21</v>
      </c>
      <c r="BM215" s="3">
        <f ca="1">IFERROR(__xludf.DUMMYFUNCTION("""COMPUTED_VALUE"""),47.84)</f>
        <v>47.84</v>
      </c>
      <c r="BN215" s="3">
        <f ca="1">IFERROR(__xludf.DUMMYFUNCTION("""COMPUTED_VALUE"""),16374777)</f>
        <v>16374777</v>
      </c>
    </row>
    <row r="216" spans="7:66" ht="13" x14ac:dyDescent="0.15">
      <c r="G216" s="4">
        <f ca="1">IFERROR(__xludf.DUMMYFUNCTION("""COMPUTED_VALUE"""),42438.6666666666)</f>
        <v>42438.666666666599</v>
      </c>
      <c r="H216" s="3">
        <f ca="1">IFERROR(__xludf.DUMMYFUNCTION("""COMPUTED_VALUE"""),76.08)</f>
        <v>76.08</v>
      </c>
      <c r="I216" s="3">
        <f ca="1">IFERROR(__xludf.DUMMYFUNCTION("""COMPUTED_VALUE"""),76.14)</f>
        <v>76.14</v>
      </c>
      <c r="J216" s="3">
        <f ca="1">IFERROR(__xludf.DUMMYFUNCTION("""COMPUTED_VALUE"""),75.44)</f>
        <v>75.44</v>
      </c>
      <c r="K216" s="3">
        <f ca="1">IFERROR(__xludf.DUMMYFUNCTION("""COMPUTED_VALUE"""),75.94)</f>
        <v>75.94</v>
      </c>
      <c r="L216" s="3">
        <f ca="1">IFERROR(__xludf.DUMMYFUNCTION("""COMPUTED_VALUE"""),6744650)</f>
        <v>6744650</v>
      </c>
      <c r="M216" s="4">
        <f ca="1">IFERROR(__xludf.DUMMYFUNCTION("""COMPUTED_VALUE"""),42438.6666666666)</f>
        <v>42438.666666666599</v>
      </c>
      <c r="N216" s="3">
        <f ca="1">IFERROR(__xludf.DUMMYFUNCTION("""COMPUTED_VALUE"""),52.03)</f>
        <v>52.03</v>
      </c>
      <c r="O216" s="3">
        <f ca="1">IFERROR(__xludf.DUMMYFUNCTION("""COMPUTED_VALUE"""),52.33)</f>
        <v>52.33</v>
      </c>
      <c r="P216" s="3">
        <f ca="1">IFERROR(__xludf.DUMMYFUNCTION("""COMPUTED_VALUE"""),52.02)</f>
        <v>52.02</v>
      </c>
      <c r="Q216" s="3">
        <f ca="1">IFERROR(__xludf.DUMMYFUNCTION("""COMPUTED_VALUE"""),52.26)</f>
        <v>52.26</v>
      </c>
      <c r="R216" s="3">
        <f ca="1">IFERROR(__xludf.DUMMYFUNCTION("""COMPUTED_VALUE"""),11307512)</f>
        <v>11307512</v>
      </c>
      <c r="S216" s="4">
        <f ca="1">IFERROR(__xludf.DUMMYFUNCTION("""COMPUTED_VALUE"""),42438.6666666666)</f>
        <v>42438.666666666599</v>
      </c>
      <c r="T216" s="3">
        <f ca="1">IFERROR(__xludf.DUMMYFUNCTION("""COMPUTED_VALUE"""),60.58)</f>
        <v>60.58</v>
      </c>
      <c r="U216" s="3">
        <f ca="1">IFERROR(__xludf.DUMMYFUNCTION("""COMPUTED_VALUE"""),61.52)</f>
        <v>61.52</v>
      </c>
      <c r="V216" s="3">
        <f ca="1">IFERROR(__xludf.DUMMYFUNCTION("""COMPUTED_VALUE"""),59.84)</f>
        <v>59.84</v>
      </c>
      <c r="W216" s="3">
        <f ca="1">IFERROR(__xludf.DUMMYFUNCTION("""COMPUTED_VALUE"""),60.74)</f>
        <v>60.74</v>
      </c>
      <c r="X216" s="3">
        <f ca="1">IFERROR(__xludf.DUMMYFUNCTION("""COMPUTED_VALUE"""),25467590)</f>
        <v>25467590</v>
      </c>
      <c r="Y216" s="4">
        <f ca="1">IFERROR(__xludf.DUMMYFUNCTION("""COMPUTED_VALUE"""),42438.6666666666)</f>
        <v>42438.666666666599</v>
      </c>
      <c r="Z216" s="3">
        <f ca="1">IFERROR(__xludf.DUMMYFUNCTION("""COMPUTED_VALUE"""),17.86)</f>
        <v>17.86</v>
      </c>
      <c r="AA216" s="3">
        <f ca="1">IFERROR(__xludf.DUMMYFUNCTION("""COMPUTED_VALUE"""),17.91)</f>
        <v>17.91</v>
      </c>
      <c r="AB216" s="3">
        <f ca="1">IFERROR(__xludf.DUMMYFUNCTION("""COMPUTED_VALUE"""),17.75)</f>
        <v>17.75</v>
      </c>
      <c r="AC216" s="3">
        <f ca="1">IFERROR(__xludf.DUMMYFUNCTION("""COMPUTED_VALUE"""),17.82)</f>
        <v>17.82</v>
      </c>
      <c r="AD216" s="3">
        <f ca="1">IFERROR(__xludf.DUMMYFUNCTION("""COMPUTED_VALUE"""),48670604)</f>
        <v>48670604</v>
      </c>
      <c r="AE216" s="4">
        <f ca="1">IFERROR(__xludf.DUMMYFUNCTION("""COMPUTED_VALUE"""),42438.6666666666)</f>
        <v>42438.666666666599</v>
      </c>
      <c r="AF216" s="3">
        <f ca="1">IFERROR(__xludf.DUMMYFUNCTION("""COMPUTED_VALUE"""),67.3)</f>
        <v>67.3</v>
      </c>
      <c r="AG216" s="3">
        <f ca="1">IFERROR(__xludf.DUMMYFUNCTION("""COMPUTED_VALUE"""),67.53)</f>
        <v>67.53</v>
      </c>
      <c r="AH216" s="3">
        <f ca="1">IFERROR(__xludf.DUMMYFUNCTION("""COMPUTED_VALUE"""),66.78)</f>
        <v>66.78</v>
      </c>
      <c r="AI216" s="3">
        <f ca="1">IFERROR(__xludf.DUMMYFUNCTION("""COMPUTED_VALUE"""),67.24)</f>
        <v>67.239999999999995</v>
      </c>
      <c r="AJ216" s="3">
        <f ca="1">IFERROR(__xludf.DUMMYFUNCTION("""COMPUTED_VALUE"""),13032476)</f>
        <v>13032476</v>
      </c>
      <c r="AK216" s="4">
        <f ca="1">IFERROR(__xludf.DUMMYFUNCTION("""COMPUTED_VALUE"""),42438.6666666666)</f>
        <v>42438.666666666599</v>
      </c>
      <c r="AL216" s="3">
        <f ca="1">IFERROR(__xludf.DUMMYFUNCTION("""COMPUTED_VALUE"""),53.32)</f>
        <v>53.32</v>
      </c>
      <c r="AM216" s="3">
        <f ca="1">IFERROR(__xludf.DUMMYFUNCTION("""COMPUTED_VALUE"""),53.5)</f>
        <v>53.5</v>
      </c>
      <c r="AN216" s="3">
        <f ca="1">IFERROR(__xludf.DUMMYFUNCTION("""COMPUTED_VALUE"""),53.17)</f>
        <v>53.17</v>
      </c>
      <c r="AO216" s="3">
        <f ca="1">IFERROR(__xludf.DUMMYFUNCTION("""COMPUTED_VALUE"""),53.35)</f>
        <v>53.35</v>
      </c>
      <c r="AP216" s="3">
        <f ca="1">IFERROR(__xludf.DUMMYFUNCTION("""COMPUTED_VALUE"""),11060113)</f>
        <v>11060113</v>
      </c>
      <c r="AQ216" s="4">
        <f ca="1">IFERROR(__xludf.DUMMYFUNCTION("""COMPUTED_VALUE"""),42438.6666666666)</f>
        <v>42438.666666666599</v>
      </c>
      <c r="AR216" s="3">
        <f ca="1">IFERROR(__xludf.DUMMYFUNCTION("""COMPUTED_VALUE"""),43.33)</f>
        <v>43.33</v>
      </c>
      <c r="AS216" s="3">
        <f ca="1">IFERROR(__xludf.DUMMYFUNCTION("""COMPUTED_VALUE"""),43.58)</f>
        <v>43.58</v>
      </c>
      <c r="AT216" s="3">
        <f ca="1">IFERROR(__xludf.DUMMYFUNCTION("""COMPUTED_VALUE"""),43.07)</f>
        <v>43.07</v>
      </c>
      <c r="AU216" s="3">
        <f ca="1">IFERROR(__xludf.DUMMYFUNCTION("""COMPUTED_VALUE"""),43.37)</f>
        <v>43.37</v>
      </c>
      <c r="AV216" s="3">
        <f ca="1">IFERROR(__xludf.DUMMYFUNCTION("""COMPUTED_VALUE"""),5612808)</f>
        <v>5612808</v>
      </c>
      <c r="AW216" s="4">
        <f ca="1">IFERROR(__xludf.DUMMYFUNCTION("""COMPUTED_VALUE"""),42601.6666666666)</f>
        <v>42601.666666666599</v>
      </c>
      <c r="AX216" s="3">
        <f ca="1">IFERROR(__xludf.DUMMYFUNCTION("""COMPUTED_VALUE"""),33.44)</f>
        <v>33.44</v>
      </c>
      <c r="AY216" s="3">
        <f ca="1">IFERROR(__xludf.DUMMYFUNCTION("""COMPUTED_VALUE"""),33.44)</f>
        <v>33.44</v>
      </c>
      <c r="AZ216" s="3">
        <f ca="1">IFERROR(__xludf.DUMMYFUNCTION("""COMPUTED_VALUE"""),33.13)</f>
        <v>33.130000000000003</v>
      </c>
      <c r="BA216" s="3">
        <f ca="1">IFERROR(__xludf.DUMMYFUNCTION("""COMPUTED_VALUE"""),33.24)</f>
        <v>33.24</v>
      </c>
      <c r="BB216" s="3">
        <f ca="1">IFERROR(__xludf.DUMMYFUNCTION("""COMPUTED_VALUE"""),20856)</f>
        <v>20856</v>
      </c>
      <c r="BC216" s="4">
        <f ca="1">IFERROR(__xludf.DUMMYFUNCTION("""COMPUTED_VALUE"""),42438.6666666666)</f>
        <v>42438.666666666599</v>
      </c>
      <c r="BD216" s="3">
        <f ca="1">IFERROR(__xludf.DUMMYFUNCTION("""COMPUTED_VALUE"""),41.96)</f>
        <v>41.96</v>
      </c>
      <c r="BE216" s="3">
        <f ca="1">IFERROR(__xludf.DUMMYFUNCTION("""COMPUTED_VALUE"""),42.27)</f>
        <v>42.27</v>
      </c>
      <c r="BF216" s="3">
        <f ca="1">IFERROR(__xludf.DUMMYFUNCTION("""COMPUTED_VALUE"""),41.96)</f>
        <v>41.96</v>
      </c>
      <c r="BG216" s="3">
        <f ca="1">IFERROR(__xludf.DUMMYFUNCTION("""COMPUTED_VALUE"""),42.26)</f>
        <v>42.26</v>
      </c>
      <c r="BH216" s="3">
        <f ca="1">IFERROR(__xludf.DUMMYFUNCTION("""COMPUTED_VALUE"""),12160586)</f>
        <v>12160586</v>
      </c>
      <c r="BI216" s="4">
        <f ca="1">IFERROR(__xludf.DUMMYFUNCTION("""COMPUTED_VALUE"""),42438.6666666666)</f>
        <v>42438.666666666599</v>
      </c>
      <c r="BJ216" s="3">
        <f ca="1">IFERROR(__xludf.DUMMYFUNCTION("""COMPUTED_VALUE"""),47.74)</f>
        <v>47.74</v>
      </c>
      <c r="BK216" s="3">
        <f ca="1">IFERROR(__xludf.DUMMYFUNCTION("""COMPUTED_VALUE"""),48.21)</f>
        <v>48.21</v>
      </c>
      <c r="BL216" s="3">
        <f ca="1">IFERROR(__xludf.DUMMYFUNCTION("""COMPUTED_VALUE"""),47.7)</f>
        <v>47.7</v>
      </c>
      <c r="BM216" s="3">
        <f ca="1">IFERROR(__xludf.DUMMYFUNCTION("""COMPUTED_VALUE"""),48.06)</f>
        <v>48.06</v>
      </c>
      <c r="BN216" s="3">
        <f ca="1">IFERROR(__xludf.DUMMYFUNCTION("""COMPUTED_VALUE"""),14256618)</f>
        <v>14256618</v>
      </c>
    </row>
    <row r="217" spans="7:66" ht="13" x14ac:dyDescent="0.15">
      <c r="G217" s="4">
        <f ca="1">IFERROR(__xludf.DUMMYFUNCTION("""COMPUTED_VALUE"""),42439.6666666666)</f>
        <v>42439.666666666599</v>
      </c>
      <c r="H217" s="3">
        <f ca="1">IFERROR(__xludf.DUMMYFUNCTION("""COMPUTED_VALUE"""),76.3)</f>
        <v>76.3</v>
      </c>
      <c r="I217" s="3">
        <f ca="1">IFERROR(__xludf.DUMMYFUNCTION("""COMPUTED_VALUE"""),76.62)</f>
        <v>76.62</v>
      </c>
      <c r="J217" s="3">
        <f ca="1">IFERROR(__xludf.DUMMYFUNCTION("""COMPUTED_VALUE"""),75.14)</f>
        <v>75.14</v>
      </c>
      <c r="K217" s="3">
        <f ca="1">IFERROR(__xludf.DUMMYFUNCTION("""COMPUTED_VALUE"""),76.13)</f>
        <v>76.13</v>
      </c>
      <c r="L217" s="3">
        <f ca="1">IFERROR(__xludf.DUMMYFUNCTION("""COMPUTED_VALUE"""),8064863)</f>
        <v>8064863</v>
      </c>
      <c r="M217" s="4">
        <f ca="1">IFERROR(__xludf.DUMMYFUNCTION("""COMPUTED_VALUE"""),42439.6666666666)</f>
        <v>42439.666666666599</v>
      </c>
      <c r="N217" s="3">
        <f ca="1">IFERROR(__xludf.DUMMYFUNCTION("""COMPUTED_VALUE"""),52.45)</f>
        <v>52.45</v>
      </c>
      <c r="O217" s="3">
        <f ca="1">IFERROR(__xludf.DUMMYFUNCTION("""COMPUTED_VALUE"""),52.57)</f>
        <v>52.57</v>
      </c>
      <c r="P217" s="3">
        <f ca="1">IFERROR(__xludf.DUMMYFUNCTION("""COMPUTED_VALUE"""),51.83)</f>
        <v>51.83</v>
      </c>
      <c r="Q217" s="3">
        <f ca="1">IFERROR(__xludf.DUMMYFUNCTION("""COMPUTED_VALUE"""),52.28)</f>
        <v>52.28</v>
      </c>
      <c r="R217" s="3">
        <f ca="1">IFERROR(__xludf.DUMMYFUNCTION("""COMPUTED_VALUE"""),13089841)</f>
        <v>13089841</v>
      </c>
      <c r="S217" s="4">
        <f ca="1">IFERROR(__xludf.DUMMYFUNCTION("""COMPUTED_VALUE"""),42439.6666666666)</f>
        <v>42439.666666666599</v>
      </c>
      <c r="T217" s="3">
        <f ca="1">IFERROR(__xludf.DUMMYFUNCTION("""COMPUTED_VALUE"""),60.48)</f>
        <v>60.48</v>
      </c>
      <c r="U217" s="3">
        <f ca="1">IFERROR(__xludf.DUMMYFUNCTION("""COMPUTED_VALUE"""),60.86)</f>
        <v>60.86</v>
      </c>
      <c r="V217" s="3">
        <f ca="1">IFERROR(__xludf.DUMMYFUNCTION("""COMPUTED_VALUE"""),59.69)</f>
        <v>59.69</v>
      </c>
      <c r="W217" s="3">
        <f ca="1">IFERROR(__xludf.DUMMYFUNCTION("""COMPUTED_VALUE"""),60.79)</f>
        <v>60.79</v>
      </c>
      <c r="X217" s="3">
        <f ca="1">IFERROR(__xludf.DUMMYFUNCTION("""COMPUTED_VALUE"""),28773815)</f>
        <v>28773815</v>
      </c>
      <c r="Y217" s="4">
        <f ca="1">IFERROR(__xludf.DUMMYFUNCTION("""COMPUTED_VALUE"""),42439.6666666666)</f>
        <v>42439.666666666599</v>
      </c>
      <c r="Z217" s="3">
        <f ca="1">IFERROR(__xludf.DUMMYFUNCTION("""COMPUTED_VALUE"""),17.93)</f>
        <v>17.93</v>
      </c>
      <c r="AA217" s="3">
        <f ca="1">IFERROR(__xludf.DUMMYFUNCTION("""COMPUTED_VALUE"""),18.01)</f>
        <v>18.010000000000002</v>
      </c>
      <c r="AB217" s="3">
        <f ca="1">IFERROR(__xludf.DUMMYFUNCTION("""COMPUTED_VALUE"""),17.59)</f>
        <v>17.59</v>
      </c>
      <c r="AC217" s="3">
        <f ca="1">IFERROR(__xludf.DUMMYFUNCTION("""COMPUTED_VALUE"""),17.8)</f>
        <v>17.8</v>
      </c>
      <c r="AD217" s="3">
        <f ca="1">IFERROR(__xludf.DUMMYFUNCTION("""COMPUTED_VALUE"""),77348380)</f>
        <v>77348380</v>
      </c>
      <c r="AE217" s="4">
        <f ca="1">IFERROR(__xludf.DUMMYFUNCTION("""COMPUTED_VALUE"""),42439.6666666666)</f>
        <v>42439.666666666599</v>
      </c>
      <c r="AF217" s="3">
        <f ca="1">IFERROR(__xludf.DUMMYFUNCTION("""COMPUTED_VALUE"""),67.57)</f>
        <v>67.569999999999993</v>
      </c>
      <c r="AG217" s="3">
        <f ca="1">IFERROR(__xludf.DUMMYFUNCTION("""COMPUTED_VALUE"""),68.03)</f>
        <v>68.03</v>
      </c>
      <c r="AH217" s="3">
        <f ca="1">IFERROR(__xludf.DUMMYFUNCTION("""COMPUTED_VALUE"""),66.76)</f>
        <v>66.760000000000005</v>
      </c>
      <c r="AI217" s="3">
        <f ca="1">IFERROR(__xludf.DUMMYFUNCTION("""COMPUTED_VALUE"""),67.28)</f>
        <v>67.28</v>
      </c>
      <c r="AJ217" s="3">
        <f ca="1">IFERROR(__xludf.DUMMYFUNCTION("""COMPUTED_VALUE"""),11288361)</f>
        <v>11288361</v>
      </c>
      <c r="AK217" s="4">
        <f ca="1">IFERROR(__xludf.DUMMYFUNCTION("""COMPUTED_VALUE"""),42439.6666666666)</f>
        <v>42439.666666666599</v>
      </c>
      <c r="AL217" s="3">
        <f ca="1">IFERROR(__xludf.DUMMYFUNCTION("""COMPUTED_VALUE"""),53.47)</f>
        <v>53.47</v>
      </c>
      <c r="AM217" s="3">
        <f ca="1">IFERROR(__xludf.DUMMYFUNCTION("""COMPUTED_VALUE"""),53.71)</f>
        <v>53.71</v>
      </c>
      <c r="AN217" s="3">
        <f ca="1">IFERROR(__xludf.DUMMYFUNCTION("""COMPUTED_VALUE"""),52.82)</f>
        <v>52.82</v>
      </c>
      <c r="AO217" s="3">
        <f ca="1">IFERROR(__xludf.DUMMYFUNCTION("""COMPUTED_VALUE"""),53.27)</f>
        <v>53.27</v>
      </c>
      <c r="AP217" s="3">
        <f ca="1">IFERROR(__xludf.DUMMYFUNCTION("""COMPUTED_VALUE"""),12693338)</f>
        <v>12693338</v>
      </c>
      <c r="AQ217" s="4">
        <f ca="1">IFERROR(__xludf.DUMMYFUNCTION("""COMPUTED_VALUE"""),42439.6666666666)</f>
        <v>42439.666666666599</v>
      </c>
      <c r="AR217" s="3">
        <f ca="1">IFERROR(__xludf.DUMMYFUNCTION("""COMPUTED_VALUE"""),43.48)</f>
        <v>43.48</v>
      </c>
      <c r="AS217" s="3">
        <f ca="1">IFERROR(__xludf.DUMMYFUNCTION("""COMPUTED_VALUE"""),43.86)</f>
        <v>43.86</v>
      </c>
      <c r="AT217" s="3">
        <f ca="1">IFERROR(__xludf.DUMMYFUNCTION("""COMPUTED_VALUE"""),43.1)</f>
        <v>43.1</v>
      </c>
      <c r="AU217" s="3">
        <f ca="1">IFERROR(__xludf.DUMMYFUNCTION("""COMPUTED_VALUE"""),43.6)</f>
        <v>43.6</v>
      </c>
      <c r="AV217" s="3">
        <f ca="1">IFERROR(__xludf.DUMMYFUNCTION("""COMPUTED_VALUE"""),7579079)</f>
        <v>7579079</v>
      </c>
      <c r="AW217" s="4">
        <f ca="1">IFERROR(__xludf.DUMMYFUNCTION("""COMPUTED_VALUE"""),42604.6666666666)</f>
        <v>42604.666666666599</v>
      </c>
      <c r="AX217" s="3">
        <f ca="1">IFERROR(__xludf.DUMMYFUNCTION("""COMPUTED_VALUE"""),33.12)</f>
        <v>33.119999999999997</v>
      </c>
      <c r="AY217" s="3">
        <f ca="1">IFERROR(__xludf.DUMMYFUNCTION("""COMPUTED_VALUE"""),33.4)</f>
        <v>33.4</v>
      </c>
      <c r="AZ217" s="3">
        <f ca="1">IFERROR(__xludf.DUMMYFUNCTION("""COMPUTED_VALUE"""),33.12)</f>
        <v>33.119999999999997</v>
      </c>
      <c r="BA217" s="3">
        <f ca="1">IFERROR(__xludf.DUMMYFUNCTION("""COMPUTED_VALUE"""),33.4)</f>
        <v>33.4</v>
      </c>
      <c r="BB217" s="3">
        <f ca="1">IFERROR(__xludf.DUMMYFUNCTION("""COMPUTED_VALUE"""),56283)</f>
        <v>56283</v>
      </c>
      <c r="BC217" s="4">
        <f ca="1">IFERROR(__xludf.DUMMYFUNCTION("""COMPUTED_VALUE"""),42439.6666666666)</f>
        <v>42439.666666666599</v>
      </c>
      <c r="BD217" s="3">
        <f ca="1">IFERROR(__xludf.DUMMYFUNCTION("""COMPUTED_VALUE"""),42.44)</f>
        <v>42.44</v>
      </c>
      <c r="BE217" s="3">
        <f ca="1">IFERROR(__xludf.DUMMYFUNCTION("""COMPUTED_VALUE"""),42.63)</f>
        <v>42.63</v>
      </c>
      <c r="BF217" s="3">
        <f ca="1">IFERROR(__xludf.DUMMYFUNCTION("""COMPUTED_VALUE"""),41.7)</f>
        <v>41.7</v>
      </c>
      <c r="BG217" s="3">
        <f ca="1">IFERROR(__xludf.DUMMYFUNCTION("""COMPUTED_VALUE"""),42.22)</f>
        <v>42.22</v>
      </c>
      <c r="BH217" s="3">
        <f ca="1">IFERROR(__xludf.DUMMYFUNCTION("""COMPUTED_VALUE"""),12938424)</f>
        <v>12938424</v>
      </c>
      <c r="BI217" s="4">
        <f ca="1">IFERROR(__xludf.DUMMYFUNCTION("""COMPUTED_VALUE"""),42439.6666666666)</f>
        <v>42439.666666666599</v>
      </c>
      <c r="BJ217" s="3">
        <f ca="1">IFERROR(__xludf.DUMMYFUNCTION("""COMPUTED_VALUE"""),48.04)</f>
        <v>48.04</v>
      </c>
      <c r="BK217" s="3">
        <f ca="1">IFERROR(__xludf.DUMMYFUNCTION("""COMPUTED_VALUE"""),48.26)</f>
        <v>48.26</v>
      </c>
      <c r="BL217" s="3">
        <f ca="1">IFERROR(__xludf.DUMMYFUNCTION("""COMPUTED_VALUE"""),47.64)</f>
        <v>47.64</v>
      </c>
      <c r="BM217" s="3">
        <f ca="1">IFERROR(__xludf.DUMMYFUNCTION("""COMPUTED_VALUE"""),48.1)</f>
        <v>48.1</v>
      </c>
      <c r="BN217" s="3">
        <f ca="1">IFERROR(__xludf.DUMMYFUNCTION("""COMPUTED_VALUE"""),19471354)</f>
        <v>19471354</v>
      </c>
    </row>
    <row r="218" spans="7:66" ht="13" x14ac:dyDescent="0.15">
      <c r="G218" s="4">
        <f ca="1">IFERROR(__xludf.DUMMYFUNCTION("""COMPUTED_VALUE"""),42440.6666666666)</f>
        <v>42440.666666666599</v>
      </c>
      <c r="H218" s="3">
        <f ca="1">IFERROR(__xludf.DUMMYFUNCTION("""COMPUTED_VALUE"""),76.77)</f>
        <v>76.77</v>
      </c>
      <c r="I218" s="3">
        <f ca="1">IFERROR(__xludf.DUMMYFUNCTION("""COMPUTED_VALUE"""),77.3)</f>
        <v>77.3</v>
      </c>
      <c r="J218" s="3">
        <f ca="1">IFERROR(__xludf.DUMMYFUNCTION("""COMPUTED_VALUE"""),76.58)</f>
        <v>76.58</v>
      </c>
      <c r="K218" s="3">
        <f ca="1">IFERROR(__xludf.DUMMYFUNCTION("""COMPUTED_VALUE"""),77.3)</f>
        <v>77.3</v>
      </c>
      <c r="L218" s="3">
        <f ca="1">IFERROR(__xludf.DUMMYFUNCTION("""COMPUTED_VALUE"""),5693561)</f>
        <v>5693561</v>
      </c>
      <c r="M218" s="4">
        <f ca="1">IFERROR(__xludf.DUMMYFUNCTION("""COMPUTED_VALUE"""),42440.6666666666)</f>
        <v>42440.666666666599</v>
      </c>
      <c r="N218" s="3">
        <f ca="1">IFERROR(__xludf.DUMMYFUNCTION("""COMPUTED_VALUE"""),52.54)</f>
        <v>52.54</v>
      </c>
      <c r="O218" s="3">
        <f ca="1">IFERROR(__xludf.DUMMYFUNCTION("""COMPUTED_VALUE"""),52.65)</f>
        <v>52.65</v>
      </c>
      <c r="P218" s="3">
        <f ca="1">IFERROR(__xludf.DUMMYFUNCTION("""COMPUTED_VALUE"""),52.26)</f>
        <v>52.26</v>
      </c>
      <c r="Q218" s="3">
        <f ca="1">IFERROR(__xludf.DUMMYFUNCTION("""COMPUTED_VALUE"""),52.45)</f>
        <v>52.45</v>
      </c>
      <c r="R218" s="3">
        <f ca="1">IFERROR(__xludf.DUMMYFUNCTION("""COMPUTED_VALUE"""),12880525)</f>
        <v>12880525</v>
      </c>
      <c r="S218" s="4">
        <f ca="1">IFERROR(__xludf.DUMMYFUNCTION("""COMPUTED_VALUE"""),42440.6666666666)</f>
        <v>42440.666666666599</v>
      </c>
      <c r="T218" s="3">
        <f ca="1">IFERROR(__xludf.DUMMYFUNCTION("""COMPUTED_VALUE"""),61.59)</f>
        <v>61.59</v>
      </c>
      <c r="U218" s="3">
        <f ca="1">IFERROR(__xludf.DUMMYFUNCTION("""COMPUTED_VALUE"""),62.57)</f>
        <v>62.57</v>
      </c>
      <c r="V218" s="3">
        <f ca="1">IFERROR(__xludf.DUMMYFUNCTION("""COMPUTED_VALUE"""),61.52)</f>
        <v>61.52</v>
      </c>
      <c r="W218" s="3">
        <f ca="1">IFERROR(__xludf.DUMMYFUNCTION("""COMPUTED_VALUE"""),62.36)</f>
        <v>62.36</v>
      </c>
      <c r="X218" s="3">
        <f ca="1">IFERROR(__xludf.DUMMYFUNCTION("""COMPUTED_VALUE"""),24783649)</f>
        <v>24783649</v>
      </c>
      <c r="Y218" s="4">
        <f ca="1">IFERROR(__xludf.DUMMYFUNCTION("""COMPUTED_VALUE"""),42440.6666666666)</f>
        <v>42440.666666666599</v>
      </c>
      <c r="Z218" s="3">
        <f ca="1">IFERROR(__xludf.DUMMYFUNCTION("""COMPUTED_VALUE"""),17.98)</f>
        <v>17.98</v>
      </c>
      <c r="AA218" s="3">
        <f ca="1">IFERROR(__xludf.DUMMYFUNCTION("""COMPUTED_VALUE"""),18.29)</f>
        <v>18.29</v>
      </c>
      <c r="AB218" s="3">
        <f ca="1">IFERROR(__xludf.DUMMYFUNCTION("""COMPUTED_VALUE"""),17.98)</f>
        <v>17.98</v>
      </c>
      <c r="AC218" s="3">
        <f ca="1">IFERROR(__xludf.DUMMYFUNCTION("""COMPUTED_VALUE"""),18.26)</f>
        <v>18.260000000000002</v>
      </c>
      <c r="AD218" s="3">
        <f ca="1">IFERROR(__xludf.DUMMYFUNCTION("""COMPUTED_VALUE"""),64406350)</f>
        <v>64406350</v>
      </c>
      <c r="AE218" s="4">
        <f ca="1">IFERROR(__xludf.DUMMYFUNCTION("""COMPUTED_VALUE"""),42440.6666666666)</f>
        <v>42440.666666666599</v>
      </c>
      <c r="AF218" s="3">
        <f ca="1">IFERROR(__xludf.DUMMYFUNCTION("""COMPUTED_VALUE"""),67.71)</f>
        <v>67.709999999999994</v>
      </c>
      <c r="AG218" s="3">
        <f ca="1">IFERROR(__xludf.DUMMYFUNCTION("""COMPUTED_VALUE"""),68.6)</f>
        <v>68.599999999999994</v>
      </c>
      <c r="AH218" s="3">
        <f ca="1">IFERROR(__xludf.DUMMYFUNCTION("""COMPUTED_VALUE"""),67.66)</f>
        <v>67.66</v>
      </c>
      <c r="AI218" s="3">
        <f ca="1">IFERROR(__xludf.DUMMYFUNCTION("""COMPUTED_VALUE"""),68.59)</f>
        <v>68.59</v>
      </c>
      <c r="AJ218" s="3">
        <f ca="1">IFERROR(__xludf.DUMMYFUNCTION("""COMPUTED_VALUE"""),10618305)</f>
        <v>10618305</v>
      </c>
      <c r="AK218" s="4">
        <f ca="1">IFERROR(__xludf.DUMMYFUNCTION("""COMPUTED_VALUE"""),42440.6666666666)</f>
        <v>42440.666666666599</v>
      </c>
      <c r="AL218" s="3">
        <f ca="1">IFERROR(__xludf.DUMMYFUNCTION("""COMPUTED_VALUE"""),53.76)</f>
        <v>53.76</v>
      </c>
      <c r="AM218" s="3">
        <f ca="1">IFERROR(__xludf.DUMMYFUNCTION("""COMPUTED_VALUE"""),54.17)</f>
        <v>54.17</v>
      </c>
      <c r="AN218" s="3">
        <f ca="1">IFERROR(__xludf.DUMMYFUNCTION("""COMPUTED_VALUE"""),53.72)</f>
        <v>53.72</v>
      </c>
      <c r="AO218" s="3">
        <f ca="1">IFERROR(__xludf.DUMMYFUNCTION("""COMPUTED_VALUE"""),54.04)</f>
        <v>54.04</v>
      </c>
      <c r="AP218" s="3">
        <f ca="1">IFERROR(__xludf.DUMMYFUNCTION("""COMPUTED_VALUE"""),11059850)</f>
        <v>11059850</v>
      </c>
      <c r="AQ218" s="4">
        <f ca="1">IFERROR(__xludf.DUMMYFUNCTION("""COMPUTED_VALUE"""),42440.6666666666)</f>
        <v>42440.666666666599</v>
      </c>
      <c r="AR218" s="3">
        <f ca="1">IFERROR(__xludf.DUMMYFUNCTION("""COMPUTED_VALUE"""),44.03)</f>
        <v>44.03</v>
      </c>
      <c r="AS218" s="3">
        <f ca="1">IFERROR(__xludf.DUMMYFUNCTION("""COMPUTED_VALUE"""),44.52)</f>
        <v>44.52</v>
      </c>
      <c r="AT218" s="3">
        <f ca="1">IFERROR(__xludf.DUMMYFUNCTION("""COMPUTED_VALUE"""),44.03)</f>
        <v>44.03</v>
      </c>
      <c r="AU218" s="3">
        <f ca="1">IFERROR(__xludf.DUMMYFUNCTION("""COMPUTED_VALUE"""),44.4)</f>
        <v>44.4</v>
      </c>
      <c r="AV218" s="3">
        <f ca="1">IFERROR(__xludf.DUMMYFUNCTION("""COMPUTED_VALUE"""),5019959)</f>
        <v>5019959</v>
      </c>
      <c r="AW218" s="4">
        <f ca="1">IFERROR(__xludf.DUMMYFUNCTION("""COMPUTED_VALUE"""),42605.6666666666)</f>
        <v>42605.666666666599</v>
      </c>
      <c r="AX218" s="3">
        <f ca="1">IFERROR(__xludf.DUMMYFUNCTION("""COMPUTED_VALUE"""),33.54)</f>
        <v>33.54</v>
      </c>
      <c r="AY218" s="3">
        <f ca="1">IFERROR(__xludf.DUMMYFUNCTION("""COMPUTED_VALUE"""),33.54)</f>
        <v>33.54</v>
      </c>
      <c r="AZ218" s="3">
        <f ca="1">IFERROR(__xludf.DUMMYFUNCTION("""COMPUTED_VALUE"""),33.38)</f>
        <v>33.380000000000003</v>
      </c>
      <c r="BA218" s="3">
        <f ca="1">IFERROR(__xludf.DUMMYFUNCTION("""COMPUTED_VALUE"""),33.38)</f>
        <v>33.380000000000003</v>
      </c>
      <c r="BB218" s="3">
        <f ca="1">IFERROR(__xludf.DUMMYFUNCTION("""COMPUTED_VALUE"""),60598)</f>
        <v>60598</v>
      </c>
      <c r="BC218" s="4">
        <f ca="1">IFERROR(__xludf.DUMMYFUNCTION("""COMPUTED_VALUE"""),42440.6666666666)</f>
        <v>42440.666666666599</v>
      </c>
      <c r="BD218" s="3">
        <f ca="1">IFERROR(__xludf.DUMMYFUNCTION("""COMPUTED_VALUE"""),42.64)</f>
        <v>42.64</v>
      </c>
      <c r="BE218" s="3">
        <f ca="1">IFERROR(__xludf.DUMMYFUNCTION("""COMPUTED_VALUE"""),42.88)</f>
        <v>42.88</v>
      </c>
      <c r="BF218" s="3">
        <f ca="1">IFERROR(__xludf.DUMMYFUNCTION("""COMPUTED_VALUE"""),42.54)</f>
        <v>42.54</v>
      </c>
      <c r="BG218" s="3">
        <f ca="1">IFERROR(__xludf.DUMMYFUNCTION("""COMPUTED_VALUE"""),42.87)</f>
        <v>42.87</v>
      </c>
      <c r="BH218" s="3">
        <f ca="1">IFERROR(__xludf.DUMMYFUNCTION("""COMPUTED_VALUE"""),8820147)</f>
        <v>8820147</v>
      </c>
      <c r="BI218" s="4">
        <f ca="1">IFERROR(__xludf.DUMMYFUNCTION("""COMPUTED_VALUE"""),42440.6666666666)</f>
        <v>42440.666666666599</v>
      </c>
      <c r="BJ218" s="3">
        <f ca="1">IFERROR(__xludf.DUMMYFUNCTION("""COMPUTED_VALUE"""),48.33)</f>
        <v>48.33</v>
      </c>
      <c r="BK218" s="3">
        <f ca="1">IFERROR(__xludf.DUMMYFUNCTION("""COMPUTED_VALUE"""),48.45)</f>
        <v>48.45</v>
      </c>
      <c r="BL218" s="3">
        <f ca="1">IFERROR(__xludf.DUMMYFUNCTION("""COMPUTED_VALUE"""),48.05)</f>
        <v>48.05</v>
      </c>
      <c r="BM218" s="3">
        <f ca="1">IFERROR(__xludf.DUMMYFUNCTION("""COMPUTED_VALUE"""),48.15)</f>
        <v>48.15</v>
      </c>
      <c r="BN218" s="3">
        <f ca="1">IFERROR(__xludf.DUMMYFUNCTION("""COMPUTED_VALUE"""),15695449)</f>
        <v>15695449</v>
      </c>
    </row>
    <row r="219" spans="7:66" ht="13" x14ac:dyDescent="0.15">
      <c r="G219" s="4">
        <f ca="1">IFERROR(__xludf.DUMMYFUNCTION("""COMPUTED_VALUE"""),42443.6666666666)</f>
        <v>42443.666666666599</v>
      </c>
      <c r="H219" s="3">
        <f ca="1">IFERROR(__xludf.DUMMYFUNCTION("""COMPUTED_VALUE"""),77.08)</f>
        <v>77.08</v>
      </c>
      <c r="I219" s="3">
        <f ca="1">IFERROR(__xludf.DUMMYFUNCTION("""COMPUTED_VALUE"""),77.81)</f>
        <v>77.81</v>
      </c>
      <c r="J219" s="3">
        <f ca="1">IFERROR(__xludf.DUMMYFUNCTION("""COMPUTED_VALUE"""),77.08)</f>
        <v>77.08</v>
      </c>
      <c r="K219" s="3">
        <f ca="1">IFERROR(__xludf.DUMMYFUNCTION("""COMPUTED_VALUE"""),77.59)</f>
        <v>77.59</v>
      </c>
      <c r="L219" s="3">
        <f ca="1">IFERROR(__xludf.DUMMYFUNCTION("""COMPUTED_VALUE"""),5500344)</f>
        <v>5500344</v>
      </c>
      <c r="M219" s="4">
        <f ca="1">IFERROR(__xludf.DUMMYFUNCTION("""COMPUTED_VALUE"""),42443.6666666666)</f>
        <v>42443.666666666599</v>
      </c>
      <c r="N219" s="3">
        <f ca="1">IFERROR(__xludf.DUMMYFUNCTION("""COMPUTED_VALUE"""),52.42)</f>
        <v>52.42</v>
      </c>
      <c r="O219" s="3">
        <f ca="1">IFERROR(__xludf.DUMMYFUNCTION("""COMPUTED_VALUE"""),52.54)</f>
        <v>52.54</v>
      </c>
      <c r="P219" s="3">
        <f ca="1">IFERROR(__xludf.DUMMYFUNCTION("""COMPUTED_VALUE"""),52.26)</f>
        <v>52.26</v>
      </c>
      <c r="Q219" s="3">
        <f ca="1">IFERROR(__xludf.DUMMYFUNCTION("""COMPUTED_VALUE"""),52.42)</f>
        <v>52.42</v>
      </c>
      <c r="R219" s="3">
        <f ca="1">IFERROR(__xludf.DUMMYFUNCTION("""COMPUTED_VALUE"""),10645085)</f>
        <v>10645085</v>
      </c>
      <c r="S219" s="4">
        <f ca="1">IFERROR(__xludf.DUMMYFUNCTION("""COMPUTED_VALUE"""),42443.6666666666)</f>
        <v>42443.666666666599</v>
      </c>
      <c r="T219" s="3">
        <f ca="1">IFERROR(__xludf.DUMMYFUNCTION("""COMPUTED_VALUE"""),61.58)</f>
        <v>61.58</v>
      </c>
      <c r="U219" s="3">
        <f ca="1">IFERROR(__xludf.DUMMYFUNCTION("""COMPUTED_VALUE"""),62.17)</f>
        <v>62.17</v>
      </c>
      <c r="V219" s="3">
        <f ca="1">IFERROR(__xludf.DUMMYFUNCTION("""COMPUTED_VALUE"""),61.34)</f>
        <v>61.34</v>
      </c>
      <c r="W219" s="3">
        <f ca="1">IFERROR(__xludf.DUMMYFUNCTION("""COMPUTED_VALUE"""),61.95)</f>
        <v>61.95</v>
      </c>
      <c r="X219" s="3">
        <f ca="1">IFERROR(__xludf.DUMMYFUNCTION("""COMPUTED_VALUE"""),21766057)</f>
        <v>21766057</v>
      </c>
      <c r="Y219" s="4">
        <f ca="1">IFERROR(__xludf.DUMMYFUNCTION("""COMPUTED_VALUE"""),42443.6666666666)</f>
        <v>42443.666666666599</v>
      </c>
      <c r="Z219" s="3">
        <f ca="1">IFERROR(__xludf.DUMMYFUNCTION("""COMPUTED_VALUE"""),18.21)</f>
        <v>18.21</v>
      </c>
      <c r="AA219" s="3">
        <f ca="1">IFERROR(__xludf.DUMMYFUNCTION("""COMPUTED_VALUE"""),18.25)</f>
        <v>18.25</v>
      </c>
      <c r="AB219" s="3">
        <f ca="1">IFERROR(__xludf.DUMMYFUNCTION("""COMPUTED_VALUE"""),18.09)</f>
        <v>18.09</v>
      </c>
      <c r="AC219" s="3">
        <f ca="1">IFERROR(__xludf.DUMMYFUNCTION("""COMPUTED_VALUE"""),18.21)</f>
        <v>18.21</v>
      </c>
      <c r="AD219" s="3">
        <f ca="1">IFERROR(__xludf.DUMMYFUNCTION("""COMPUTED_VALUE"""),44961727)</f>
        <v>44961727</v>
      </c>
      <c r="AE219" s="4">
        <f ca="1">IFERROR(__xludf.DUMMYFUNCTION("""COMPUTED_VALUE"""),42443.6666666666)</f>
        <v>42443.666666666599</v>
      </c>
      <c r="AF219" s="3">
        <f ca="1">IFERROR(__xludf.DUMMYFUNCTION("""COMPUTED_VALUE"""),68.34)</f>
        <v>68.34</v>
      </c>
      <c r="AG219" s="3">
        <f ca="1">IFERROR(__xludf.DUMMYFUNCTION("""COMPUTED_VALUE"""),68.57)</f>
        <v>68.569999999999993</v>
      </c>
      <c r="AH219" s="3">
        <f ca="1">IFERROR(__xludf.DUMMYFUNCTION("""COMPUTED_VALUE"""),68.13)</f>
        <v>68.13</v>
      </c>
      <c r="AI219" s="3">
        <f ca="1">IFERROR(__xludf.DUMMYFUNCTION("""COMPUTED_VALUE"""),68.3)</f>
        <v>68.3</v>
      </c>
      <c r="AJ219" s="3">
        <f ca="1">IFERROR(__xludf.DUMMYFUNCTION("""COMPUTED_VALUE"""),6140946)</f>
        <v>6140946</v>
      </c>
      <c r="AK219" s="4">
        <f ca="1">IFERROR(__xludf.DUMMYFUNCTION("""COMPUTED_VALUE"""),42443.6666666666)</f>
        <v>42443.666666666599</v>
      </c>
      <c r="AL219" s="3">
        <f ca="1">IFERROR(__xludf.DUMMYFUNCTION("""COMPUTED_VALUE"""),53.84)</f>
        <v>53.84</v>
      </c>
      <c r="AM219" s="3">
        <f ca="1">IFERROR(__xludf.DUMMYFUNCTION("""COMPUTED_VALUE"""),54.23)</f>
        <v>54.23</v>
      </c>
      <c r="AN219" s="3">
        <f ca="1">IFERROR(__xludf.DUMMYFUNCTION("""COMPUTED_VALUE"""),53.84)</f>
        <v>53.84</v>
      </c>
      <c r="AO219" s="3">
        <f ca="1">IFERROR(__xludf.DUMMYFUNCTION("""COMPUTED_VALUE"""),54.09)</f>
        <v>54.09</v>
      </c>
      <c r="AP219" s="3">
        <f ca="1">IFERROR(__xludf.DUMMYFUNCTION("""COMPUTED_VALUE"""),6946730)</f>
        <v>6946730</v>
      </c>
      <c r="AQ219" s="4">
        <f ca="1">IFERROR(__xludf.DUMMYFUNCTION("""COMPUTED_VALUE"""),42443.6666666666)</f>
        <v>42443.666666666599</v>
      </c>
      <c r="AR219" s="3">
        <f ca="1">IFERROR(__xludf.DUMMYFUNCTION("""COMPUTED_VALUE"""),44.12)</f>
        <v>44.12</v>
      </c>
      <c r="AS219" s="3">
        <f ca="1">IFERROR(__xludf.DUMMYFUNCTION("""COMPUTED_VALUE"""),44.34)</f>
        <v>44.34</v>
      </c>
      <c r="AT219" s="3">
        <f ca="1">IFERROR(__xludf.DUMMYFUNCTION("""COMPUTED_VALUE"""),43.93)</f>
        <v>43.93</v>
      </c>
      <c r="AU219" s="3">
        <f ca="1">IFERROR(__xludf.DUMMYFUNCTION("""COMPUTED_VALUE"""),44.1)</f>
        <v>44.1</v>
      </c>
      <c r="AV219" s="3">
        <f ca="1">IFERROR(__xludf.DUMMYFUNCTION("""COMPUTED_VALUE"""),5471967)</f>
        <v>5471967</v>
      </c>
      <c r="AW219" s="4">
        <f ca="1">IFERROR(__xludf.DUMMYFUNCTION("""COMPUTED_VALUE"""),42606.6666666666)</f>
        <v>42606.666666666599</v>
      </c>
      <c r="AX219" s="3">
        <f ca="1">IFERROR(__xludf.DUMMYFUNCTION("""COMPUTED_VALUE"""),33.55)</f>
        <v>33.549999999999997</v>
      </c>
      <c r="AY219" s="3">
        <f ca="1">IFERROR(__xludf.DUMMYFUNCTION("""COMPUTED_VALUE"""),33.55)</f>
        <v>33.549999999999997</v>
      </c>
      <c r="AZ219" s="3">
        <f ca="1">IFERROR(__xludf.DUMMYFUNCTION("""COMPUTED_VALUE"""),33.14)</f>
        <v>33.14</v>
      </c>
      <c r="BA219" s="3">
        <f ca="1">IFERROR(__xludf.DUMMYFUNCTION("""COMPUTED_VALUE"""),33.29)</f>
        <v>33.29</v>
      </c>
      <c r="BB219" s="3">
        <f ca="1">IFERROR(__xludf.DUMMYFUNCTION("""COMPUTED_VALUE"""),58657)</f>
        <v>58657</v>
      </c>
      <c r="BC219" s="4">
        <f ca="1">IFERROR(__xludf.DUMMYFUNCTION("""COMPUTED_VALUE"""),42443.6666666666)</f>
        <v>42443.666666666599</v>
      </c>
      <c r="BD219" s="3">
        <f ca="1">IFERROR(__xludf.DUMMYFUNCTION("""COMPUTED_VALUE"""),42.74)</f>
        <v>42.74</v>
      </c>
      <c r="BE219" s="3">
        <f ca="1">IFERROR(__xludf.DUMMYFUNCTION("""COMPUTED_VALUE"""),43)</f>
        <v>43</v>
      </c>
      <c r="BF219" s="3">
        <f ca="1">IFERROR(__xludf.DUMMYFUNCTION("""COMPUTED_VALUE"""),42.72)</f>
        <v>42.72</v>
      </c>
      <c r="BG219" s="3">
        <f ca="1">IFERROR(__xludf.DUMMYFUNCTION("""COMPUTED_VALUE"""),42.92)</f>
        <v>42.92</v>
      </c>
      <c r="BH219" s="3">
        <f ca="1">IFERROR(__xludf.DUMMYFUNCTION("""COMPUTED_VALUE"""),10060929)</f>
        <v>10060929</v>
      </c>
      <c r="BI219" s="4">
        <f ca="1">IFERROR(__xludf.DUMMYFUNCTION("""COMPUTED_VALUE"""),42443.6666666666)</f>
        <v>42443.666666666599</v>
      </c>
      <c r="BJ219" s="3">
        <f ca="1">IFERROR(__xludf.DUMMYFUNCTION("""COMPUTED_VALUE"""),48.14)</f>
        <v>48.14</v>
      </c>
      <c r="BK219" s="3">
        <f ca="1">IFERROR(__xludf.DUMMYFUNCTION("""COMPUTED_VALUE"""),48.3)</f>
        <v>48.3</v>
      </c>
      <c r="BL219" s="3">
        <f ca="1">IFERROR(__xludf.DUMMYFUNCTION("""COMPUTED_VALUE"""),47.94)</f>
        <v>47.94</v>
      </c>
      <c r="BM219" s="3">
        <f ca="1">IFERROR(__xludf.DUMMYFUNCTION("""COMPUTED_VALUE"""),48.21)</f>
        <v>48.21</v>
      </c>
      <c r="BN219" s="3">
        <f ca="1">IFERROR(__xludf.DUMMYFUNCTION("""COMPUTED_VALUE"""),11724815)</f>
        <v>11724815</v>
      </c>
    </row>
    <row r="220" spans="7:66" ht="13" x14ac:dyDescent="0.15">
      <c r="G220" s="4">
        <f ca="1">IFERROR(__xludf.DUMMYFUNCTION("""COMPUTED_VALUE"""),42444.6666666666)</f>
        <v>42444.666666666599</v>
      </c>
      <c r="H220" s="3">
        <f ca="1">IFERROR(__xludf.DUMMYFUNCTION("""COMPUTED_VALUE"""),77.1)</f>
        <v>77.099999999999994</v>
      </c>
      <c r="I220" s="3">
        <f ca="1">IFERROR(__xludf.DUMMYFUNCTION("""COMPUTED_VALUE"""),77.6)</f>
        <v>77.599999999999994</v>
      </c>
      <c r="J220" s="3">
        <f ca="1">IFERROR(__xludf.DUMMYFUNCTION("""COMPUTED_VALUE"""),77.1)</f>
        <v>77.099999999999994</v>
      </c>
      <c r="K220" s="3">
        <f ca="1">IFERROR(__xludf.DUMMYFUNCTION("""COMPUTED_VALUE"""),77.57)</f>
        <v>77.569999999999993</v>
      </c>
      <c r="L220" s="3">
        <f ca="1">IFERROR(__xludf.DUMMYFUNCTION("""COMPUTED_VALUE"""),4499599)</f>
        <v>4499599</v>
      </c>
      <c r="M220" s="4">
        <f ca="1">IFERROR(__xludf.DUMMYFUNCTION("""COMPUTED_VALUE"""),42444.6666666666)</f>
        <v>42444.666666666599</v>
      </c>
      <c r="N220" s="3">
        <f ca="1">IFERROR(__xludf.DUMMYFUNCTION("""COMPUTED_VALUE"""),52.27)</f>
        <v>52.27</v>
      </c>
      <c r="O220" s="3">
        <f ca="1">IFERROR(__xludf.DUMMYFUNCTION("""COMPUTED_VALUE"""),52.62)</f>
        <v>52.62</v>
      </c>
      <c r="P220" s="3">
        <f ca="1">IFERROR(__xludf.DUMMYFUNCTION("""COMPUTED_VALUE"""),52.18)</f>
        <v>52.18</v>
      </c>
      <c r="Q220" s="3">
        <f ca="1">IFERROR(__xludf.DUMMYFUNCTION("""COMPUTED_VALUE"""),52.55)</f>
        <v>52.55</v>
      </c>
      <c r="R220" s="3">
        <f ca="1">IFERROR(__xludf.DUMMYFUNCTION("""COMPUTED_VALUE"""),6523735)</f>
        <v>6523735</v>
      </c>
      <c r="S220" s="4">
        <f ca="1">IFERROR(__xludf.DUMMYFUNCTION("""COMPUTED_VALUE"""),42444.6666666666)</f>
        <v>42444.666666666599</v>
      </c>
      <c r="T220" s="3">
        <f ca="1">IFERROR(__xludf.DUMMYFUNCTION("""COMPUTED_VALUE"""),61.1)</f>
        <v>61.1</v>
      </c>
      <c r="U220" s="3">
        <f ca="1">IFERROR(__xludf.DUMMYFUNCTION("""COMPUTED_VALUE"""),61.84)</f>
        <v>61.84</v>
      </c>
      <c r="V220" s="3">
        <f ca="1">IFERROR(__xludf.DUMMYFUNCTION("""COMPUTED_VALUE"""),60.66)</f>
        <v>60.66</v>
      </c>
      <c r="W220" s="3">
        <f ca="1">IFERROR(__xludf.DUMMYFUNCTION("""COMPUTED_VALUE"""),61.83)</f>
        <v>61.83</v>
      </c>
      <c r="X220" s="3">
        <f ca="1">IFERROR(__xludf.DUMMYFUNCTION("""COMPUTED_VALUE"""),21719596)</f>
        <v>21719596</v>
      </c>
      <c r="Y220" s="4">
        <f ca="1">IFERROR(__xludf.DUMMYFUNCTION("""COMPUTED_VALUE"""),42444.6666666666)</f>
        <v>42444.666666666599</v>
      </c>
      <c r="Z220" s="3">
        <f ca="1">IFERROR(__xludf.DUMMYFUNCTION("""COMPUTED_VALUE"""),18.08)</f>
        <v>18.079999999999998</v>
      </c>
      <c r="AA220" s="3">
        <f ca="1">IFERROR(__xludf.DUMMYFUNCTION("""COMPUTED_VALUE"""),18.2)</f>
        <v>18.2</v>
      </c>
      <c r="AB220" s="3">
        <f ca="1">IFERROR(__xludf.DUMMYFUNCTION("""COMPUTED_VALUE"""),18.02)</f>
        <v>18.02</v>
      </c>
      <c r="AC220" s="3">
        <f ca="1">IFERROR(__xludf.DUMMYFUNCTION("""COMPUTED_VALUE"""),18.2)</f>
        <v>18.2</v>
      </c>
      <c r="AD220" s="3">
        <f ca="1">IFERROR(__xludf.DUMMYFUNCTION("""COMPUTED_VALUE"""),61493976)</f>
        <v>61493976</v>
      </c>
      <c r="AE220" s="4">
        <f ca="1">IFERROR(__xludf.DUMMYFUNCTION("""COMPUTED_VALUE"""),42444.6666666666)</f>
        <v>42444.666666666599</v>
      </c>
      <c r="AF220" s="3">
        <f ca="1">IFERROR(__xludf.DUMMYFUNCTION("""COMPUTED_VALUE"""),67.85)</f>
        <v>67.849999999999994</v>
      </c>
      <c r="AG220" s="3">
        <f ca="1">IFERROR(__xludf.DUMMYFUNCTION("""COMPUTED_VALUE"""),67.99)</f>
        <v>67.989999999999995</v>
      </c>
      <c r="AH220" s="3">
        <f ca="1">IFERROR(__xludf.DUMMYFUNCTION("""COMPUTED_VALUE"""),67.04)</f>
        <v>67.040000000000006</v>
      </c>
      <c r="AI220" s="3">
        <f ca="1">IFERROR(__xludf.DUMMYFUNCTION("""COMPUTED_VALUE"""),67.24)</f>
        <v>67.239999999999995</v>
      </c>
      <c r="AJ220" s="3">
        <f ca="1">IFERROR(__xludf.DUMMYFUNCTION("""COMPUTED_VALUE"""),15226481)</f>
        <v>15226481</v>
      </c>
      <c r="AK220" s="4">
        <f ca="1">IFERROR(__xludf.DUMMYFUNCTION("""COMPUTED_VALUE"""),42444.6666666666)</f>
        <v>42444.666666666599</v>
      </c>
      <c r="AL220" s="3">
        <f ca="1">IFERROR(__xludf.DUMMYFUNCTION("""COMPUTED_VALUE"""),53.7)</f>
        <v>53.7</v>
      </c>
      <c r="AM220" s="3">
        <f ca="1">IFERROR(__xludf.DUMMYFUNCTION("""COMPUTED_VALUE"""),54.06)</f>
        <v>54.06</v>
      </c>
      <c r="AN220" s="3">
        <f ca="1">IFERROR(__xludf.DUMMYFUNCTION("""COMPUTED_VALUE"""),53.53)</f>
        <v>53.53</v>
      </c>
      <c r="AO220" s="3">
        <f ca="1">IFERROR(__xludf.DUMMYFUNCTION("""COMPUTED_VALUE"""),54.06)</f>
        <v>54.06</v>
      </c>
      <c r="AP220" s="3">
        <f ca="1">IFERROR(__xludf.DUMMYFUNCTION("""COMPUTED_VALUE"""),6948723)</f>
        <v>6948723</v>
      </c>
      <c r="AQ220" s="4">
        <f ca="1">IFERROR(__xludf.DUMMYFUNCTION("""COMPUTED_VALUE"""),42444.6666666666)</f>
        <v>42444.666666666599</v>
      </c>
      <c r="AR220" s="3">
        <f ca="1">IFERROR(__xludf.DUMMYFUNCTION("""COMPUTED_VALUE"""),43.7)</f>
        <v>43.7</v>
      </c>
      <c r="AS220" s="3">
        <f ca="1">IFERROR(__xludf.DUMMYFUNCTION("""COMPUTED_VALUE"""),44.2)</f>
        <v>44.2</v>
      </c>
      <c r="AT220" s="3">
        <f ca="1">IFERROR(__xludf.DUMMYFUNCTION("""COMPUTED_VALUE"""),43.44)</f>
        <v>43.44</v>
      </c>
      <c r="AU220" s="3">
        <f ca="1">IFERROR(__xludf.DUMMYFUNCTION("""COMPUTED_VALUE"""),44.2)</f>
        <v>44.2</v>
      </c>
      <c r="AV220" s="3">
        <f ca="1">IFERROR(__xludf.DUMMYFUNCTION("""COMPUTED_VALUE"""),4984327)</f>
        <v>4984327</v>
      </c>
      <c r="AW220" s="4">
        <f ca="1">IFERROR(__xludf.DUMMYFUNCTION("""COMPUTED_VALUE"""),42607.6666666666)</f>
        <v>42607.666666666599</v>
      </c>
      <c r="AX220" s="3">
        <f ca="1">IFERROR(__xludf.DUMMYFUNCTION("""COMPUTED_VALUE"""),33.13)</f>
        <v>33.130000000000003</v>
      </c>
      <c r="AY220" s="3">
        <f ca="1">IFERROR(__xludf.DUMMYFUNCTION("""COMPUTED_VALUE"""),33.64)</f>
        <v>33.64</v>
      </c>
      <c r="AZ220" s="3">
        <f ca="1">IFERROR(__xludf.DUMMYFUNCTION("""COMPUTED_VALUE"""),33.13)</f>
        <v>33.130000000000003</v>
      </c>
      <c r="BA220" s="3">
        <f ca="1">IFERROR(__xludf.DUMMYFUNCTION("""COMPUTED_VALUE"""),33.43)</f>
        <v>33.43</v>
      </c>
      <c r="BB220" s="3">
        <f ca="1">IFERROR(__xludf.DUMMYFUNCTION("""COMPUTED_VALUE"""),24408)</f>
        <v>24408</v>
      </c>
      <c r="BC220" s="4">
        <f ca="1">IFERROR(__xludf.DUMMYFUNCTION("""COMPUTED_VALUE"""),42444.6666666666)</f>
        <v>42444.666666666599</v>
      </c>
      <c r="BD220" s="3">
        <f ca="1">IFERROR(__xludf.DUMMYFUNCTION("""COMPUTED_VALUE"""),42.75)</f>
        <v>42.75</v>
      </c>
      <c r="BE220" s="3">
        <f ca="1">IFERROR(__xludf.DUMMYFUNCTION("""COMPUTED_VALUE"""),43.12)</f>
        <v>43.12</v>
      </c>
      <c r="BF220" s="3">
        <f ca="1">IFERROR(__xludf.DUMMYFUNCTION("""COMPUTED_VALUE"""),42.73)</f>
        <v>42.73</v>
      </c>
      <c r="BG220" s="3">
        <f ca="1">IFERROR(__xludf.DUMMYFUNCTION("""COMPUTED_VALUE"""),43.08)</f>
        <v>43.08</v>
      </c>
      <c r="BH220" s="3">
        <f ca="1">IFERROR(__xludf.DUMMYFUNCTION("""COMPUTED_VALUE"""),6321100)</f>
        <v>6321100</v>
      </c>
      <c r="BI220" s="4">
        <f ca="1">IFERROR(__xludf.DUMMYFUNCTION("""COMPUTED_VALUE"""),42444.6666666666)</f>
        <v>42444.666666666599</v>
      </c>
      <c r="BJ220" s="3">
        <f ca="1">IFERROR(__xludf.DUMMYFUNCTION("""COMPUTED_VALUE"""),48.16)</f>
        <v>48.16</v>
      </c>
      <c r="BK220" s="3">
        <f ca="1">IFERROR(__xludf.DUMMYFUNCTION("""COMPUTED_VALUE"""),48.46)</f>
        <v>48.46</v>
      </c>
      <c r="BL220" s="3">
        <f ca="1">IFERROR(__xludf.DUMMYFUNCTION("""COMPUTED_VALUE"""),48.1)</f>
        <v>48.1</v>
      </c>
      <c r="BM220" s="3">
        <f ca="1">IFERROR(__xludf.DUMMYFUNCTION("""COMPUTED_VALUE"""),48.3)</f>
        <v>48.3</v>
      </c>
      <c r="BN220" s="3">
        <f ca="1">IFERROR(__xludf.DUMMYFUNCTION("""COMPUTED_VALUE"""),13737001)</f>
        <v>13737001</v>
      </c>
    </row>
    <row r="221" spans="7:66" ht="13" x14ac:dyDescent="0.15">
      <c r="G221" s="4">
        <f ca="1">IFERROR(__xludf.DUMMYFUNCTION("""COMPUTED_VALUE"""),42445.6666666666)</f>
        <v>42445.666666666599</v>
      </c>
      <c r="H221" s="3">
        <f ca="1">IFERROR(__xludf.DUMMYFUNCTION("""COMPUTED_VALUE"""),77.48)</f>
        <v>77.48</v>
      </c>
      <c r="I221" s="3">
        <f ca="1">IFERROR(__xludf.DUMMYFUNCTION("""COMPUTED_VALUE"""),78.37)</f>
        <v>78.37</v>
      </c>
      <c r="J221" s="3">
        <f ca="1">IFERROR(__xludf.DUMMYFUNCTION("""COMPUTED_VALUE"""),77.26)</f>
        <v>77.260000000000005</v>
      </c>
      <c r="K221" s="3">
        <f ca="1">IFERROR(__xludf.DUMMYFUNCTION("""COMPUTED_VALUE"""),78.2)</f>
        <v>78.2</v>
      </c>
      <c r="L221" s="3">
        <f ca="1">IFERROR(__xludf.DUMMYFUNCTION("""COMPUTED_VALUE"""),7254347)</f>
        <v>7254347</v>
      </c>
      <c r="M221" s="4">
        <f ca="1">IFERROR(__xludf.DUMMYFUNCTION("""COMPUTED_VALUE"""),42445.6666666666)</f>
        <v>42445.666666666599</v>
      </c>
      <c r="N221" s="3">
        <f ca="1">IFERROR(__xludf.DUMMYFUNCTION("""COMPUTED_VALUE"""),52.51)</f>
        <v>52.51</v>
      </c>
      <c r="O221" s="3">
        <f ca="1">IFERROR(__xludf.DUMMYFUNCTION("""COMPUTED_VALUE"""),52.79)</f>
        <v>52.79</v>
      </c>
      <c r="P221" s="3">
        <f ca="1">IFERROR(__xludf.DUMMYFUNCTION("""COMPUTED_VALUE"""),52.15)</f>
        <v>52.15</v>
      </c>
      <c r="Q221" s="3">
        <f ca="1">IFERROR(__xludf.DUMMYFUNCTION("""COMPUTED_VALUE"""),52.67)</f>
        <v>52.67</v>
      </c>
      <c r="R221" s="3">
        <f ca="1">IFERROR(__xludf.DUMMYFUNCTION("""COMPUTED_VALUE"""),13743414)</f>
        <v>13743414</v>
      </c>
      <c r="S221" s="4">
        <f ca="1">IFERROR(__xludf.DUMMYFUNCTION("""COMPUTED_VALUE"""),42445.6666666666)</f>
        <v>42445.666666666599</v>
      </c>
      <c r="T221" s="3">
        <f ca="1">IFERROR(__xludf.DUMMYFUNCTION("""COMPUTED_VALUE"""),62.2)</f>
        <v>62.2</v>
      </c>
      <c r="U221" s="3">
        <f ca="1">IFERROR(__xludf.DUMMYFUNCTION("""COMPUTED_VALUE"""),63.04)</f>
        <v>63.04</v>
      </c>
      <c r="V221" s="3">
        <f ca="1">IFERROR(__xludf.DUMMYFUNCTION("""COMPUTED_VALUE"""),61.77)</f>
        <v>61.77</v>
      </c>
      <c r="W221" s="3">
        <f ca="1">IFERROR(__xludf.DUMMYFUNCTION("""COMPUTED_VALUE"""),62.9)</f>
        <v>62.9</v>
      </c>
      <c r="X221" s="3">
        <f ca="1">IFERROR(__xludf.DUMMYFUNCTION("""COMPUTED_VALUE"""),26970370)</f>
        <v>26970370</v>
      </c>
      <c r="Y221" s="4">
        <f ca="1">IFERROR(__xludf.DUMMYFUNCTION("""COMPUTED_VALUE"""),42445.6666666666)</f>
        <v>42445.666666666599</v>
      </c>
      <c r="Z221" s="3">
        <f ca="1">IFERROR(__xludf.DUMMYFUNCTION("""COMPUTED_VALUE"""),18.1)</f>
        <v>18.100000000000001</v>
      </c>
      <c r="AA221" s="3">
        <f ca="1">IFERROR(__xludf.DUMMYFUNCTION("""COMPUTED_VALUE"""),18.27)</f>
        <v>18.27</v>
      </c>
      <c r="AB221" s="3">
        <f ca="1">IFERROR(__xludf.DUMMYFUNCTION("""COMPUTED_VALUE"""),18.02)</f>
        <v>18.02</v>
      </c>
      <c r="AC221" s="3">
        <f ca="1">IFERROR(__xludf.DUMMYFUNCTION("""COMPUTED_VALUE"""),18.16)</f>
        <v>18.16</v>
      </c>
      <c r="AD221" s="3">
        <f ca="1">IFERROR(__xludf.DUMMYFUNCTION("""COMPUTED_VALUE"""),58797741)</f>
        <v>58797741</v>
      </c>
      <c r="AE221" s="4">
        <f ca="1">IFERROR(__xludf.DUMMYFUNCTION("""COMPUTED_VALUE"""),42445.6666666666)</f>
        <v>42445.666666666599</v>
      </c>
      <c r="AF221" s="3">
        <f ca="1">IFERROR(__xludf.DUMMYFUNCTION("""COMPUTED_VALUE"""),67.11)</f>
        <v>67.11</v>
      </c>
      <c r="AG221" s="3">
        <f ca="1">IFERROR(__xludf.DUMMYFUNCTION("""COMPUTED_VALUE"""),67.47)</f>
        <v>67.47</v>
      </c>
      <c r="AH221" s="3">
        <f ca="1">IFERROR(__xludf.DUMMYFUNCTION("""COMPUTED_VALUE"""),66.55)</f>
        <v>66.55</v>
      </c>
      <c r="AI221" s="3">
        <f ca="1">IFERROR(__xludf.DUMMYFUNCTION("""COMPUTED_VALUE"""),67.08)</f>
        <v>67.08</v>
      </c>
      <c r="AJ221" s="3">
        <f ca="1">IFERROR(__xludf.DUMMYFUNCTION("""COMPUTED_VALUE"""),16881339)</f>
        <v>16881339</v>
      </c>
      <c r="AK221" s="4">
        <f ca="1">IFERROR(__xludf.DUMMYFUNCTION("""COMPUTED_VALUE"""),42445.6666666666)</f>
        <v>42445.666666666599</v>
      </c>
      <c r="AL221" s="3">
        <f ca="1">IFERROR(__xludf.DUMMYFUNCTION("""COMPUTED_VALUE"""),53.94)</f>
        <v>53.94</v>
      </c>
      <c r="AM221" s="3">
        <f ca="1">IFERROR(__xludf.DUMMYFUNCTION("""COMPUTED_VALUE"""),54.57)</f>
        <v>54.57</v>
      </c>
      <c r="AN221" s="3">
        <f ca="1">IFERROR(__xludf.DUMMYFUNCTION("""COMPUTED_VALUE"""),53.81)</f>
        <v>53.81</v>
      </c>
      <c r="AO221" s="3">
        <f ca="1">IFERROR(__xludf.DUMMYFUNCTION("""COMPUTED_VALUE"""),54.25)</f>
        <v>54.25</v>
      </c>
      <c r="AP221" s="3">
        <f ca="1">IFERROR(__xludf.DUMMYFUNCTION("""COMPUTED_VALUE"""),11447932)</f>
        <v>11447932</v>
      </c>
      <c r="AQ221" s="4">
        <f ca="1">IFERROR(__xludf.DUMMYFUNCTION("""COMPUTED_VALUE"""),42445.6666666666)</f>
        <v>42445.666666666599</v>
      </c>
      <c r="AR221" s="3">
        <f ca="1">IFERROR(__xludf.DUMMYFUNCTION("""COMPUTED_VALUE"""),43.5)</f>
        <v>43.5</v>
      </c>
      <c r="AS221" s="3">
        <f ca="1">IFERROR(__xludf.DUMMYFUNCTION("""COMPUTED_VALUE"""),44.57)</f>
        <v>44.57</v>
      </c>
      <c r="AT221" s="3">
        <f ca="1">IFERROR(__xludf.DUMMYFUNCTION("""COMPUTED_VALUE"""),43.5)</f>
        <v>43.5</v>
      </c>
      <c r="AU221" s="3">
        <f ca="1">IFERROR(__xludf.DUMMYFUNCTION("""COMPUTED_VALUE"""),44.57)</f>
        <v>44.57</v>
      </c>
      <c r="AV221" s="3">
        <f ca="1">IFERROR(__xludf.DUMMYFUNCTION("""COMPUTED_VALUE"""),7289733)</f>
        <v>7289733</v>
      </c>
      <c r="AW221" s="4">
        <f ca="1">IFERROR(__xludf.DUMMYFUNCTION("""COMPUTED_VALUE"""),42608.6666666666)</f>
        <v>42608.666666666599</v>
      </c>
      <c r="AX221" s="3">
        <f ca="1">IFERROR(__xludf.DUMMYFUNCTION("""COMPUTED_VALUE"""),33.54)</f>
        <v>33.54</v>
      </c>
      <c r="AY221" s="3">
        <f ca="1">IFERROR(__xludf.DUMMYFUNCTION("""COMPUTED_VALUE"""),33.58)</f>
        <v>33.58</v>
      </c>
      <c r="AZ221" s="3">
        <f ca="1">IFERROR(__xludf.DUMMYFUNCTION("""COMPUTED_VALUE"""),32.9)</f>
        <v>32.9</v>
      </c>
      <c r="BA221" s="3">
        <f ca="1">IFERROR(__xludf.DUMMYFUNCTION("""COMPUTED_VALUE"""),33.1)</f>
        <v>33.1</v>
      </c>
      <c r="BB221" s="3">
        <f ca="1">IFERROR(__xludf.DUMMYFUNCTION("""COMPUTED_VALUE"""),33688)</f>
        <v>33688</v>
      </c>
      <c r="BC221" s="4">
        <f ca="1">IFERROR(__xludf.DUMMYFUNCTION("""COMPUTED_VALUE"""),42445.6666666666)</f>
        <v>42445.666666666599</v>
      </c>
      <c r="BD221" s="3">
        <f ca="1">IFERROR(__xludf.DUMMYFUNCTION("""COMPUTED_VALUE"""),42.88)</f>
        <v>42.88</v>
      </c>
      <c r="BE221" s="3">
        <f ca="1">IFERROR(__xludf.DUMMYFUNCTION("""COMPUTED_VALUE"""),43.65)</f>
        <v>43.65</v>
      </c>
      <c r="BF221" s="3">
        <f ca="1">IFERROR(__xludf.DUMMYFUNCTION("""COMPUTED_VALUE"""),42.87)</f>
        <v>42.87</v>
      </c>
      <c r="BG221" s="3">
        <f ca="1">IFERROR(__xludf.DUMMYFUNCTION("""COMPUTED_VALUE"""),43.58)</f>
        <v>43.58</v>
      </c>
      <c r="BH221" s="3">
        <f ca="1">IFERROR(__xludf.DUMMYFUNCTION("""COMPUTED_VALUE"""),14756858)</f>
        <v>14756858</v>
      </c>
      <c r="BI221" s="4">
        <f ca="1">IFERROR(__xludf.DUMMYFUNCTION("""COMPUTED_VALUE"""),42445.6666666666)</f>
        <v>42445.666666666599</v>
      </c>
      <c r="BJ221" s="3">
        <f ca="1">IFERROR(__xludf.DUMMYFUNCTION("""COMPUTED_VALUE"""),48.12)</f>
        <v>48.12</v>
      </c>
      <c r="BK221" s="3">
        <f ca="1">IFERROR(__xludf.DUMMYFUNCTION("""COMPUTED_VALUE"""),49.04)</f>
        <v>49.04</v>
      </c>
      <c r="BL221" s="3">
        <f ca="1">IFERROR(__xludf.DUMMYFUNCTION("""COMPUTED_VALUE"""),47.8)</f>
        <v>47.8</v>
      </c>
      <c r="BM221" s="3">
        <f ca="1">IFERROR(__xludf.DUMMYFUNCTION("""COMPUTED_VALUE"""),49.04)</f>
        <v>49.04</v>
      </c>
      <c r="BN221" s="3">
        <f ca="1">IFERROR(__xludf.DUMMYFUNCTION("""COMPUTED_VALUE"""),27868155)</f>
        <v>27868155</v>
      </c>
    </row>
    <row r="222" spans="7:66" ht="13" x14ac:dyDescent="0.15">
      <c r="G222" s="4">
        <f ca="1">IFERROR(__xludf.DUMMYFUNCTION("""COMPUTED_VALUE"""),42446.6666666666)</f>
        <v>42446.666666666599</v>
      </c>
      <c r="H222" s="3">
        <f ca="1">IFERROR(__xludf.DUMMYFUNCTION("""COMPUTED_VALUE"""),78.03)</f>
        <v>78.03</v>
      </c>
      <c r="I222" s="3">
        <f ca="1">IFERROR(__xludf.DUMMYFUNCTION("""COMPUTED_VALUE"""),78.6)</f>
        <v>78.599999999999994</v>
      </c>
      <c r="J222" s="3">
        <f ca="1">IFERROR(__xludf.DUMMYFUNCTION("""COMPUTED_VALUE"""),77.79)</f>
        <v>77.790000000000006</v>
      </c>
      <c r="K222" s="3">
        <f ca="1">IFERROR(__xludf.DUMMYFUNCTION("""COMPUTED_VALUE"""),78.31)</f>
        <v>78.31</v>
      </c>
      <c r="L222" s="3">
        <f ca="1">IFERROR(__xludf.DUMMYFUNCTION("""COMPUTED_VALUE"""),1423165)</f>
        <v>1423165</v>
      </c>
      <c r="M222" s="4">
        <f ca="1">IFERROR(__xludf.DUMMYFUNCTION("""COMPUTED_VALUE"""),42446.6666666666)</f>
        <v>42446.666666666599</v>
      </c>
      <c r="N222" s="3">
        <f ca="1">IFERROR(__xludf.DUMMYFUNCTION("""COMPUTED_VALUE"""),52.65)</f>
        <v>52.65</v>
      </c>
      <c r="O222" s="3">
        <f ca="1">IFERROR(__xludf.DUMMYFUNCTION("""COMPUTED_VALUE"""),53.16)</f>
        <v>53.16</v>
      </c>
      <c r="P222" s="3">
        <f ca="1">IFERROR(__xludf.DUMMYFUNCTION("""COMPUTED_VALUE"""),52.6)</f>
        <v>52.6</v>
      </c>
      <c r="Q222" s="3">
        <f ca="1">IFERROR(__xludf.DUMMYFUNCTION("""COMPUTED_VALUE"""),52.99)</f>
        <v>52.99</v>
      </c>
      <c r="R222" s="3">
        <f ca="1">IFERROR(__xludf.DUMMYFUNCTION("""COMPUTED_VALUE"""),1917894)</f>
        <v>1917894</v>
      </c>
      <c r="S222" s="4">
        <f ca="1">IFERROR(__xludf.DUMMYFUNCTION("""COMPUTED_VALUE"""),42446.6666666666)</f>
        <v>42446.666666666599</v>
      </c>
      <c r="T222" s="3">
        <f ca="1">IFERROR(__xludf.DUMMYFUNCTION("""COMPUTED_VALUE"""),63.41)</f>
        <v>63.41</v>
      </c>
      <c r="U222" s="3">
        <f ca="1">IFERROR(__xludf.DUMMYFUNCTION("""COMPUTED_VALUE"""),64.28)</f>
        <v>64.28</v>
      </c>
      <c r="V222" s="3">
        <f ca="1">IFERROR(__xludf.DUMMYFUNCTION("""COMPUTED_VALUE"""),62.84)</f>
        <v>62.84</v>
      </c>
      <c r="W222" s="3">
        <f ca="1">IFERROR(__xludf.DUMMYFUNCTION("""COMPUTED_VALUE"""),63.76)</f>
        <v>63.76</v>
      </c>
      <c r="X222" s="3">
        <f ca="1">IFERROR(__xludf.DUMMYFUNCTION("""COMPUTED_VALUE"""),6862514)</f>
        <v>6862514</v>
      </c>
      <c r="Y222" s="4">
        <f ca="1">IFERROR(__xludf.DUMMYFUNCTION("""COMPUTED_VALUE"""),42446.6666666666)</f>
        <v>42446.666666666599</v>
      </c>
      <c r="Z222" s="3">
        <f ca="1">IFERROR(__xludf.DUMMYFUNCTION("""COMPUTED_VALUE"""),18.11)</f>
        <v>18.11</v>
      </c>
      <c r="AA222" s="3">
        <f ca="1">IFERROR(__xludf.DUMMYFUNCTION("""COMPUTED_VALUE"""),18.43)</f>
        <v>18.43</v>
      </c>
      <c r="AB222" s="3">
        <f ca="1">IFERROR(__xludf.DUMMYFUNCTION("""COMPUTED_VALUE"""),18.03)</f>
        <v>18.03</v>
      </c>
      <c r="AC222" s="3">
        <f ca="1">IFERROR(__xludf.DUMMYFUNCTION("""COMPUTED_VALUE"""),18.38)</f>
        <v>18.38</v>
      </c>
      <c r="AD222" s="3">
        <f ca="1">IFERROR(__xludf.DUMMYFUNCTION("""COMPUTED_VALUE"""),12887507)</f>
        <v>12887507</v>
      </c>
      <c r="AE222" s="4">
        <f ca="1">IFERROR(__xludf.DUMMYFUNCTION("""COMPUTED_VALUE"""),42446.6666666666)</f>
        <v>42446.666666666599</v>
      </c>
      <c r="AF222" s="3">
        <f ca="1">IFERROR(__xludf.DUMMYFUNCTION("""COMPUTED_VALUE"""),67.02)</f>
        <v>67.02</v>
      </c>
      <c r="AG222" s="3">
        <f ca="1">IFERROR(__xludf.DUMMYFUNCTION("""COMPUTED_VALUE"""),67.03)</f>
        <v>67.03</v>
      </c>
      <c r="AH222" s="3">
        <f ca="1">IFERROR(__xludf.DUMMYFUNCTION("""COMPUTED_VALUE"""),65.66)</f>
        <v>65.66</v>
      </c>
      <c r="AI222" s="3">
        <f ca="1">IFERROR(__xludf.DUMMYFUNCTION("""COMPUTED_VALUE"""),66.3)</f>
        <v>66.3</v>
      </c>
      <c r="AJ222" s="3">
        <f ca="1">IFERROR(__xludf.DUMMYFUNCTION("""COMPUTED_VALUE"""),3912992)</f>
        <v>3912992</v>
      </c>
      <c r="AK222" s="4">
        <f ca="1">IFERROR(__xludf.DUMMYFUNCTION("""COMPUTED_VALUE"""),42446.6666666666)</f>
        <v>42446.666666666599</v>
      </c>
      <c r="AL222" s="3">
        <f ca="1">IFERROR(__xludf.DUMMYFUNCTION("""COMPUTED_VALUE"""),54.59)</f>
        <v>54.59</v>
      </c>
      <c r="AM222" s="3">
        <f ca="1">IFERROR(__xludf.DUMMYFUNCTION("""COMPUTED_VALUE"""),55.75)</f>
        <v>55.75</v>
      </c>
      <c r="AN222" s="3">
        <f ca="1">IFERROR(__xludf.DUMMYFUNCTION("""COMPUTED_VALUE"""),54.26)</f>
        <v>54.26</v>
      </c>
      <c r="AO222" s="3">
        <f ca="1">IFERROR(__xludf.DUMMYFUNCTION("""COMPUTED_VALUE"""),55.44)</f>
        <v>55.44</v>
      </c>
      <c r="AP222" s="3">
        <f ca="1">IFERROR(__xludf.DUMMYFUNCTION("""COMPUTED_VALUE"""),2633919)</f>
        <v>2633919</v>
      </c>
      <c r="AQ222" s="4">
        <f ca="1">IFERROR(__xludf.DUMMYFUNCTION("""COMPUTED_VALUE"""),42446.6666666666)</f>
        <v>42446.666666666599</v>
      </c>
      <c r="AR222" s="3">
        <f ca="1">IFERROR(__xludf.DUMMYFUNCTION("""COMPUTED_VALUE"""),44.49)</f>
        <v>44.49</v>
      </c>
      <c r="AS222" s="3">
        <f ca="1">IFERROR(__xludf.DUMMYFUNCTION("""COMPUTED_VALUE"""),45.53)</f>
        <v>45.53</v>
      </c>
      <c r="AT222" s="3">
        <f ca="1">IFERROR(__xludf.DUMMYFUNCTION("""COMPUTED_VALUE"""),44.49)</f>
        <v>44.49</v>
      </c>
      <c r="AU222" s="3">
        <f ca="1">IFERROR(__xludf.DUMMYFUNCTION("""COMPUTED_VALUE"""),45.39)</f>
        <v>45.39</v>
      </c>
      <c r="AV222" s="3">
        <f ca="1">IFERROR(__xludf.DUMMYFUNCTION("""COMPUTED_VALUE"""),1703898)</f>
        <v>1703898</v>
      </c>
      <c r="AW222" s="4">
        <f ca="1">IFERROR(__xludf.DUMMYFUNCTION("""COMPUTED_VALUE"""),42611.6666666666)</f>
        <v>42611.666666666599</v>
      </c>
      <c r="AX222" s="3">
        <f ca="1">IFERROR(__xludf.DUMMYFUNCTION("""COMPUTED_VALUE"""),33.13)</f>
        <v>33.130000000000003</v>
      </c>
      <c r="AY222" s="3">
        <f ca="1">IFERROR(__xludf.DUMMYFUNCTION("""COMPUTED_VALUE"""),33.48)</f>
        <v>33.479999999999997</v>
      </c>
      <c r="AZ222" s="3">
        <f ca="1">IFERROR(__xludf.DUMMYFUNCTION("""COMPUTED_VALUE"""),33.07)</f>
        <v>33.07</v>
      </c>
      <c r="BA222" s="3">
        <f ca="1">IFERROR(__xludf.DUMMYFUNCTION("""COMPUTED_VALUE"""),33.43)</f>
        <v>33.43</v>
      </c>
      <c r="BB222" s="3">
        <f ca="1">IFERROR(__xludf.DUMMYFUNCTION("""COMPUTED_VALUE"""),22878)</f>
        <v>22878</v>
      </c>
      <c r="BC222" s="4">
        <f ca="1">IFERROR(__xludf.DUMMYFUNCTION("""COMPUTED_VALUE"""),42446.6666666666)</f>
        <v>42446.666666666599</v>
      </c>
      <c r="BD222" s="3">
        <f ca="1">IFERROR(__xludf.DUMMYFUNCTION("""COMPUTED_VALUE"""),43.5)</f>
        <v>43.5</v>
      </c>
      <c r="BE222" s="3">
        <f ca="1">IFERROR(__xludf.DUMMYFUNCTION("""COMPUTED_VALUE"""),43.88)</f>
        <v>43.88</v>
      </c>
      <c r="BF222" s="3">
        <f ca="1">IFERROR(__xludf.DUMMYFUNCTION("""COMPUTED_VALUE"""),43.45)</f>
        <v>43.45</v>
      </c>
      <c r="BG222" s="3">
        <f ca="1">IFERROR(__xludf.DUMMYFUNCTION("""COMPUTED_VALUE"""),43.74)</f>
        <v>43.74</v>
      </c>
      <c r="BH222" s="3">
        <f ca="1">IFERROR(__xludf.DUMMYFUNCTION("""COMPUTED_VALUE"""),1858457)</f>
        <v>1858457</v>
      </c>
      <c r="BI222" s="4">
        <f ca="1">IFERROR(__xludf.DUMMYFUNCTION("""COMPUTED_VALUE"""),42446.6666666666)</f>
        <v>42446.666666666599</v>
      </c>
      <c r="BJ222" s="3">
        <f ca="1">IFERROR(__xludf.DUMMYFUNCTION("""COMPUTED_VALUE"""),48.85)</f>
        <v>48.85</v>
      </c>
      <c r="BK222" s="3">
        <f ca="1">IFERROR(__xludf.DUMMYFUNCTION("""COMPUTED_VALUE"""),49.42)</f>
        <v>49.42</v>
      </c>
      <c r="BL222" s="3">
        <f ca="1">IFERROR(__xludf.DUMMYFUNCTION("""COMPUTED_VALUE"""),48.67)</f>
        <v>48.67</v>
      </c>
      <c r="BM222" s="3">
        <f ca="1">IFERROR(__xludf.DUMMYFUNCTION("""COMPUTED_VALUE"""),49.31)</f>
        <v>49.31</v>
      </c>
      <c r="BN222" s="3">
        <f ca="1">IFERROR(__xludf.DUMMYFUNCTION("""COMPUTED_VALUE"""),5017920)</f>
        <v>5017920</v>
      </c>
    </row>
    <row r="223" spans="7:66" ht="13" x14ac:dyDescent="0.15">
      <c r="G223" s="4">
        <f ca="1">IFERROR(__xludf.DUMMYFUNCTION("""COMPUTED_VALUE"""),42447.6666666666)</f>
        <v>42447.666666666599</v>
      </c>
      <c r="H223" s="3">
        <f ca="1">IFERROR(__xludf.DUMMYFUNCTION("""COMPUTED_VALUE"""),78.13)</f>
        <v>78.13</v>
      </c>
      <c r="I223" s="3">
        <f ca="1">IFERROR(__xludf.DUMMYFUNCTION("""COMPUTED_VALUE"""),78.47)</f>
        <v>78.47</v>
      </c>
      <c r="J223" s="3">
        <f ca="1">IFERROR(__xludf.DUMMYFUNCTION("""COMPUTED_VALUE"""),77.95)</f>
        <v>77.95</v>
      </c>
      <c r="K223" s="3">
        <f ca="1">IFERROR(__xludf.DUMMYFUNCTION("""COMPUTED_VALUE"""),78.09)</f>
        <v>78.09</v>
      </c>
      <c r="L223" s="3">
        <f ca="1">IFERROR(__xludf.DUMMYFUNCTION("""COMPUTED_VALUE"""),9706532)</f>
        <v>9706532</v>
      </c>
      <c r="M223" s="4">
        <f ca="1">IFERROR(__xludf.DUMMYFUNCTION("""COMPUTED_VALUE"""),42447.6666666666)</f>
        <v>42447.666666666599</v>
      </c>
      <c r="N223" s="3">
        <f ca="1">IFERROR(__xludf.DUMMYFUNCTION("""COMPUTED_VALUE"""),52.81)</f>
        <v>52.81</v>
      </c>
      <c r="O223" s="3">
        <f ca="1">IFERROR(__xludf.DUMMYFUNCTION("""COMPUTED_VALUE"""),52.86)</f>
        <v>52.86</v>
      </c>
      <c r="P223" s="3">
        <f ca="1">IFERROR(__xludf.DUMMYFUNCTION("""COMPUTED_VALUE"""),52.57)</f>
        <v>52.57</v>
      </c>
      <c r="Q223" s="3">
        <f ca="1">IFERROR(__xludf.DUMMYFUNCTION("""COMPUTED_VALUE"""),52.65)</f>
        <v>52.65</v>
      </c>
      <c r="R223" s="3">
        <f ca="1">IFERROR(__xludf.DUMMYFUNCTION("""COMPUTED_VALUE"""),13037040)</f>
        <v>13037040</v>
      </c>
      <c r="S223" s="4">
        <f ca="1">IFERROR(__xludf.DUMMYFUNCTION("""COMPUTED_VALUE"""),42447.6666666666)</f>
        <v>42447.666666666599</v>
      </c>
      <c r="T223" s="3">
        <f ca="1">IFERROR(__xludf.DUMMYFUNCTION("""COMPUTED_VALUE"""),63.79)</f>
        <v>63.79</v>
      </c>
      <c r="U223" s="3">
        <f ca="1">IFERROR(__xludf.DUMMYFUNCTION("""COMPUTED_VALUE"""),63.85)</f>
        <v>63.85</v>
      </c>
      <c r="V223" s="3">
        <f ca="1">IFERROR(__xludf.DUMMYFUNCTION("""COMPUTED_VALUE"""),62.9)</f>
        <v>62.9</v>
      </c>
      <c r="W223" s="3">
        <f ca="1">IFERROR(__xludf.DUMMYFUNCTION("""COMPUTED_VALUE"""),63.49)</f>
        <v>63.49</v>
      </c>
      <c r="X223" s="3">
        <f ca="1">IFERROR(__xludf.DUMMYFUNCTION("""COMPUTED_VALUE"""),30474007)</f>
        <v>30474007</v>
      </c>
      <c r="Y223" s="4">
        <f ca="1">IFERROR(__xludf.DUMMYFUNCTION("""COMPUTED_VALUE"""),42447.6666666666)</f>
        <v>42447.666666666599</v>
      </c>
      <c r="Z223" s="3">
        <f ca="1">IFERROR(__xludf.DUMMYFUNCTION("""COMPUTED_VALUE"""),18.41)</f>
        <v>18.41</v>
      </c>
      <c r="AA223" s="3">
        <f ca="1">IFERROR(__xludf.DUMMYFUNCTION("""COMPUTED_VALUE"""),18.53)</f>
        <v>18.53</v>
      </c>
      <c r="AB223" s="3">
        <f ca="1">IFERROR(__xludf.DUMMYFUNCTION("""COMPUTED_VALUE"""),18.36)</f>
        <v>18.36</v>
      </c>
      <c r="AC223" s="3">
        <f ca="1">IFERROR(__xludf.DUMMYFUNCTION("""COMPUTED_VALUE"""),18.46)</f>
        <v>18.46</v>
      </c>
      <c r="AD223" s="3">
        <f ca="1">IFERROR(__xludf.DUMMYFUNCTION("""COMPUTED_VALUE"""),52827971)</f>
        <v>52827971</v>
      </c>
      <c r="AE223" s="4">
        <f ca="1">IFERROR(__xludf.DUMMYFUNCTION("""COMPUTED_VALUE"""),42447.6666666666)</f>
        <v>42447.666666666599</v>
      </c>
      <c r="AF223" s="3">
        <f ca="1">IFERROR(__xludf.DUMMYFUNCTION("""COMPUTED_VALUE"""),66.18)</f>
        <v>66.180000000000007</v>
      </c>
      <c r="AG223" s="3">
        <f ca="1">IFERROR(__xludf.DUMMYFUNCTION("""COMPUTED_VALUE"""),67.08)</f>
        <v>67.08</v>
      </c>
      <c r="AH223" s="3">
        <f ca="1">IFERROR(__xludf.DUMMYFUNCTION("""COMPUTED_VALUE"""),66.06)</f>
        <v>66.06</v>
      </c>
      <c r="AI223" s="3">
        <f ca="1">IFERROR(__xludf.DUMMYFUNCTION("""COMPUTED_VALUE"""),66.84)</f>
        <v>66.84</v>
      </c>
      <c r="AJ223" s="3">
        <f ca="1">IFERROR(__xludf.DUMMYFUNCTION("""COMPUTED_VALUE"""),19524758)</f>
        <v>19524758</v>
      </c>
      <c r="AK223" s="4">
        <f ca="1">IFERROR(__xludf.DUMMYFUNCTION("""COMPUTED_VALUE"""),42447.6666666666)</f>
        <v>42447.666666666599</v>
      </c>
      <c r="AL223" s="3">
        <f ca="1">IFERROR(__xludf.DUMMYFUNCTION("""COMPUTED_VALUE"""),55.3)</f>
        <v>55.3</v>
      </c>
      <c r="AM223" s="3">
        <f ca="1">IFERROR(__xludf.DUMMYFUNCTION("""COMPUTED_VALUE"""),55.75)</f>
        <v>55.75</v>
      </c>
      <c r="AN223" s="3">
        <f ca="1">IFERROR(__xludf.DUMMYFUNCTION("""COMPUTED_VALUE"""),55.24)</f>
        <v>55.24</v>
      </c>
      <c r="AO223" s="3">
        <f ca="1">IFERROR(__xludf.DUMMYFUNCTION("""COMPUTED_VALUE"""),55.63)</f>
        <v>55.63</v>
      </c>
      <c r="AP223" s="3">
        <f ca="1">IFERROR(__xludf.DUMMYFUNCTION("""COMPUTED_VALUE"""),17059773)</f>
        <v>17059773</v>
      </c>
      <c r="AQ223" s="4">
        <f ca="1">IFERROR(__xludf.DUMMYFUNCTION("""COMPUTED_VALUE"""),42447.6666666666)</f>
        <v>42447.666666666599</v>
      </c>
      <c r="AR223" s="3">
        <f ca="1">IFERROR(__xludf.DUMMYFUNCTION("""COMPUTED_VALUE"""),45.51)</f>
        <v>45.51</v>
      </c>
      <c r="AS223" s="3">
        <f ca="1">IFERROR(__xludf.DUMMYFUNCTION("""COMPUTED_VALUE"""),45.74)</f>
        <v>45.74</v>
      </c>
      <c r="AT223" s="3">
        <f ca="1">IFERROR(__xludf.DUMMYFUNCTION("""COMPUTED_VALUE"""),45.17)</f>
        <v>45.17</v>
      </c>
      <c r="AU223" s="3">
        <f ca="1">IFERROR(__xludf.DUMMYFUNCTION("""COMPUTED_VALUE"""),45.42)</f>
        <v>45.42</v>
      </c>
      <c r="AV223" s="3">
        <f ca="1">IFERROR(__xludf.DUMMYFUNCTION("""COMPUTED_VALUE"""),7630194)</f>
        <v>7630194</v>
      </c>
      <c r="AW223" s="4">
        <f ca="1">IFERROR(__xludf.DUMMYFUNCTION("""COMPUTED_VALUE"""),42612.6666666666)</f>
        <v>42612.666666666599</v>
      </c>
      <c r="AX223" s="3">
        <f ca="1">IFERROR(__xludf.DUMMYFUNCTION("""COMPUTED_VALUE"""),33.49)</f>
        <v>33.49</v>
      </c>
      <c r="AY223" s="3">
        <f ca="1">IFERROR(__xludf.DUMMYFUNCTION("""COMPUTED_VALUE"""),33.49)</f>
        <v>33.49</v>
      </c>
      <c r="AZ223" s="3">
        <f ca="1">IFERROR(__xludf.DUMMYFUNCTION("""COMPUTED_VALUE"""),33.16)</f>
        <v>33.159999999999997</v>
      </c>
      <c r="BA223" s="3">
        <f ca="1">IFERROR(__xludf.DUMMYFUNCTION("""COMPUTED_VALUE"""),33.33)</f>
        <v>33.33</v>
      </c>
      <c r="BB223" s="3">
        <f ca="1">IFERROR(__xludf.DUMMYFUNCTION("""COMPUTED_VALUE"""),38604)</f>
        <v>38604</v>
      </c>
      <c r="BC223" s="4">
        <f ca="1">IFERROR(__xludf.DUMMYFUNCTION("""COMPUTED_VALUE"""),42447.6666666666)</f>
        <v>42447.666666666599</v>
      </c>
      <c r="BD223" s="3">
        <f ca="1">IFERROR(__xludf.DUMMYFUNCTION("""COMPUTED_VALUE"""),43.69)</f>
        <v>43.69</v>
      </c>
      <c r="BE223" s="3">
        <f ca="1">IFERROR(__xludf.DUMMYFUNCTION("""COMPUTED_VALUE"""),43.72)</f>
        <v>43.72</v>
      </c>
      <c r="BF223" s="3">
        <f ca="1">IFERROR(__xludf.DUMMYFUNCTION("""COMPUTED_VALUE"""),43.4)</f>
        <v>43.4</v>
      </c>
      <c r="BG223" s="3">
        <f ca="1">IFERROR(__xludf.DUMMYFUNCTION("""COMPUTED_VALUE"""),43.59)</f>
        <v>43.59</v>
      </c>
      <c r="BH223" s="3">
        <f ca="1">IFERROR(__xludf.DUMMYFUNCTION("""COMPUTED_VALUE"""),9414370)</f>
        <v>9414370</v>
      </c>
      <c r="BI223" s="4">
        <f ca="1">IFERROR(__xludf.DUMMYFUNCTION("""COMPUTED_VALUE"""),42447.6666666666)</f>
        <v>42447.666666666599</v>
      </c>
      <c r="BJ223" s="3">
        <f ca="1">IFERROR(__xludf.DUMMYFUNCTION("""COMPUTED_VALUE"""),48.94)</f>
        <v>48.94</v>
      </c>
      <c r="BK223" s="3">
        <f ca="1">IFERROR(__xludf.DUMMYFUNCTION("""COMPUTED_VALUE"""),49.09)</f>
        <v>49.09</v>
      </c>
      <c r="BL223" s="3">
        <f ca="1">IFERROR(__xludf.DUMMYFUNCTION("""COMPUTED_VALUE"""),48.61)</f>
        <v>48.61</v>
      </c>
      <c r="BM223" s="3">
        <f ca="1">IFERROR(__xludf.DUMMYFUNCTION("""COMPUTED_VALUE"""),48.63)</f>
        <v>48.63</v>
      </c>
      <c r="BN223" s="3">
        <f ca="1">IFERROR(__xludf.DUMMYFUNCTION("""COMPUTED_VALUE"""),16990654)</f>
        <v>16990654</v>
      </c>
    </row>
    <row r="224" spans="7:66" ht="13" x14ac:dyDescent="0.15">
      <c r="G224" s="4">
        <f ca="1">IFERROR(__xludf.DUMMYFUNCTION("""COMPUTED_VALUE"""),42450.6666666666)</f>
        <v>42450.666666666599</v>
      </c>
      <c r="H224" s="3">
        <f ca="1">IFERROR(__xludf.DUMMYFUNCTION("""COMPUTED_VALUE"""),78.07)</f>
        <v>78.069999999999993</v>
      </c>
      <c r="I224" s="3">
        <f ca="1">IFERROR(__xludf.DUMMYFUNCTION("""COMPUTED_VALUE"""),78.22)</f>
        <v>78.22</v>
      </c>
      <c r="J224" s="3">
        <f ca="1">IFERROR(__xludf.DUMMYFUNCTION("""COMPUTED_VALUE"""),77.64)</f>
        <v>77.64</v>
      </c>
      <c r="K224" s="3">
        <f ca="1">IFERROR(__xludf.DUMMYFUNCTION("""COMPUTED_VALUE"""),78.13)</f>
        <v>78.13</v>
      </c>
      <c r="L224" s="3">
        <f ca="1">IFERROR(__xludf.DUMMYFUNCTION("""COMPUTED_VALUE"""),4049374)</f>
        <v>4049374</v>
      </c>
      <c r="M224" s="4">
        <f ca="1">IFERROR(__xludf.DUMMYFUNCTION("""COMPUTED_VALUE"""),42450.6666666666)</f>
        <v>42450.666666666599</v>
      </c>
      <c r="N224" s="3">
        <f ca="1">IFERROR(__xludf.DUMMYFUNCTION("""COMPUTED_VALUE"""),52.67)</f>
        <v>52.67</v>
      </c>
      <c r="O224" s="3">
        <f ca="1">IFERROR(__xludf.DUMMYFUNCTION("""COMPUTED_VALUE"""),52.87)</f>
        <v>52.87</v>
      </c>
      <c r="P224" s="3">
        <f ca="1">IFERROR(__xludf.DUMMYFUNCTION("""COMPUTED_VALUE"""),52.44)</f>
        <v>52.44</v>
      </c>
      <c r="Q224" s="3">
        <f ca="1">IFERROR(__xludf.DUMMYFUNCTION("""COMPUTED_VALUE"""),52.68)</f>
        <v>52.68</v>
      </c>
      <c r="R224" s="3">
        <f ca="1">IFERROR(__xludf.DUMMYFUNCTION("""COMPUTED_VALUE"""),11421420)</f>
        <v>11421420</v>
      </c>
      <c r="S224" s="4">
        <f ca="1">IFERROR(__xludf.DUMMYFUNCTION("""COMPUTED_VALUE"""),42450.6666666666)</f>
        <v>42450.666666666599</v>
      </c>
      <c r="T224" s="3">
        <f ca="1">IFERROR(__xludf.DUMMYFUNCTION("""COMPUTED_VALUE"""),63.24)</f>
        <v>63.24</v>
      </c>
      <c r="U224" s="3">
        <f ca="1">IFERROR(__xludf.DUMMYFUNCTION("""COMPUTED_VALUE"""),63.69)</f>
        <v>63.69</v>
      </c>
      <c r="V224" s="3">
        <f ca="1">IFERROR(__xludf.DUMMYFUNCTION("""COMPUTED_VALUE"""),62.57)</f>
        <v>62.57</v>
      </c>
      <c r="W224" s="3">
        <f ca="1">IFERROR(__xludf.DUMMYFUNCTION("""COMPUTED_VALUE"""),63.27)</f>
        <v>63.27</v>
      </c>
      <c r="X224" s="3">
        <f ca="1">IFERROR(__xludf.DUMMYFUNCTION("""COMPUTED_VALUE"""),16698510)</f>
        <v>16698510</v>
      </c>
      <c r="Y224" s="4">
        <f ca="1">IFERROR(__xludf.DUMMYFUNCTION("""COMPUTED_VALUE"""),42450.6666666666)</f>
        <v>42450.666666666599</v>
      </c>
      <c r="Z224" s="3">
        <f ca="1">IFERROR(__xludf.DUMMYFUNCTION("""COMPUTED_VALUE"""),18.4)</f>
        <v>18.399999999999999</v>
      </c>
      <c r="AA224" s="3">
        <f ca="1">IFERROR(__xludf.DUMMYFUNCTION("""COMPUTED_VALUE"""),18.55)</f>
        <v>18.55</v>
      </c>
      <c r="AB224" s="3">
        <f ca="1">IFERROR(__xludf.DUMMYFUNCTION("""COMPUTED_VALUE"""),18.35)</f>
        <v>18.350000000000001</v>
      </c>
      <c r="AC224" s="3">
        <f ca="1">IFERROR(__xludf.DUMMYFUNCTION("""COMPUTED_VALUE"""),18.43)</f>
        <v>18.43</v>
      </c>
      <c r="AD224" s="3">
        <f ca="1">IFERROR(__xludf.DUMMYFUNCTION("""COMPUTED_VALUE"""),38573777)</f>
        <v>38573777</v>
      </c>
      <c r="AE224" s="4">
        <f ca="1">IFERROR(__xludf.DUMMYFUNCTION("""COMPUTED_VALUE"""),42450.6666666666)</f>
        <v>42450.666666666599</v>
      </c>
      <c r="AF224" s="3">
        <f ca="1">IFERROR(__xludf.DUMMYFUNCTION("""COMPUTED_VALUE"""),66.9)</f>
        <v>66.900000000000006</v>
      </c>
      <c r="AG224" s="3">
        <f ca="1">IFERROR(__xludf.DUMMYFUNCTION("""COMPUTED_VALUE"""),67.37)</f>
        <v>67.37</v>
      </c>
      <c r="AH224" s="3">
        <f ca="1">IFERROR(__xludf.DUMMYFUNCTION("""COMPUTED_VALUE"""),66.79)</f>
        <v>66.790000000000006</v>
      </c>
      <c r="AI224" s="3">
        <f ca="1">IFERROR(__xludf.DUMMYFUNCTION("""COMPUTED_VALUE"""),67.23)</f>
        <v>67.23</v>
      </c>
      <c r="AJ224" s="3">
        <f ca="1">IFERROR(__xludf.DUMMYFUNCTION("""COMPUTED_VALUE"""),12183575)</f>
        <v>12183575</v>
      </c>
      <c r="AK224" s="4">
        <f ca="1">IFERROR(__xludf.DUMMYFUNCTION("""COMPUTED_VALUE"""),42450.6666666666)</f>
        <v>42450.666666666599</v>
      </c>
      <c r="AL224" s="3">
        <f ca="1">IFERROR(__xludf.DUMMYFUNCTION("""COMPUTED_VALUE"""),55.56)</f>
        <v>55.56</v>
      </c>
      <c r="AM224" s="3">
        <f ca="1">IFERROR(__xludf.DUMMYFUNCTION("""COMPUTED_VALUE"""),55.96)</f>
        <v>55.96</v>
      </c>
      <c r="AN224" s="3">
        <f ca="1">IFERROR(__xludf.DUMMYFUNCTION("""COMPUTED_VALUE"""),55.49)</f>
        <v>55.49</v>
      </c>
      <c r="AO224" s="3">
        <f ca="1">IFERROR(__xludf.DUMMYFUNCTION("""COMPUTED_VALUE"""),55.96)</f>
        <v>55.96</v>
      </c>
      <c r="AP224" s="3">
        <f ca="1">IFERROR(__xludf.DUMMYFUNCTION("""COMPUTED_VALUE"""),7150439)</f>
        <v>7150439</v>
      </c>
      <c r="AQ224" s="4">
        <f ca="1">IFERROR(__xludf.DUMMYFUNCTION("""COMPUTED_VALUE"""),42450.6666666666)</f>
        <v>42450.666666666599</v>
      </c>
      <c r="AR224" s="3">
        <f ca="1">IFERROR(__xludf.DUMMYFUNCTION("""COMPUTED_VALUE"""),45.32)</f>
        <v>45.32</v>
      </c>
      <c r="AS224" s="3">
        <f ca="1">IFERROR(__xludf.DUMMYFUNCTION("""COMPUTED_VALUE"""),45.63)</f>
        <v>45.63</v>
      </c>
      <c r="AT224" s="3">
        <f ca="1">IFERROR(__xludf.DUMMYFUNCTION("""COMPUTED_VALUE"""),44.76)</f>
        <v>44.76</v>
      </c>
      <c r="AU224" s="3">
        <f ca="1">IFERROR(__xludf.DUMMYFUNCTION("""COMPUTED_VALUE"""),45.63)</f>
        <v>45.63</v>
      </c>
      <c r="AV224" s="3">
        <f ca="1">IFERROR(__xludf.DUMMYFUNCTION("""COMPUTED_VALUE"""),5074746)</f>
        <v>5074746</v>
      </c>
      <c r="AW224" s="4">
        <f ca="1">IFERROR(__xludf.DUMMYFUNCTION("""COMPUTED_VALUE"""),42613.6666666666)</f>
        <v>42613.666666666599</v>
      </c>
      <c r="AX224" s="3">
        <f ca="1">IFERROR(__xludf.DUMMYFUNCTION("""COMPUTED_VALUE"""),33.43)</f>
        <v>33.43</v>
      </c>
      <c r="AY224" s="3">
        <f ca="1">IFERROR(__xludf.DUMMYFUNCTION("""COMPUTED_VALUE"""),33.46)</f>
        <v>33.46</v>
      </c>
      <c r="AZ224" s="3">
        <f ca="1">IFERROR(__xludf.DUMMYFUNCTION("""COMPUTED_VALUE"""),33.19)</f>
        <v>33.19</v>
      </c>
      <c r="BA224" s="3">
        <f ca="1">IFERROR(__xludf.DUMMYFUNCTION("""COMPUTED_VALUE"""),33.38)</f>
        <v>33.380000000000003</v>
      </c>
      <c r="BB224" s="3">
        <f ca="1">IFERROR(__xludf.DUMMYFUNCTION("""COMPUTED_VALUE"""),143354)</f>
        <v>143354</v>
      </c>
      <c r="BC224" s="4">
        <f ca="1">IFERROR(__xludf.DUMMYFUNCTION("""COMPUTED_VALUE"""),42450.6666666666)</f>
        <v>42450.666666666599</v>
      </c>
      <c r="BD224" s="3">
        <f ca="1">IFERROR(__xludf.DUMMYFUNCTION("""COMPUTED_VALUE"""),43.49)</f>
        <v>43.49</v>
      </c>
      <c r="BE224" s="3">
        <f ca="1">IFERROR(__xludf.DUMMYFUNCTION("""COMPUTED_VALUE"""),43.76)</f>
        <v>43.76</v>
      </c>
      <c r="BF224" s="3">
        <f ca="1">IFERROR(__xludf.DUMMYFUNCTION("""COMPUTED_VALUE"""),43.47)</f>
        <v>43.47</v>
      </c>
      <c r="BG224" s="3">
        <f ca="1">IFERROR(__xludf.DUMMYFUNCTION("""COMPUTED_VALUE"""),43.74)</f>
        <v>43.74</v>
      </c>
      <c r="BH224" s="3">
        <f ca="1">IFERROR(__xludf.DUMMYFUNCTION("""COMPUTED_VALUE"""),8003471)</f>
        <v>8003471</v>
      </c>
      <c r="BI224" s="4">
        <f ca="1">IFERROR(__xludf.DUMMYFUNCTION("""COMPUTED_VALUE"""),42450.6666666666)</f>
        <v>42450.666666666599</v>
      </c>
      <c r="BJ224" s="3">
        <f ca="1">IFERROR(__xludf.DUMMYFUNCTION("""COMPUTED_VALUE"""),48.48)</f>
        <v>48.48</v>
      </c>
      <c r="BK224" s="3">
        <f ca="1">IFERROR(__xludf.DUMMYFUNCTION("""COMPUTED_VALUE"""),48.82)</f>
        <v>48.82</v>
      </c>
      <c r="BL224" s="3">
        <f ca="1">IFERROR(__xludf.DUMMYFUNCTION("""COMPUTED_VALUE"""),48.11)</f>
        <v>48.11</v>
      </c>
      <c r="BM224" s="3">
        <f ca="1">IFERROR(__xludf.DUMMYFUNCTION("""COMPUTED_VALUE"""),48.58)</f>
        <v>48.58</v>
      </c>
      <c r="BN224" s="3">
        <f ca="1">IFERROR(__xludf.DUMMYFUNCTION("""COMPUTED_VALUE"""),15743228)</f>
        <v>15743228</v>
      </c>
    </row>
    <row r="225" spans="7:66" ht="13" x14ac:dyDescent="0.15">
      <c r="G225" s="4">
        <f ca="1">IFERROR(__xludf.DUMMYFUNCTION("""COMPUTED_VALUE"""),42451.6666666666)</f>
        <v>42451.666666666599</v>
      </c>
      <c r="H225" s="3">
        <f ca="1">IFERROR(__xludf.DUMMYFUNCTION("""COMPUTED_VALUE"""),77.57)</f>
        <v>77.569999999999993</v>
      </c>
      <c r="I225" s="3">
        <f ca="1">IFERROR(__xludf.DUMMYFUNCTION("""COMPUTED_VALUE"""),78.22)</f>
        <v>78.22</v>
      </c>
      <c r="J225" s="3">
        <f ca="1">IFERROR(__xludf.DUMMYFUNCTION("""COMPUTED_VALUE"""),77.54)</f>
        <v>77.540000000000006</v>
      </c>
      <c r="K225" s="3">
        <f ca="1">IFERROR(__xludf.DUMMYFUNCTION("""COMPUTED_VALUE"""),78)</f>
        <v>78</v>
      </c>
      <c r="L225" s="3">
        <f ca="1">IFERROR(__xludf.DUMMYFUNCTION("""COMPUTED_VALUE"""),4492322)</f>
        <v>4492322</v>
      </c>
      <c r="M225" s="4">
        <f ca="1">IFERROR(__xludf.DUMMYFUNCTION("""COMPUTED_VALUE"""),42451.6666666666)</f>
        <v>42451.666666666599</v>
      </c>
      <c r="N225" s="3">
        <f ca="1">IFERROR(__xludf.DUMMYFUNCTION("""COMPUTED_VALUE"""),52.51)</f>
        <v>52.51</v>
      </c>
      <c r="O225" s="3">
        <f ca="1">IFERROR(__xludf.DUMMYFUNCTION("""COMPUTED_VALUE"""),52.65)</f>
        <v>52.65</v>
      </c>
      <c r="P225" s="3">
        <f ca="1">IFERROR(__xludf.DUMMYFUNCTION("""COMPUTED_VALUE"""),52.29)</f>
        <v>52.29</v>
      </c>
      <c r="Q225" s="3">
        <f ca="1">IFERROR(__xludf.DUMMYFUNCTION("""COMPUTED_VALUE"""),52.37)</f>
        <v>52.37</v>
      </c>
      <c r="R225" s="3">
        <f ca="1">IFERROR(__xludf.DUMMYFUNCTION("""COMPUTED_VALUE"""),9853229)</f>
        <v>9853229</v>
      </c>
      <c r="S225" s="4">
        <f ca="1">IFERROR(__xludf.DUMMYFUNCTION("""COMPUTED_VALUE"""),42451.6666666666)</f>
        <v>42451.666666666599</v>
      </c>
      <c r="T225" s="3">
        <f ca="1">IFERROR(__xludf.DUMMYFUNCTION("""COMPUTED_VALUE"""),62.53)</f>
        <v>62.53</v>
      </c>
      <c r="U225" s="3">
        <f ca="1">IFERROR(__xludf.DUMMYFUNCTION("""COMPUTED_VALUE"""),63.49)</f>
        <v>63.49</v>
      </c>
      <c r="V225" s="3">
        <f ca="1">IFERROR(__xludf.DUMMYFUNCTION("""COMPUTED_VALUE"""),62.49)</f>
        <v>62.49</v>
      </c>
      <c r="W225" s="3">
        <f ca="1">IFERROR(__xludf.DUMMYFUNCTION("""COMPUTED_VALUE"""),62.92)</f>
        <v>62.92</v>
      </c>
      <c r="X225" s="3">
        <f ca="1">IFERROR(__xludf.DUMMYFUNCTION("""COMPUTED_VALUE"""),14180119)</f>
        <v>14180119</v>
      </c>
      <c r="Y225" s="4">
        <f ca="1">IFERROR(__xludf.DUMMYFUNCTION("""COMPUTED_VALUE"""),42451.6666666666)</f>
        <v>42451.666666666599</v>
      </c>
      <c r="Z225" s="3">
        <f ca="1">IFERROR(__xludf.DUMMYFUNCTION("""COMPUTED_VALUE"""),18.3)</f>
        <v>18.3</v>
      </c>
      <c r="AA225" s="3">
        <f ca="1">IFERROR(__xludf.DUMMYFUNCTION("""COMPUTED_VALUE"""),18.44)</f>
        <v>18.440000000000001</v>
      </c>
      <c r="AB225" s="3">
        <f ca="1">IFERROR(__xludf.DUMMYFUNCTION("""COMPUTED_VALUE"""),18.25)</f>
        <v>18.25</v>
      </c>
      <c r="AC225" s="3">
        <f ca="1">IFERROR(__xludf.DUMMYFUNCTION("""COMPUTED_VALUE"""),18.37)</f>
        <v>18.37</v>
      </c>
      <c r="AD225" s="3">
        <f ca="1">IFERROR(__xludf.DUMMYFUNCTION("""COMPUTED_VALUE"""),35322830)</f>
        <v>35322830</v>
      </c>
      <c r="AE225" s="4">
        <f ca="1">IFERROR(__xludf.DUMMYFUNCTION("""COMPUTED_VALUE"""),42451.6666666666)</f>
        <v>42451.666666666599</v>
      </c>
      <c r="AF225" s="3">
        <f ca="1">IFERROR(__xludf.DUMMYFUNCTION("""COMPUTED_VALUE"""),67.01)</f>
        <v>67.010000000000005</v>
      </c>
      <c r="AG225" s="3">
        <f ca="1">IFERROR(__xludf.DUMMYFUNCTION("""COMPUTED_VALUE"""),68.11)</f>
        <v>68.11</v>
      </c>
      <c r="AH225" s="3">
        <f ca="1">IFERROR(__xludf.DUMMYFUNCTION("""COMPUTED_VALUE"""),67.01)</f>
        <v>67.010000000000005</v>
      </c>
      <c r="AI225" s="3">
        <f ca="1">IFERROR(__xludf.DUMMYFUNCTION("""COMPUTED_VALUE"""),67.9)</f>
        <v>67.900000000000006</v>
      </c>
      <c r="AJ225" s="3">
        <f ca="1">IFERROR(__xludf.DUMMYFUNCTION("""COMPUTED_VALUE"""),13200185)</f>
        <v>13200185</v>
      </c>
      <c r="AK225" s="4">
        <f ca="1">IFERROR(__xludf.DUMMYFUNCTION("""COMPUTED_VALUE"""),42451.6666666666)</f>
        <v>42451.666666666599</v>
      </c>
      <c r="AL225" s="3">
        <f ca="1">IFERROR(__xludf.DUMMYFUNCTION("""COMPUTED_VALUE"""),55.41)</f>
        <v>55.41</v>
      </c>
      <c r="AM225" s="3">
        <f ca="1">IFERROR(__xludf.DUMMYFUNCTION("""COMPUTED_VALUE"""),55.81)</f>
        <v>55.81</v>
      </c>
      <c r="AN225" s="3">
        <f ca="1">IFERROR(__xludf.DUMMYFUNCTION("""COMPUTED_VALUE"""),55.4)</f>
        <v>55.4</v>
      </c>
      <c r="AO225" s="3">
        <f ca="1">IFERROR(__xludf.DUMMYFUNCTION("""COMPUTED_VALUE"""),55.64)</f>
        <v>55.64</v>
      </c>
      <c r="AP225" s="3">
        <f ca="1">IFERROR(__xludf.DUMMYFUNCTION("""COMPUTED_VALUE"""),7570862)</f>
        <v>7570862</v>
      </c>
      <c r="AQ225" s="4">
        <f ca="1">IFERROR(__xludf.DUMMYFUNCTION("""COMPUTED_VALUE"""),42451.6666666666)</f>
        <v>42451.666666666599</v>
      </c>
      <c r="AR225" s="3">
        <f ca="1">IFERROR(__xludf.DUMMYFUNCTION("""COMPUTED_VALUE"""),44.75)</f>
        <v>44.75</v>
      </c>
      <c r="AS225" s="3">
        <f ca="1">IFERROR(__xludf.DUMMYFUNCTION("""COMPUTED_VALUE"""),45.28)</f>
        <v>45.28</v>
      </c>
      <c r="AT225" s="3">
        <f ca="1">IFERROR(__xludf.DUMMYFUNCTION("""COMPUTED_VALUE"""),44.68)</f>
        <v>44.68</v>
      </c>
      <c r="AU225" s="3">
        <f ca="1">IFERROR(__xludf.DUMMYFUNCTION("""COMPUTED_VALUE"""),45.11)</f>
        <v>45.11</v>
      </c>
      <c r="AV225" s="3">
        <f ca="1">IFERROR(__xludf.DUMMYFUNCTION("""COMPUTED_VALUE"""),4096125)</f>
        <v>4096125</v>
      </c>
      <c r="AW225" s="4">
        <f ca="1">IFERROR(__xludf.DUMMYFUNCTION("""COMPUTED_VALUE"""),42614.6666666666)</f>
        <v>42614.666666666599</v>
      </c>
      <c r="AX225" s="3">
        <f ca="1">IFERROR(__xludf.DUMMYFUNCTION("""COMPUTED_VALUE"""),33.51)</f>
        <v>33.51</v>
      </c>
      <c r="AY225" s="3">
        <f ca="1">IFERROR(__xludf.DUMMYFUNCTION("""COMPUTED_VALUE"""),33.51)</f>
        <v>33.51</v>
      </c>
      <c r="AZ225" s="3">
        <f ca="1">IFERROR(__xludf.DUMMYFUNCTION("""COMPUTED_VALUE"""),33.16)</f>
        <v>33.159999999999997</v>
      </c>
      <c r="BA225" s="3">
        <f ca="1">IFERROR(__xludf.DUMMYFUNCTION("""COMPUTED_VALUE"""),33.37)</f>
        <v>33.369999999999997</v>
      </c>
      <c r="BB225" s="3">
        <f ca="1">IFERROR(__xludf.DUMMYFUNCTION("""COMPUTED_VALUE"""),69541)</f>
        <v>69541</v>
      </c>
      <c r="BC225" s="4">
        <f ca="1">IFERROR(__xludf.DUMMYFUNCTION("""COMPUTED_VALUE"""),42451.6666666666)</f>
        <v>42451.666666666599</v>
      </c>
      <c r="BD225" s="3">
        <f ca="1">IFERROR(__xludf.DUMMYFUNCTION("""COMPUTED_VALUE"""),43.54)</f>
        <v>43.54</v>
      </c>
      <c r="BE225" s="3">
        <f ca="1">IFERROR(__xludf.DUMMYFUNCTION("""COMPUTED_VALUE"""),43.92)</f>
        <v>43.92</v>
      </c>
      <c r="BF225" s="3">
        <f ca="1">IFERROR(__xludf.DUMMYFUNCTION("""COMPUTED_VALUE"""),43.54)</f>
        <v>43.54</v>
      </c>
      <c r="BG225" s="3">
        <f ca="1">IFERROR(__xludf.DUMMYFUNCTION("""COMPUTED_VALUE"""),43.75)</f>
        <v>43.75</v>
      </c>
      <c r="BH225" s="3">
        <f ca="1">IFERROR(__xludf.DUMMYFUNCTION("""COMPUTED_VALUE"""),13112858)</f>
        <v>13112858</v>
      </c>
      <c r="BI225" s="4">
        <f ca="1">IFERROR(__xludf.DUMMYFUNCTION("""COMPUTED_VALUE"""),42451.6666666666)</f>
        <v>42451.666666666599</v>
      </c>
      <c r="BJ225" s="3">
        <f ca="1">IFERROR(__xludf.DUMMYFUNCTION("""COMPUTED_VALUE"""),48.52)</f>
        <v>48.52</v>
      </c>
      <c r="BK225" s="3">
        <f ca="1">IFERROR(__xludf.DUMMYFUNCTION("""COMPUTED_VALUE"""),48.78)</f>
        <v>48.78</v>
      </c>
      <c r="BL225" s="3">
        <f ca="1">IFERROR(__xludf.DUMMYFUNCTION("""COMPUTED_VALUE"""),48.36)</f>
        <v>48.36</v>
      </c>
      <c r="BM225" s="3">
        <f ca="1">IFERROR(__xludf.DUMMYFUNCTION("""COMPUTED_VALUE"""),48.42)</f>
        <v>48.42</v>
      </c>
      <c r="BN225" s="3">
        <f ca="1">IFERROR(__xludf.DUMMYFUNCTION("""COMPUTED_VALUE"""),11457382)</f>
        <v>11457382</v>
      </c>
    </row>
    <row r="226" spans="7:66" ht="13" x14ac:dyDescent="0.15">
      <c r="G226" s="4">
        <f ca="1">IFERROR(__xludf.DUMMYFUNCTION("""COMPUTED_VALUE"""),42452.6666666666)</f>
        <v>42452.666666666599</v>
      </c>
      <c r="H226" s="3">
        <f ca="1">IFERROR(__xludf.DUMMYFUNCTION("""COMPUTED_VALUE"""),77.63)</f>
        <v>77.63</v>
      </c>
      <c r="I226" s="3">
        <f ca="1">IFERROR(__xludf.DUMMYFUNCTION("""COMPUTED_VALUE"""),77.83)</f>
        <v>77.83</v>
      </c>
      <c r="J226" s="3">
        <f ca="1">IFERROR(__xludf.DUMMYFUNCTION("""COMPUTED_VALUE"""),77.37)</f>
        <v>77.37</v>
      </c>
      <c r="K226" s="3">
        <f ca="1">IFERROR(__xludf.DUMMYFUNCTION("""COMPUTED_VALUE"""),77.45)</f>
        <v>77.45</v>
      </c>
      <c r="L226" s="3">
        <f ca="1">IFERROR(__xludf.DUMMYFUNCTION("""COMPUTED_VALUE"""),8521961)</f>
        <v>8521961</v>
      </c>
      <c r="M226" s="4">
        <f ca="1">IFERROR(__xludf.DUMMYFUNCTION("""COMPUTED_VALUE"""),42452.6666666666)</f>
        <v>42452.666666666599</v>
      </c>
      <c r="N226" s="3">
        <f ca="1">IFERROR(__xludf.DUMMYFUNCTION("""COMPUTED_VALUE"""),52.26)</f>
        <v>52.26</v>
      </c>
      <c r="O226" s="3">
        <f ca="1">IFERROR(__xludf.DUMMYFUNCTION("""COMPUTED_VALUE"""),52.94)</f>
        <v>52.94</v>
      </c>
      <c r="P226" s="3">
        <f ca="1">IFERROR(__xludf.DUMMYFUNCTION("""COMPUTED_VALUE"""),52.24)</f>
        <v>52.24</v>
      </c>
      <c r="Q226" s="3">
        <f ca="1">IFERROR(__xludf.DUMMYFUNCTION("""COMPUTED_VALUE"""),52.38)</f>
        <v>52.38</v>
      </c>
      <c r="R226" s="3">
        <f ca="1">IFERROR(__xludf.DUMMYFUNCTION("""COMPUTED_VALUE"""),11304315)</f>
        <v>11304315</v>
      </c>
      <c r="S226" s="4">
        <f ca="1">IFERROR(__xludf.DUMMYFUNCTION("""COMPUTED_VALUE"""),42452.6666666666)</f>
        <v>42452.666666666599</v>
      </c>
      <c r="T226" s="3">
        <f ca="1">IFERROR(__xludf.DUMMYFUNCTION("""COMPUTED_VALUE"""),62.47)</f>
        <v>62.47</v>
      </c>
      <c r="U226" s="3">
        <f ca="1">IFERROR(__xludf.DUMMYFUNCTION("""COMPUTED_VALUE"""),62.7)</f>
        <v>62.7</v>
      </c>
      <c r="V226" s="3">
        <f ca="1">IFERROR(__xludf.DUMMYFUNCTION("""COMPUTED_VALUE"""),61.42)</f>
        <v>61.42</v>
      </c>
      <c r="W226" s="3">
        <f ca="1">IFERROR(__xludf.DUMMYFUNCTION("""COMPUTED_VALUE"""),61.54)</f>
        <v>61.54</v>
      </c>
      <c r="X226" s="3">
        <f ca="1">IFERROR(__xludf.DUMMYFUNCTION("""COMPUTED_VALUE"""),18873756)</f>
        <v>18873756</v>
      </c>
      <c r="Y226" s="4">
        <f ca="1">IFERROR(__xludf.DUMMYFUNCTION("""COMPUTED_VALUE"""),42452.6666666666)</f>
        <v>42452.666666666599</v>
      </c>
      <c r="Z226" s="3">
        <f ca="1">IFERROR(__xludf.DUMMYFUNCTION("""COMPUTED_VALUE"""),18.34)</f>
        <v>18.34</v>
      </c>
      <c r="AA226" s="3">
        <f ca="1">IFERROR(__xludf.DUMMYFUNCTION("""COMPUTED_VALUE"""),18.36)</f>
        <v>18.36</v>
      </c>
      <c r="AB226" s="3">
        <f ca="1">IFERROR(__xludf.DUMMYFUNCTION("""COMPUTED_VALUE"""),18.22)</f>
        <v>18.22</v>
      </c>
      <c r="AC226" s="3">
        <f ca="1">IFERROR(__xludf.DUMMYFUNCTION("""COMPUTED_VALUE"""),18.23)</f>
        <v>18.23</v>
      </c>
      <c r="AD226" s="3">
        <f ca="1">IFERROR(__xludf.DUMMYFUNCTION("""COMPUTED_VALUE"""),45420218)</f>
        <v>45420218</v>
      </c>
      <c r="AE226" s="4">
        <f ca="1">IFERROR(__xludf.DUMMYFUNCTION("""COMPUTED_VALUE"""),42452.6666666666)</f>
        <v>42452.666666666599</v>
      </c>
      <c r="AF226" s="3">
        <f ca="1">IFERROR(__xludf.DUMMYFUNCTION("""COMPUTED_VALUE"""),67.85)</f>
        <v>67.849999999999994</v>
      </c>
      <c r="AG226" s="3">
        <f ca="1">IFERROR(__xludf.DUMMYFUNCTION("""COMPUTED_VALUE"""),67.97)</f>
        <v>67.97</v>
      </c>
      <c r="AH226" s="3">
        <f ca="1">IFERROR(__xludf.DUMMYFUNCTION("""COMPUTED_VALUE"""),67.36)</f>
        <v>67.36</v>
      </c>
      <c r="AI226" s="3">
        <f ca="1">IFERROR(__xludf.DUMMYFUNCTION("""COMPUTED_VALUE"""),67.42)</f>
        <v>67.42</v>
      </c>
      <c r="AJ226" s="3">
        <f ca="1">IFERROR(__xludf.DUMMYFUNCTION("""COMPUTED_VALUE"""),9105057)</f>
        <v>9105057</v>
      </c>
      <c r="AK226" s="4">
        <f ca="1">IFERROR(__xludf.DUMMYFUNCTION("""COMPUTED_VALUE"""),42452.6666666666)</f>
        <v>42452.666666666599</v>
      </c>
      <c r="AL226" s="3">
        <f ca="1">IFERROR(__xludf.DUMMYFUNCTION("""COMPUTED_VALUE"""),55.52)</f>
        <v>55.52</v>
      </c>
      <c r="AM226" s="3">
        <f ca="1">IFERROR(__xludf.DUMMYFUNCTION("""COMPUTED_VALUE"""),55.59)</f>
        <v>55.59</v>
      </c>
      <c r="AN226" s="3">
        <f ca="1">IFERROR(__xludf.DUMMYFUNCTION("""COMPUTED_VALUE"""),55.23)</f>
        <v>55.23</v>
      </c>
      <c r="AO226" s="3">
        <f ca="1">IFERROR(__xludf.DUMMYFUNCTION("""COMPUTED_VALUE"""),55.28)</f>
        <v>55.28</v>
      </c>
      <c r="AP226" s="3">
        <f ca="1">IFERROR(__xludf.DUMMYFUNCTION("""COMPUTED_VALUE"""),10833202)</f>
        <v>10833202</v>
      </c>
      <c r="AQ226" s="4">
        <f ca="1">IFERROR(__xludf.DUMMYFUNCTION("""COMPUTED_VALUE"""),42452.6666666666)</f>
        <v>42452.666666666599</v>
      </c>
      <c r="AR226" s="3">
        <f ca="1">IFERROR(__xludf.DUMMYFUNCTION("""COMPUTED_VALUE"""),44.73)</f>
        <v>44.73</v>
      </c>
      <c r="AS226" s="3">
        <f ca="1">IFERROR(__xludf.DUMMYFUNCTION("""COMPUTED_VALUE"""),44.87)</f>
        <v>44.87</v>
      </c>
      <c r="AT226" s="3">
        <f ca="1">IFERROR(__xludf.DUMMYFUNCTION("""COMPUTED_VALUE"""),44.47)</f>
        <v>44.47</v>
      </c>
      <c r="AU226" s="3">
        <f ca="1">IFERROR(__xludf.DUMMYFUNCTION("""COMPUTED_VALUE"""),44.55)</f>
        <v>44.55</v>
      </c>
      <c r="AV226" s="3">
        <f ca="1">IFERROR(__xludf.DUMMYFUNCTION("""COMPUTED_VALUE"""),5663612)</f>
        <v>5663612</v>
      </c>
      <c r="AW226" s="4">
        <f ca="1">IFERROR(__xludf.DUMMYFUNCTION("""COMPUTED_VALUE"""),42615.6666666666)</f>
        <v>42615.666666666599</v>
      </c>
      <c r="AX226" s="3">
        <f ca="1">IFERROR(__xludf.DUMMYFUNCTION("""COMPUTED_VALUE"""),33.4)</f>
        <v>33.4</v>
      </c>
      <c r="AY226" s="3">
        <f ca="1">IFERROR(__xludf.DUMMYFUNCTION("""COMPUTED_VALUE"""),33.89)</f>
        <v>33.89</v>
      </c>
      <c r="AZ226" s="3">
        <f ca="1">IFERROR(__xludf.DUMMYFUNCTION("""COMPUTED_VALUE"""),33.4)</f>
        <v>33.4</v>
      </c>
      <c r="BA226" s="3">
        <f ca="1">IFERROR(__xludf.DUMMYFUNCTION("""COMPUTED_VALUE"""),33.59)</f>
        <v>33.590000000000003</v>
      </c>
      <c r="BB226" s="3">
        <f ca="1">IFERROR(__xludf.DUMMYFUNCTION("""COMPUTED_VALUE"""),48854)</f>
        <v>48854</v>
      </c>
      <c r="BC226" s="4">
        <f ca="1">IFERROR(__xludf.DUMMYFUNCTION("""COMPUTED_VALUE"""),42452.6666666666)</f>
        <v>42452.666666666599</v>
      </c>
      <c r="BD226" s="3">
        <f ca="1">IFERROR(__xludf.DUMMYFUNCTION("""COMPUTED_VALUE"""),43.69)</f>
        <v>43.69</v>
      </c>
      <c r="BE226" s="3">
        <f ca="1">IFERROR(__xludf.DUMMYFUNCTION("""COMPUTED_VALUE"""),43.74)</f>
        <v>43.74</v>
      </c>
      <c r="BF226" s="3">
        <f ca="1">IFERROR(__xludf.DUMMYFUNCTION("""COMPUTED_VALUE"""),43.41)</f>
        <v>43.41</v>
      </c>
      <c r="BG226" s="3">
        <f ca="1">IFERROR(__xludf.DUMMYFUNCTION("""COMPUTED_VALUE"""),43.5)</f>
        <v>43.5</v>
      </c>
      <c r="BH226" s="3">
        <f ca="1">IFERROR(__xludf.DUMMYFUNCTION("""COMPUTED_VALUE"""),10675096)</f>
        <v>10675096</v>
      </c>
      <c r="BI226" s="4">
        <f ca="1">IFERROR(__xludf.DUMMYFUNCTION("""COMPUTED_VALUE"""),42452.6666666666)</f>
        <v>42452.666666666599</v>
      </c>
      <c r="BJ226" s="3">
        <f ca="1">IFERROR(__xludf.DUMMYFUNCTION("""COMPUTED_VALUE"""),48.42)</f>
        <v>48.42</v>
      </c>
      <c r="BK226" s="3">
        <f ca="1">IFERROR(__xludf.DUMMYFUNCTION("""COMPUTED_VALUE"""),48.97)</f>
        <v>48.97</v>
      </c>
      <c r="BL226" s="3">
        <f ca="1">IFERROR(__xludf.DUMMYFUNCTION("""COMPUTED_VALUE"""),48.2)</f>
        <v>48.2</v>
      </c>
      <c r="BM226" s="3">
        <f ca="1">IFERROR(__xludf.DUMMYFUNCTION("""COMPUTED_VALUE"""),48.78)</f>
        <v>48.78</v>
      </c>
      <c r="BN226" s="3">
        <f ca="1">IFERROR(__xludf.DUMMYFUNCTION("""COMPUTED_VALUE"""),15239636)</f>
        <v>15239636</v>
      </c>
    </row>
    <row r="227" spans="7:66" ht="13" x14ac:dyDescent="0.15">
      <c r="G227" s="4">
        <f ca="1">IFERROR(__xludf.DUMMYFUNCTION("""COMPUTED_VALUE"""),42453.6666666666)</f>
        <v>42453.666666666599</v>
      </c>
      <c r="H227" s="3">
        <f ca="1">IFERROR(__xludf.DUMMYFUNCTION("""COMPUTED_VALUE"""),76.82)</f>
        <v>76.819999999999993</v>
      </c>
      <c r="I227" s="3">
        <f ca="1">IFERROR(__xludf.DUMMYFUNCTION("""COMPUTED_VALUE"""),77.56)</f>
        <v>77.56</v>
      </c>
      <c r="J227" s="3">
        <f ca="1">IFERROR(__xludf.DUMMYFUNCTION("""COMPUTED_VALUE"""),76.6)</f>
        <v>76.599999999999994</v>
      </c>
      <c r="K227" s="3">
        <f ca="1">IFERROR(__xludf.DUMMYFUNCTION("""COMPUTED_VALUE"""),77.55)</f>
        <v>77.55</v>
      </c>
      <c r="L227" s="3">
        <f ca="1">IFERROR(__xludf.DUMMYFUNCTION("""COMPUTED_VALUE"""),6958072)</f>
        <v>6958072</v>
      </c>
      <c r="M227" s="4">
        <f ca="1">IFERROR(__xludf.DUMMYFUNCTION("""COMPUTED_VALUE"""),42453.6666666666)</f>
        <v>42453.666666666599</v>
      </c>
      <c r="N227" s="3">
        <f ca="1">IFERROR(__xludf.DUMMYFUNCTION("""COMPUTED_VALUE"""),52.2)</f>
        <v>52.2</v>
      </c>
      <c r="O227" s="3">
        <f ca="1">IFERROR(__xludf.DUMMYFUNCTION("""COMPUTED_VALUE"""),52.37)</f>
        <v>52.37</v>
      </c>
      <c r="P227" s="3">
        <f ca="1">IFERROR(__xludf.DUMMYFUNCTION("""COMPUTED_VALUE"""),52.15)</f>
        <v>52.15</v>
      </c>
      <c r="Q227" s="3">
        <f ca="1">IFERROR(__xludf.DUMMYFUNCTION("""COMPUTED_VALUE"""),52.32)</f>
        <v>52.32</v>
      </c>
      <c r="R227" s="3">
        <f ca="1">IFERROR(__xludf.DUMMYFUNCTION("""COMPUTED_VALUE"""),9455483)</f>
        <v>9455483</v>
      </c>
      <c r="S227" s="4">
        <f ca="1">IFERROR(__xludf.DUMMYFUNCTION("""COMPUTED_VALUE"""),42453.6666666666)</f>
        <v>42453.666666666599</v>
      </c>
      <c r="T227" s="3">
        <f ca="1">IFERROR(__xludf.DUMMYFUNCTION("""COMPUTED_VALUE"""),60.69)</f>
        <v>60.69</v>
      </c>
      <c r="U227" s="3">
        <f ca="1">IFERROR(__xludf.DUMMYFUNCTION("""COMPUTED_VALUE"""),61.84)</f>
        <v>61.84</v>
      </c>
      <c r="V227" s="3">
        <f ca="1">IFERROR(__xludf.DUMMYFUNCTION("""COMPUTED_VALUE"""),60.4)</f>
        <v>60.4</v>
      </c>
      <c r="W227" s="3">
        <f ca="1">IFERROR(__xludf.DUMMYFUNCTION("""COMPUTED_VALUE"""),61.84)</f>
        <v>61.84</v>
      </c>
      <c r="X227" s="3">
        <f ca="1">IFERROR(__xludf.DUMMYFUNCTION("""COMPUTED_VALUE"""),15516028)</f>
        <v>15516028</v>
      </c>
      <c r="Y227" s="4">
        <f ca="1">IFERROR(__xludf.DUMMYFUNCTION("""COMPUTED_VALUE"""),42453.6666666666)</f>
        <v>42453.666666666599</v>
      </c>
      <c r="Z227" s="3">
        <f ca="1">IFERROR(__xludf.DUMMYFUNCTION("""COMPUTED_VALUE"""),18.07)</f>
        <v>18.07</v>
      </c>
      <c r="AA227" s="3">
        <f ca="1">IFERROR(__xludf.DUMMYFUNCTION("""COMPUTED_VALUE"""),18.12)</f>
        <v>18.12</v>
      </c>
      <c r="AB227" s="3">
        <f ca="1">IFERROR(__xludf.DUMMYFUNCTION("""COMPUTED_VALUE"""),17.95)</f>
        <v>17.95</v>
      </c>
      <c r="AC227" s="3">
        <f ca="1">IFERROR(__xludf.DUMMYFUNCTION("""COMPUTED_VALUE"""),18.12)</f>
        <v>18.12</v>
      </c>
      <c r="AD227" s="3">
        <f ca="1">IFERROR(__xludf.DUMMYFUNCTION("""COMPUTED_VALUE"""),39399509)</f>
        <v>39399509</v>
      </c>
      <c r="AE227" s="4">
        <f ca="1">IFERROR(__xludf.DUMMYFUNCTION("""COMPUTED_VALUE"""),42453.6666666666)</f>
        <v>42453.666666666599</v>
      </c>
      <c r="AF227" s="3">
        <f ca="1">IFERROR(__xludf.DUMMYFUNCTION("""COMPUTED_VALUE"""),67.12)</f>
        <v>67.12</v>
      </c>
      <c r="AG227" s="3">
        <f ca="1">IFERROR(__xludf.DUMMYFUNCTION("""COMPUTED_VALUE"""),67.64)</f>
        <v>67.64</v>
      </c>
      <c r="AH227" s="3">
        <f ca="1">IFERROR(__xludf.DUMMYFUNCTION("""COMPUTED_VALUE"""),66.87)</f>
        <v>66.87</v>
      </c>
      <c r="AI227" s="3">
        <f ca="1">IFERROR(__xludf.DUMMYFUNCTION("""COMPUTED_VALUE"""),67.39)</f>
        <v>67.39</v>
      </c>
      <c r="AJ227" s="3">
        <f ca="1">IFERROR(__xludf.DUMMYFUNCTION("""COMPUTED_VALUE"""),8492750)</f>
        <v>8492750</v>
      </c>
      <c r="AK227" s="4">
        <f ca="1">IFERROR(__xludf.DUMMYFUNCTION("""COMPUTED_VALUE"""),42453.6666666666)</f>
        <v>42453.666666666599</v>
      </c>
      <c r="AL227" s="3">
        <f ca="1">IFERROR(__xludf.DUMMYFUNCTION("""COMPUTED_VALUE"""),54.96)</f>
        <v>54.96</v>
      </c>
      <c r="AM227" s="3">
        <f ca="1">IFERROR(__xludf.DUMMYFUNCTION("""COMPUTED_VALUE"""),55.12)</f>
        <v>55.12</v>
      </c>
      <c r="AN227" s="3">
        <f ca="1">IFERROR(__xludf.DUMMYFUNCTION("""COMPUTED_VALUE"""),54.74)</f>
        <v>54.74</v>
      </c>
      <c r="AO227" s="3">
        <f ca="1">IFERROR(__xludf.DUMMYFUNCTION("""COMPUTED_VALUE"""),55.12)</f>
        <v>55.12</v>
      </c>
      <c r="AP227" s="3">
        <f ca="1">IFERROR(__xludf.DUMMYFUNCTION("""COMPUTED_VALUE"""),10403597)</f>
        <v>10403597</v>
      </c>
      <c r="AQ227" s="4">
        <f ca="1">IFERROR(__xludf.DUMMYFUNCTION("""COMPUTED_VALUE"""),42453.6666666666)</f>
        <v>42453.666666666599</v>
      </c>
      <c r="AR227" s="3">
        <f ca="1">IFERROR(__xludf.DUMMYFUNCTION("""COMPUTED_VALUE"""),44.18)</f>
        <v>44.18</v>
      </c>
      <c r="AS227" s="3">
        <f ca="1">IFERROR(__xludf.DUMMYFUNCTION("""COMPUTED_VALUE"""),44.57)</f>
        <v>44.57</v>
      </c>
      <c r="AT227" s="3">
        <f ca="1">IFERROR(__xludf.DUMMYFUNCTION("""COMPUTED_VALUE"""),43.99)</f>
        <v>43.99</v>
      </c>
      <c r="AU227" s="3">
        <f ca="1">IFERROR(__xludf.DUMMYFUNCTION("""COMPUTED_VALUE"""),44.55)</f>
        <v>44.55</v>
      </c>
      <c r="AV227" s="3">
        <f ca="1">IFERROR(__xludf.DUMMYFUNCTION("""COMPUTED_VALUE"""),3762072)</f>
        <v>3762072</v>
      </c>
      <c r="AW227" s="4">
        <f ca="1">IFERROR(__xludf.DUMMYFUNCTION("""COMPUTED_VALUE"""),42619.6666666666)</f>
        <v>42619.666666666599</v>
      </c>
      <c r="AX227" s="3">
        <f ca="1">IFERROR(__xludf.DUMMYFUNCTION("""COMPUTED_VALUE"""),33.76)</f>
        <v>33.76</v>
      </c>
      <c r="AY227" s="3">
        <f ca="1">IFERROR(__xludf.DUMMYFUNCTION("""COMPUTED_VALUE"""),33.89)</f>
        <v>33.89</v>
      </c>
      <c r="AZ227" s="3">
        <f ca="1">IFERROR(__xludf.DUMMYFUNCTION("""COMPUTED_VALUE"""),33.5)</f>
        <v>33.5</v>
      </c>
      <c r="BA227" s="3">
        <f ca="1">IFERROR(__xludf.DUMMYFUNCTION("""COMPUTED_VALUE"""),33.87)</f>
        <v>33.869999999999997</v>
      </c>
      <c r="BB227" s="3">
        <f ca="1">IFERROR(__xludf.DUMMYFUNCTION("""COMPUTED_VALUE"""),169454)</f>
        <v>169454</v>
      </c>
      <c r="BC227" s="4">
        <f ca="1">IFERROR(__xludf.DUMMYFUNCTION("""COMPUTED_VALUE"""),42453.6666666666)</f>
        <v>42453.666666666599</v>
      </c>
      <c r="BD227" s="3">
        <f ca="1">IFERROR(__xludf.DUMMYFUNCTION("""COMPUTED_VALUE"""),43.31)</f>
        <v>43.31</v>
      </c>
      <c r="BE227" s="3">
        <f ca="1">IFERROR(__xludf.DUMMYFUNCTION("""COMPUTED_VALUE"""),43.62)</f>
        <v>43.62</v>
      </c>
      <c r="BF227" s="3">
        <f ca="1">IFERROR(__xludf.DUMMYFUNCTION("""COMPUTED_VALUE"""),43.25)</f>
        <v>43.25</v>
      </c>
      <c r="BG227" s="3">
        <f ca="1">IFERROR(__xludf.DUMMYFUNCTION("""COMPUTED_VALUE"""),43.62)</f>
        <v>43.62</v>
      </c>
      <c r="BH227" s="3">
        <f ca="1">IFERROR(__xludf.DUMMYFUNCTION("""COMPUTED_VALUE"""),6743333)</f>
        <v>6743333</v>
      </c>
      <c r="BI227" s="4">
        <f ca="1">IFERROR(__xludf.DUMMYFUNCTION("""COMPUTED_VALUE"""),42453.6666666666)</f>
        <v>42453.666666666599</v>
      </c>
      <c r="BJ227" s="3">
        <f ca="1">IFERROR(__xludf.DUMMYFUNCTION("""COMPUTED_VALUE"""),48.76)</f>
        <v>48.76</v>
      </c>
      <c r="BK227" s="3">
        <f ca="1">IFERROR(__xludf.DUMMYFUNCTION("""COMPUTED_VALUE"""),48.98)</f>
        <v>48.98</v>
      </c>
      <c r="BL227" s="3">
        <f ca="1">IFERROR(__xludf.DUMMYFUNCTION("""COMPUTED_VALUE"""),48.62)</f>
        <v>48.62</v>
      </c>
      <c r="BM227" s="3">
        <f ca="1">IFERROR(__xludf.DUMMYFUNCTION("""COMPUTED_VALUE"""),48.91)</f>
        <v>48.91</v>
      </c>
      <c r="BN227" s="3">
        <f ca="1">IFERROR(__xludf.DUMMYFUNCTION("""COMPUTED_VALUE"""),15073453)</f>
        <v>15073453</v>
      </c>
    </row>
    <row r="228" spans="7:66" ht="13" x14ac:dyDescent="0.15">
      <c r="G228" s="4">
        <f ca="1">IFERROR(__xludf.DUMMYFUNCTION("""COMPUTED_VALUE"""),42457.6666666666)</f>
        <v>42457.666666666599</v>
      </c>
      <c r="H228" s="3">
        <f ca="1">IFERROR(__xludf.DUMMYFUNCTION("""COMPUTED_VALUE"""),77.66)</f>
        <v>77.66</v>
      </c>
      <c r="I228" s="3">
        <f ca="1">IFERROR(__xludf.DUMMYFUNCTION("""COMPUTED_VALUE"""),78.24)</f>
        <v>78.239999999999995</v>
      </c>
      <c r="J228" s="3">
        <f ca="1">IFERROR(__xludf.DUMMYFUNCTION("""COMPUTED_VALUE"""),77.6)</f>
        <v>77.599999999999994</v>
      </c>
      <c r="K228" s="3">
        <f ca="1">IFERROR(__xludf.DUMMYFUNCTION("""COMPUTED_VALUE"""),77.9)</f>
        <v>77.900000000000006</v>
      </c>
      <c r="L228" s="3">
        <f ca="1">IFERROR(__xludf.DUMMYFUNCTION("""COMPUTED_VALUE"""),5132622)</f>
        <v>5132622</v>
      </c>
      <c r="M228" s="4">
        <f ca="1">IFERROR(__xludf.DUMMYFUNCTION("""COMPUTED_VALUE"""),42457.6666666666)</f>
        <v>42457.666666666599</v>
      </c>
      <c r="N228" s="3">
        <f ca="1">IFERROR(__xludf.DUMMYFUNCTION("""COMPUTED_VALUE"""),52.38)</f>
        <v>52.38</v>
      </c>
      <c r="O228" s="3">
        <f ca="1">IFERROR(__xludf.DUMMYFUNCTION("""COMPUTED_VALUE"""),52.71)</f>
        <v>52.71</v>
      </c>
      <c r="P228" s="3">
        <f ca="1">IFERROR(__xludf.DUMMYFUNCTION("""COMPUTED_VALUE"""),52.38)</f>
        <v>52.38</v>
      </c>
      <c r="Q228" s="3">
        <f ca="1">IFERROR(__xludf.DUMMYFUNCTION("""COMPUTED_VALUE"""),52.6)</f>
        <v>52.6</v>
      </c>
      <c r="R228" s="3">
        <f ca="1">IFERROR(__xludf.DUMMYFUNCTION("""COMPUTED_VALUE"""),7363677)</f>
        <v>7363677</v>
      </c>
      <c r="S228" s="4">
        <f ca="1">IFERROR(__xludf.DUMMYFUNCTION("""COMPUTED_VALUE"""),42457.6666666666)</f>
        <v>42457.666666666599</v>
      </c>
      <c r="T228" s="3">
        <f ca="1">IFERROR(__xludf.DUMMYFUNCTION("""COMPUTED_VALUE"""),61.86)</f>
        <v>61.86</v>
      </c>
      <c r="U228" s="3">
        <f ca="1">IFERROR(__xludf.DUMMYFUNCTION("""COMPUTED_VALUE"""),62.03)</f>
        <v>62.03</v>
      </c>
      <c r="V228" s="3">
        <f ca="1">IFERROR(__xludf.DUMMYFUNCTION("""COMPUTED_VALUE"""),61.08)</f>
        <v>61.08</v>
      </c>
      <c r="W228" s="3">
        <f ca="1">IFERROR(__xludf.DUMMYFUNCTION("""COMPUTED_VALUE"""),61.51)</f>
        <v>61.51</v>
      </c>
      <c r="X228" s="3">
        <f ca="1">IFERROR(__xludf.DUMMYFUNCTION("""COMPUTED_VALUE"""),11564874)</f>
        <v>11564874</v>
      </c>
      <c r="Y228" s="4">
        <f ca="1">IFERROR(__xludf.DUMMYFUNCTION("""COMPUTED_VALUE"""),42457.6666666666)</f>
        <v>42457.666666666599</v>
      </c>
      <c r="Z228" s="3">
        <f ca="1">IFERROR(__xludf.DUMMYFUNCTION("""COMPUTED_VALUE"""),18.14)</f>
        <v>18.14</v>
      </c>
      <c r="AA228" s="3">
        <f ca="1">IFERROR(__xludf.DUMMYFUNCTION("""COMPUTED_VALUE"""),18.23)</f>
        <v>18.23</v>
      </c>
      <c r="AB228" s="3">
        <f ca="1">IFERROR(__xludf.DUMMYFUNCTION("""COMPUTED_VALUE"""),18.08)</f>
        <v>18.079999999999998</v>
      </c>
      <c r="AC228" s="3">
        <f ca="1">IFERROR(__xludf.DUMMYFUNCTION("""COMPUTED_VALUE"""),18.17)</f>
        <v>18.170000000000002</v>
      </c>
      <c r="AD228" s="3">
        <f ca="1">IFERROR(__xludf.DUMMYFUNCTION("""COMPUTED_VALUE"""),29343054)</f>
        <v>29343054</v>
      </c>
      <c r="AE228" s="4">
        <f ca="1">IFERROR(__xludf.DUMMYFUNCTION("""COMPUTED_VALUE"""),42457.6666666666)</f>
        <v>42457.666666666599</v>
      </c>
      <c r="AF228" s="3">
        <f ca="1">IFERROR(__xludf.DUMMYFUNCTION("""COMPUTED_VALUE"""),67.57)</f>
        <v>67.569999999999993</v>
      </c>
      <c r="AG228" s="3">
        <f ca="1">IFERROR(__xludf.DUMMYFUNCTION("""COMPUTED_VALUE"""),67.64)</f>
        <v>67.64</v>
      </c>
      <c r="AH228" s="3">
        <f ca="1">IFERROR(__xludf.DUMMYFUNCTION("""COMPUTED_VALUE"""),67.1)</f>
        <v>67.099999999999994</v>
      </c>
      <c r="AI228" s="3">
        <f ca="1">IFERROR(__xludf.DUMMYFUNCTION("""COMPUTED_VALUE"""),67.2)</f>
        <v>67.2</v>
      </c>
      <c r="AJ228" s="3">
        <f ca="1">IFERROR(__xludf.DUMMYFUNCTION("""COMPUTED_VALUE"""),7156295)</f>
        <v>7156295</v>
      </c>
      <c r="AK228" s="4">
        <f ca="1">IFERROR(__xludf.DUMMYFUNCTION("""COMPUTED_VALUE"""),42457.6666666666)</f>
        <v>42457.666666666599</v>
      </c>
      <c r="AL228" s="3">
        <f ca="1">IFERROR(__xludf.DUMMYFUNCTION("""COMPUTED_VALUE"""),55.13)</f>
        <v>55.13</v>
      </c>
      <c r="AM228" s="3">
        <f ca="1">IFERROR(__xludf.DUMMYFUNCTION("""COMPUTED_VALUE"""),55.28)</f>
        <v>55.28</v>
      </c>
      <c r="AN228" s="3">
        <f ca="1">IFERROR(__xludf.DUMMYFUNCTION("""COMPUTED_VALUE"""),54.89)</f>
        <v>54.89</v>
      </c>
      <c r="AO228" s="3">
        <f ca="1">IFERROR(__xludf.DUMMYFUNCTION("""COMPUTED_VALUE"""),55.14)</f>
        <v>55.14</v>
      </c>
      <c r="AP228" s="3">
        <f ca="1">IFERROR(__xludf.DUMMYFUNCTION("""COMPUTED_VALUE"""),6591652)</f>
        <v>6591652</v>
      </c>
      <c r="AQ228" s="4">
        <f ca="1">IFERROR(__xludf.DUMMYFUNCTION("""COMPUTED_VALUE"""),42457.6666666666)</f>
        <v>42457.666666666599</v>
      </c>
      <c r="AR228" s="3">
        <f ca="1">IFERROR(__xludf.DUMMYFUNCTION("""COMPUTED_VALUE"""),44.5)</f>
        <v>44.5</v>
      </c>
      <c r="AS228" s="3">
        <f ca="1">IFERROR(__xludf.DUMMYFUNCTION("""COMPUTED_VALUE"""),44.9)</f>
        <v>44.9</v>
      </c>
      <c r="AT228" s="3">
        <f ca="1">IFERROR(__xludf.DUMMYFUNCTION("""COMPUTED_VALUE"""),44.46)</f>
        <v>44.46</v>
      </c>
      <c r="AU228" s="3">
        <f ca="1">IFERROR(__xludf.DUMMYFUNCTION("""COMPUTED_VALUE"""),44.74)</f>
        <v>44.74</v>
      </c>
      <c r="AV228" s="3">
        <f ca="1">IFERROR(__xludf.DUMMYFUNCTION("""COMPUTED_VALUE"""),3949338)</f>
        <v>3949338</v>
      </c>
      <c r="AW228" s="4">
        <f ca="1">IFERROR(__xludf.DUMMYFUNCTION("""COMPUTED_VALUE"""),42620.6666666666)</f>
        <v>42620.666666666599</v>
      </c>
      <c r="AX228" s="3">
        <f ca="1">IFERROR(__xludf.DUMMYFUNCTION("""COMPUTED_VALUE"""),33.8)</f>
        <v>33.799999999999997</v>
      </c>
      <c r="AY228" s="3">
        <f ca="1">IFERROR(__xludf.DUMMYFUNCTION("""COMPUTED_VALUE"""),33.86)</f>
        <v>33.86</v>
      </c>
      <c r="AZ228" s="3">
        <f ca="1">IFERROR(__xludf.DUMMYFUNCTION("""COMPUTED_VALUE"""),33.57)</f>
        <v>33.57</v>
      </c>
      <c r="BA228" s="3">
        <f ca="1">IFERROR(__xludf.DUMMYFUNCTION("""COMPUTED_VALUE"""),33.86)</f>
        <v>33.86</v>
      </c>
      <c r="BB228" s="3">
        <f ca="1">IFERROR(__xludf.DUMMYFUNCTION("""COMPUTED_VALUE"""),555945)</f>
        <v>555945</v>
      </c>
      <c r="BC228" s="4">
        <f ca="1">IFERROR(__xludf.DUMMYFUNCTION("""COMPUTED_VALUE"""),42457.6666666666)</f>
        <v>42457.666666666599</v>
      </c>
      <c r="BD228" s="3">
        <f ca="1">IFERROR(__xludf.DUMMYFUNCTION("""COMPUTED_VALUE"""),43.66)</f>
        <v>43.66</v>
      </c>
      <c r="BE228" s="3">
        <f ca="1">IFERROR(__xludf.DUMMYFUNCTION("""COMPUTED_VALUE"""),43.72)</f>
        <v>43.72</v>
      </c>
      <c r="BF228" s="3">
        <f ca="1">IFERROR(__xludf.DUMMYFUNCTION("""COMPUTED_VALUE"""),43.43)</f>
        <v>43.43</v>
      </c>
      <c r="BG228" s="3">
        <f ca="1">IFERROR(__xludf.DUMMYFUNCTION("""COMPUTED_VALUE"""),43.51)</f>
        <v>43.51</v>
      </c>
      <c r="BH228" s="3">
        <f ca="1">IFERROR(__xludf.DUMMYFUNCTION("""COMPUTED_VALUE"""),6407959)</f>
        <v>6407959</v>
      </c>
      <c r="BI228" s="4">
        <f ca="1">IFERROR(__xludf.DUMMYFUNCTION("""COMPUTED_VALUE"""),42457.6666666666)</f>
        <v>42457.666666666599</v>
      </c>
      <c r="BJ228" s="3">
        <f ca="1">IFERROR(__xludf.DUMMYFUNCTION("""COMPUTED_VALUE"""),48.99)</f>
        <v>48.99</v>
      </c>
      <c r="BK228" s="3">
        <f ca="1">IFERROR(__xludf.DUMMYFUNCTION("""COMPUTED_VALUE"""),49.25)</f>
        <v>49.25</v>
      </c>
      <c r="BL228" s="3">
        <f ca="1">IFERROR(__xludf.DUMMYFUNCTION("""COMPUTED_VALUE"""),48.63)</f>
        <v>48.63</v>
      </c>
      <c r="BM228" s="3">
        <f ca="1">IFERROR(__xludf.DUMMYFUNCTION("""COMPUTED_VALUE"""),48.73)</f>
        <v>48.73</v>
      </c>
      <c r="BN228" s="3">
        <f ca="1">IFERROR(__xludf.DUMMYFUNCTION("""COMPUTED_VALUE"""),11244554)</f>
        <v>11244554</v>
      </c>
    </row>
    <row r="229" spans="7:66" ht="13" x14ac:dyDescent="0.15">
      <c r="G229" s="4">
        <f ca="1">IFERROR(__xludf.DUMMYFUNCTION("""COMPUTED_VALUE"""),42458.6666666666)</f>
        <v>42458.666666666599</v>
      </c>
      <c r="H229" s="3">
        <f ca="1">IFERROR(__xludf.DUMMYFUNCTION("""COMPUTED_VALUE"""),77.79)</f>
        <v>77.790000000000006</v>
      </c>
      <c r="I229" s="3">
        <f ca="1">IFERROR(__xludf.DUMMYFUNCTION("""COMPUTED_VALUE"""),78.76)</f>
        <v>78.760000000000005</v>
      </c>
      <c r="J229" s="3">
        <f ca="1">IFERROR(__xludf.DUMMYFUNCTION("""COMPUTED_VALUE"""),77.79)</f>
        <v>77.790000000000006</v>
      </c>
      <c r="K229" s="3">
        <f ca="1">IFERROR(__xludf.DUMMYFUNCTION("""COMPUTED_VALUE"""),78.69)</f>
        <v>78.69</v>
      </c>
      <c r="L229" s="3">
        <f ca="1">IFERROR(__xludf.DUMMYFUNCTION("""COMPUTED_VALUE"""),5489585)</f>
        <v>5489585</v>
      </c>
      <c r="M229" s="4">
        <f ca="1">IFERROR(__xludf.DUMMYFUNCTION("""COMPUTED_VALUE"""),42458.6666666666)</f>
        <v>42458.666666666599</v>
      </c>
      <c r="N229" s="3">
        <f ca="1">IFERROR(__xludf.DUMMYFUNCTION("""COMPUTED_VALUE"""),52.57)</f>
        <v>52.57</v>
      </c>
      <c r="O229" s="3">
        <f ca="1">IFERROR(__xludf.DUMMYFUNCTION("""COMPUTED_VALUE"""),53.01)</f>
        <v>53.01</v>
      </c>
      <c r="P229" s="3">
        <f ca="1">IFERROR(__xludf.DUMMYFUNCTION("""COMPUTED_VALUE"""),52.5)</f>
        <v>52.5</v>
      </c>
      <c r="Q229" s="3">
        <f ca="1">IFERROR(__xludf.DUMMYFUNCTION("""COMPUTED_VALUE"""),52.99)</f>
        <v>52.99</v>
      </c>
      <c r="R229" s="3">
        <f ca="1">IFERROR(__xludf.DUMMYFUNCTION("""COMPUTED_VALUE"""),10354692)</f>
        <v>10354692</v>
      </c>
      <c r="S229" s="4">
        <f ca="1">IFERROR(__xludf.DUMMYFUNCTION("""COMPUTED_VALUE"""),42458.6666666666)</f>
        <v>42458.666666666599</v>
      </c>
      <c r="T229" s="3">
        <f ca="1">IFERROR(__xludf.DUMMYFUNCTION("""COMPUTED_VALUE"""),60.82)</f>
        <v>60.82</v>
      </c>
      <c r="U229" s="3">
        <f ca="1">IFERROR(__xludf.DUMMYFUNCTION("""COMPUTED_VALUE"""),61.85)</f>
        <v>61.85</v>
      </c>
      <c r="V229" s="3">
        <f ca="1">IFERROR(__xludf.DUMMYFUNCTION("""COMPUTED_VALUE"""),60.46)</f>
        <v>60.46</v>
      </c>
      <c r="W229" s="3">
        <f ca="1">IFERROR(__xludf.DUMMYFUNCTION("""COMPUTED_VALUE"""),61.8)</f>
        <v>61.8</v>
      </c>
      <c r="X229" s="3">
        <f ca="1">IFERROR(__xludf.DUMMYFUNCTION("""COMPUTED_VALUE"""),14366942)</f>
        <v>14366942</v>
      </c>
      <c r="Y229" s="4">
        <f ca="1">IFERROR(__xludf.DUMMYFUNCTION("""COMPUTED_VALUE"""),42458.6666666666)</f>
        <v>42458.666666666599</v>
      </c>
      <c r="Z229" s="3">
        <f ca="1">IFERROR(__xludf.DUMMYFUNCTION("""COMPUTED_VALUE"""),18.1)</f>
        <v>18.100000000000001</v>
      </c>
      <c r="AA229" s="3">
        <f ca="1">IFERROR(__xludf.DUMMYFUNCTION("""COMPUTED_VALUE"""),18.21)</f>
        <v>18.21</v>
      </c>
      <c r="AB229" s="3">
        <f ca="1">IFERROR(__xludf.DUMMYFUNCTION("""COMPUTED_VALUE"""),18)</f>
        <v>18</v>
      </c>
      <c r="AC229" s="3">
        <f ca="1">IFERROR(__xludf.DUMMYFUNCTION("""COMPUTED_VALUE"""),18.21)</f>
        <v>18.21</v>
      </c>
      <c r="AD229" s="3">
        <f ca="1">IFERROR(__xludf.DUMMYFUNCTION("""COMPUTED_VALUE"""),36099160)</f>
        <v>36099160</v>
      </c>
      <c r="AE229" s="4">
        <f ca="1">IFERROR(__xludf.DUMMYFUNCTION("""COMPUTED_VALUE"""),42458.6666666666)</f>
        <v>42458.666666666599</v>
      </c>
      <c r="AF229" s="3">
        <f ca="1">IFERROR(__xludf.DUMMYFUNCTION("""COMPUTED_VALUE"""),67.08)</f>
        <v>67.08</v>
      </c>
      <c r="AG229" s="3">
        <f ca="1">IFERROR(__xludf.DUMMYFUNCTION("""COMPUTED_VALUE"""),68.04)</f>
        <v>68.040000000000006</v>
      </c>
      <c r="AH229" s="3">
        <f ca="1">IFERROR(__xludf.DUMMYFUNCTION("""COMPUTED_VALUE"""),66.85)</f>
        <v>66.849999999999994</v>
      </c>
      <c r="AI229" s="3">
        <f ca="1">IFERROR(__xludf.DUMMYFUNCTION("""COMPUTED_VALUE"""),67.98)</f>
        <v>67.98</v>
      </c>
      <c r="AJ229" s="3">
        <f ca="1">IFERROR(__xludf.DUMMYFUNCTION("""COMPUTED_VALUE"""),10455626)</f>
        <v>10455626</v>
      </c>
      <c r="AK229" s="4">
        <f ca="1">IFERROR(__xludf.DUMMYFUNCTION("""COMPUTED_VALUE"""),42458.6666666666)</f>
        <v>42458.666666666599</v>
      </c>
      <c r="AL229" s="3">
        <f ca="1">IFERROR(__xludf.DUMMYFUNCTION("""COMPUTED_VALUE"""),55.03)</f>
        <v>55.03</v>
      </c>
      <c r="AM229" s="3">
        <f ca="1">IFERROR(__xludf.DUMMYFUNCTION("""COMPUTED_VALUE"""),55.51)</f>
        <v>55.51</v>
      </c>
      <c r="AN229" s="3">
        <f ca="1">IFERROR(__xludf.DUMMYFUNCTION("""COMPUTED_VALUE"""),54.72)</f>
        <v>54.72</v>
      </c>
      <c r="AO229" s="3">
        <f ca="1">IFERROR(__xludf.DUMMYFUNCTION("""COMPUTED_VALUE"""),55.5)</f>
        <v>55.5</v>
      </c>
      <c r="AP229" s="3">
        <f ca="1">IFERROR(__xludf.DUMMYFUNCTION("""COMPUTED_VALUE"""),9271815)</f>
        <v>9271815</v>
      </c>
      <c r="AQ229" s="4">
        <f ca="1">IFERROR(__xludf.DUMMYFUNCTION("""COMPUTED_VALUE"""),42458.6666666666)</f>
        <v>42458.666666666599</v>
      </c>
      <c r="AR229" s="3">
        <f ca="1">IFERROR(__xludf.DUMMYFUNCTION("""COMPUTED_VALUE"""),44.43)</f>
        <v>44.43</v>
      </c>
      <c r="AS229" s="3">
        <f ca="1">IFERROR(__xludf.DUMMYFUNCTION("""COMPUTED_VALUE"""),45)</f>
        <v>45</v>
      </c>
      <c r="AT229" s="3">
        <f ca="1">IFERROR(__xludf.DUMMYFUNCTION("""COMPUTED_VALUE"""),44.28)</f>
        <v>44.28</v>
      </c>
      <c r="AU229" s="3">
        <f ca="1">IFERROR(__xludf.DUMMYFUNCTION("""COMPUTED_VALUE"""),44.99)</f>
        <v>44.99</v>
      </c>
      <c r="AV229" s="3">
        <f ca="1">IFERROR(__xludf.DUMMYFUNCTION("""COMPUTED_VALUE"""),4095555)</f>
        <v>4095555</v>
      </c>
      <c r="AW229" s="4">
        <f ca="1">IFERROR(__xludf.DUMMYFUNCTION("""COMPUTED_VALUE"""),42621.6666666666)</f>
        <v>42621.666666666599</v>
      </c>
      <c r="AX229" s="3">
        <f ca="1">IFERROR(__xludf.DUMMYFUNCTION("""COMPUTED_VALUE"""),33.82)</f>
        <v>33.82</v>
      </c>
      <c r="AY229" s="3">
        <f ca="1">IFERROR(__xludf.DUMMYFUNCTION("""COMPUTED_VALUE"""),33.9)</f>
        <v>33.9</v>
      </c>
      <c r="AZ229" s="3">
        <f ca="1">IFERROR(__xludf.DUMMYFUNCTION("""COMPUTED_VALUE"""),33.43)</f>
        <v>33.43</v>
      </c>
      <c r="BA229" s="3">
        <f ca="1">IFERROR(__xludf.DUMMYFUNCTION("""COMPUTED_VALUE"""),33.43)</f>
        <v>33.43</v>
      </c>
      <c r="BB229" s="3">
        <f ca="1">IFERROR(__xludf.DUMMYFUNCTION("""COMPUTED_VALUE"""),322533)</f>
        <v>322533</v>
      </c>
      <c r="BC229" s="4">
        <f ca="1">IFERROR(__xludf.DUMMYFUNCTION("""COMPUTED_VALUE"""),42458.6666666666)</f>
        <v>42458.666666666599</v>
      </c>
      <c r="BD229" s="3">
        <f ca="1">IFERROR(__xludf.DUMMYFUNCTION("""COMPUTED_VALUE"""),43.43)</f>
        <v>43.43</v>
      </c>
      <c r="BE229" s="3">
        <f ca="1">IFERROR(__xludf.DUMMYFUNCTION("""COMPUTED_VALUE"""),44.22)</f>
        <v>44.22</v>
      </c>
      <c r="BF229" s="3">
        <f ca="1">IFERROR(__xludf.DUMMYFUNCTION("""COMPUTED_VALUE"""),43.38)</f>
        <v>43.38</v>
      </c>
      <c r="BG229" s="3">
        <f ca="1">IFERROR(__xludf.DUMMYFUNCTION("""COMPUTED_VALUE"""),44.19)</f>
        <v>44.19</v>
      </c>
      <c r="BH229" s="3">
        <f ca="1">IFERROR(__xludf.DUMMYFUNCTION("""COMPUTED_VALUE"""),10081507)</f>
        <v>10081507</v>
      </c>
      <c r="BI229" s="4">
        <f ca="1">IFERROR(__xludf.DUMMYFUNCTION("""COMPUTED_VALUE"""),42458.6666666666)</f>
        <v>42458.666666666599</v>
      </c>
      <c r="BJ229" s="3">
        <f ca="1">IFERROR(__xludf.DUMMYFUNCTION("""COMPUTED_VALUE"""),48.88)</f>
        <v>48.88</v>
      </c>
      <c r="BK229" s="3">
        <f ca="1">IFERROR(__xludf.DUMMYFUNCTION("""COMPUTED_VALUE"""),49.49)</f>
        <v>49.49</v>
      </c>
      <c r="BL229" s="3">
        <f ca="1">IFERROR(__xludf.DUMMYFUNCTION("""COMPUTED_VALUE"""),48.69)</f>
        <v>48.69</v>
      </c>
      <c r="BM229" s="3">
        <f ca="1">IFERROR(__xludf.DUMMYFUNCTION("""COMPUTED_VALUE"""),49.45)</f>
        <v>49.45</v>
      </c>
      <c r="BN229" s="3">
        <f ca="1">IFERROR(__xludf.DUMMYFUNCTION("""COMPUTED_VALUE"""),17553613)</f>
        <v>17553613</v>
      </c>
    </row>
    <row r="230" spans="7:66" ht="13" x14ac:dyDescent="0.15">
      <c r="G230" s="4">
        <f ca="1">IFERROR(__xludf.DUMMYFUNCTION("""COMPUTED_VALUE"""),42459.6666666666)</f>
        <v>42459.666666666599</v>
      </c>
      <c r="H230" s="3">
        <f ca="1">IFERROR(__xludf.DUMMYFUNCTION("""COMPUTED_VALUE"""),79.01)</f>
        <v>79.010000000000005</v>
      </c>
      <c r="I230" s="3">
        <f ca="1">IFERROR(__xludf.DUMMYFUNCTION("""COMPUTED_VALUE"""),79.37)</f>
        <v>79.37</v>
      </c>
      <c r="J230" s="3">
        <f ca="1">IFERROR(__xludf.DUMMYFUNCTION("""COMPUTED_VALUE"""),78.86)</f>
        <v>78.86</v>
      </c>
      <c r="K230" s="3">
        <f ca="1">IFERROR(__xludf.DUMMYFUNCTION("""COMPUTED_VALUE"""),79.19)</f>
        <v>79.19</v>
      </c>
      <c r="L230" s="3">
        <f ca="1">IFERROR(__xludf.DUMMYFUNCTION("""COMPUTED_VALUE"""),5274240)</f>
        <v>5274240</v>
      </c>
      <c r="M230" s="4">
        <f ca="1">IFERROR(__xludf.DUMMYFUNCTION("""COMPUTED_VALUE"""),42459.6666666666)</f>
        <v>42459.666666666599</v>
      </c>
      <c r="N230" s="3">
        <f ca="1">IFERROR(__xludf.DUMMYFUNCTION("""COMPUTED_VALUE"""),53.17)</f>
        <v>53.17</v>
      </c>
      <c r="O230" s="3">
        <f ca="1">IFERROR(__xludf.DUMMYFUNCTION("""COMPUTED_VALUE"""),53.34)</f>
        <v>53.34</v>
      </c>
      <c r="P230" s="3">
        <f ca="1">IFERROR(__xludf.DUMMYFUNCTION("""COMPUTED_VALUE"""),53.04)</f>
        <v>53.04</v>
      </c>
      <c r="Q230" s="3">
        <f ca="1">IFERROR(__xludf.DUMMYFUNCTION("""COMPUTED_VALUE"""),53.34)</f>
        <v>53.34</v>
      </c>
      <c r="R230" s="3">
        <f ca="1">IFERROR(__xludf.DUMMYFUNCTION("""COMPUTED_VALUE"""),8932310)</f>
        <v>8932310</v>
      </c>
      <c r="S230" s="4">
        <f ca="1">IFERROR(__xludf.DUMMYFUNCTION("""COMPUTED_VALUE"""),42459.6666666666)</f>
        <v>42459.666666666599</v>
      </c>
      <c r="T230" s="3">
        <f ca="1">IFERROR(__xludf.DUMMYFUNCTION("""COMPUTED_VALUE"""),62.36)</f>
        <v>62.36</v>
      </c>
      <c r="U230" s="3">
        <f ca="1">IFERROR(__xludf.DUMMYFUNCTION("""COMPUTED_VALUE"""),62.62)</f>
        <v>62.62</v>
      </c>
      <c r="V230" s="3">
        <f ca="1">IFERROR(__xludf.DUMMYFUNCTION("""COMPUTED_VALUE"""),61.56)</f>
        <v>61.56</v>
      </c>
      <c r="W230" s="3">
        <f ca="1">IFERROR(__xludf.DUMMYFUNCTION("""COMPUTED_VALUE"""),61.92)</f>
        <v>61.92</v>
      </c>
      <c r="X230" s="3">
        <f ca="1">IFERROR(__xludf.DUMMYFUNCTION("""COMPUTED_VALUE"""),15744847)</f>
        <v>15744847</v>
      </c>
      <c r="Y230" s="4">
        <f ca="1">IFERROR(__xludf.DUMMYFUNCTION("""COMPUTED_VALUE"""),42459.6666666666)</f>
        <v>42459.666666666599</v>
      </c>
      <c r="Z230" s="3">
        <f ca="1">IFERROR(__xludf.DUMMYFUNCTION("""COMPUTED_VALUE"""),18.3)</f>
        <v>18.3</v>
      </c>
      <c r="AA230" s="3">
        <f ca="1">IFERROR(__xludf.DUMMYFUNCTION("""COMPUTED_VALUE"""),18.45)</f>
        <v>18.45</v>
      </c>
      <c r="AB230" s="3">
        <f ca="1">IFERROR(__xludf.DUMMYFUNCTION("""COMPUTED_VALUE"""),18.29)</f>
        <v>18.29</v>
      </c>
      <c r="AC230" s="3">
        <f ca="1">IFERROR(__xludf.DUMMYFUNCTION("""COMPUTED_VALUE"""),18.31)</f>
        <v>18.309999999999999</v>
      </c>
      <c r="AD230" s="3">
        <f ca="1">IFERROR(__xludf.DUMMYFUNCTION("""COMPUTED_VALUE"""),30573609)</f>
        <v>30573609</v>
      </c>
      <c r="AE230" s="4">
        <f ca="1">IFERROR(__xludf.DUMMYFUNCTION("""COMPUTED_VALUE"""),42459.6666666666)</f>
        <v>42459.666666666599</v>
      </c>
      <c r="AF230" s="3">
        <f ca="1">IFERROR(__xludf.DUMMYFUNCTION("""COMPUTED_VALUE"""),68.32)</f>
        <v>68.319999999999993</v>
      </c>
      <c r="AG230" s="3">
        <f ca="1">IFERROR(__xludf.DUMMYFUNCTION("""COMPUTED_VALUE"""),68.5)</f>
        <v>68.5</v>
      </c>
      <c r="AH230" s="3">
        <f ca="1">IFERROR(__xludf.DUMMYFUNCTION("""COMPUTED_VALUE"""),67.87)</f>
        <v>67.87</v>
      </c>
      <c r="AI230" s="3">
        <f ca="1">IFERROR(__xludf.DUMMYFUNCTION("""COMPUTED_VALUE"""),67.99)</f>
        <v>67.989999999999995</v>
      </c>
      <c r="AJ230" s="3">
        <f ca="1">IFERROR(__xludf.DUMMYFUNCTION("""COMPUTED_VALUE"""),7607715)</f>
        <v>7607715</v>
      </c>
      <c r="AK230" s="4">
        <f ca="1">IFERROR(__xludf.DUMMYFUNCTION("""COMPUTED_VALUE"""),42459.6666666666)</f>
        <v>42459.666666666599</v>
      </c>
      <c r="AL230" s="3">
        <f ca="1">IFERROR(__xludf.DUMMYFUNCTION("""COMPUTED_VALUE"""),55.99)</f>
        <v>55.99</v>
      </c>
      <c r="AM230" s="3">
        <f ca="1">IFERROR(__xludf.DUMMYFUNCTION("""COMPUTED_VALUE"""),56.03)</f>
        <v>56.03</v>
      </c>
      <c r="AN230" s="3">
        <f ca="1">IFERROR(__xludf.DUMMYFUNCTION("""COMPUTED_VALUE"""),55.6)</f>
        <v>55.6</v>
      </c>
      <c r="AO230" s="3">
        <f ca="1">IFERROR(__xludf.DUMMYFUNCTION("""COMPUTED_VALUE"""),55.6)</f>
        <v>55.6</v>
      </c>
      <c r="AP230" s="3">
        <f ca="1">IFERROR(__xludf.DUMMYFUNCTION("""COMPUTED_VALUE"""),8197593)</f>
        <v>8197593</v>
      </c>
      <c r="AQ230" s="4">
        <f ca="1">IFERROR(__xludf.DUMMYFUNCTION("""COMPUTED_VALUE"""),42459.6666666666)</f>
        <v>42459.666666666599</v>
      </c>
      <c r="AR230" s="3">
        <f ca="1">IFERROR(__xludf.DUMMYFUNCTION("""COMPUTED_VALUE"""),45.19)</f>
        <v>45.19</v>
      </c>
      <c r="AS230" s="3">
        <f ca="1">IFERROR(__xludf.DUMMYFUNCTION("""COMPUTED_VALUE"""),45.38)</f>
        <v>45.38</v>
      </c>
      <c r="AT230" s="3">
        <f ca="1">IFERROR(__xludf.DUMMYFUNCTION("""COMPUTED_VALUE"""),45)</f>
        <v>45</v>
      </c>
      <c r="AU230" s="3">
        <f ca="1">IFERROR(__xludf.DUMMYFUNCTION("""COMPUTED_VALUE"""),45.19)</f>
        <v>45.19</v>
      </c>
      <c r="AV230" s="3">
        <f ca="1">IFERROR(__xludf.DUMMYFUNCTION("""COMPUTED_VALUE"""),4036329)</f>
        <v>4036329</v>
      </c>
      <c r="AW230" s="4">
        <f ca="1">IFERROR(__xludf.DUMMYFUNCTION("""COMPUTED_VALUE"""),42622.6666666666)</f>
        <v>42622.666666666599</v>
      </c>
      <c r="AX230" s="3">
        <f ca="1">IFERROR(__xludf.DUMMYFUNCTION("""COMPUTED_VALUE"""),33.22)</f>
        <v>33.22</v>
      </c>
      <c r="AY230" s="3">
        <f ca="1">IFERROR(__xludf.DUMMYFUNCTION("""COMPUTED_VALUE"""),33.22)</f>
        <v>33.22</v>
      </c>
      <c r="AZ230" s="3">
        <f ca="1">IFERROR(__xludf.DUMMYFUNCTION("""COMPUTED_VALUE"""),32.12)</f>
        <v>32.119999999999997</v>
      </c>
      <c r="BA230" s="3">
        <f ca="1">IFERROR(__xludf.DUMMYFUNCTION("""COMPUTED_VALUE"""),32.16)</f>
        <v>32.159999999999997</v>
      </c>
      <c r="BB230" s="3">
        <f ca="1">IFERROR(__xludf.DUMMYFUNCTION("""COMPUTED_VALUE"""),906748)</f>
        <v>906748</v>
      </c>
      <c r="BC230" s="4">
        <f ca="1">IFERROR(__xludf.DUMMYFUNCTION("""COMPUTED_VALUE"""),42459.6666666666)</f>
        <v>42459.666666666599</v>
      </c>
      <c r="BD230" s="3">
        <f ca="1">IFERROR(__xludf.DUMMYFUNCTION("""COMPUTED_VALUE"""),44.42)</f>
        <v>44.42</v>
      </c>
      <c r="BE230" s="3">
        <f ca="1">IFERROR(__xludf.DUMMYFUNCTION("""COMPUTED_VALUE"""),44.67)</f>
        <v>44.67</v>
      </c>
      <c r="BF230" s="3">
        <f ca="1">IFERROR(__xludf.DUMMYFUNCTION("""COMPUTED_VALUE"""),44.35)</f>
        <v>44.35</v>
      </c>
      <c r="BG230" s="3">
        <f ca="1">IFERROR(__xludf.DUMMYFUNCTION("""COMPUTED_VALUE"""),44.45)</f>
        <v>44.45</v>
      </c>
      <c r="BH230" s="3">
        <f ca="1">IFERROR(__xludf.DUMMYFUNCTION("""COMPUTED_VALUE"""),10988322)</f>
        <v>10988322</v>
      </c>
      <c r="BI230" s="4">
        <f ca="1">IFERROR(__xludf.DUMMYFUNCTION("""COMPUTED_VALUE"""),42459.6666666666)</f>
        <v>42459.666666666599</v>
      </c>
      <c r="BJ230" s="3">
        <f ca="1">IFERROR(__xludf.DUMMYFUNCTION("""COMPUTED_VALUE"""),49.45)</f>
        <v>49.45</v>
      </c>
      <c r="BK230" s="3">
        <f ca="1">IFERROR(__xludf.DUMMYFUNCTION("""COMPUTED_VALUE"""),49.56)</f>
        <v>49.56</v>
      </c>
      <c r="BL230" s="3">
        <f ca="1">IFERROR(__xludf.DUMMYFUNCTION("""COMPUTED_VALUE"""),49.15)</f>
        <v>49.15</v>
      </c>
      <c r="BM230" s="3">
        <f ca="1">IFERROR(__xludf.DUMMYFUNCTION("""COMPUTED_VALUE"""),49.33)</f>
        <v>49.33</v>
      </c>
      <c r="BN230" s="3">
        <f ca="1">IFERROR(__xludf.DUMMYFUNCTION("""COMPUTED_VALUE"""),14516907)</f>
        <v>14516907</v>
      </c>
    </row>
    <row r="231" spans="7:66" ht="13" x14ac:dyDescent="0.15">
      <c r="G231" s="4">
        <f ca="1">IFERROR(__xludf.DUMMYFUNCTION("""COMPUTED_VALUE"""),42460.6666666666)</f>
        <v>42460.666666666599</v>
      </c>
      <c r="H231" s="3">
        <f ca="1">IFERROR(__xludf.DUMMYFUNCTION("""COMPUTED_VALUE"""),79.07)</f>
        <v>79.069999999999993</v>
      </c>
      <c r="I231" s="3">
        <f ca="1">IFERROR(__xludf.DUMMYFUNCTION("""COMPUTED_VALUE"""),79.39)</f>
        <v>79.39</v>
      </c>
      <c r="J231" s="3">
        <f ca="1">IFERROR(__xludf.DUMMYFUNCTION("""COMPUTED_VALUE"""),78.97)</f>
        <v>78.97</v>
      </c>
      <c r="K231" s="3">
        <f ca="1">IFERROR(__xludf.DUMMYFUNCTION("""COMPUTED_VALUE"""),79.1)</f>
        <v>79.099999999999994</v>
      </c>
      <c r="L231" s="3">
        <f ca="1">IFERROR(__xludf.DUMMYFUNCTION("""COMPUTED_VALUE"""),5070440)</f>
        <v>5070440</v>
      </c>
      <c r="M231" s="4">
        <f ca="1">IFERROR(__xludf.DUMMYFUNCTION("""COMPUTED_VALUE"""),42460.6666666666)</f>
        <v>42460.666666666599</v>
      </c>
      <c r="N231" s="3">
        <f ca="1">IFERROR(__xludf.DUMMYFUNCTION("""COMPUTED_VALUE"""),53.25)</f>
        <v>53.25</v>
      </c>
      <c r="O231" s="3">
        <f ca="1">IFERROR(__xludf.DUMMYFUNCTION("""COMPUTED_VALUE"""),53.34)</f>
        <v>53.34</v>
      </c>
      <c r="P231" s="3">
        <f ca="1">IFERROR(__xludf.DUMMYFUNCTION("""COMPUTED_VALUE"""),53)</f>
        <v>53</v>
      </c>
      <c r="Q231" s="3">
        <f ca="1">IFERROR(__xludf.DUMMYFUNCTION("""COMPUTED_VALUE"""),53.06)</f>
        <v>53.06</v>
      </c>
      <c r="R231" s="3">
        <f ca="1">IFERROR(__xludf.DUMMYFUNCTION("""COMPUTED_VALUE"""),8297414)</f>
        <v>8297414</v>
      </c>
      <c r="S231" s="4">
        <f ca="1">IFERROR(__xludf.DUMMYFUNCTION("""COMPUTED_VALUE"""),42460.6666666666)</f>
        <v>42460.666666666599</v>
      </c>
      <c r="T231" s="3">
        <f ca="1">IFERROR(__xludf.DUMMYFUNCTION("""COMPUTED_VALUE"""),61.68)</f>
        <v>61.68</v>
      </c>
      <c r="U231" s="3">
        <f ca="1">IFERROR(__xludf.DUMMYFUNCTION("""COMPUTED_VALUE"""),62.37)</f>
        <v>62.37</v>
      </c>
      <c r="V231" s="3">
        <f ca="1">IFERROR(__xludf.DUMMYFUNCTION("""COMPUTED_VALUE"""),61.58)</f>
        <v>61.58</v>
      </c>
      <c r="W231" s="3">
        <f ca="1">IFERROR(__xludf.DUMMYFUNCTION("""COMPUTED_VALUE"""),61.89)</f>
        <v>61.89</v>
      </c>
      <c r="X231" s="3">
        <f ca="1">IFERROR(__xludf.DUMMYFUNCTION("""COMPUTED_VALUE"""),14046407)</f>
        <v>14046407</v>
      </c>
      <c r="Y231" s="4">
        <f ca="1">IFERROR(__xludf.DUMMYFUNCTION("""COMPUTED_VALUE"""),42460.6666666666)</f>
        <v>42460.666666666599</v>
      </c>
      <c r="Z231" s="3">
        <f ca="1">IFERROR(__xludf.DUMMYFUNCTION("""COMPUTED_VALUE"""),18.26)</f>
        <v>18.260000000000002</v>
      </c>
      <c r="AA231" s="3">
        <f ca="1">IFERROR(__xludf.DUMMYFUNCTION("""COMPUTED_VALUE"""),18.38)</f>
        <v>18.38</v>
      </c>
      <c r="AB231" s="3">
        <f ca="1">IFERROR(__xludf.DUMMYFUNCTION("""COMPUTED_VALUE"""),18.23)</f>
        <v>18.23</v>
      </c>
      <c r="AC231" s="3">
        <f ca="1">IFERROR(__xludf.DUMMYFUNCTION("""COMPUTED_VALUE"""),18.27)</f>
        <v>18.27</v>
      </c>
      <c r="AD231" s="3">
        <f ca="1">IFERROR(__xludf.DUMMYFUNCTION("""COMPUTED_VALUE"""),32450052)</f>
        <v>32450052</v>
      </c>
      <c r="AE231" s="4">
        <f ca="1">IFERROR(__xludf.DUMMYFUNCTION("""COMPUTED_VALUE"""),42460.6666666666)</f>
        <v>42460.666666666599</v>
      </c>
      <c r="AF231" s="3">
        <f ca="1">IFERROR(__xludf.DUMMYFUNCTION("""COMPUTED_VALUE"""),67.89)</f>
        <v>67.89</v>
      </c>
      <c r="AG231" s="3">
        <f ca="1">IFERROR(__xludf.DUMMYFUNCTION("""COMPUTED_VALUE"""),68.29)</f>
        <v>68.290000000000006</v>
      </c>
      <c r="AH231" s="3">
        <f ca="1">IFERROR(__xludf.DUMMYFUNCTION("""COMPUTED_VALUE"""),67.75)</f>
        <v>67.75</v>
      </c>
      <c r="AI231" s="3">
        <f ca="1">IFERROR(__xludf.DUMMYFUNCTION("""COMPUTED_VALUE"""),67.78)</f>
        <v>67.78</v>
      </c>
      <c r="AJ231" s="3">
        <f ca="1">IFERROR(__xludf.DUMMYFUNCTION("""COMPUTED_VALUE"""),8602692)</f>
        <v>8602692</v>
      </c>
      <c r="AK231" s="4">
        <f ca="1">IFERROR(__xludf.DUMMYFUNCTION("""COMPUTED_VALUE"""),42460.6666666666)</f>
        <v>42460.666666666599</v>
      </c>
      <c r="AL231" s="3">
        <f ca="1">IFERROR(__xludf.DUMMYFUNCTION("""COMPUTED_VALUE"""),55.71)</f>
        <v>55.71</v>
      </c>
      <c r="AM231" s="3">
        <f ca="1">IFERROR(__xludf.DUMMYFUNCTION("""COMPUTED_VALUE"""),55.79)</f>
        <v>55.79</v>
      </c>
      <c r="AN231" s="3">
        <f ca="1">IFERROR(__xludf.DUMMYFUNCTION("""COMPUTED_VALUE"""),55.4)</f>
        <v>55.4</v>
      </c>
      <c r="AO231" s="3">
        <f ca="1">IFERROR(__xludf.DUMMYFUNCTION("""COMPUTED_VALUE"""),55.47)</f>
        <v>55.47</v>
      </c>
      <c r="AP231" s="3">
        <f ca="1">IFERROR(__xludf.DUMMYFUNCTION("""COMPUTED_VALUE"""),12949115)</f>
        <v>12949115</v>
      </c>
      <c r="AQ231" s="4">
        <f ca="1">IFERROR(__xludf.DUMMYFUNCTION("""COMPUTED_VALUE"""),42460.6666666666)</f>
        <v>42460.666666666599</v>
      </c>
      <c r="AR231" s="3">
        <f ca="1">IFERROR(__xludf.DUMMYFUNCTION("""COMPUTED_VALUE"""),45.24)</f>
        <v>45.24</v>
      </c>
      <c r="AS231" s="3">
        <f ca="1">IFERROR(__xludf.DUMMYFUNCTION("""COMPUTED_VALUE"""),45.3)</f>
        <v>45.3</v>
      </c>
      <c r="AT231" s="3">
        <f ca="1">IFERROR(__xludf.DUMMYFUNCTION("""COMPUTED_VALUE"""),44.66)</f>
        <v>44.66</v>
      </c>
      <c r="AU231" s="3">
        <f ca="1">IFERROR(__xludf.DUMMYFUNCTION("""COMPUTED_VALUE"""),44.81)</f>
        <v>44.81</v>
      </c>
      <c r="AV231" s="3">
        <f ca="1">IFERROR(__xludf.DUMMYFUNCTION("""COMPUTED_VALUE"""),5557764)</f>
        <v>5557764</v>
      </c>
      <c r="AW231" s="4">
        <f ca="1">IFERROR(__xludf.DUMMYFUNCTION("""COMPUTED_VALUE"""),42625.6666666666)</f>
        <v>42625.666666666599</v>
      </c>
      <c r="AX231" s="3">
        <f ca="1">IFERROR(__xludf.DUMMYFUNCTION("""COMPUTED_VALUE"""),32.15)</f>
        <v>32.15</v>
      </c>
      <c r="AY231" s="3">
        <f ca="1">IFERROR(__xludf.DUMMYFUNCTION("""COMPUTED_VALUE"""),32.68)</f>
        <v>32.68</v>
      </c>
      <c r="AZ231" s="3">
        <f ca="1">IFERROR(__xludf.DUMMYFUNCTION("""COMPUTED_VALUE"""),32)</f>
        <v>32</v>
      </c>
      <c r="BA231" s="3">
        <f ca="1">IFERROR(__xludf.DUMMYFUNCTION("""COMPUTED_VALUE"""),32.29)</f>
        <v>32.29</v>
      </c>
      <c r="BB231" s="3">
        <f ca="1">IFERROR(__xludf.DUMMYFUNCTION("""COMPUTED_VALUE"""),5085946)</f>
        <v>5085946</v>
      </c>
      <c r="BC231" s="4">
        <f ca="1">IFERROR(__xludf.DUMMYFUNCTION("""COMPUTED_VALUE"""),42460.6666666666)</f>
        <v>42460.666666666599</v>
      </c>
      <c r="BD231" s="3">
        <f ca="1">IFERROR(__xludf.DUMMYFUNCTION("""COMPUTED_VALUE"""),44.39)</f>
        <v>44.39</v>
      </c>
      <c r="BE231" s="3">
        <f ca="1">IFERROR(__xludf.DUMMYFUNCTION("""COMPUTED_VALUE"""),44.58)</f>
        <v>44.58</v>
      </c>
      <c r="BF231" s="3">
        <f ca="1">IFERROR(__xludf.DUMMYFUNCTION("""COMPUTED_VALUE"""),44.28)</f>
        <v>44.28</v>
      </c>
      <c r="BG231" s="3">
        <f ca="1">IFERROR(__xludf.DUMMYFUNCTION("""COMPUTED_VALUE"""),44.36)</f>
        <v>44.36</v>
      </c>
      <c r="BH231" s="3">
        <f ca="1">IFERROR(__xludf.DUMMYFUNCTION("""COMPUTED_VALUE"""),14594927)</f>
        <v>14594927</v>
      </c>
      <c r="BI231" s="4">
        <f ca="1">IFERROR(__xludf.DUMMYFUNCTION("""COMPUTED_VALUE"""),42460.6666666666)</f>
        <v>42460.666666666599</v>
      </c>
      <c r="BJ231" s="3">
        <f ca="1">IFERROR(__xludf.DUMMYFUNCTION("""COMPUTED_VALUE"""),49.4)</f>
        <v>49.4</v>
      </c>
      <c r="BK231" s="3">
        <f ca="1">IFERROR(__xludf.DUMMYFUNCTION("""COMPUTED_VALUE"""),49.67)</f>
        <v>49.67</v>
      </c>
      <c r="BL231" s="3">
        <f ca="1">IFERROR(__xludf.DUMMYFUNCTION("""COMPUTED_VALUE"""),49.22)</f>
        <v>49.22</v>
      </c>
      <c r="BM231" s="3">
        <f ca="1">IFERROR(__xludf.DUMMYFUNCTION("""COMPUTED_VALUE"""),49.62)</f>
        <v>49.62</v>
      </c>
      <c r="BN231" s="3">
        <f ca="1">IFERROR(__xludf.DUMMYFUNCTION("""COMPUTED_VALUE"""),14703418)</f>
        <v>14703418</v>
      </c>
    </row>
    <row r="232" spans="7:66" ht="13" x14ac:dyDescent="0.15">
      <c r="G232" s="4">
        <f ca="1">IFERROR(__xludf.DUMMYFUNCTION("""COMPUTED_VALUE"""),42461.6666666666)</f>
        <v>42461.666666666599</v>
      </c>
      <c r="H232" s="3">
        <f ca="1">IFERROR(__xludf.DUMMYFUNCTION("""COMPUTED_VALUE"""),78.6)</f>
        <v>78.599999999999994</v>
      </c>
      <c r="I232" s="3">
        <f ca="1">IFERROR(__xludf.DUMMYFUNCTION("""COMPUTED_VALUE"""),79.6)</f>
        <v>79.599999999999994</v>
      </c>
      <c r="J232" s="3">
        <f ca="1">IFERROR(__xludf.DUMMYFUNCTION("""COMPUTED_VALUE"""),78.54)</f>
        <v>78.540000000000006</v>
      </c>
      <c r="K232" s="3">
        <f ca="1">IFERROR(__xludf.DUMMYFUNCTION("""COMPUTED_VALUE"""),79.43)</f>
        <v>79.430000000000007</v>
      </c>
      <c r="L232" s="3">
        <f ca="1">IFERROR(__xludf.DUMMYFUNCTION("""COMPUTED_VALUE"""),8141837)</f>
        <v>8141837</v>
      </c>
      <c r="M232" s="4">
        <f ca="1">IFERROR(__xludf.DUMMYFUNCTION("""COMPUTED_VALUE"""),42461.6666666666)</f>
        <v>42461.666666666599</v>
      </c>
      <c r="N232" s="3">
        <f ca="1">IFERROR(__xludf.DUMMYFUNCTION("""COMPUTED_VALUE"""),52.84)</f>
        <v>52.84</v>
      </c>
      <c r="O232" s="3">
        <f ca="1">IFERROR(__xludf.DUMMYFUNCTION("""COMPUTED_VALUE"""),53.77)</f>
        <v>53.77</v>
      </c>
      <c r="P232" s="3">
        <f ca="1">IFERROR(__xludf.DUMMYFUNCTION("""COMPUTED_VALUE"""),52.77)</f>
        <v>52.77</v>
      </c>
      <c r="Q232" s="3">
        <f ca="1">IFERROR(__xludf.DUMMYFUNCTION("""COMPUTED_VALUE"""),53.62)</f>
        <v>53.62</v>
      </c>
      <c r="R232" s="3">
        <f ca="1">IFERROR(__xludf.DUMMYFUNCTION("""COMPUTED_VALUE"""),14840290)</f>
        <v>14840290</v>
      </c>
      <c r="S232" s="4">
        <f ca="1">IFERROR(__xludf.DUMMYFUNCTION("""COMPUTED_VALUE"""),42461.6666666666)</f>
        <v>42461.666666666599</v>
      </c>
      <c r="T232" s="3">
        <f ca="1">IFERROR(__xludf.DUMMYFUNCTION("""COMPUTED_VALUE"""),60.82)</f>
        <v>60.82</v>
      </c>
      <c r="U232" s="3">
        <f ca="1">IFERROR(__xludf.DUMMYFUNCTION("""COMPUTED_VALUE"""),61.24)</f>
        <v>61.24</v>
      </c>
      <c r="V232" s="3">
        <f ca="1">IFERROR(__xludf.DUMMYFUNCTION("""COMPUTED_VALUE"""),60.61)</f>
        <v>60.61</v>
      </c>
      <c r="W232" s="3">
        <f ca="1">IFERROR(__xludf.DUMMYFUNCTION("""COMPUTED_VALUE"""),61.06)</f>
        <v>61.06</v>
      </c>
      <c r="X232" s="3">
        <f ca="1">IFERROR(__xludf.DUMMYFUNCTION("""COMPUTED_VALUE"""),14804794)</f>
        <v>14804794</v>
      </c>
      <c r="Y232" s="4">
        <f ca="1">IFERROR(__xludf.DUMMYFUNCTION("""COMPUTED_VALUE"""),42461.6666666666)</f>
        <v>42461.666666666599</v>
      </c>
      <c r="Z232" s="3">
        <f ca="1">IFERROR(__xludf.DUMMYFUNCTION("""COMPUTED_VALUE"""),18.18)</f>
        <v>18.18</v>
      </c>
      <c r="AA232" s="3">
        <f ca="1">IFERROR(__xludf.DUMMYFUNCTION("""COMPUTED_VALUE"""),18.46)</f>
        <v>18.46</v>
      </c>
      <c r="AB232" s="3">
        <f ca="1">IFERROR(__xludf.DUMMYFUNCTION("""COMPUTED_VALUE"""),18.11)</f>
        <v>18.11</v>
      </c>
      <c r="AC232" s="3">
        <f ca="1">IFERROR(__xludf.DUMMYFUNCTION("""COMPUTED_VALUE"""),18.43)</f>
        <v>18.43</v>
      </c>
      <c r="AD232" s="3">
        <f ca="1">IFERROR(__xludf.DUMMYFUNCTION("""COMPUTED_VALUE"""),37167566)</f>
        <v>37167566</v>
      </c>
      <c r="AE232" s="4">
        <f ca="1">IFERROR(__xludf.DUMMYFUNCTION("""COMPUTED_VALUE"""),42461.6666666666)</f>
        <v>42461.666666666599</v>
      </c>
      <c r="AF232" s="3">
        <f ca="1">IFERROR(__xludf.DUMMYFUNCTION("""COMPUTED_VALUE"""),67.5)</f>
        <v>67.5</v>
      </c>
      <c r="AG232" s="3">
        <f ca="1">IFERROR(__xludf.DUMMYFUNCTION("""COMPUTED_VALUE"""),68.8)</f>
        <v>68.8</v>
      </c>
      <c r="AH232" s="3">
        <f ca="1">IFERROR(__xludf.DUMMYFUNCTION("""COMPUTED_VALUE"""),67.37)</f>
        <v>67.37</v>
      </c>
      <c r="AI232" s="3">
        <f ca="1">IFERROR(__xludf.DUMMYFUNCTION("""COMPUTED_VALUE"""),68.55)</f>
        <v>68.55</v>
      </c>
      <c r="AJ232" s="3">
        <f ca="1">IFERROR(__xludf.DUMMYFUNCTION("""COMPUTED_VALUE"""),9120164)</f>
        <v>9120164</v>
      </c>
      <c r="AK232" s="4">
        <f ca="1">IFERROR(__xludf.DUMMYFUNCTION("""COMPUTED_VALUE"""),42461.6666666666)</f>
        <v>42461.666666666599</v>
      </c>
      <c r="AL232" s="3">
        <f ca="1">IFERROR(__xludf.DUMMYFUNCTION("""COMPUTED_VALUE"""),55.15)</f>
        <v>55.15</v>
      </c>
      <c r="AM232" s="3">
        <f ca="1">IFERROR(__xludf.DUMMYFUNCTION("""COMPUTED_VALUE"""),55.73)</f>
        <v>55.73</v>
      </c>
      <c r="AN232" s="3">
        <f ca="1">IFERROR(__xludf.DUMMYFUNCTION("""COMPUTED_VALUE"""),54.75)</f>
        <v>54.75</v>
      </c>
      <c r="AO232" s="3">
        <f ca="1">IFERROR(__xludf.DUMMYFUNCTION("""COMPUTED_VALUE"""),55.73)</f>
        <v>55.73</v>
      </c>
      <c r="AP232" s="3">
        <f ca="1">IFERROR(__xludf.DUMMYFUNCTION("""COMPUTED_VALUE"""),16184593)</f>
        <v>16184593</v>
      </c>
      <c r="AQ232" s="4">
        <f ca="1">IFERROR(__xludf.DUMMYFUNCTION("""COMPUTED_VALUE"""),42461.6666666666)</f>
        <v>42461.666666666599</v>
      </c>
      <c r="AR232" s="3">
        <f ca="1">IFERROR(__xludf.DUMMYFUNCTION("""COMPUTED_VALUE"""),44.49)</f>
        <v>44.49</v>
      </c>
      <c r="AS232" s="3">
        <f ca="1">IFERROR(__xludf.DUMMYFUNCTION("""COMPUTED_VALUE"""),45.24)</f>
        <v>45.24</v>
      </c>
      <c r="AT232" s="3">
        <f ca="1">IFERROR(__xludf.DUMMYFUNCTION("""COMPUTED_VALUE"""),44.16)</f>
        <v>44.16</v>
      </c>
      <c r="AU232" s="3">
        <f ca="1">IFERROR(__xludf.DUMMYFUNCTION("""COMPUTED_VALUE"""),45.24)</f>
        <v>45.24</v>
      </c>
      <c r="AV232" s="3">
        <f ca="1">IFERROR(__xludf.DUMMYFUNCTION("""COMPUTED_VALUE"""),8590546)</f>
        <v>8590546</v>
      </c>
      <c r="AW232" s="4">
        <f ca="1">IFERROR(__xludf.DUMMYFUNCTION("""COMPUTED_VALUE"""),42626.6666666666)</f>
        <v>42626.666666666599</v>
      </c>
      <c r="AX232" s="3">
        <f ca="1">IFERROR(__xludf.DUMMYFUNCTION("""COMPUTED_VALUE"""),32.21)</f>
        <v>32.21</v>
      </c>
      <c r="AY232" s="3">
        <f ca="1">IFERROR(__xludf.DUMMYFUNCTION("""COMPUTED_VALUE"""),32.34)</f>
        <v>32.340000000000003</v>
      </c>
      <c r="AZ232" s="3">
        <f ca="1">IFERROR(__xludf.DUMMYFUNCTION("""COMPUTED_VALUE"""),31.66)</f>
        <v>31.66</v>
      </c>
      <c r="BA232" s="3">
        <f ca="1">IFERROR(__xludf.DUMMYFUNCTION("""COMPUTED_VALUE"""),31.72)</f>
        <v>31.72</v>
      </c>
      <c r="BB232" s="3">
        <f ca="1">IFERROR(__xludf.DUMMYFUNCTION("""COMPUTED_VALUE"""),926654)</f>
        <v>926654</v>
      </c>
      <c r="BC232" s="4">
        <f ca="1">IFERROR(__xludf.DUMMYFUNCTION("""COMPUTED_VALUE"""),42461.6666666666)</f>
        <v>42461.666666666599</v>
      </c>
      <c r="BD232" s="3">
        <f ca="1">IFERROR(__xludf.DUMMYFUNCTION("""COMPUTED_VALUE"""),44.05)</f>
        <v>44.05</v>
      </c>
      <c r="BE232" s="3">
        <f ca="1">IFERROR(__xludf.DUMMYFUNCTION("""COMPUTED_VALUE"""),44.72)</f>
        <v>44.72</v>
      </c>
      <c r="BF232" s="3">
        <f ca="1">IFERROR(__xludf.DUMMYFUNCTION("""COMPUTED_VALUE"""),44.01)</f>
        <v>44.01</v>
      </c>
      <c r="BG232" s="3">
        <f ca="1">IFERROR(__xludf.DUMMYFUNCTION("""COMPUTED_VALUE"""),44.7)</f>
        <v>44.7</v>
      </c>
      <c r="BH232" s="3">
        <f ca="1">IFERROR(__xludf.DUMMYFUNCTION("""COMPUTED_VALUE"""),9654907)</f>
        <v>9654907</v>
      </c>
      <c r="BI232" s="4">
        <f ca="1">IFERROR(__xludf.DUMMYFUNCTION("""COMPUTED_VALUE"""),42461.6666666666)</f>
        <v>42461.666666666599</v>
      </c>
      <c r="BJ232" s="3">
        <f ca="1">IFERROR(__xludf.DUMMYFUNCTION("""COMPUTED_VALUE"""),49.42)</f>
        <v>49.42</v>
      </c>
      <c r="BK232" s="3">
        <f ca="1">IFERROR(__xludf.DUMMYFUNCTION("""COMPUTED_VALUE"""),49.88)</f>
        <v>49.88</v>
      </c>
      <c r="BL232" s="3">
        <f ca="1">IFERROR(__xludf.DUMMYFUNCTION("""COMPUTED_VALUE"""),49.26)</f>
        <v>49.26</v>
      </c>
      <c r="BM232" s="3">
        <f ca="1">IFERROR(__xludf.DUMMYFUNCTION("""COMPUTED_VALUE"""),49.81)</f>
        <v>49.81</v>
      </c>
      <c r="BN232" s="3">
        <f ca="1">IFERROR(__xludf.DUMMYFUNCTION("""COMPUTED_VALUE"""),17872603)</f>
        <v>17872603</v>
      </c>
    </row>
    <row r="233" spans="7:66" ht="13" x14ac:dyDescent="0.15">
      <c r="G233" s="4">
        <f ca="1">IFERROR(__xludf.DUMMYFUNCTION("""COMPUTED_VALUE"""),42464.6666666666)</f>
        <v>42464.666666666599</v>
      </c>
      <c r="H233" s="3">
        <f ca="1">IFERROR(__xludf.DUMMYFUNCTION("""COMPUTED_VALUE"""),79.52)</f>
        <v>79.52</v>
      </c>
      <c r="I233" s="3">
        <f ca="1">IFERROR(__xludf.DUMMYFUNCTION("""COMPUTED_VALUE"""),79.6)</f>
        <v>79.599999999999994</v>
      </c>
      <c r="J233" s="3">
        <f ca="1">IFERROR(__xludf.DUMMYFUNCTION("""COMPUTED_VALUE"""),78.71)</f>
        <v>78.709999999999994</v>
      </c>
      <c r="K233" s="3">
        <f ca="1">IFERROR(__xludf.DUMMYFUNCTION("""COMPUTED_VALUE"""),78.81)</f>
        <v>78.81</v>
      </c>
      <c r="L233" s="3">
        <f ca="1">IFERROR(__xludf.DUMMYFUNCTION("""COMPUTED_VALUE"""),9471831)</f>
        <v>9471831</v>
      </c>
      <c r="M233" s="4">
        <f ca="1">IFERROR(__xludf.DUMMYFUNCTION("""COMPUTED_VALUE"""),42464.6666666666)</f>
        <v>42464.666666666599</v>
      </c>
      <c r="N233" s="3">
        <f ca="1">IFERROR(__xludf.DUMMYFUNCTION("""COMPUTED_VALUE"""),53.69)</f>
        <v>53.69</v>
      </c>
      <c r="O233" s="3">
        <f ca="1">IFERROR(__xludf.DUMMYFUNCTION("""COMPUTED_VALUE"""),53.75)</f>
        <v>53.75</v>
      </c>
      <c r="P233" s="3">
        <f ca="1">IFERROR(__xludf.DUMMYFUNCTION("""COMPUTED_VALUE"""),53.36)</f>
        <v>53.36</v>
      </c>
      <c r="Q233" s="3">
        <f ca="1">IFERROR(__xludf.DUMMYFUNCTION("""COMPUTED_VALUE"""),53.64)</f>
        <v>53.64</v>
      </c>
      <c r="R233" s="3">
        <f ca="1">IFERROR(__xludf.DUMMYFUNCTION("""COMPUTED_VALUE"""),12949022)</f>
        <v>12949022</v>
      </c>
      <c r="S233" s="4">
        <f ca="1">IFERROR(__xludf.DUMMYFUNCTION("""COMPUTED_VALUE"""),42464.6666666666)</f>
        <v>42464.666666666599</v>
      </c>
      <c r="T233" s="3">
        <f ca="1">IFERROR(__xludf.DUMMYFUNCTION("""COMPUTED_VALUE"""),60.95)</f>
        <v>60.95</v>
      </c>
      <c r="U233" s="3">
        <f ca="1">IFERROR(__xludf.DUMMYFUNCTION("""COMPUTED_VALUE"""),61.59)</f>
        <v>61.59</v>
      </c>
      <c r="V233" s="3">
        <f ca="1">IFERROR(__xludf.DUMMYFUNCTION("""COMPUTED_VALUE"""),60.43)</f>
        <v>60.43</v>
      </c>
      <c r="W233" s="3">
        <f ca="1">IFERROR(__xludf.DUMMYFUNCTION("""COMPUTED_VALUE"""),60.61)</f>
        <v>60.61</v>
      </c>
      <c r="X233" s="3">
        <f ca="1">IFERROR(__xludf.DUMMYFUNCTION("""COMPUTED_VALUE"""),15809530)</f>
        <v>15809530</v>
      </c>
      <c r="Y233" s="4">
        <f ca="1">IFERROR(__xludf.DUMMYFUNCTION("""COMPUTED_VALUE"""),42464.6666666666)</f>
        <v>42464.666666666599</v>
      </c>
      <c r="Z233" s="3">
        <f ca="1">IFERROR(__xludf.DUMMYFUNCTION("""COMPUTED_VALUE"""),18.42)</f>
        <v>18.420000000000002</v>
      </c>
      <c r="AA233" s="3">
        <f ca="1">IFERROR(__xludf.DUMMYFUNCTION("""COMPUTED_VALUE"""),18.46)</f>
        <v>18.46</v>
      </c>
      <c r="AB233" s="3">
        <f ca="1">IFERROR(__xludf.DUMMYFUNCTION("""COMPUTED_VALUE"""),18.3)</f>
        <v>18.3</v>
      </c>
      <c r="AC233" s="3">
        <f ca="1">IFERROR(__xludf.DUMMYFUNCTION("""COMPUTED_VALUE"""),18.34)</f>
        <v>18.34</v>
      </c>
      <c r="AD233" s="3">
        <f ca="1">IFERROR(__xludf.DUMMYFUNCTION("""COMPUTED_VALUE"""),31311785)</f>
        <v>31311785</v>
      </c>
      <c r="AE233" s="4">
        <f ca="1">IFERROR(__xludf.DUMMYFUNCTION("""COMPUTED_VALUE"""),42464.6666666666)</f>
        <v>42464.666666666599</v>
      </c>
      <c r="AF233" s="3">
        <f ca="1">IFERROR(__xludf.DUMMYFUNCTION("""COMPUTED_VALUE"""),68.71)</f>
        <v>68.709999999999994</v>
      </c>
      <c r="AG233" s="3">
        <f ca="1">IFERROR(__xludf.DUMMYFUNCTION("""COMPUTED_VALUE"""),69.62)</f>
        <v>69.62</v>
      </c>
      <c r="AH233" s="3">
        <f ca="1">IFERROR(__xludf.DUMMYFUNCTION("""COMPUTED_VALUE"""),68.7)</f>
        <v>68.7</v>
      </c>
      <c r="AI233" s="3">
        <f ca="1">IFERROR(__xludf.DUMMYFUNCTION("""COMPUTED_VALUE"""),69.37)</f>
        <v>69.37</v>
      </c>
      <c r="AJ233" s="3">
        <f ca="1">IFERROR(__xludf.DUMMYFUNCTION("""COMPUTED_VALUE"""),17381180)</f>
        <v>17381180</v>
      </c>
      <c r="AK233" s="4">
        <f ca="1">IFERROR(__xludf.DUMMYFUNCTION("""COMPUTED_VALUE"""),42464.6666666666)</f>
        <v>42464.666666666599</v>
      </c>
      <c r="AL233" s="3">
        <f ca="1">IFERROR(__xludf.DUMMYFUNCTION("""COMPUTED_VALUE"""),55.54)</f>
        <v>55.54</v>
      </c>
      <c r="AM233" s="3">
        <f ca="1">IFERROR(__xludf.DUMMYFUNCTION("""COMPUTED_VALUE"""),55.61)</f>
        <v>55.61</v>
      </c>
      <c r="AN233" s="3">
        <f ca="1">IFERROR(__xludf.DUMMYFUNCTION("""COMPUTED_VALUE"""),55)</f>
        <v>55</v>
      </c>
      <c r="AO233" s="3">
        <f ca="1">IFERROR(__xludf.DUMMYFUNCTION("""COMPUTED_VALUE"""),55.1)</f>
        <v>55.1</v>
      </c>
      <c r="AP233" s="3">
        <f ca="1">IFERROR(__xludf.DUMMYFUNCTION("""COMPUTED_VALUE"""),12014932)</f>
        <v>12014932</v>
      </c>
      <c r="AQ233" s="4">
        <f ca="1">IFERROR(__xludf.DUMMYFUNCTION("""COMPUTED_VALUE"""),42464.6666666666)</f>
        <v>42464.666666666599</v>
      </c>
      <c r="AR233" s="3">
        <f ca="1">IFERROR(__xludf.DUMMYFUNCTION("""COMPUTED_VALUE"""),44.95)</f>
        <v>44.95</v>
      </c>
      <c r="AS233" s="3">
        <f ca="1">IFERROR(__xludf.DUMMYFUNCTION("""COMPUTED_VALUE"""),45.21)</f>
        <v>45.21</v>
      </c>
      <c r="AT233" s="3">
        <f ca="1">IFERROR(__xludf.DUMMYFUNCTION("""COMPUTED_VALUE"""),44.57)</f>
        <v>44.57</v>
      </c>
      <c r="AU233" s="3">
        <f ca="1">IFERROR(__xludf.DUMMYFUNCTION("""COMPUTED_VALUE"""),44.65)</f>
        <v>44.65</v>
      </c>
      <c r="AV233" s="3">
        <f ca="1">IFERROR(__xludf.DUMMYFUNCTION("""COMPUTED_VALUE"""),5660555)</f>
        <v>5660555</v>
      </c>
      <c r="AW233" s="4">
        <f ca="1">IFERROR(__xludf.DUMMYFUNCTION("""COMPUTED_VALUE"""),42627.6666666666)</f>
        <v>42627.666666666599</v>
      </c>
      <c r="AX233" s="3">
        <f ca="1">IFERROR(__xludf.DUMMYFUNCTION("""COMPUTED_VALUE"""),32.21)</f>
        <v>32.21</v>
      </c>
      <c r="AY233" s="3">
        <f ca="1">IFERROR(__xludf.DUMMYFUNCTION("""COMPUTED_VALUE"""),32.21)</f>
        <v>32.21</v>
      </c>
      <c r="AZ233" s="3">
        <f ca="1">IFERROR(__xludf.DUMMYFUNCTION("""COMPUTED_VALUE"""),31.65)</f>
        <v>31.65</v>
      </c>
      <c r="BA233" s="3">
        <f ca="1">IFERROR(__xludf.DUMMYFUNCTION("""COMPUTED_VALUE"""),31.78)</f>
        <v>31.78</v>
      </c>
      <c r="BB233" s="3">
        <f ca="1">IFERROR(__xludf.DUMMYFUNCTION("""COMPUTED_VALUE"""),532081)</f>
        <v>532081</v>
      </c>
      <c r="BC233" s="4">
        <f ca="1">IFERROR(__xludf.DUMMYFUNCTION("""COMPUTED_VALUE"""),42464.6666666666)</f>
        <v>42464.666666666599</v>
      </c>
      <c r="BD233" s="3">
        <f ca="1">IFERROR(__xludf.DUMMYFUNCTION("""COMPUTED_VALUE"""),44.63)</f>
        <v>44.63</v>
      </c>
      <c r="BE233" s="3">
        <f ca="1">IFERROR(__xludf.DUMMYFUNCTION("""COMPUTED_VALUE"""),44.73)</f>
        <v>44.73</v>
      </c>
      <c r="BF233" s="3">
        <f ca="1">IFERROR(__xludf.DUMMYFUNCTION("""COMPUTED_VALUE"""),44.44)</f>
        <v>44.44</v>
      </c>
      <c r="BG233" s="3">
        <f ca="1">IFERROR(__xludf.DUMMYFUNCTION("""COMPUTED_VALUE"""),44.53)</f>
        <v>44.53</v>
      </c>
      <c r="BH233" s="3">
        <f ca="1">IFERROR(__xludf.DUMMYFUNCTION("""COMPUTED_VALUE"""),7646170)</f>
        <v>7646170</v>
      </c>
      <c r="BI233" s="4">
        <f ca="1">IFERROR(__xludf.DUMMYFUNCTION("""COMPUTED_VALUE"""),42464.6666666666)</f>
        <v>42464.666666666599</v>
      </c>
      <c r="BJ233" s="3">
        <f ca="1">IFERROR(__xludf.DUMMYFUNCTION("""COMPUTED_VALUE"""),49.82)</f>
        <v>49.82</v>
      </c>
      <c r="BK233" s="3">
        <f ca="1">IFERROR(__xludf.DUMMYFUNCTION("""COMPUTED_VALUE"""),49.88)</f>
        <v>49.88</v>
      </c>
      <c r="BL233" s="3">
        <f ca="1">IFERROR(__xludf.DUMMYFUNCTION("""COMPUTED_VALUE"""),49.35)</f>
        <v>49.35</v>
      </c>
      <c r="BM233" s="3">
        <f ca="1">IFERROR(__xludf.DUMMYFUNCTION("""COMPUTED_VALUE"""),49.6)</f>
        <v>49.6</v>
      </c>
      <c r="BN233" s="3">
        <f ca="1">IFERROR(__xludf.DUMMYFUNCTION("""COMPUTED_VALUE"""),15286137)</f>
        <v>15286137</v>
      </c>
    </row>
    <row r="234" spans="7:66" ht="13" x14ac:dyDescent="0.15">
      <c r="G234" s="4">
        <f ca="1">IFERROR(__xludf.DUMMYFUNCTION("""COMPUTED_VALUE"""),42465.6666666666)</f>
        <v>42465.666666666599</v>
      </c>
      <c r="H234" s="3">
        <f ca="1">IFERROR(__xludf.DUMMYFUNCTION("""COMPUTED_VALUE"""),78.41)</f>
        <v>78.41</v>
      </c>
      <c r="I234" s="3">
        <f ca="1">IFERROR(__xludf.DUMMYFUNCTION("""COMPUTED_VALUE"""),78.55)</f>
        <v>78.55</v>
      </c>
      <c r="J234" s="3">
        <f ca="1">IFERROR(__xludf.DUMMYFUNCTION("""COMPUTED_VALUE"""),77.96)</f>
        <v>77.959999999999994</v>
      </c>
      <c r="K234" s="3">
        <f ca="1">IFERROR(__xludf.DUMMYFUNCTION("""COMPUTED_VALUE"""),78.14)</f>
        <v>78.14</v>
      </c>
      <c r="L234" s="3">
        <f ca="1">IFERROR(__xludf.DUMMYFUNCTION("""COMPUTED_VALUE"""),8548041)</f>
        <v>8548041</v>
      </c>
      <c r="M234" s="4">
        <f ca="1">IFERROR(__xludf.DUMMYFUNCTION("""COMPUTED_VALUE"""),42465.6666666666)</f>
        <v>42465.666666666599</v>
      </c>
      <c r="N234" s="3">
        <f ca="1">IFERROR(__xludf.DUMMYFUNCTION("""COMPUTED_VALUE"""),53.42)</f>
        <v>53.42</v>
      </c>
      <c r="O234" s="3">
        <f ca="1">IFERROR(__xludf.DUMMYFUNCTION("""COMPUTED_VALUE"""),53.54)</f>
        <v>53.54</v>
      </c>
      <c r="P234" s="3">
        <f ca="1">IFERROR(__xludf.DUMMYFUNCTION("""COMPUTED_VALUE"""),53.16)</f>
        <v>53.16</v>
      </c>
      <c r="Q234" s="3">
        <f ca="1">IFERROR(__xludf.DUMMYFUNCTION("""COMPUTED_VALUE"""),53.28)</f>
        <v>53.28</v>
      </c>
      <c r="R234" s="3">
        <f ca="1">IFERROR(__xludf.DUMMYFUNCTION("""COMPUTED_VALUE"""),11748798)</f>
        <v>11748798</v>
      </c>
      <c r="S234" s="4">
        <f ca="1">IFERROR(__xludf.DUMMYFUNCTION("""COMPUTED_VALUE"""),42465.6666666666)</f>
        <v>42465.666666666599</v>
      </c>
      <c r="T234" s="3">
        <f ca="1">IFERROR(__xludf.DUMMYFUNCTION("""COMPUTED_VALUE"""),60.1)</f>
        <v>60.1</v>
      </c>
      <c r="U234" s="3">
        <f ca="1">IFERROR(__xludf.DUMMYFUNCTION("""COMPUTED_VALUE"""),60.63)</f>
        <v>60.63</v>
      </c>
      <c r="V234" s="3">
        <f ca="1">IFERROR(__xludf.DUMMYFUNCTION("""COMPUTED_VALUE"""),59.94)</f>
        <v>59.94</v>
      </c>
      <c r="W234" s="3">
        <f ca="1">IFERROR(__xludf.DUMMYFUNCTION("""COMPUTED_VALUE"""),60.2)</f>
        <v>60.2</v>
      </c>
      <c r="X234" s="3">
        <f ca="1">IFERROR(__xludf.DUMMYFUNCTION("""COMPUTED_VALUE"""),16048846)</f>
        <v>16048846</v>
      </c>
      <c r="Y234" s="4">
        <f ca="1">IFERROR(__xludf.DUMMYFUNCTION("""COMPUTED_VALUE"""),42465.6666666666)</f>
        <v>42465.666666666599</v>
      </c>
      <c r="Z234" s="3">
        <f ca="1">IFERROR(__xludf.DUMMYFUNCTION("""COMPUTED_VALUE"""),18.17)</f>
        <v>18.170000000000002</v>
      </c>
      <c r="AA234" s="3">
        <f ca="1">IFERROR(__xludf.DUMMYFUNCTION("""COMPUTED_VALUE"""),18.21)</f>
        <v>18.21</v>
      </c>
      <c r="AB234" s="3">
        <f ca="1">IFERROR(__xludf.DUMMYFUNCTION("""COMPUTED_VALUE"""),18.05)</f>
        <v>18.05</v>
      </c>
      <c r="AC234" s="3">
        <f ca="1">IFERROR(__xludf.DUMMYFUNCTION("""COMPUTED_VALUE"""),18.08)</f>
        <v>18.079999999999998</v>
      </c>
      <c r="AD234" s="3">
        <f ca="1">IFERROR(__xludf.DUMMYFUNCTION("""COMPUTED_VALUE"""),50076461)</f>
        <v>50076461</v>
      </c>
      <c r="AE234" s="4">
        <f ca="1">IFERROR(__xludf.DUMMYFUNCTION("""COMPUTED_VALUE"""),42465.6666666666)</f>
        <v>42465.666666666599</v>
      </c>
      <c r="AF234" s="3">
        <f ca="1">IFERROR(__xludf.DUMMYFUNCTION("""COMPUTED_VALUE"""),68.56)</f>
        <v>68.56</v>
      </c>
      <c r="AG234" s="3">
        <f ca="1">IFERROR(__xludf.DUMMYFUNCTION("""COMPUTED_VALUE"""),68.88)</f>
        <v>68.88</v>
      </c>
      <c r="AH234" s="3">
        <f ca="1">IFERROR(__xludf.DUMMYFUNCTION("""COMPUTED_VALUE"""),68.31)</f>
        <v>68.31</v>
      </c>
      <c r="AI234" s="3">
        <f ca="1">IFERROR(__xludf.DUMMYFUNCTION("""COMPUTED_VALUE"""),68.47)</f>
        <v>68.47</v>
      </c>
      <c r="AJ234" s="3">
        <f ca="1">IFERROR(__xludf.DUMMYFUNCTION("""COMPUTED_VALUE"""),16555121)</f>
        <v>16555121</v>
      </c>
      <c r="AK234" s="4">
        <f ca="1">IFERROR(__xludf.DUMMYFUNCTION("""COMPUTED_VALUE"""),42465.6666666666)</f>
        <v>42465.666666666599</v>
      </c>
      <c r="AL234" s="3">
        <f ca="1">IFERROR(__xludf.DUMMYFUNCTION("""COMPUTED_VALUE"""),54.73)</f>
        <v>54.73</v>
      </c>
      <c r="AM234" s="3">
        <f ca="1">IFERROR(__xludf.DUMMYFUNCTION("""COMPUTED_VALUE"""),55.01)</f>
        <v>55.01</v>
      </c>
      <c r="AN234" s="3">
        <f ca="1">IFERROR(__xludf.DUMMYFUNCTION("""COMPUTED_VALUE"""),54.56)</f>
        <v>54.56</v>
      </c>
      <c r="AO234" s="3">
        <f ca="1">IFERROR(__xludf.DUMMYFUNCTION("""COMPUTED_VALUE"""),54.76)</f>
        <v>54.76</v>
      </c>
      <c r="AP234" s="3">
        <f ca="1">IFERROR(__xludf.DUMMYFUNCTION("""COMPUTED_VALUE"""),11244897)</f>
        <v>11244897</v>
      </c>
      <c r="AQ234" s="4">
        <f ca="1">IFERROR(__xludf.DUMMYFUNCTION("""COMPUTED_VALUE"""),42465.6666666666)</f>
        <v>42465.666666666599</v>
      </c>
      <c r="AR234" s="3">
        <f ca="1">IFERROR(__xludf.DUMMYFUNCTION("""COMPUTED_VALUE"""),44.32)</f>
        <v>44.32</v>
      </c>
      <c r="AS234" s="3">
        <f ca="1">IFERROR(__xludf.DUMMYFUNCTION("""COMPUTED_VALUE"""),44.59)</f>
        <v>44.59</v>
      </c>
      <c r="AT234" s="3">
        <f ca="1">IFERROR(__xludf.DUMMYFUNCTION("""COMPUTED_VALUE"""),44.26)</f>
        <v>44.26</v>
      </c>
      <c r="AU234" s="3">
        <f ca="1">IFERROR(__xludf.DUMMYFUNCTION("""COMPUTED_VALUE"""),44.37)</f>
        <v>44.37</v>
      </c>
      <c r="AV234" s="3">
        <f ca="1">IFERROR(__xludf.DUMMYFUNCTION("""COMPUTED_VALUE"""),5483161)</f>
        <v>5483161</v>
      </c>
      <c r="AW234" s="4">
        <f ca="1">IFERROR(__xludf.DUMMYFUNCTION("""COMPUTED_VALUE"""),42628.6666666666)</f>
        <v>42628.666666666599</v>
      </c>
      <c r="AX234" s="3">
        <f ca="1">IFERROR(__xludf.DUMMYFUNCTION("""COMPUTED_VALUE"""),31.83)</f>
        <v>31.83</v>
      </c>
      <c r="AY234" s="3">
        <f ca="1">IFERROR(__xludf.DUMMYFUNCTION("""COMPUTED_VALUE"""),32.05)</f>
        <v>32.049999999999997</v>
      </c>
      <c r="AZ234" s="3">
        <f ca="1">IFERROR(__xludf.DUMMYFUNCTION("""COMPUTED_VALUE"""),31.67)</f>
        <v>31.67</v>
      </c>
      <c r="BA234" s="3">
        <f ca="1">IFERROR(__xludf.DUMMYFUNCTION("""COMPUTED_VALUE"""),32.02)</f>
        <v>32.020000000000003</v>
      </c>
      <c r="BB234" s="3">
        <f ca="1">IFERROR(__xludf.DUMMYFUNCTION("""COMPUTED_VALUE"""),1512794)</f>
        <v>1512794</v>
      </c>
      <c r="BC234" s="4">
        <f ca="1">IFERROR(__xludf.DUMMYFUNCTION("""COMPUTED_VALUE"""),42465.6666666666)</f>
        <v>42465.666666666599</v>
      </c>
      <c r="BD234" s="3">
        <f ca="1">IFERROR(__xludf.DUMMYFUNCTION("""COMPUTED_VALUE"""),44.24)</f>
        <v>44.24</v>
      </c>
      <c r="BE234" s="3">
        <f ca="1">IFERROR(__xludf.DUMMYFUNCTION("""COMPUTED_VALUE"""),44.35)</f>
        <v>44.35</v>
      </c>
      <c r="BF234" s="3">
        <f ca="1">IFERROR(__xludf.DUMMYFUNCTION("""COMPUTED_VALUE"""),44.01)</f>
        <v>44.01</v>
      </c>
      <c r="BG234" s="3">
        <f ca="1">IFERROR(__xludf.DUMMYFUNCTION("""COMPUTED_VALUE"""),44.1)</f>
        <v>44.1</v>
      </c>
      <c r="BH234" s="3">
        <f ca="1">IFERROR(__xludf.DUMMYFUNCTION("""COMPUTED_VALUE"""),10726144)</f>
        <v>10726144</v>
      </c>
      <c r="BI234" s="4">
        <f ca="1">IFERROR(__xludf.DUMMYFUNCTION("""COMPUTED_VALUE"""),42465.6666666666)</f>
        <v>42465.666666666599</v>
      </c>
      <c r="BJ234" s="3">
        <f ca="1">IFERROR(__xludf.DUMMYFUNCTION("""COMPUTED_VALUE"""),49.49)</f>
        <v>49.49</v>
      </c>
      <c r="BK234" s="3">
        <f ca="1">IFERROR(__xludf.DUMMYFUNCTION("""COMPUTED_VALUE"""),49.57)</f>
        <v>49.57</v>
      </c>
      <c r="BL234" s="3">
        <f ca="1">IFERROR(__xludf.DUMMYFUNCTION("""COMPUTED_VALUE"""),48.63)</f>
        <v>48.63</v>
      </c>
      <c r="BM234" s="3">
        <f ca="1">IFERROR(__xludf.DUMMYFUNCTION("""COMPUTED_VALUE"""),48.67)</f>
        <v>48.67</v>
      </c>
      <c r="BN234" s="3">
        <f ca="1">IFERROR(__xludf.DUMMYFUNCTION("""COMPUTED_VALUE"""),18658430)</f>
        <v>18658430</v>
      </c>
    </row>
    <row r="235" spans="7:66" ht="13" x14ac:dyDescent="0.15">
      <c r="G235" s="4">
        <f ca="1">IFERROR(__xludf.DUMMYFUNCTION("""COMPUTED_VALUE"""),42466.6666666666)</f>
        <v>42466.666666666599</v>
      </c>
      <c r="H235" s="3">
        <f ca="1">IFERROR(__xludf.DUMMYFUNCTION("""COMPUTED_VALUE"""),78.24)</f>
        <v>78.239999999999995</v>
      </c>
      <c r="I235" s="3">
        <f ca="1">IFERROR(__xludf.DUMMYFUNCTION("""COMPUTED_VALUE"""),78.95)</f>
        <v>78.95</v>
      </c>
      <c r="J235" s="3">
        <f ca="1">IFERROR(__xludf.DUMMYFUNCTION("""COMPUTED_VALUE"""),78.04)</f>
        <v>78.040000000000006</v>
      </c>
      <c r="K235" s="3">
        <f ca="1">IFERROR(__xludf.DUMMYFUNCTION("""COMPUTED_VALUE"""),78.88)</f>
        <v>78.88</v>
      </c>
      <c r="L235" s="3">
        <f ca="1">IFERROR(__xludf.DUMMYFUNCTION("""COMPUTED_VALUE"""),6777084)</f>
        <v>6777084</v>
      </c>
      <c r="M235" s="4">
        <f ca="1">IFERROR(__xludf.DUMMYFUNCTION("""COMPUTED_VALUE"""),42466.6666666666)</f>
        <v>42466.666666666599</v>
      </c>
      <c r="N235" s="3">
        <f ca="1">IFERROR(__xludf.DUMMYFUNCTION("""COMPUTED_VALUE"""),53.14)</f>
        <v>53.14</v>
      </c>
      <c r="O235" s="3">
        <f ca="1">IFERROR(__xludf.DUMMYFUNCTION("""COMPUTED_VALUE"""),53.71)</f>
        <v>53.71</v>
      </c>
      <c r="P235" s="3">
        <f ca="1">IFERROR(__xludf.DUMMYFUNCTION("""COMPUTED_VALUE"""),53.14)</f>
        <v>53.14</v>
      </c>
      <c r="Q235" s="3">
        <f ca="1">IFERROR(__xludf.DUMMYFUNCTION("""COMPUTED_VALUE"""),53.7)</f>
        <v>53.7</v>
      </c>
      <c r="R235" s="3">
        <f ca="1">IFERROR(__xludf.DUMMYFUNCTION("""COMPUTED_VALUE"""),11672409)</f>
        <v>11672409</v>
      </c>
      <c r="S235" s="4">
        <f ca="1">IFERROR(__xludf.DUMMYFUNCTION("""COMPUTED_VALUE"""),42466.6666666666)</f>
        <v>42466.666666666599</v>
      </c>
      <c r="T235" s="3">
        <f ca="1">IFERROR(__xludf.DUMMYFUNCTION("""COMPUTED_VALUE"""),60.69)</f>
        <v>60.69</v>
      </c>
      <c r="U235" s="3">
        <f ca="1">IFERROR(__xludf.DUMMYFUNCTION("""COMPUTED_VALUE"""),61.51)</f>
        <v>61.51</v>
      </c>
      <c r="V235" s="3">
        <f ca="1">IFERROR(__xludf.DUMMYFUNCTION("""COMPUTED_VALUE"""),60.24)</f>
        <v>60.24</v>
      </c>
      <c r="W235" s="3">
        <f ca="1">IFERROR(__xludf.DUMMYFUNCTION("""COMPUTED_VALUE"""),61.5)</f>
        <v>61.5</v>
      </c>
      <c r="X235" s="3">
        <f ca="1">IFERROR(__xludf.DUMMYFUNCTION("""COMPUTED_VALUE"""),18218791)</f>
        <v>18218791</v>
      </c>
      <c r="Y235" s="4">
        <f ca="1">IFERROR(__xludf.DUMMYFUNCTION("""COMPUTED_VALUE"""),42466.6666666666)</f>
        <v>42466.666666666599</v>
      </c>
      <c r="Z235" s="3">
        <f ca="1">IFERROR(__xludf.DUMMYFUNCTION("""COMPUTED_VALUE"""),18.05)</f>
        <v>18.05</v>
      </c>
      <c r="AA235" s="3">
        <f ca="1">IFERROR(__xludf.DUMMYFUNCTION("""COMPUTED_VALUE"""),18.2)</f>
        <v>18.2</v>
      </c>
      <c r="AB235" s="3">
        <f ca="1">IFERROR(__xludf.DUMMYFUNCTION("""COMPUTED_VALUE"""),18)</f>
        <v>18</v>
      </c>
      <c r="AC235" s="3">
        <f ca="1">IFERROR(__xludf.DUMMYFUNCTION("""COMPUTED_VALUE"""),18.18)</f>
        <v>18.18</v>
      </c>
      <c r="AD235" s="3">
        <f ca="1">IFERROR(__xludf.DUMMYFUNCTION("""COMPUTED_VALUE"""),30974472)</f>
        <v>30974472</v>
      </c>
      <c r="AE235" s="4">
        <f ca="1">IFERROR(__xludf.DUMMYFUNCTION("""COMPUTED_VALUE"""),42466.6666666666)</f>
        <v>42466.666666666599</v>
      </c>
      <c r="AF235" s="3">
        <f ca="1">IFERROR(__xludf.DUMMYFUNCTION("""COMPUTED_VALUE"""),68.49)</f>
        <v>68.489999999999995</v>
      </c>
      <c r="AG235" s="3">
        <f ca="1">IFERROR(__xludf.DUMMYFUNCTION("""COMPUTED_VALUE"""),70.34)</f>
        <v>70.34</v>
      </c>
      <c r="AH235" s="3">
        <f ca="1">IFERROR(__xludf.DUMMYFUNCTION("""COMPUTED_VALUE"""),68.49)</f>
        <v>68.489999999999995</v>
      </c>
      <c r="AI235" s="3">
        <f ca="1">IFERROR(__xludf.DUMMYFUNCTION("""COMPUTED_VALUE"""),70.31)</f>
        <v>70.31</v>
      </c>
      <c r="AJ235" s="3">
        <f ca="1">IFERROR(__xludf.DUMMYFUNCTION("""COMPUTED_VALUE"""),24546616)</f>
        <v>24546616</v>
      </c>
      <c r="AK235" s="4">
        <f ca="1">IFERROR(__xludf.DUMMYFUNCTION("""COMPUTED_VALUE"""),42466.6666666666)</f>
        <v>42466.666666666599</v>
      </c>
      <c r="AL235" s="3">
        <f ca="1">IFERROR(__xludf.DUMMYFUNCTION("""COMPUTED_VALUE"""),54.74)</f>
        <v>54.74</v>
      </c>
      <c r="AM235" s="3">
        <f ca="1">IFERROR(__xludf.DUMMYFUNCTION("""COMPUTED_VALUE"""),55.03)</f>
        <v>55.03</v>
      </c>
      <c r="AN235" s="3">
        <f ca="1">IFERROR(__xludf.DUMMYFUNCTION("""COMPUTED_VALUE"""),54.25)</f>
        <v>54.25</v>
      </c>
      <c r="AO235" s="3">
        <f ca="1">IFERROR(__xludf.DUMMYFUNCTION("""COMPUTED_VALUE"""),55.03)</f>
        <v>55.03</v>
      </c>
      <c r="AP235" s="3">
        <f ca="1">IFERROR(__xludf.DUMMYFUNCTION("""COMPUTED_VALUE"""),10962441)</f>
        <v>10962441</v>
      </c>
      <c r="AQ235" s="4">
        <f ca="1">IFERROR(__xludf.DUMMYFUNCTION("""COMPUTED_VALUE"""),42466.6666666666)</f>
        <v>42466.666666666599</v>
      </c>
      <c r="AR235" s="3">
        <f ca="1">IFERROR(__xludf.DUMMYFUNCTION("""COMPUTED_VALUE"""),44.26)</f>
        <v>44.26</v>
      </c>
      <c r="AS235" s="3">
        <f ca="1">IFERROR(__xludf.DUMMYFUNCTION("""COMPUTED_VALUE"""),44.88)</f>
        <v>44.88</v>
      </c>
      <c r="AT235" s="3">
        <f ca="1">IFERROR(__xludf.DUMMYFUNCTION("""COMPUTED_VALUE"""),43.97)</f>
        <v>43.97</v>
      </c>
      <c r="AU235" s="3">
        <f ca="1">IFERROR(__xludf.DUMMYFUNCTION("""COMPUTED_VALUE"""),44.88)</f>
        <v>44.88</v>
      </c>
      <c r="AV235" s="3">
        <f ca="1">IFERROR(__xludf.DUMMYFUNCTION("""COMPUTED_VALUE"""),5672738)</f>
        <v>5672738</v>
      </c>
      <c r="AW235" s="4">
        <f ca="1">IFERROR(__xludf.DUMMYFUNCTION("""COMPUTED_VALUE"""),42629.6666666666)</f>
        <v>42629.666666666599</v>
      </c>
      <c r="AX235" s="3">
        <f ca="1">IFERROR(__xludf.DUMMYFUNCTION("""COMPUTED_VALUE"""),32.05)</f>
        <v>32.049999999999997</v>
      </c>
      <c r="AY235" s="3">
        <f ca="1">IFERROR(__xludf.DUMMYFUNCTION("""COMPUTED_VALUE"""),32.05)</f>
        <v>32.049999999999997</v>
      </c>
      <c r="AZ235" s="3">
        <f ca="1">IFERROR(__xludf.DUMMYFUNCTION("""COMPUTED_VALUE"""),31.72)</f>
        <v>31.72</v>
      </c>
      <c r="BA235" s="3">
        <f ca="1">IFERROR(__xludf.DUMMYFUNCTION("""COMPUTED_VALUE"""),31.91)</f>
        <v>31.91</v>
      </c>
      <c r="BB235" s="3">
        <f ca="1">IFERROR(__xludf.DUMMYFUNCTION("""COMPUTED_VALUE"""),2119519)</f>
        <v>2119519</v>
      </c>
      <c r="BC235" s="4">
        <f ca="1">IFERROR(__xludf.DUMMYFUNCTION("""COMPUTED_VALUE"""),42466.6666666666)</f>
        <v>42466.666666666599</v>
      </c>
      <c r="BD235" s="3">
        <f ca="1">IFERROR(__xludf.DUMMYFUNCTION("""COMPUTED_VALUE"""),44.11)</f>
        <v>44.11</v>
      </c>
      <c r="BE235" s="3">
        <f ca="1">IFERROR(__xludf.DUMMYFUNCTION("""COMPUTED_VALUE"""),44.53)</f>
        <v>44.53</v>
      </c>
      <c r="BF235" s="3">
        <f ca="1">IFERROR(__xludf.DUMMYFUNCTION("""COMPUTED_VALUE"""),43.95)</f>
        <v>43.95</v>
      </c>
      <c r="BG235" s="3">
        <f ca="1">IFERROR(__xludf.DUMMYFUNCTION("""COMPUTED_VALUE"""),44.53)</f>
        <v>44.53</v>
      </c>
      <c r="BH235" s="3">
        <f ca="1">IFERROR(__xludf.DUMMYFUNCTION("""COMPUTED_VALUE"""),11138477)</f>
        <v>11138477</v>
      </c>
      <c r="BI235" s="4">
        <f ca="1">IFERROR(__xludf.DUMMYFUNCTION("""COMPUTED_VALUE"""),42466.6666666666)</f>
        <v>42466.666666666599</v>
      </c>
      <c r="BJ235" s="3">
        <f ca="1">IFERROR(__xludf.DUMMYFUNCTION("""COMPUTED_VALUE"""),48.6)</f>
        <v>48.6</v>
      </c>
      <c r="BK235" s="3">
        <f ca="1">IFERROR(__xludf.DUMMYFUNCTION("""COMPUTED_VALUE"""),48.68)</f>
        <v>48.68</v>
      </c>
      <c r="BL235" s="3">
        <f ca="1">IFERROR(__xludf.DUMMYFUNCTION("""COMPUTED_VALUE"""),48.31)</f>
        <v>48.31</v>
      </c>
      <c r="BM235" s="3">
        <f ca="1">IFERROR(__xludf.DUMMYFUNCTION("""COMPUTED_VALUE"""),48.61)</f>
        <v>48.61</v>
      </c>
      <c r="BN235" s="3">
        <f ca="1">IFERROR(__xludf.DUMMYFUNCTION("""COMPUTED_VALUE"""),20294480)</f>
        <v>20294480</v>
      </c>
    </row>
    <row r="236" spans="7:66" ht="13" x14ac:dyDescent="0.15">
      <c r="G236" s="4">
        <f ca="1">IFERROR(__xludf.DUMMYFUNCTION("""COMPUTED_VALUE"""),42467.6666666666)</f>
        <v>42467.666666666599</v>
      </c>
      <c r="H236" s="3">
        <f ca="1">IFERROR(__xludf.DUMMYFUNCTION("""COMPUTED_VALUE"""),78.56)</f>
        <v>78.56</v>
      </c>
      <c r="I236" s="3">
        <f ca="1">IFERROR(__xludf.DUMMYFUNCTION("""COMPUTED_VALUE"""),78.81)</f>
        <v>78.81</v>
      </c>
      <c r="J236" s="3">
        <f ca="1">IFERROR(__xludf.DUMMYFUNCTION("""COMPUTED_VALUE"""),77.65)</f>
        <v>77.650000000000006</v>
      </c>
      <c r="K236" s="3">
        <f ca="1">IFERROR(__xludf.DUMMYFUNCTION("""COMPUTED_VALUE"""),77.99)</f>
        <v>77.989999999999995</v>
      </c>
      <c r="L236" s="3">
        <f ca="1">IFERROR(__xludf.DUMMYFUNCTION("""COMPUTED_VALUE"""),5173359)</f>
        <v>5173359</v>
      </c>
      <c r="M236" s="4">
        <f ca="1">IFERROR(__xludf.DUMMYFUNCTION("""COMPUTED_VALUE"""),42467.6666666666)</f>
        <v>42467.666666666599</v>
      </c>
      <c r="N236" s="3">
        <f ca="1">IFERROR(__xludf.DUMMYFUNCTION("""COMPUTED_VALUE"""),53.34)</f>
        <v>53.34</v>
      </c>
      <c r="O236" s="3">
        <f ca="1">IFERROR(__xludf.DUMMYFUNCTION("""COMPUTED_VALUE"""),53.53)</f>
        <v>53.53</v>
      </c>
      <c r="P236" s="3">
        <f ca="1">IFERROR(__xludf.DUMMYFUNCTION("""COMPUTED_VALUE"""),52.95)</f>
        <v>52.95</v>
      </c>
      <c r="Q236" s="3">
        <f ca="1">IFERROR(__xludf.DUMMYFUNCTION("""COMPUTED_VALUE"""),53.12)</f>
        <v>53.12</v>
      </c>
      <c r="R236" s="3">
        <f ca="1">IFERROR(__xludf.DUMMYFUNCTION("""COMPUTED_VALUE"""),11243439)</f>
        <v>11243439</v>
      </c>
      <c r="S236" s="4">
        <f ca="1">IFERROR(__xludf.DUMMYFUNCTION("""COMPUTED_VALUE"""),42467.6666666666)</f>
        <v>42467.666666666599</v>
      </c>
      <c r="T236" s="3">
        <f ca="1">IFERROR(__xludf.DUMMYFUNCTION("""COMPUTED_VALUE"""),61.02)</f>
        <v>61.02</v>
      </c>
      <c r="U236" s="3">
        <f ca="1">IFERROR(__xludf.DUMMYFUNCTION("""COMPUTED_VALUE"""),61.59)</f>
        <v>61.59</v>
      </c>
      <c r="V236" s="3">
        <f ca="1">IFERROR(__xludf.DUMMYFUNCTION("""COMPUTED_VALUE"""),60.63)</f>
        <v>60.63</v>
      </c>
      <c r="W236" s="3">
        <f ca="1">IFERROR(__xludf.DUMMYFUNCTION("""COMPUTED_VALUE"""),61.14)</f>
        <v>61.14</v>
      </c>
      <c r="X236" s="3">
        <f ca="1">IFERROR(__xludf.DUMMYFUNCTION("""COMPUTED_VALUE"""),13927061)</f>
        <v>13927061</v>
      </c>
      <c r="Y236" s="4">
        <f ca="1">IFERROR(__xludf.DUMMYFUNCTION("""COMPUTED_VALUE"""),42467.6666666666)</f>
        <v>42467.666666666599</v>
      </c>
      <c r="Z236" s="3">
        <f ca="1">IFERROR(__xludf.DUMMYFUNCTION("""COMPUTED_VALUE"""),18.05)</f>
        <v>18.05</v>
      </c>
      <c r="AA236" s="3">
        <f ca="1">IFERROR(__xludf.DUMMYFUNCTION("""COMPUTED_VALUE"""),18.07)</f>
        <v>18.07</v>
      </c>
      <c r="AB236" s="3">
        <f ca="1">IFERROR(__xludf.DUMMYFUNCTION("""COMPUTED_VALUE"""),17.74)</f>
        <v>17.739999999999998</v>
      </c>
      <c r="AC236" s="3">
        <f ca="1">IFERROR(__xludf.DUMMYFUNCTION("""COMPUTED_VALUE"""),17.84)</f>
        <v>17.84</v>
      </c>
      <c r="AD236" s="3">
        <f ca="1">IFERROR(__xludf.DUMMYFUNCTION("""COMPUTED_VALUE"""),41685837)</f>
        <v>41685837</v>
      </c>
      <c r="AE236" s="4">
        <f ca="1">IFERROR(__xludf.DUMMYFUNCTION("""COMPUTED_VALUE"""),42467.6666666666)</f>
        <v>42467.666666666599</v>
      </c>
      <c r="AF236" s="3">
        <f ca="1">IFERROR(__xludf.DUMMYFUNCTION("""COMPUTED_VALUE"""),69.81)</f>
        <v>69.81</v>
      </c>
      <c r="AG236" s="3">
        <f ca="1">IFERROR(__xludf.DUMMYFUNCTION("""COMPUTED_VALUE"""),70.28)</f>
        <v>70.28</v>
      </c>
      <c r="AH236" s="3">
        <f ca="1">IFERROR(__xludf.DUMMYFUNCTION("""COMPUTED_VALUE"""),69.18)</f>
        <v>69.180000000000007</v>
      </c>
      <c r="AI236" s="3">
        <f ca="1">IFERROR(__xludf.DUMMYFUNCTION("""COMPUTED_VALUE"""),69.54)</f>
        <v>69.540000000000006</v>
      </c>
      <c r="AJ236" s="3">
        <f ca="1">IFERROR(__xludf.DUMMYFUNCTION("""COMPUTED_VALUE"""),19216681)</f>
        <v>19216681</v>
      </c>
      <c r="AK236" s="4">
        <f ca="1">IFERROR(__xludf.DUMMYFUNCTION("""COMPUTED_VALUE"""),42467.6666666666)</f>
        <v>42467.666666666599</v>
      </c>
      <c r="AL236" s="3">
        <f ca="1">IFERROR(__xludf.DUMMYFUNCTION("""COMPUTED_VALUE"""),54.57)</f>
        <v>54.57</v>
      </c>
      <c r="AM236" s="3">
        <f ca="1">IFERROR(__xludf.DUMMYFUNCTION("""COMPUTED_VALUE"""),54.86)</f>
        <v>54.86</v>
      </c>
      <c r="AN236" s="3">
        <f ca="1">IFERROR(__xludf.DUMMYFUNCTION("""COMPUTED_VALUE"""),54.33)</f>
        <v>54.33</v>
      </c>
      <c r="AO236" s="3">
        <f ca="1">IFERROR(__xludf.DUMMYFUNCTION("""COMPUTED_VALUE"""),54.5)</f>
        <v>54.5</v>
      </c>
      <c r="AP236" s="3">
        <f ca="1">IFERROR(__xludf.DUMMYFUNCTION("""COMPUTED_VALUE"""),13364507)</f>
        <v>13364507</v>
      </c>
      <c r="AQ236" s="4">
        <f ca="1">IFERROR(__xludf.DUMMYFUNCTION("""COMPUTED_VALUE"""),42467.6666666666)</f>
        <v>42467.666666666599</v>
      </c>
      <c r="AR236" s="3">
        <f ca="1">IFERROR(__xludf.DUMMYFUNCTION("""COMPUTED_VALUE"""),44.54)</f>
        <v>44.54</v>
      </c>
      <c r="AS236" s="3">
        <f ca="1">IFERROR(__xludf.DUMMYFUNCTION("""COMPUTED_VALUE"""),44.61)</f>
        <v>44.61</v>
      </c>
      <c r="AT236" s="3">
        <f ca="1">IFERROR(__xludf.DUMMYFUNCTION("""COMPUTED_VALUE"""),44.04)</f>
        <v>44.04</v>
      </c>
      <c r="AU236" s="3">
        <f ca="1">IFERROR(__xludf.DUMMYFUNCTION("""COMPUTED_VALUE"""),44.23)</f>
        <v>44.23</v>
      </c>
      <c r="AV236" s="3">
        <f ca="1">IFERROR(__xludf.DUMMYFUNCTION("""COMPUTED_VALUE"""),5067081)</f>
        <v>5067081</v>
      </c>
      <c r="AW236" s="4">
        <f ca="1">IFERROR(__xludf.DUMMYFUNCTION("""COMPUTED_VALUE"""),42632.6666666666)</f>
        <v>42632.666666666599</v>
      </c>
      <c r="AX236" s="3">
        <f ca="1">IFERROR(__xludf.DUMMYFUNCTION("""COMPUTED_VALUE"""),31.99)</f>
        <v>31.99</v>
      </c>
      <c r="AY236" s="3">
        <f ca="1">IFERROR(__xludf.DUMMYFUNCTION("""COMPUTED_VALUE"""),32.27)</f>
        <v>32.270000000000003</v>
      </c>
      <c r="AZ236" s="3">
        <f ca="1">IFERROR(__xludf.DUMMYFUNCTION("""COMPUTED_VALUE"""),31.95)</f>
        <v>31.95</v>
      </c>
      <c r="BA236" s="3">
        <f ca="1">IFERROR(__xludf.DUMMYFUNCTION("""COMPUTED_VALUE"""),32.24)</f>
        <v>32.24</v>
      </c>
      <c r="BB236" s="3">
        <f ca="1">IFERROR(__xludf.DUMMYFUNCTION("""COMPUTED_VALUE"""),4242426)</f>
        <v>4242426</v>
      </c>
      <c r="BC236" s="4">
        <f ca="1">IFERROR(__xludf.DUMMYFUNCTION("""COMPUTED_VALUE"""),42467.6666666666)</f>
        <v>42467.666666666599</v>
      </c>
      <c r="BD236" s="3">
        <f ca="1">IFERROR(__xludf.DUMMYFUNCTION("""COMPUTED_VALUE"""),44.21)</f>
        <v>44.21</v>
      </c>
      <c r="BE236" s="3">
        <f ca="1">IFERROR(__xludf.DUMMYFUNCTION("""COMPUTED_VALUE"""),44.3)</f>
        <v>44.3</v>
      </c>
      <c r="BF236" s="3">
        <f ca="1">IFERROR(__xludf.DUMMYFUNCTION("""COMPUTED_VALUE"""),43.72)</f>
        <v>43.72</v>
      </c>
      <c r="BG236" s="3">
        <f ca="1">IFERROR(__xludf.DUMMYFUNCTION("""COMPUTED_VALUE"""),43.89)</f>
        <v>43.89</v>
      </c>
      <c r="BH236" s="3">
        <f ca="1">IFERROR(__xludf.DUMMYFUNCTION("""COMPUTED_VALUE"""),10631220)</f>
        <v>10631220</v>
      </c>
      <c r="BI236" s="4">
        <f ca="1">IFERROR(__xludf.DUMMYFUNCTION("""COMPUTED_VALUE"""),42467.6666666666)</f>
        <v>42467.666666666599</v>
      </c>
      <c r="BJ236" s="3">
        <f ca="1">IFERROR(__xludf.DUMMYFUNCTION("""COMPUTED_VALUE"""),48.54)</f>
        <v>48.54</v>
      </c>
      <c r="BK236" s="3">
        <f ca="1">IFERROR(__xludf.DUMMYFUNCTION("""COMPUTED_VALUE"""),48.91)</f>
        <v>48.91</v>
      </c>
      <c r="BL236" s="3">
        <f ca="1">IFERROR(__xludf.DUMMYFUNCTION("""COMPUTED_VALUE"""),48.46)</f>
        <v>48.46</v>
      </c>
      <c r="BM236" s="3">
        <f ca="1">IFERROR(__xludf.DUMMYFUNCTION("""COMPUTED_VALUE"""),48.59)</f>
        <v>48.59</v>
      </c>
      <c r="BN236" s="3">
        <f ca="1">IFERROR(__xludf.DUMMYFUNCTION("""COMPUTED_VALUE"""),15280570)</f>
        <v>15280570</v>
      </c>
    </row>
    <row r="237" spans="7:66" ht="13" x14ac:dyDescent="0.15">
      <c r="G237" s="4">
        <f ca="1">IFERROR(__xludf.DUMMYFUNCTION("""COMPUTED_VALUE"""),42468.6666666666)</f>
        <v>42468.666666666599</v>
      </c>
      <c r="H237" s="3">
        <f ca="1">IFERROR(__xludf.DUMMYFUNCTION("""COMPUTED_VALUE"""),78.31)</f>
        <v>78.31</v>
      </c>
      <c r="I237" s="3">
        <f ca="1">IFERROR(__xludf.DUMMYFUNCTION("""COMPUTED_VALUE"""),78.39)</f>
        <v>78.39</v>
      </c>
      <c r="J237" s="3">
        <f ca="1">IFERROR(__xludf.DUMMYFUNCTION("""COMPUTED_VALUE"""),77.58)</f>
        <v>77.58</v>
      </c>
      <c r="K237" s="3">
        <f ca="1">IFERROR(__xludf.DUMMYFUNCTION("""COMPUTED_VALUE"""),77.87)</f>
        <v>77.87</v>
      </c>
      <c r="L237" s="3">
        <f ca="1">IFERROR(__xludf.DUMMYFUNCTION("""COMPUTED_VALUE"""),5159432)</f>
        <v>5159432</v>
      </c>
      <c r="M237" s="4">
        <f ca="1">IFERROR(__xludf.DUMMYFUNCTION("""COMPUTED_VALUE"""),42468.6666666666)</f>
        <v>42468.666666666599</v>
      </c>
      <c r="N237" s="3">
        <f ca="1">IFERROR(__xludf.DUMMYFUNCTION("""COMPUTED_VALUE"""),53.35)</f>
        <v>53.35</v>
      </c>
      <c r="O237" s="3">
        <f ca="1">IFERROR(__xludf.DUMMYFUNCTION("""COMPUTED_VALUE"""),53.47)</f>
        <v>53.47</v>
      </c>
      <c r="P237" s="3">
        <f ca="1">IFERROR(__xludf.DUMMYFUNCTION("""COMPUTED_VALUE"""),53.24)</f>
        <v>53.24</v>
      </c>
      <c r="Q237" s="3">
        <f ca="1">IFERROR(__xludf.DUMMYFUNCTION("""COMPUTED_VALUE"""),53.41)</f>
        <v>53.41</v>
      </c>
      <c r="R237" s="3">
        <f ca="1">IFERROR(__xludf.DUMMYFUNCTION("""COMPUTED_VALUE"""),7040184)</f>
        <v>7040184</v>
      </c>
      <c r="S237" s="4">
        <f ca="1">IFERROR(__xludf.DUMMYFUNCTION("""COMPUTED_VALUE"""),42468.6666666666)</f>
        <v>42468.666666666599</v>
      </c>
      <c r="T237" s="3">
        <f ca="1">IFERROR(__xludf.DUMMYFUNCTION("""COMPUTED_VALUE"""),62.29)</f>
        <v>62.29</v>
      </c>
      <c r="U237" s="3">
        <f ca="1">IFERROR(__xludf.DUMMYFUNCTION("""COMPUTED_VALUE"""),62.71)</f>
        <v>62.71</v>
      </c>
      <c r="V237" s="3">
        <f ca="1">IFERROR(__xludf.DUMMYFUNCTION("""COMPUTED_VALUE"""),62.06)</f>
        <v>62.06</v>
      </c>
      <c r="W237" s="3">
        <f ca="1">IFERROR(__xludf.DUMMYFUNCTION("""COMPUTED_VALUE"""),62.37)</f>
        <v>62.37</v>
      </c>
      <c r="X237" s="3">
        <f ca="1">IFERROR(__xludf.DUMMYFUNCTION("""COMPUTED_VALUE"""),17666506)</f>
        <v>17666506</v>
      </c>
      <c r="Y237" s="4">
        <f ca="1">IFERROR(__xludf.DUMMYFUNCTION("""COMPUTED_VALUE"""),42468.6666666666)</f>
        <v>42468.666666666599</v>
      </c>
      <c r="Z237" s="3">
        <f ca="1">IFERROR(__xludf.DUMMYFUNCTION("""COMPUTED_VALUE"""),17.96)</f>
        <v>17.96</v>
      </c>
      <c r="AA237" s="3">
        <f ca="1">IFERROR(__xludf.DUMMYFUNCTION("""COMPUTED_VALUE"""),18.08)</f>
        <v>18.079999999999998</v>
      </c>
      <c r="AB237" s="3">
        <f ca="1">IFERROR(__xludf.DUMMYFUNCTION("""COMPUTED_VALUE"""),17.87)</f>
        <v>17.87</v>
      </c>
      <c r="AC237" s="3">
        <f ca="1">IFERROR(__xludf.DUMMYFUNCTION("""COMPUTED_VALUE"""),17.91)</f>
        <v>17.91</v>
      </c>
      <c r="AD237" s="3">
        <f ca="1">IFERROR(__xludf.DUMMYFUNCTION("""COMPUTED_VALUE"""),45456367)</f>
        <v>45456367</v>
      </c>
      <c r="AE237" s="4">
        <f ca="1">IFERROR(__xludf.DUMMYFUNCTION("""COMPUTED_VALUE"""),42468.6666666666)</f>
        <v>42468.666666666599</v>
      </c>
      <c r="AF237" s="3">
        <f ca="1">IFERROR(__xludf.DUMMYFUNCTION("""COMPUTED_VALUE"""),69.97)</f>
        <v>69.97</v>
      </c>
      <c r="AG237" s="3">
        <f ca="1">IFERROR(__xludf.DUMMYFUNCTION("""COMPUTED_VALUE"""),70)</f>
        <v>70</v>
      </c>
      <c r="AH237" s="3">
        <f ca="1">IFERROR(__xludf.DUMMYFUNCTION("""COMPUTED_VALUE"""),68.94)</f>
        <v>68.94</v>
      </c>
      <c r="AI237" s="3">
        <f ca="1">IFERROR(__xludf.DUMMYFUNCTION("""COMPUTED_VALUE"""),69.35)</f>
        <v>69.349999999999994</v>
      </c>
      <c r="AJ237" s="3">
        <f ca="1">IFERROR(__xludf.DUMMYFUNCTION("""COMPUTED_VALUE"""),12883771)</f>
        <v>12883771</v>
      </c>
      <c r="AK237" s="4">
        <f ca="1">IFERROR(__xludf.DUMMYFUNCTION("""COMPUTED_VALUE"""),42468.6666666666)</f>
        <v>42468.666666666599</v>
      </c>
      <c r="AL237" s="3">
        <f ca="1">IFERROR(__xludf.DUMMYFUNCTION("""COMPUTED_VALUE"""),54.84)</f>
        <v>54.84</v>
      </c>
      <c r="AM237" s="3">
        <f ca="1">IFERROR(__xludf.DUMMYFUNCTION("""COMPUTED_VALUE"""),55.32)</f>
        <v>55.32</v>
      </c>
      <c r="AN237" s="3">
        <f ca="1">IFERROR(__xludf.DUMMYFUNCTION("""COMPUTED_VALUE"""),54.67)</f>
        <v>54.67</v>
      </c>
      <c r="AO237" s="3">
        <f ca="1">IFERROR(__xludf.DUMMYFUNCTION("""COMPUTED_VALUE"""),54.71)</f>
        <v>54.71</v>
      </c>
      <c r="AP237" s="3">
        <f ca="1">IFERROR(__xludf.DUMMYFUNCTION("""COMPUTED_VALUE"""),9188866)</f>
        <v>9188866</v>
      </c>
      <c r="AQ237" s="4">
        <f ca="1">IFERROR(__xludf.DUMMYFUNCTION("""COMPUTED_VALUE"""),42468.6666666666)</f>
        <v>42468.666666666599</v>
      </c>
      <c r="AR237" s="3">
        <f ca="1">IFERROR(__xludf.DUMMYFUNCTION("""COMPUTED_VALUE"""),44.47)</f>
        <v>44.47</v>
      </c>
      <c r="AS237" s="3">
        <f ca="1">IFERROR(__xludf.DUMMYFUNCTION("""COMPUTED_VALUE"""),45.02)</f>
        <v>45.02</v>
      </c>
      <c r="AT237" s="3">
        <f ca="1">IFERROR(__xludf.DUMMYFUNCTION("""COMPUTED_VALUE"""),44.47)</f>
        <v>44.47</v>
      </c>
      <c r="AU237" s="3">
        <f ca="1">IFERROR(__xludf.DUMMYFUNCTION("""COMPUTED_VALUE"""),44.52)</f>
        <v>44.52</v>
      </c>
      <c r="AV237" s="3">
        <f ca="1">IFERROR(__xludf.DUMMYFUNCTION("""COMPUTED_VALUE"""),4405767)</f>
        <v>4405767</v>
      </c>
      <c r="AW237" s="4">
        <f ca="1">IFERROR(__xludf.DUMMYFUNCTION("""COMPUTED_VALUE"""),42633.6666666666)</f>
        <v>42633.666666666599</v>
      </c>
      <c r="AX237" s="3">
        <f ca="1">IFERROR(__xludf.DUMMYFUNCTION("""COMPUTED_VALUE"""),32.47)</f>
        <v>32.47</v>
      </c>
      <c r="AY237" s="3">
        <f ca="1">IFERROR(__xludf.DUMMYFUNCTION("""COMPUTED_VALUE"""),32.47)</f>
        <v>32.47</v>
      </c>
      <c r="AZ237" s="3">
        <f ca="1">IFERROR(__xludf.DUMMYFUNCTION("""COMPUTED_VALUE"""),32.18)</f>
        <v>32.18</v>
      </c>
      <c r="BA237" s="3">
        <f ca="1">IFERROR(__xludf.DUMMYFUNCTION("""COMPUTED_VALUE"""),32.18)</f>
        <v>32.18</v>
      </c>
      <c r="BB237" s="3">
        <f ca="1">IFERROR(__xludf.DUMMYFUNCTION("""COMPUTED_VALUE"""),3387204)</f>
        <v>3387204</v>
      </c>
      <c r="BC237" s="4">
        <f ca="1">IFERROR(__xludf.DUMMYFUNCTION("""COMPUTED_VALUE"""),42468.6666666666)</f>
        <v>42468.666666666599</v>
      </c>
      <c r="BD237" s="3">
        <f ca="1">IFERROR(__xludf.DUMMYFUNCTION("""COMPUTED_VALUE"""),44.12)</f>
        <v>44.12</v>
      </c>
      <c r="BE237" s="3">
        <f ca="1">IFERROR(__xludf.DUMMYFUNCTION("""COMPUTED_VALUE"""),44.29)</f>
        <v>44.29</v>
      </c>
      <c r="BF237" s="3">
        <f ca="1">IFERROR(__xludf.DUMMYFUNCTION("""COMPUTED_VALUE"""),43.74)</f>
        <v>43.74</v>
      </c>
      <c r="BG237" s="3">
        <f ca="1">IFERROR(__xludf.DUMMYFUNCTION("""COMPUTED_VALUE"""),43.89)</f>
        <v>43.89</v>
      </c>
      <c r="BH237" s="3">
        <f ca="1">IFERROR(__xludf.DUMMYFUNCTION("""COMPUTED_VALUE"""),8762796)</f>
        <v>8762796</v>
      </c>
      <c r="BI237" s="4">
        <f ca="1">IFERROR(__xludf.DUMMYFUNCTION("""COMPUTED_VALUE"""),42468.6666666666)</f>
        <v>42468.666666666599</v>
      </c>
      <c r="BJ237" s="3">
        <f ca="1">IFERROR(__xludf.DUMMYFUNCTION("""COMPUTED_VALUE"""),48.74)</f>
        <v>48.74</v>
      </c>
      <c r="BK237" s="3">
        <f ca="1">IFERROR(__xludf.DUMMYFUNCTION("""COMPUTED_VALUE"""),49.17)</f>
        <v>49.17</v>
      </c>
      <c r="BL237" s="3">
        <f ca="1">IFERROR(__xludf.DUMMYFUNCTION("""COMPUTED_VALUE"""),48.69)</f>
        <v>48.69</v>
      </c>
      <c r="BM237" s="3">
        <f ca="1">IFERROR(__xludf.DUMMYFUNCTION("""COMPUTED_VALUE"""),48.85)</f>
        <v>48.85</v>
      </c>
      <c r="BN237" s="3">
        <f ca="1">IFERROR(__xludf.DUMMYFUNCTION("""COMPUTED_VALUE"""),16437195)</f>
        <v>16437195</v>
      </c>
    </row>
    <row r="238" spans="7:66" ht="13" x14ac:dyDescent="0.15">
      <c r="G238" s="4">
        <f ca="1">IFERROR(__xludf.DUMMYFUNCTION("""COMPUTED_VALUE"""),42471.6666666666)</f>
        <v>42471.666666666599</v>
      </c>
      <c r="H238" s="3">
        <f ca="1">IFERROR(__xludf.DUMMYFUNCTION("""COMPUTED_VALUE"""),78.11)</f>
        <v>78.11</v>
      </c>
      <c r="I238" s="3">
        <f ca="1">IFERROR(__xludf.DUMMYFUNCTION("""COMPUTED_VALUE"""),78.46)</f>
        <v>78.459999999999994</v>
      </c>
      <c r="J238" s="3">
        <f ca="1">IFERROR(__xludf.DUMMYFUNCTION("""COMPUTED_VALUE"""),77.54)</f>
        <v>77.540000000000006</v>
      </c>
      <c r="K238" s="3">
        <f ca="1">IFERROR(__xludf.DUMMYFUNCTION("""COMPUTED_VALUE"""),77.58)</f>
        <v>77.58</v>
      </c>
      <c r="L238" s="3">
        <f ca="1">IFERROR(__xludf.DUMMYFUNCTION("""COMPUTED_VALUE"""),5870999)</f>
        <v>5870999</v>
      </c>
      <c r="M238" s="4">
        <f ca="1">IFERROR(__xludf.DUMMYFUNCTION("""COMPUTED_VALUE"""),42471.6666666666)</f>
        <v>42471.666666666599</v>
      </c>
      <c r="N238" s="3">
        <f ca="1">IFERROR(__xludf.DUMMYFUNCTION("""COMPUTED_VALUE"""),53.47)</f>
        <v>53.47</v>
      </c>
      <c r="O238" s="3">
        <f ca="1">IFERROR(__xludf.DUMMYFUNCTION("""COMPUTED_VALUE"""),53.64)</f>
        <v>53.64</v>
      </c>
      <c r="P238" s="3">
        <f ca="1">IFERROR(__xludf.DUMMYFUNCTION("""COMPUTED_VALUE"""),52.99)</f>
        <v>52.99</v>
      </c>
      <c r="Q238" s="3">
        <f ca="1">IFERROR(__xludf.DUMMYFUNCTION("""COMPUTED_VALUE"""),53.03)</f>
        <v>53.03</v>
      </c>
      <c r="R238" s="3">
        <f ca="1">IFERROR(__xludf.DUMMYFUNCTION("""COMPUTED_VALUE"""),6694269)</f>
        <v>6694269</v>
      </c>
      <c r="S238" s="4">
        <f ca="1">IFERROR(__xludf.DUMMYFUNCTION("""COMPUTED_VALUE"""),42471.6666666666)</f>
        <v>42471.666666666599</v>
      </c>
      <c r="T238" s="3">
        <f ca="1">IFERROR(__xludf.DUMMYFUNCTION("""COMPUTED_VALUE"""),62.87)</f>
        <v>62.87</v>
      </c>
      <c r="U238" s="3">
        <f ca="1">IFERROR(__xludf.DUMMYFUNCTION("""COMPUTED_VALUE"""),63.06)</f>
        <v>63.06</v>
      </c>
      <c r="V238" s="3">
        <f ca="1">IFERROR(__xludf.DUMMYFUNCTION("""COMPUTED_VALUE"""),62.11)</f>
        <v>62.11</v>
      </c>
      <c r="W238" s="3">
        <f ca="1">IFERROR(__xludf.DUMMYFUNCTION("""COMPUTED_VALUE"""),62.11)</f>
        <v>62.11</v>
      </c>
      <c r="X238" s="3">
        <f ca="1">IFERROR(__xludf.DUMMYFUNCTION("""COMPUTED_VALUE"""),16235725)</f>
        <v>16235725</v>
      </c>
      <c r="Y238" s="4">
        <f ca="1">IFERROR(__xludf.DUMMYFUNCTION("""COMPUTED_VALUE"""),42471.6666666666)</f>
        <v>42471.666666666599</v>
      </c>
      <c r="Z238" s="3">
        <f ca="1">IFERROR(__xludf.DUMMYFUNCTION("""COMPUTED_VALUE"""),17.99)</f>
        <v>17.989999999999998</v>
      </c>
      <c r="AA238" s="3">
        <f ca="1">IFERROR(__xludf.DUMMYFUNCTION("""COMPUTED_VALUE"""),18.13)</f>
        <v>18.13</v>
      </c>
      <c r="AB238" s="3">
        <f ca="1">IFERROR(__xludf.DUMMYFUNCTION("""COMPUTED_VALUE"""),17.96)</f>
        <v>17.96</v>
      </c>
      <c r="AC238" s="3">
        <f ca="1">IFERROR(__xludf.DUMMYFUNCTION("""COMPUTED_VALUE"""),17.98)</f>
        <v>17.98</v>
      </c>
      <c r="AD238" s="3">
        <f ca="1">IFERROR(__xludf.DUMMYFUNCTION("""COMPUTED_VALUE"""),36899359)</f>
        <v>36899359</v>
      </c>
      <c r="AE238" s="4">
        <f ca="1">IFERROR(__xludf.DUMMYFUNCTION("""COMPUTED_VALUE"""),42471.6666666666)</f>
        <v>42471.666666666599</v>
      </c>
      <c r="AF238" s="3">
        <f ca="1">IFERROR(__xludf.DUMMYFUNCTION("""COMPUTED_VALUE"""),69.32)</f>
        <v>69.319999999999993</v>
      </c>
      <c r="AG238" s="3">
        <f ca="1">IFERROR(__xludf.DUMMYFUNCTION("""COMPUTED_VALUE"""),69.52)</f>
        <v>69.52</v>
      </c>
      <c r="AH238" s="3">
        <f ca="1">IFERROR(__xludf.DUMMYFUNCTION("""COMPUTED_VALUE"""),68.67)</f>
        <v>68.67</v>
      </c>
      <c r="AI238" s="3">
        <f ca="1">IFERROR(__xludf.DUMMYFUNCTION("""COMPUTED_VALUE"""),68.82)</f>
        <v>68.819999999999993</v>
      </c>
      <c r="AJ238" s="3">
        <f ca="1">IFERROR(__xludf.DUMMYFUNCTION("""COMPUTED_VALUE"""),8695545)</f>
        <v>8695545</v>
      </c>
      <c r="AK238" s="4">
        <f ca="1">IFERROR(__xludf.DUMMYFUNCTION("""COMPUTED_VALUE"""),42471.6666666666)</f>
        <v>42471.666666666599</v>
      </c>
      <c r="AL238" s="3">
        <f ca="1">IFERROR(__xludf.DUMMYFUNCTION("""COMPUTED_VALUE"""),54.98)</f>
        <v>54.98</v>
      </c>
      <c r="AM238" s="3">
        <f ca="1">IFERROR(__xludf.DUMMYFUNCTION("""COMPUTED_VALUE"""),55.34)</f>
        <v>55.34</v>
      </c>
      <c r="AN238" s="3">
        <f ca="1">IFERROR(__xludf.DUMMYFUNCTION("""COMPUTED_VALUE"""),54.71)</f>
        <v>54.71</v>
      </c>
      <c r="AO238" s="3">
        <f ca="1">IFERROR(__xludf.DUMMYFUNCTION("""COMPUTED_VALUE"""),54.73)</f>
        <v>54.73</v>
      </c>
      <c r="AP238" s="3">
        <f ca="1">IFERROR(__xludf.DUMMYFUNCTION("""COMPUTED_VALUE"""),7710122)</f>
        <v>7710122</v>
      </c>
      <c r="AQ238" s="4">
        <f ca="1">IFERROR(__xludf.DUMMYFUNCTION("""COMPUTED_VALUE"""),42471.6666666666)</f>
        <v>42471.666666666599</v>
      </c>
      <c r="AR238" s="3">
        <f ca="1">IFERROR(__xludf.DUMMYFUNCTION("""COMPUTED_VALUE"""),44.92)</f>
        <v>44.92</v>
      </c>
      <c r="AS238" s="3">
        <f ca="1">IFERROR(__xludf.DUMMYFUNCTION("""COMPUTED_VALUE"""),45.19)</f>
        <v>45.19</v>
      </c>
      <c r="AT238" s="3">
        <f ca="1">IFERROR(__xludf.DUMMYFUNCTION("""COMPUTED_VALUE"""),44.72)</f>
        <v>44.72</v>
      </c>
      <c r="AU238" s="3">
        <f ca="1">IFERROR(__xludf.DUMMYFUNCTION("""COMPUTED_VALUE"""),44.72)</f>
        <v>44.72</v>
      </c>
      <c r="AV238" s="3">
        <f ca="1">IFERROR(__xludf.DUMMYFUNCTION("""COMPUTED_VALUE"""),3845688)</f>
        <v>3845688</v>
      </c>
      <c r="AW238" s="4">
        <f ca="1">IFERROR(__xludf.DUMMYFUNCTION("""COMPUTED_VALUE"""),42634.6666666666)</f>
        <v>42634.666666666599</v>
      </c>
      <c r="AX238" s="3">
        <f ca="1">IFERROR(__xludf.DUMMYFUNCTION("""COMPUTED_VALUE"""),32.14)</f>
        <v>32.14</v>
      </c>
      <c r="AY238" s="3">
        <f ca="1">IFERROR(__xludf.DUMMYFUNCTION("""COMPUTED_VALUE"""),32.64)</f>
        <v>32.64</v>
      </c>
      <c r="AZ238" s="3">
        <f ca="1">IFERROR(__xludf.DUMMYFUNCTION("""COMPUTED_VALUE"""),31.83)</f>
        <v>31.83</v>
      </c>
      <c r="BA238" s="3">
        <f ca="1">IFERROR(__xludf.DUMMYFUNCTION("""COMPUTED_VALUE"""),32.55)</f>
        <v>32.549999999999997</v>
      </c>
      <c r="BB238" s="3">
        <f ca="1">IFERROR(__xludf.DUMMYFUNCTION("""COMPUTED_VALUE"""),2247929)</f>
        <v>2247929</v>
      </c>
      <c r="BC238" s="4">
        <f ca="1">IFERROR(__xludf.DUMMYFUNCTION("""COMPUTED_VALUE"""),42471.6666666666)</f>
        <v>42471.666666666599</v>
      </c>
      <c r="BD238" s="3">
        <f ca="1">IFERROR(__xludf.DUMMYFUNCTION("""COMPUTED_VALUE"""),44.08)</f>
        <v>44.08</v>
      </c>
      <c r="BE238" s="3">
        <f ca="1">IFERROR(__xludf.DUMMYFUNCTION("""COMPUTED_VALUE"""),44.34)</f>
        <v>44.34</v>
      </c>
      <c r="BF238" s="3">
        <f ca="1">IFERROR(__xludf.DUMMYFUNCTION("""COMPUTED_VALUE"""),43.77)</f>
        <v>43.77</v>
      </c>
      <c r="BG238" s="3">
        <f ca="1">IFERROR(__xludf.DUMMYFUNCTION("""COMPUTED_VALUE"""),43.77)</f>
        <v>43.77</v>
      </c>
      <c r="BH238" s="3">
        <f ca="1">IFERROR(__xludf.DUMMYFUNCTION("""COMPUTED_VALUE"""),8138585)</f>
        <v>8138585</v>
      </c>
      <c r="BI238" s="4">
        <f ca="1">IFERROR(__xludf.DUMMYFUNCTION("""COMPUTED_VALUE"""),42471.6666666666)</f>
        <v>42471.666666666599</v>
      </c>
      <c r="BJ238" s="3">
        <f ca="1">IFERROR(__xludf.DUMMYFUNCTION("""COMPUTED_VALUE"""),48.85)</f>
        <v>48.85</v>
      </c>
      <c r="BK238" s="3">
        <f ca="1">IFERROR(__xludf.DUMMYFUNCTION("""COMPUTED_VALUE"""),49.16)</f>
        <v>49.16</v>
      </c>
      <c r="BL238" s="3">
        <f ca="1">IFERROR(__xludf.DUMMYFUNCTION("""COMPUTED_VALUE"""),48.6)</f>
        <v>48.6</v>
      </c>
      <c r="BM238" s="3">
        <f ca="1">IFERROR(__xludf.DUMMYFUNCTION("""COMPUTED_VALUE"""),48.64)</f>
        <v>48.64</v>
      </c>
      <c r="BN238" s="3">
        <f ca="1">IFERROR(__xludf.DUMMYFUNCTION("""COMPUTED_VALUE"""),11125030)</f>
        <v>11125030</v>
      </c>
    </row>
    <row r="239" spans="7:66" ht="13" x14ac:dyDescent="0.15">
      <c r="G239" s="4">
        <f ca="1">IFERROR(__xludf.DUMMYFUNCTION("""COMPUTED_VALUE"""),42472.6666666666)</f>
        <v>42472.666666666599</v>
      </c>
      <c r="H239" s="3">
        <f ca="1">IFERROR(__xludf.DUMMYFUNCTION("""COMPUTED_VALUE"""),77.6)</f>
        <v>77.599999999999994</v>
      </c>
      <c r="I239" s="3">
        <f ca="1">IFERROR(__xludf.DUMMYFUNCTION("""COMPUTED_VALUE"""),78.29)</f>
        <v>78.290000000000006</v>
      </c>
      <c r="J239" s="3">
        <f ca="1">IFERROR(__xludf.DUMMYFUNCTION("""COMPUTED_VALUE"""),77.25)</f>
        <v>77.25</v>
      </c>
      <c r="K239" s="3">
        <f ca="1">IFERROR(__xludf.DUMMYFUNCTION("""COMPUTED_VALUE"""),78.17)</f>
        <v>78.17</v>
      </c>
      <c r="L239" s="3">
        <f ca="1">IFERROR(__xludf.DUMMYFUNCTION("""COMPUTED_VALUE"""),5751270)</f>
        <v>5751270</v>
      </c>
      <c r="M239" s="4">
        <f ca="1">IFERROR(__xludf.DUMMYFUNCTION("""COMPUTED_VALUE"""),42472.6666666666)</f>
        <v>42472.666666666599</v>
      </c>
      <c r="N239" s="3">
        <f ca="1">IFERROR(__xludf.DUMMYFUNCTION("""COMPUTED_VALUE"""),53.04)</f>
        <v>53.04</v>
      </c>
      <c r="O239" s="3">
        <f ca="1">IFERROR(__xludf.DUMMYFUNCTION("""COMPUTED_VALUE"""),53.42)</f>
        <v>53.42</v>
      </c>
      <c r="P239" s="3">
        <f ca="1">IFERROR(__xludf.DUMMYFUNCTION("""COMPUTED_VALUE"""),53.04)</f>
        <v>53.04</v>
      </c>
      <c r="Q239" s="3">
        <f ca="1">IFERROR(__xludf.DUMMYFUNCTION("""COMPUTED_VALUE"""),53.36)</f>
        <v>53.36</v>
      </c>
      <c r="R239" s="3">
        <f ca="1">IFERROR(__xludf.DUMMYFUNCTION("""COMPUTED_VALUE"""),9361144)</f>
        <v>9361144</v>
      </c>
      <c r="S239" s="4">
        <f ca="1">IFERROR(__xludf.DUMMYFUNCTION("""COMPUTED_VALUE"""),42472.6666666666)</f>
        <v>42472.666666666599</v>
      </c>
      <c r="T239" s="3">
        <f ca="1">IFERROR(__xludf.DUMMYFUNCTION("""COMPUTED_VALUE"""),62.35)</f>
        <v>62.35</v>
      </c>
      <c r="U239" s="3">
        <f ca="1">IFERROR(__xludf.DUMMYFUNCTION("""COMPUTED_VALUE"""),64.33)</f>
        <v>64.33</v>
      </c>
      <c r="V239" s="3">
        <f ca="1">IFERROR(__xludf.DUMMYFUNCTION("""COMPUTED_VALUE"""),62.22)</f>
        <v>62.22</v>
      </c>
      <c r="W239" s="3">
        <f ca="1">IFERROR(__xludf.DUMMYFUNCTION("""COMPUTED_VALUE"""),63.96)</f>
        <v>63.96</v>
      </c>
      <c r="X239" s="3">
        <f ca="1">IFERROR(__xludf.DUMMYFUNCTION("""COMPUTED_VALUE"""),27630418)</f>
        <v>27630418</v>
      </c>
      <c r="Y239" s="4">
        <f ca="1">IFERROR(__xludf.DUMMYFUNCTION("""COMPUTED_VALUE"""),42472.6666666666)</f>
        <v>42472.666666666599</v>
      </c>
      <c r="Z239" s="3">
        <f ca="1">IFERROR(__xludf.DUMMYFUNCTION("""COMPUTED_VALUE"""),18)</f>
        <v>18</v>
      </c>
      <c r="AA239" s="3">
        <f ca="1">IFERROR(__xludf.DUMMYFUNCTION("""COMPUTED_VALUE"""),18.24)</f>
        <v>18.239999999999998</v>
      </c>
      <c r="AB239" s="3">
        <f ca="1">IFERROR(__xludf.DUMMYFUNCTION("""COMPUTED_VALUE"""),17.96)</f>
        <v>17.96</v>
      </c>
      <c r="AC239" s="3">
        <f ca="1">IFERROR(__xludf.DUMMYFUNCTION("""COMPUTED_VALUE"""),18.21)</f>
        <v>18.21</v>
      </c>
      <c r="AD239" s="3">
        <f ca="1">IFERROR(__xludf.DUMMYFUNCTION("""COMPUTED_VALUE"""),39176215)</f>
        <v>39176215</v>
      </c>
      <c r="AE239" s="4">
        <f ca="1">IFERROR(__xludf.DUMMYFUNCTION("""COMPUTED_VALUE"""),42472.6666666666)</f>
        <v>42472.666666666599</v>
      </c>
      <c r="AF239" s="3">
        <f ca="1">IFERROR(__xludf.DUMMYFUNCTION("""COMPUTED_VALUE"""),68.81)</f>
        <v>68.81</v>
      </c>
      <c r="AG239" s="3">
        <f ca="1">IFERROR(__xludf.DUMMYFUNCTION("""COMPUTED_VALUE"""),69.53)</f>
        <v>69.53</v>
      </c>
      <c r="AH239" s="3">
        <f ca="1">IFERROR(__xludf.DUMMYFUNCTION("""COMPUTED_VALUE"""),68.8)</f>
        <v>68.8</v>
      </c>
      <c r="AI239" s="3">
        <f ca="1">IFERROR(__xludf.DUMMYFUNCTION("""COMPUTED_VALUE"""),69.38)</f>
        <v>69.38</v>
      </c>
      <c r="AJ239" s="3">
        <f ca="1">IFERROR(__xludf.DUMMYFUNCTION("""COMPUTED_VALUE"""),13510509)</f>
        <v>13510509</v>
      </c>
      <c r="AK239" s="4">
        <f ca="1">IFERROR(__xludf.DUMMYFUNCTION("""COMPUTED_VALUE"""),42472.6666666666)</f>
        <v>42472.666666666599</v>
      </c>
      <c r="AL239" s="3">
        <f ca="1">IFERROR(__xludf.DUMMYFUNCTION("""COMPUTED_VALUE"""),54.75)</f>
        <v>54.75</v>
      </c>
      <c r="AM239" s="3">
        <f ca="1">IFERROR(__xludf.DUMMYFUNCTION("""COMPUTED_VALUE"""),55.33)</f>
        <v>55.33</v>
      </c>
      <c r="AN239" s="3">
        <f ca="1">IFERROR(__xludf.DUMMYFUNCTION("""COMPUTED_VALUE"""),54.66)</f>
        <v>54.66</v>
      </c>
      <c r="AO239" s="3">
        <f ca="1">IFERROR(__xludf.DUMMYFUNCTION("""COMPUTED_VALUE"""),55.05)</f>
        <v>55.05</v>
      </c>
      <c r="AP239" s="3">
        <f ca="1">IFERROR(__xludf.DUMMYFUNCTION("""COMPUTED_VALUE"""),10724259)</f>
        <v>10724259</v>
      </c>
      <c r="AQ239" s="4">
        <f ca="1">IFERROR(__xludf.DUMMYFUNCTION("""COMPUTED_VALUE"""),42472.6666666666)</f>
        <v>42472.666666666599</v>
      </c>
      <c r="AR239" s="3">
        <f ca="1">IFERROR(__xludf.DUMMYFUNCTION("""COMPUTED_VALUE"""),44.99)</f>
        <v>44.99</v>
      </c>
      <c r="AS239" s="3">
        <f ca="1">IFERROR(__xludf.DUMMYFUNCTION("""COMPUTED_VALUE"""),45.42)</f>
        <v>45.42</v>
      </c>
      <c r="AT239" s="3">
        <f ca="1">IFERROR(__xludf.DUMMYFUNCTION("""COMPUTED_VALUE"""),44.74)</f>
        <v>44.74</v>
      </c>
      <c r="AU239" s="3">
        <f ca="1">IFERROR(__xludf.DUMMYFUNCTION("""COMPUTED_VALUE"""),45.34)</f>
        <v>45.34</v>
      </c>
      <c r="AV239" s="3">
        <f ca="1">IFERROR(__xludf.DUMMYFUNCTION("""COMPUTED_VALUE"""),4704884)</f>
        <v>4704884</v>
      </c>
      <c r="AW239" s="4">
        <f ca="1">IFERROR(__xludf.DUMMYFUNCTION("""COMPUTED_VALUE"""),42635.6666666666)</f>
        <v>42635.666666666599</v>
      </c>
      <c r="AX239" s="3">
        <f ca="1">IFERROR(__xludf.DUMMYFUNCTION("""COMPUTED_VALUE"""),32.77)</f>
        <v>32.770000000000003</v>
      </c>
      <c r="AY239" s="3">
        <f ca="1">IFERROR(__xludf.DUMMYFUNCTION("""COMPUTED_VALUE"""),33.25)</f>
        <v>33.25</v>
      </c>
      <c r="AZ239" s="3">
        <f ca="1">IFERROR(__xludf.DUMMYFUNCTION("""COMPUTED_VALUE"""),32.77)</f>
        <v>32.770000000000003</v>
      </c>
      <c r="BA239" s="3">
        <f ca="1">IFERROR(__xludf.DUMMYFUNCTION("""COMPUTED_VALUE"""),33.19)</f>
        <v>33.19</v>
      </c>
      <c r="BB239" s="3">
        <f ca="1">IFERROR(__xludf.DUMMYFUNCTION("""COMPUTED_VALUE"""),1728163)</f>
        <v>1728163</v>
      </c>
      <c r="BC239" s="4">
        <f ca="1">IFERROR(__xludf.DUMMYFUNCTION("""COMPUTED_VALUE"""),42472.6666666666)</f>
        <v>42472.666666666599</v>
      </c>
      <c r="BD239" s="3">
        <f ca="1">IFERROR(__xludf.DUMMYFUNCTION("""COMPUTED_VALUE"""),43.85)</f>
        <v>43.85</v>
      </c>
      <c r="BE239" s="3">
        <f ca="1">IFERROR(__xludf.DUMMYFUNCTION("""COMPUTED_VALUE"""),44.11)</f>
        <v>44.11</v>
      </c>
      <c r="BF239" s="3">
        <f ca="1">IFERROR(__xludf.DUMMYFUNCTION("""COMPUTED_VALUE"""),43.55)</f>
        <v>43.55</v>
      </c>
      <c r="BG239" s="3">
        <f ca="1">IFERROR(__xludf.DUMMYFUNCTION("""COMPUTED_VALUE"""),44.07)</f>
        <v>44.07</v>
      </c>
      <c r="BH239" s="3">
        <f ca="1">IFERROR(__xludf.DUMMYFUNCTION("""COMPUTED_VALUE"""),9591974)</f>
        <v>9591974</v>
      </c>
      <c r="BI239" s="4">
        <f ca="1">IFERROR(__xludf.DUMMYFUNCTION("""COMPUTED_VALUE"""),42472.6666666666)</f>
        <v>42472.666666666599</v>
      </c>
      <c r="BJ239" s="3">
        <f ca="1">IFERROR(__xludf.DUMMYFUNCTION("""COMPUTED_VALUE"""),48.65)</f>
        <v>48.65</v>
      </c>
      <c r="BK239" s="3">
        <f ca="1">IFERROR(__xludf.DUMMYFUNCTION("""COMPUTED_VALUE"""),49.04)</f>
        <v>49.04</v>
      </c>
      <c r="BL239" s="3">
        <f ca="1">IFERROR(__xludf.DUMMYFUNCTION("""COMPUTED_VALUE"""),48.57)</f>
        <v>48.57</v>
      </c>
      <c r="BM239" s="3">
        <f ca="1">IFERROR(__xludf.DUMMYFUNCTION("""COMPUTED_VALUE"""),48.98)</f>
        <v>48.98</v>
      </c>
      <c r="BN239" s="3">
        <f ca="1">IFERROR(__xludf.DUMMYFUNCTION("""COMPUTED_VALUE"""),13427647)</f>
        <v>13427647</v>
      </c>
    </row>
    <row r="240" spans="7:66" ht="13" x14ac:dyDescent="0.15">
      <c r="G240" s="4">
        <f ca="1">IFERROR(__xludf.DUMMYFUNCTION("""COMPUTED_VALUE"""),42473.6666666666)</f>
        <v>42473.666666666599</v>
      </c>
      <c r="H240" s="3">
        <f ca="1">IFERROR(__xludf.DUMMYFUNCTION("""COMPUTED_VALUE"""),78.63)</f>
        <v>78.63</v>
      </c>
      <c r="I240" s="3">
        <f ca="1">IFERROR(__xludf.DUMMYFUNCTION("""COMPUTED_VALUE"""),79.3)</f>
        <v>79.3</v>
      </c>
      <c r="J240" s="3">
        <f ca="1">IFERROR(__xludf.DUMMYFUNCTION("""COMPUTED_VALUE"""),78.5)</f>
        <v>78.5</v>
      </c>
      <c r="K240" s="3">
        <f ca="1">IFERROR(__xludf.DUMMYFUNCTION("""COMPUTED_VALUE"""),79.27)</f>
        <v>79.27</v>
      </c>
      <c r="L240" s="3">
        <f ca="1">IFERROR(__xludf.DUMMYFUNCTION("""COMPUTED_VALUE"""),5040500)</f>
        <v>5040500</v>
      </c>
      <c r="M240" s="4">
        <f ca="1">IFERROR(__xludf.DUMMYFUNCTION("""COMPUTED_VALUE"""),42473.6666666666)</f>
        <v>42473.666666666599</v>
      </c>
      <c r="N240" s="3">
        <f ca="1">IFERROR(__xludf.DUMMYFUNCTION("""COMPUTED_VALUE"""),53.49)</f>
        <v>53.49</v>
      </c>
      <c r="O240" s="3">
        <f ca="1">IFERROR(__xludf.DUMMYFUNCTION("""COMPUTED_VALUE"""),53.55)</f>
        <v>53.55</v>
      </c>
      <c r="P240" s="3">
        <f ca="1">IFERROR(__xludf.DUMMYFUNCTION("""COMPUTED_VALUE"""),52.71)</f>
        <v>52.71</v>
      </c>
      <c r="Q240" s="3">
        <f ca="1">IFERROR(__xludf.DUMMYFUNCTION("""COMPUTED_VALUE"""),52.95)</f>
        <v>52.95</v>
      </c>
      <c r="R240" s="3">
        <f ca="1">IFERROR(__xludf.DUMMYFUNCTION("""COMPUTED_VALUE"""),14779973)</f>
        <v>14779973</v>
      </c>
      <c r="S240" s="4">
        <f ca="1">IFERROR(__xludf.DUMMYFUNCTION("""COMPUTED_VALUE"""),42473.6666666666)</f>
        <v>42473.666666666599</v>
      </c>
      <c r="T240" s="3">
        <f ca="1">IFERROR(__xludf.DUMMYFUNCTION("""COMPUTED_VALUE"""),63.93)</f>
        <v>63.93</v>
      </c>
      <c r="U240" s="3">
        <f ca="1">IFERROR(__xludf.DUMMYFUNCTION("""COMPUTED_VALUE"""),64.45)</f>
        <v>64.45</v>
      </c>
      <c r="V240" s="3">
        <f ca="1">IFERROR(__xludf.DUMMYFUNCTION("""COMPUTED_VALUE"""),63.48)</f>
        <v>63.48</v>
      </c>
      <c r="W240" s="3">
        <f ca="1">IFERROR(__xludf.DUMMYFUNCTION("""COMPUTED_VALUE"""),64.26)</f>
        <v>64.260000000000005</v>
      </c>
      <c r="X240" s="3">
        <f ca="1">IFERROR(__xludf.DUMMYFUNCTION("""COMPUTED_VALUE"""),18702915)</f>
        <v>18702915</v>
      </c>
      <c r="Y240" s="4">
        <f ca="1">IFERROR(__xludf.DUMMYFUNCTION("""COMPUTED_VALUE"""),42473.6666666666)</f>
        <v>42473.666666666599</v>
      </c>
      <c r="Z240" s="3">
        <f ca="1">IFERROR(__xludf.DUMMYFUNCTION("""COMPUTED_VALUE"""),18.39)</f>
        <v>18.39</v>
      </c>
      <c r="AA240" s="3">
        <f ca="1">IFERROR(__xludf.DUMMYFUNCTION("""COMPUTED_VALUE"""),18.64)</f>
        <v>18.64</v>
      </c>
      <c r="AB240" s="3">
        <f ca="1">IFERROR(__xludf.DUMMYFUNCTION("""COMPUTED_VALUE"""),18.38)</f>
        <v>18.38</v>
      </c>
      <c r="AC240" s="3">
        <f ca="1">IFERROR(__xludf.DUMMYFUNCTION("""COMPUTED_VALUE"""),18.62)</f>
        <v>18.62</v>
      </c>
      <c r="AD240" s="3">
        <f ca="1">IFERROR(__xludf.DUMMYFUNCTION("""COMPUTED_VALUE"""),56579584)</f>
        <v>56579584</v>
      </c>
      <c r="AE240" s="4">
        <f ca="1">IFERROR(__xludf.DUMMYFUNCTION("""COMPUTED_VALUE"""),42473.6666666666)</f>
        <v>42473.666666666599</v>
      </c>
      <c r="AF240" s="3">
        <f ca="1">IFERROR(__xludf.DUMMYFUNCTION("""COMPUTED_VALUE"""),69.7)</f>
        <v>69.7</v>
      </c>
      <c r="AG240" s="3">
        <f ca="1">IFERROR(__xludf.DUMMYFUNCTION("""COMPUTED_VALUE"""),70.07)</f>
        <v>70.069999999999993</v>
      </c>
      <c r="AH240" s="3">
        <f ca="1">IFERROR(__xludf.DUMMYFUNCTION("""COMPUTED_VALUE"""),69.33)</f>
        <v>69.33</v>
      </c>
      <c r="AI240" s="3">
        <f ca="1">IFERROR(__xludf.DUMMYFUNCTION("""COMPUTED_VALUE"""),70.03)</f>
        <v>70.03</v>
      </c>
      <c r="AJ240" s="3">
        <f ca="1">IFERROR(__xludf.DUMMYFUNCTION("""COMPUTED_VALUE"""),9706171)</f>
        <v>9706171</v>
      </c>
      <c r="AK240" s="4">
        <f ca="1">IFERROR(__xludf.DUMMYFUNCTION("""COMPUTED_VALUE"""),42473.6666666666)</f>
        <v>42473.666666666599</v>
      </c>
      <c r="AL240" s="3">
        <f ca="1">IFERROR(__xludf.DUMMYFUNCTION("""COMPUTED_VALUE"""),55.56)</f>
        <v>55.56</v>
      </c>
      <c r="AM240" s="3">
        <f ca="1">IFERROR(__xludf.DUMMYFUNCTION("""COMPUTED_VALUE"""),56.02)</f>
        <v>56.02</v>
      </c>
      <c r="AN240" s="3">
        <f ca="1">IFERROR(__xludf.DUMMYFUNCTION("""COMPUTED_VALUE"""),55.49)</f>
        <v>55.49</v>
      </c>
      <c r="AO240" s="3">
        <f ca="1">IFERROR(__xludf.DUMMYFUNCTION("""COMPUTED_VALUE"""),55.87)</f>
        <v>55.87</v>
      </c>
      <c r="AP240" s="3">
        <f ca="1">IFERROR(__xludf.DUMMYFUNCTION("""COMPUTED_VALUE"""),13215527)</f>
        <v>13215527</v>
      </c>
      <c r="AQ240" s="4">
        <f ca="1">IFERROR(__xludf.DUMMYFUNCTION("""COMPUTED_VALUE"""),42473.6666666666)</f>
        <v>42473.666666666599</v>
      </c>
      <c r="AR240" s="3">
        <f ca="1">IFERROR(__xludf.DUMMYFUNCTION("""COMPUTED_VALUE"""),45.63)</f>
        <v>45.63</v>
      </c>
      <c r="AS240" s="3">
        <f ca="1">IFERROR(__xludf.DUMMYFUNCTION("""COMPUTED_VALUE"""),45.94)</f>
        <v>45.94</v>
      </c>
      <c r="AT240" s="3">
        <f ca="1">IFERROR(__xludf.DUMMYFUNCTION("""COMPUTED_VALUE"""),45.59)</f>
        <v>45.59</v>
      </c>
      <c r="AU240" s="3">
        <f ca="1">IFERROR(__xludf.DUMMYFUNCTION("""COMPUTED_VALUE"""),45.79)</f>
        <v>45.79</v>
      </c>
      <c r="AV240" s="3">
        <f ca="1">IFERROR(__xludf.DUMMYFUNCTION("""COMPUTED_VALUE"""),4825903)</f>
        <v>4825903</v>
      </c>
      <c r="AW240" s="4">
        <f ca="1">IFERROR(__xludf.DUMMYFUNCTION("""COMPUTED_VALUE"""),42636.6666666666)</f>
        <v>42636.666666666599</v>
      </c>
      <c r="AX240" s="3">
        <f ca="1">IFERROR(__xludf.DUMMYFUNCTION("""COMPUTED_VALUE"""),33.07)</f>
        <v>33.07</v>
      </c>
      <c r="AY240" s="3">
        <f ca="1">IFERROR(__xludf.DUMMYFUNCTION("""COMPUTED_VALUE"""),33.45)</f>
        <v>33.450000000000003</v>
      </c>
      <c r="AZ240" s="3">
        <f ca="1">IFERROR(__xludf.DUMMYFUNCTION("""COMPUTED_VALUE"""),32.84)</f>
        <v>32.840000000000003</v>
      </c>
      <c r="BA240" s="3">
        <f ca="1">IFERROR(__xludf.DUMMYFUNCTION("""COMPUTED_VALUE"""),33.32)</f>
        <v>33.32</v>
      </c>
      <c r="BB240" s="3">
        <f ca="1">IFERROR(__xludf.DUMMYFUNCTION("""COMPUTED_VALUE"""),19150981)</f>
        <v>19150981</v>
      </c>
      <c r="BC240" s="4">
        <f ca="1">IFERROR(__xludf.DUMMYFUNCTION("""COMPUTED_VALUE"""),42473.6666666666)</f>
        <v>42473.666666666599</v>
      </c>
      <c r="BD240" s="3">
        <f ca="1">IFERROR(__xludf.DUMMYFUNCTION("""COMPUTED_VALUE"""),44.33)</f>
        <v>44.33</v>
      </c>
      <c r="BE240" s="3">
        <f ca="1">IFERROR(__xludf.DUMMYFUNCTION("""COMPUTED_VALUE"""),44.59)</f>
        <v>44.59</v>
      </c>
      <c r="BF240" s="3">
        <f ca="1">IFERROR(__xludf.DUMMYFUNCTION("""COMPUTED_VALUE"""),44.28)</f>
        <v>44.28</v>
      </c>
      <c r="BG240" s="3">
        <f ca="1">IFERROR(__xludf.DUMMYFUNCTION("""COMPUTED_VALUE"""),44.52)</f>
        <v>44.52</v>
      </c>
      <c r="BH240" s="3">
        <f ca="1">IFERROR(__xludf.DUMMYFUNCTION("""COMPUTED_VALUE"""),7876600)</f>
        <v>7876600</v>
      </c>
      <c r="BI240" s="4">
        <f ca="1">IFERROR(__xludf.DUMMYFUNCTION("""COMPUTED_VALUE"""),42473.6666666666)</f>
        <v>42473.666666666599</v>
      </c>
      <c r="BJ240" s="3">
        <f ca="1">IFERROR(__xludf.DUMMYFUNCTION("""COMPUTED_VALUE"""),49.12)</f>
        <v>49.12</v>
      </c>
      <c r="BK240" s="3">
        <f ca="1">IFERROR(__xludf.DUMMYFUNCTION("""COMPUTED_VALUE"""),49.12)</f>
        <v>49.12</v>
      </c>
      <c r="BL240" s="3">
        <f ca="1">IFERROR(__xludf.DUMMYFUNCTION("""COMPUTED_VALUE"""),48.42)</f>
        <v>48.42</v>
      </c>
      <c r="BM240" s="3">
        <f ca="1">IFERROR(__xludf.DUMMYFUNCTION("""COMPUTED_VALUE"""),48.68)</f>
        <v>48.68</v>
      </c>
      <c r="BN240" s="3">
        <f ca="1">IFERROR(__xludf.DUMMYFUNCTION("""COMPUTED_VALUE"""),13320464)</f>
        <v>13320464</v>
      </c>
    </row>
    <row r="241" spans="7:66" ht="13" x14ac:dyDescent="0.15">
      <c r="G241" s="4">
        <f ca="1">IFERROR(__xludf.DUMMYFUNCTION("""COMPUTED_VALUE"""),42474.6666666666)</f>
        <v>42474.666666666599</v>
      </c>
      <c r="H241" s="3">
        <f ca="1">IFERROR(__xludf.DUMMYFUNCTION("""COMPUTED_VALUE"""),79.32)</f>
        <v>79.319999999999993</v>
      </c>
      <c r="I241" s="3">
        <f ca="1">IFERROR(__xludf.DUMMYFUNCTION("""COMPUTED_VALUE"""),79.51)</f>
        <v>79.510000000000005</v>
      </c>
      <c r="J241" s="3">
        <f ca="1">IFERROR(__xludf.DUMMYFUNCTION("""COMPUTED_VALUE"""),79)</f>
        <v>79</v>
      </c>
      <c r="K241" s="3">
        <f ca="1">IFERROR(__xludf.DUMMYFUNCTION("""COMPUTED_VALUE"""),79.27)</f>
        <v>79.27</v>
      </c>
      <c r="L241" s="3">
        <f ca="1">IFERROR(__xludf.DUMMYFUNCTION("""COMPUTED_VALUE"""),3462258)</f>
        <v>3462258</v>
      </c>
      <c r="M241" s="4">
        <f ca="1">IFERROR(__xludf.DUMMYFUNCTION("""COMPUTED_VALUE"""),42474.6666666666)</f>
        <v>42474.666666666599</v>
      </c>
      <c r="N241" s="3">
        <f ca="1">IFERROR(__xludf.DUMMYFUNCTION("""COMPUTED_VALUE"""),52.92)</f>
        <v>52.92</v>
      </c>
      <c r="O241" s="3">
        <f ca="1">IFERROR(__xludf.DUMMYFUNCTION("""COMPUTED_VALUE"""),53.05)</f>
        <v>53.05</v>
      </c>
      <c r="P241" s="3">
        <f ca="1">IFERROR(__xludf.DUMMYFUNCTION("""COMPUTED_VALUE"""),52.67)</f>
        <v>52.67</v>
      </c>
      <c r="Q241" s="3">
        <f ca="1">IFERROR(__xludf.DUMMYFUNCTION("""COMPUTED_VALUE"""),52.71)</f>
        <v>52.71</v>
      </c>
      <c r="R241" s="3">
        <f ca="1">IFERROR(__xludf.DUMMYFUNCTION("""COMPUTED_VALUE"""),11811284)</f>
        <v>11811284</v>
      </c>
      <c r="S241" s="4">
        <f ca="1">IFERROR(__xludf.DUMMYFUNCTION("""COMPUTED_VALUE"""),42474.6666666666)</f>
        <v>42474.666666666599</v>
      </c>
      <c r="T241" s="3">
        <f ca="1">IFERROR(__xludf.DUMMYFUNCTION("""COMPUTED_VALUE"""),64.53)</f>
        <v>64.53</v>
      </c>
      <c r="U241" s="3">
        <f ca="1">IFERROR(__xludf.DUMMYFUNCTION("""COMPUTED_VALUE"""),64.54)</f>
        <v>64.540000000000006</v>
      </c>
      <c r="V241" s="3">
        <f ca="1">IFERROR(__xludf.DUMMYFUNCTION("""COMPUTED_VALUE"""),64.03)</f>
        <v>64.03</v>
      </c>
      <c r="W241" s="3">
        <f ca="1">IFERROR(__xludf.DUMMYFUNCTION("""COMPUTED_VALUE"""),64.41)</f>
        <v>64.41</v>
      </c>
      <c r="X241" s="3">
        <f ca="1">IFERROR(__xludf.DUMMYFUNCTION("""COMPUTED_VALUE"""),17435536)</f>
        <v>17435536</v>
      </c>
      <c r="Y241" s="4">
        <f ca="1">IFERROR(__xludf.DUMMYFUNCTION("""COMPUTED_VALUE"""),42474.6666666666)</f>
        <v>42474.666666666599</v>
      </c>
      <c r="Z241" s="3">
        <f ca="1">IFERROR(__xludf.DUMMYFUNCTION("""COMPUTED_VALUE"""),18.53)</f>
        <v>18.53</v>
      </c>
      <c r="AA241" s="3">
        <f ca="1">IFERROR(__xludf.DUMMYFUNCTION("""COMPUTED_VALUE"""),18.76)</f>
        <v>18.760000000000002</v>
      </c>
      <c r="AB241" s="3">
        <f ca="1">IFERROR(__xludf.DUMMYFUNCTION("""COMPUTED_VALUE"""),18.53)</f>
        <v>18.53</v>
      </c>
      <c r="AC241" s="3">
        <f ca="1">IFERROR(__xludf.DUMMYFUNCTION("""COMPUTED_VALUE"""),18.66)</f>
        <v>18.66</v>
      </c>
      <c r="AD241" s="3">
        <f ca="1">IFERROR(__xludf.DUMMYFUNCTION("""COMPUTED_VALUE"""),42286759)</f>
        <v>42286759</v>
      </c>
      <c r="AE241" s="4">
        <f ca="1">IFERROR(__xludf.DUMMYFUNCTION("""COMPUTED_VALUE"""),42474.6666666666)</f>
        <v>42474.666666666599</v>
      </c>
      <c r="AF241" s="3">
        <f ca="1">IFERROR(__xludf.DUMMYFUNCTION("""COMPUTED_VALUE"""),70.01)</f>
        <v>70.010000000000005</v>
      </c>
      <c r="AG241" s="3">
        <f ca="1">IFERROR(__xludf.DUMMYFUNCTION("""COMPUTED_VALUE"""),70.3)</f>
        <v>70.3</v>
      </c>
      <c r="AH241" s="3">
        <f ca="1">IFERROR(__xludf.DUMMYFUNCTION("""COMPUTED_VALUE"""),69.81)</f>
        <v>69.81</v>
      </c>
      <c r="AI241" s="3">
        <f ca="1">IFERROR(__xludf.DUMMYFUNCTION("""COMPUTED_VALUE"""),70.07)</f>
        <v>70.069999999999993</v>
      </c>
      <c r="AJ241" s="3">
        <f ca="1">IFERROR(__xludf.DUMMYFUNCTION("""COMPUTED_VALUE"""),6655195)</f>
        <v>6655195</v>
      </c>
      <c r="AK241" s="4">
        <f ca="1">IFERROR(__xludf.DUMMYFUNCTION("""COMPUTED_VALUE"""),42474.6666666666)</f>
        <v>42474.666666666599</v>
      </c>
      <c r="AL241" s="3">
        <f ca="1">IFERROR(__xludf.DUMMYFUNCTION("""COMPUTED_VALUE"""),56.14)</f>
        <v>56.14</v>
      </c>
      <c r="AM241" s="3">
        <f ca="1">IFERROR(__xludf.DUMMYFUNCTION("""COMPUTED_VALUE"""),56.2)</f>
        <v>56.2</v>
      </c>
      <c r="AN241" s="3">
        <f ca="1">IFERROR(__xludf.DUMMYFUNCTION("""COMPUTED_VALUE"""),55.89)</f>
        <v>55.89</v>
      </c>
      <c r="AO241" s="3">
        <f ca="1">IFERROR(__xludf.DUMMYFUNCTION("""COMPUTED_VALUE"""),55.97)</f>
        <v>55.97</v>
      </c>
      <c r="AP241" s="3">
        <f ca="1">IFERROR(__xludf.DUMMYFUNCTION("""COMPUTED_VALUE"""),13195465)</f>
        <v>13195465</v>
      </c>
      <c r="AQ241" s="4">
        <f ca="1">IFERROR(__xludf.DUMMYFUNCTION("""COMPUTED_VALUE"""),42474.6666666666)</f>
        <v>42474.666666666599</v>
      </c>
      <c r="AR241" s="3">
        <f ca="1">IFERROR(__xludf.DUMMYFUNCTION("""COMPUTED_VALUE"""),45.99)</f>
        <v>45.99</v>
      </c>
      <c r="AS241" s="3">
        <f ca="1">IFERROR(__xludf.DUMMYFUNCTION("""COMPUTED_VALUE"""),46.07)</f>
        <v>46.07</v>
      </c>
      <c r="AT241" s="3">
        <f ca="1">IFERROR(__xludf.DUMMYFUNCTION("""COMPUTED_VALUE"""),45.72)</f>
        <v>45.72</v>
      </c>
      <c r="AU241" s="3">
        <f ca="1">IFERROR(__xludf.DUMMYFUNCTION("""COMPUTED_VALUE"""),45.82)</f>
        <v>45.82</v>
      </c>
      <c r="AV241" s="3">
        <f ca="1">IFERROR(__xludf.DUMMYFUNCTION("""COMPUTED_VALUE"""),3538305)</f>
        <v>3538305</v>
      </c>
      <c r="AW241" s="4">
        <f ca="1">IFERROR(__xludf.DUMMYFUNCTION("""COMPUTED_VALUE"""),42639.6666666666)</f>
        <v>42639.666666666599</v>
      </c>
      <c r="AX241" s="3">
        <f ca="1">IFERROR(__xludf.DUMMYFUNCTION("""COMPUTED_VALUE"""),33.15)</f>
        <v>33.15</v>
      </c>
      <c r="AY241" s="3">
        <f ca="1">IFERROR(__xludf.DUMMYFUNCTION("""COMPUTED_VALUE"""),33.44)</f>
        <v>33.44</v>
      </c>
      <c r="AZ241" s="3">
        <f ca="1">IFERROR(__xludf.DUMMYFUNCTION("""COMPUTED_VALUE"""),33.13)</f>
        <v>33.130000000000003</v>
      </c>
      <c r="BA241" s="3">
        <f ca="1">IFERROR(__xludf.DUMMYFUNCTION("""COMPUTED_VALUE"""),33.39)</f>
        <v>33.39</v>
      </c>
      <c r="BB241" s="3">
        <f ca="1">IFERROR(__xludf.DUMMYFUNCTION("""COMPUTED_VALUE"""),2998968)</f>
        <v>2998968</v>
      </c>
      <c r="BC241" s="4">
        <f ca="1">IFERROR(__xludf.DUMMYFUNCTION("""COMPUTED_VALUE"""),42474.6666666666)</f>
        <v>42474.666666666599</v>
      </c>
      <c r="BD241" s="3">
        <f ca="1">IFERROR(__xludf.DUMMYFUNCTION("""COMPUTED_VALUE"""),44.46)</f>
        <v>44.46</v>
      </c>
      <c r="BE241" s="3">
        <f ca="1">IFERROR(__xludf.DUMMYFUNCTION("""COMPUTED_VALUE"""),44.65)</f>
        <v>44.65</v>
      </c>
      <c r="BF241" s="3">
        <f ca="1">IFERROR(__xludf.DUMMYFUNCTION("""COMPUTED_VALUE"""),44.36)</f>
        <v>44.36</v>
      </c>
      <c r="BG241" s="3">
        <f ca="1">IFERROR(__xludf.DUMMYFUNCTION("""COMPUTED_VALUE"""),44.51)</f>
        <v>44.51</v>
      </c>
      <c r="BH241" s="3">
        <f ca="1">IFERROR(__xludf.DUMMYFUNCTION("""COMPUTED_VALUE"""),6502749)</f>
        <v>6502749</v>
      </c>
      <c r="BI241" s="4">
        <f ca="1">IFERROR(__xludf.DUMMYFUNCTION("""COMPUTED_VALUE"""),42474.6666666666)</f>
        <v>42474.666666666599</v>
      </c>
      <c r="BJ241" s="3">
        <f ca="1">IFERROR(__xludf.DUMMYFUNCTION("""COMPUTED_VALUE"""),48.56)</f>
        <v>48.56</v>
      </c>
      <c r="BK241" s="3">
        <f ca="1">IFERROR(__xludf.DUMMYFUNCTION("""COMPUTED_VALUE"""),48.79)</f>
        <v>48.79</v>
      </c>
      <c r="BL241" s="3">
        <f ca="1">IFERROR(__xludf.DUMMYFUNCTION("""COMPUTED_VALUE"""),48.46)</f>
        <v>48.46</v>
      </c>
      <c r="BM241" s="3">
        <f ca="1">IFERROR(__xludf.DUMMYFUNCTION("""COMPUTED_VALUE"""),48.62)</f>
        <v>48.62</v>
      </c>
      <c r="BN241" s="3">
        <f ca="1">IFERROR(__xludf.DUMMYFUNCTION("""COMPUTED_VALUE"""),12090787)</f>
        <v>12090787</v>
      </c>
    </row>
    <row r="242" spans="7:66" ht="13" x14ac:dyDescent="0.15">
      <c r="G242" s="4">
        <f ca="1">IFERROR(__xludf.DUMMYFUNCTION("""COMPUTED_VALUE"""),42475.6666666666)</f>
        <v>42475.666666666599</v>
      </c>
      <c r="H242" s="3">
        <f ca="1">IFERROR(__xludf.DUMMYFUNCTION("""COMPUTED_VALUE"""),79.28)</f>
        <v>79.28</v>
      </c>
      <c r="I242" s="3">
        <f ca="1">IFERROR(__xludf.DUMMYFUNCTION("""COMPUTED_VALUE"""),79.54)</f>
        <v>79.540000000000006</v>
      </c>
      <c r="J242" s="3">
        <f ca="1">IFERROR(__xludf.DUMMYFUNCTION("""COMPUTED_VALUE"""),79.05)</f>
        <v>79.05</v>
      </c>
      <c r="K242" s="3">
        <f ca="1">IFERROR(__xludf.DUMMYFUNCTION("""COMPUTED_VALUE"""),79.49)</f>
        <v>79.489999999999995</v>
      </c>
      <c r="L242" s="3">
        <f ca="1">IFERROR(__xludf.DUMMYFUNCTION("""COMPUTED_VALUE"""),4299693)</f>
        <v>4299693</v>
      </c>
      <c r="M242" s="4">
        <f ca="1">IFERROR(__xludf.DUMMYFUNCTION("""COMPUTED_VALUE"""),42475.6666666666)</f>
        <v>42475.666666666599</v>
      </c>
      <c r="N242" s="3">
        <f ca="1">IFERROR(__xludf.DUMMYFUNCTION("""COMPUTED_VALUE"""),52.7)</f>
        <v>52.7</v>
      </c>
      <c r="O242" s="3">
        <f ca="1">IFERROR(__xludf.DUMMYFUNCTION("""COMPUTED_VALUE"""),53.06)</f>
        <v>53.06</v>
      </c>
      <c r="P242" s="3">
        <f ca="1">IFERROR(__xludf.DUMMYFUNCTION("""COMPUTED_VALUE"""),52.64)</f>
        <v>52.64</v>
      </c>
      <c r="Q242" s="3">
        <f ca="1">IFERROR(__xludf.DUMMYFUNCTION("""COMPUTED_VALUE"""),53.04)</f>
        <v>53.04</v>
      </c>
      <c r="R242" s="3">
        <f ca="1">IFERROR(__xludf.DUMMYFUNCTION("""COMPUTED_VALUE"""),12384193)</f>
        <v>12384193</v>
      </c>
      <c r="S242" s="4">
        <f ca="1">IFERROR(__xludf.DUMMYFUNCTION("""COMPUTED_VALUE"""),42475.6666666666)</f>
        <v>42475.666666666599</v>
      </c>
      <c r="T242" s="3">
        <f ca="1">IFERROR(__xludf.DUMMYFUNCTION("""COMPUTED_VALUE"""),64.05)</f>
        <v>64.05</v>
      </c>
      <c r="U242" s="3">
        <f ca="1">IFERROR(__xludf.DUMMYFUNCTION("""COMPUTED_VALUE"""),64.16)</f>
        <v>64.16</v>
      </c>
      <c r="V242" s="3">
        <f ca="1">IFERROR(__xludf.DUMMYFUNCTION("""COMPUTED_VALUE"""),63.46)</f>
        <v>63.46</v>
      </c>
      <c r="W242" s="3">
        <f ca="1">IFERROR(__xludf.DUMMYFUNCTION("""COMPUTED_VALUE"""),63.54)</f>
        <v>63.54</v>
      </c>
      <c r="X242" s="3">
        <f ca="1">IFERROR(__xludf.DUMMYFUNCTION("""COMPUTED_VALUE"""),14221157)</f>
        <v>14221157</v>
      </c>
      <c r="Y242" s="4">
        <f ca="1">IFERROR(__xludf.DUMMYFUNCTION("""COMPUTED_VALUE"""),42475.6666666666)</f>
        <v>42475.666666666599</v>
      </c>
      <c r="Z242" s="3">
        <f ca="1">IFERROR(__xludf.DUMMYFUNCTION("""COMPUTED_VALUE"""),18.71)</f>
        <v>18.71</v>
      </c>
      <c r="AA242" s="3">
        <f ca="1">IFERROR(__xludf.DUMMYFUNCTION("""COMPUTED_VALUE"""),18.73)</f>
        <v>18.73</v>
      </c>
      <c r="AB242" s="3">
        <f ca="1">IFERROR(__xludf.DUMMYFUNCTION("""COMPUTED_VALUE"""),18.56)</f>
        <v>18.559999999999999</v>
      </c>
      <c r="AC242" s="3">
        <f ca="1">IFERROR(__xludf.DUMMYFUNCTION("""COMPUTED_VALUE"""),18.6)</f>
        <v>18.600000000000001</v>
      </c>
      <c r="AD242" s="3">
        <f ca="1">IFERROR(__xludf.DUMMYFUNCTION("""COMPUTED_VALUE"""),43786999)</f>
        <v>43786999</v>
      </c>
      <c r="AE242" s="4">
        <f ca="1">IFERROR(__xludf.DUMMYFUNCTION("""COMPUTED_VALUE"""),42475.6666666666)</f>
        <v>42475.666666666599</v>
      </c>
      <c r="AF242" s="3">
        <f ca="1">IFERROR(__xludf.DUMMYFUNCTION("""COMPUTED_VALUE"""),70.24)</f>
        <v>70.239999999999995</v>
      </c>
      <c r="AG242" s="3">
        <f ca="1">IFERROR(__xludf.DUMMYFUNCTION("""COMPUTED_VALUE"""),70.24)</f>
        <v>70.239999999999995</v>
      </c>
      <c r="AH242" s="3">
        <f ca="1">IFERROR(__xludf.DUMMYFUNCTION("""COMPUTED_VALUE"""),69.55)</f>
        <v>69.55</v>
      </c>
      <c r="AI242" s="3">
        <f ca="1">IFERROR(__xludf.DUMMYFUNCTION("""COMPUTED_VALUE"""),70.02)</f>
        <v>70.02</v>
      </c>
      <c r="AJ242" s="3">
        <f ca="1">IFERROR(__xludf.DUMMYFUNCTION("""COMPUTED_VALUE"""),7945340)</f>
        <v>7945340</v>
      </c>
      <c r="AK242" s="4">
        <f ca="1">IFERROR(__xludf.DUMMYFUNCTION("""COMPUTED_VALUE"""),42475.6666666666)</f>
        <v>42475.666666666599</v>
      </c>
      <c r="AL242" s="3">
        <f ca="1">IFERROR(__xludf.DUMMYFUNCTION("""COMPUTED_VALUE"""),56.07)</f>
        <v>56.07</v>
      </c>
      <c r="AM242" s="3">
        <f ca="1">IFERROR(__xludf.DUMMYFUNCTION("""COMPUTED_VALUE"""),56.1)</f>
        <v>56.1</v>
      </c>
      <c r="AN242" s="3">
        <f ca="1">IFERROR(__xludf.DUMMYFUNCTION("""COMPUTED_VALUE"""),55.9)</f>
        <v>55.9</v>
      </c>
      <c r="AO242" s="3">
        <f ca="1">IFERROR(__xludf.DUMMYFUNCTION("""COMPUTED_VALUE"""),56.05)</f>
        <v>56.05</v>
      </c>
      <c r="AP242" s="3">
        <f ca="1">IFERROR(__xludf.DUMMYFUNCTION("""COMPUTED_VALUE"""),10781632)</f>
        <v>10781632</v>
      </c>
      <c r="AQ242" s="4">
        <f ca="1">IFERROR(__xludf.DUMMYFUNCTION("""COMPUTED_VALUE"""),42475.6666666666)</f>
        <v>42475.666666666599</v>
      </c>
      <c r="AR242" s="3">
        <f ca="1">IFERROR(__xludf.DUMMYFUNCTION("""COMPUTED_VALUE"""),45.94)</f>
        <v>45.94</v>
      </c>
      <c r="AS242" s="3">
        <f ca="1">IFERROR(__xludf.DUMMYFUNCTION("""COMPUTED_VALUE"""),46.06)</f>
        <v>46.06</v>
      </c>
      <c r="AT242" s="3">
        <f ca="1">IFERROR(__xludf.DUMMYFUNCTION("""COMPUTED_VALUE"""),45.65)</f>
        <v>45.65</v>
      </c>
      <c r="AU242" s="3">
        <f ca="1">IFERROR(__xludf.DUMMYFUNCTION("""COMPUTED_VALUE"""),46.03)</f>
        <v>46.03</v>
      </c>
      <c r="AV242" s="3">
        <f ca="1">IFERROR(__xludf.DUMMYFUNCTION("""COMPUTED_VALUE"""),3437427)</f>
        <v>3437427</v>
      </c>
      <c r="AW242" s="4">
        <f ca="1">IFERROR(__xludf.DUMMYFUNCTION("""COMPUTED_VALUE"""),42640.6666666666)</f>
        <v>42640.666666666599</v>
      </c>
      <c r="AX242" s="3">
        <f ca="1">IFERROR(__xludf.DUMMYFUNCTION("""COMPUTED_VALUE"""),33.37)</f>
        <v>33.369999999999997</v>
      </c>
      <c r="AY242" s="3">
        <f ca="1">IFERROR(__xludf.DUMMYFUNCTION("""COMPUTED_VALUE"""),33.44)</f>
        <v>33.44</v>
      </c>
      <c r="AZ242" s="3">
        <f ca="1">IFERROR(__xludf.DUMMYFUNCTION("""COMPUTED_VALUE"""),33.06)</f>
        <v>33.06</v>
      </c>
      <c r="BA242" s="3">
        <f ca="1">IFERROR(__xludf.DUMMYFUNCTION("""COMPUTED_VALUE"""),33.1)</f>
        <v>33.1</v>
      </c>
      <c r="BB242" s="3">
        <f ca="1">IFERROR(__xludf.DUMMYFUNCTION("""COMPUTED_VALUE"""),3562518)</f>
        <v>3562518</v>
      </c>
      <c r="BC242" s="4">
        <f ca="1">IFERROR(__xludf.DUMMYFUNCTION("""COMPUTED_VALUE"""),42475.6666666666)</f>
        <v>42475.666666666599</v>
      </c>
      <c r="BD242" s="3">
        <f ca="1">IFERROR(__xludf.DUMMYFUNCTION("""COMPUTED_VALUE"""),44.45)</f>
        <v>44.45</v>
      </c>
      <c r="BE242" s="3">
        <f ca="1">IFERROR(__xludf.DUMMYFUNCTION("""COMPUTED_VALUE"""),44.57)</f>
        <v>44.57</v>
      </c>
      <c r="BF242" s="3">
        <f ca="1">IFERROR(__xludf.DUMMYFUNCTION("""COMPUTED_VALUE"""),44.25)</f>
        <v>44.25</v>
      </c>
      <c r="BG242" s="3">
        <f ca="1">IFERROR(__xludf.DUMMYFUNCTION("""COMPUTED_VALUE"""),44.34)</f>
        <v>44.34</v>
      </c>
      <c r="BH242" s="3">
        <f ca="1">IFERROR(__xludf.DUMMYFUNCTION("""COMPUTED_VALUE"""),6460875)</f>
        <v>6460875</v>
      </c>
      <c r="BI242" s="4">
        <f ca="1">IFERROR(__xludf.DUMMYFUNCTION("""COMPUTED_VALUE"""),42475.6666666666)</f>
        <v>42475.666666666599</v>
      </c>
      <c r="BJ242" s="3">
        <f ca="1">IFERROR(__xludf.DUMMYFUNCTION("""COMPUTED_VALUE"""),48.72)</f>
        <v>48.72</v>
      </c>
      <c r="BK242" s="3">
        <f ca="1">IFERROR(__xludf.DUMMYFUNCTION("""COMPUTED_VALUE"""),49)</f>
        <v>49</v>
      </c>
      <c r="BL242" s="3">
        <f ca="1">IFERROR(__xludf.DUMMYFUNCTION("""COMPUTED_VALUE"""),48.55)</f>
        <v>48.55</v>
      </c>
      <c r="BM242" s="3">
        <f ca="1">IFERROR(__xludf.DUMMYFUNCTION("""COMPUTED_VALUE"""),48.89)</f>
        <v>48.89</v>
      </c>
      <c r="BN242" s="3">
        <f ca="1">IFERROR(__xludf.DUMMYFUNCTION("""COMPUTED_VALUE"""),10962869)</f>
        <v>10962869</v>
      </c>
    </row>
    <row r="243" spans="7:66" ht="13" x14ac:dyDescent="0.15">
      <c r="G243" s="4">
        <f ca="1">IFERROR(__xludf.DUMMYFUNCTION("""COMPUTED_VALUE"""),42478.6666666666)</f>
        <v>42478.666666666599</v>
      </c>
      <c r="H243" s="3">
        <f ca="1">IFERROR(__xludf.DUMMYFUNCTION("""COMPUTED_VALUE"""),79.49)</f>
        <v>79.489999999999995</v>
      </c>
      <c r="I243" s="3">
        <f ca="1">IFERROR(__xludf.DUMMYFUNCTION("""COMPUTED_VALUE"""),80.24)</f>
        <v>80.239999999999995</v>
      </c>
      <c r="J243" s="3">
        <f ca="1">IFERROR(__xludf.DUMMYFUNCTION("""COMPUTED_VALUE"""),79.27)</f>
        <v>79.27</v>
      </c>
      <c r="K243" s="3">
        <f ca="1">IFERROR(__xludf.DUMMYFUNCTION("""COMPUTED_VALUE"""),80.24)</f>
        <v>80.239999999999995</v>
      </c>
      <c r="L243" s="3">
        <f ca="1">IFERROR(__xludf.DUMMYFUNCTION("""COMPUTED_VALUE"""),4463022)</f>
        <v>4463022</v>
      </c>
      <c r="M243" s="4">
        <f ca="1">IFERROR(__xludf.DUMMYFUNCTION("""COMPUTED_VALUE"""),42478.6666666666)</f>
        <v>42478.666666666599</v>
      </c>
      <c r="N243" s="3">
        <f ca="1">IFERROR(__xludf.DUMMYFUNCTION("""COMPUTED_VALUE"""),52.95)</f>
        <v>52.95</v>
      </c>
      <c r="O243" s="3">
        <f ca="1">IFERROR(__xludf.DUMMYFUNCTION("""COMPUTED_VALUE"""),53.34)</f>
        <v>53.34</v>
      </c>
      <c r="P243" s="3">
        <f ca="1">IFERROR(__xludf.DUMMYFUNCTION("""COMPUTED_VALUE"""),52.91)</f>
        <v>52.91</v>
      </c>
      <c r="Q243" s="3">
        <f ca="1">IFERROR(__xludf.DUMMYFUNCTION("""COMPUTED_VALUE"""),53.34)</f>
        <v>53.34</v>
      </c>
      <c r="R243" s="3">
        <f ca="1">IFERROR(__xludf.DUMMYFUNCTION("""COMPUTED_VALUE"""),8476819)</f>
        <v>8476819</v>
      </c>
      <c r="S243" s="4">
        <f ca="1">IFERROR(__xludf.DUMMYFUNCTION("""COMPUTED_VALUE"""),42478.6666666666)</f>
        <v>42478.666666666599</v>
      </c>
      <c r="T243" s="3">
        <f ca="1">IFERROR(__xludf.DUMMYFUNCTION("""COMPUTED_VALUE"""),62.23)</f>
        <v>62.23</v>
      </c>
      <c r="U243" s="3">
        <f ca="1">IFERROR(__xludf.DUMMYFUNCTION("""COMPUTED_VALUE"""),64.75)</f>
        <v>64.75</v>
      </c>
      <c r="V243" s="3">
        <f ca="1">IFERROR(__xludf.DUMMYFUNCTION("""COMPUTED_VALUE"""),62.08)</f>
        <v>62.08</v>
      </c>
      <c r="W243" s="3">
        <f ca="1">IFERROR(__xludf.DUMMYFUNCTION("""COMPUTED_VALUE"""),64.59)</f>
        <v>64.59</v>
      </c>
      <c r="X243" s="3">
        <f ca="1">IFERROR(__xludf.DUMMYFUNCTION("""COMPUTED_VALUE"""),20685801)</f>
        <v>20685801</v>
      </c>
      <c r="Y243" s="4">
        <f ca="1">IFERROR(__xludf.DUMMYFUNCTION("""COMPUTED_VALUE"""),42478.6666666666)</f>
        <v>42478.666666666599</v>
      </c>
      <c r="Z243" s="3">
        <f ca="1">IFERROR(__xludf.DUMMYFUNCTION("""COMPUTED_VALUE"""),18.51)</f>
        <v>18.510000000000002</v>
      </c>
      <c r="AA243" s="3">
        <f ca="1">IFERROR(__xludf.DUMMYFUNCTION("""COMPUTED_VALUE"""),18.75)</f>
        <v>18.75</v>
      </c>
      <c r="AB243" s="3">
        <f ca="1">IFERROR(__xludf.DUMMYFUNCTION("""COMPUTED_VALUE"""),18.49)</f>
        <v>18.489999999999998</v>
      </c>
      <c r="AC243" s="3">
        <f ca="1">IFERROR(__xludf.DUMMYFUNCTION("""COMPUTED_VALUE"""),18.73)</f>
        <v>18.73</v>
      </c>
      <c r="AD243" s="3">
        <f ca="1">IFERROR(__xludf.DUMMYFUNCTION("""COMPUTED_VALUE"""),42594658)</f>
        <v>42594658</v>
      </c>
      <c r="AE243" s="4">
        <f ca="1">IFERROR(__xludf.DUMMYFUNCTION("""COMPUTED_VALUE"""),42478.6666666666)</f>
        <v>42478.666666666599</v>
      </c>
      <c r="AF243" s="3">
        <f ca="1">IFERROR(__xludf.DUMMYFUNCTION("""COMPUTED_VALUE"""),69.82)</f>
        <v>69.819999999999993</v>
      </c>
      <c r="AG243" s="3">
        <f ca="1">IFERROR(__xludf.DUMMYFUNCTION("""COMPUTED_VALUE"""),70.75)</f>
        <v>70.75</v>
      </c>
      <c r="AH243" s="3">
        <f ca="1">IFERROR(__xludf.DUMMYFUNCTION("""COMPUTED_VALUE"""),69.71)</f>
        <v>69.709999999999994</v>
      </c>
      <c r="AI243" s="3">
        <f ca="1">IFERROR(__xludf.DUMMYFUNCTION("""COMPUTED_VALUE"""),70.67)</f>
        <v>70.67</v>
      </c>
      <c r="AJ243" s="3">
        <f ca="1">IFERROR(__xludf.DUMMYFUNCTION("""COMPUTED_VALUE"""),11505376)</f>
        <v>11505376</v>
      </c>
      <c r="AK243" s="4">
        <f ca="1">IFERROR(__xludf.DUMMYFUNCTION("""COMPUTED_VALUE"""),42478.6666666666)</f>
        <v>42478.666666666599</v>
      </c>
      <c r="AL243" s="3">
        <f ca="1">IFERROR(__xludf.DUMMYFUNCTION("""COMPUTED_VALUE"""),55.8)</f>
        <v>55.8</v>
      </c>
      <c r="AM243" s="3">
        <f ca="1">IFERROR(__xludf.DUMMYFUNCTION("""COMPUTED_VALUE"""),56.29)</f>
        <v>56.29</v>
      </c>
      <c r="AN243" s="3">
        <f ca="1">IFERROR(__xludf.DUMMYFUNCTION("""COMPUTED_VALUE"""),55.71)</f>
        <v>55.71</v>
      </c>
      <c r="AO243" s="3">
        <f ca="1">IFERROR(__xludf.DUMMYFUNCTION("""COMPUTED_VALUE"""),56.1)</f>
        <v>56.1</v>
      </c>
      <c r="AP243" s="3">
        <f ca="1">IFERROR(__xludf.DUMMYFUNCTION("""COMPUTED_VALUE"""),8618994)</f>
        <v>8618994</v>
      </c>
      <c r="AQ243" s="4">
        <f ca="1">IFERROR(__xludf.DUMMYFUNCTION("""COMPUTED_VALUE"""),42478.6666666666)</f>
        <v>42478.666666666599</v>
      </c>
      <c r="AR243" s="3">
        <f ca="1">IFERROR(__xludf.DUMMYFUNCTION("""COMPUTED_VALUE"""),45.8)</f>
        <v>45.8</v>
      </c>
      <c r="AS243" s="3">
        <f ca="1">IFERROR(__xludf.DUMMYFUNCTION("""COMPUTED_VALUE"""),46.25)</f>
        <v>46.25</v>
      </c>
      <c r="AT243" s="3">
        <f ca="1">IFERROR(__xludf.DUMMYFUNCTION("""COMPUTED_VALUE"""),45.63)</f>
        <v>45.63</v>
      </c>
      <c r="AU243" s="3">
        <f ca="1">IFERROR(__xludf.DUMMYFUNCTION("""COMPUTED_VALUE"""),46.24)</f>
        <v>46.24</v>
      </c>
      <c r="AV243" s="3">
        <f ca="1">IFERROR(__xludf.DUMMYFUNCTION("""COMPUTED_VALUE"""),4465687)</f>
        <v>4465687</v>
      </c>
      <c r="AW243" s="4">
        <f ca="1">IFERROR(__xludf.DUMMYFUNCTION("""COMPUTED_VALUE"""),42641.6666666666)</f>
        <v>42641.666666666599</v>
      </c>
      <c r="AX243" s="3">
        <f ca="1">IFERROR(__xludf.DUMMYFUNCTION("""COMPUTED_VALUE"""),33.11)</f>
        <v>33.11</v>
      </c>
      <c r="AY243" s="3">
        <f ca="1">IFERROR(__xludf.DUMMYFUNCTION("""COMPUTED_VALUE"""),33.35)</f>
        <v>33.35</v>
      </c>
      <c r="AZ243" s="3">
        <f ca="1">IFERROR(__xludf.DUMMYFUNCTION("""COMPUTED_VALUE"""),33.06)</f>
        <v>33.06</v>
      </c>
      <c r="BA243" s="3">
        <f ca="1">IFERROR(__xludf.DUMMYFUNCTION("""COMPUTED_VALUE"""),33.33)</f>
        <v>33.33</v>
      </c>
      <c r="BB243" s="3">
        <f ca="1">IFERROR(__xludf.DUMMYFUNCTION("""COMPUTED_VALUE"""),4122681)</f>
        <v>4122681</v>
      </c>
      <c r="BC243" s="4">
        <f ca="1">IFERROR(__xludf.DUMMYFUNCTION("""COMPUTED_VALUE"""),42478.6666666666)</f>
        <v>42478.666666666599</v>
      </c>
      <c r="BD243" s="3">
        <f ca="1">IFERROR(__xludf.DUMMYFUNCTION("""COMPUTED_VALUE"""),44.21)</f>
        <v>44.21</v>
      </c>
      <c r="BE243" s="3">
        <f ca="1">IFERROR(__xludf.DUMMYFUNCTION("""COMPUTED_VALUE"""),44.53)</f>
        <v>44.53</v>
      </c>
      <c r="BF243" s="3">
        <f ca="1">IFERROR(__xludf.DUMMYFUNCTION("""COMPUTED_VALUE"""),44.14)</f>
        <v>44.14</v>
      </c>
      <c r="BG243" s="3">
        <f ca="1">IFERROR(__xludf.DUMMYFUNCTION("""COMPUTED_VALUE"""),44.53)</f>
        <v>44.53</v>
      </c>
      <c r="BH243" s="3">
        <f ca="1">IFERROR(__xludf.DUMMYFUNCTION("""COMPUTED_VALUE"""),7113020)</f>
        <v>7113020</v>
      </c>
      <c r="BI243" s="4">
        <f ca="1">IFERROR(__xludf.DUMMYFUNCTION("""COMPUTED_VALUE"""),42478.6666666666)</f>
        <v>42478.666666666599</v>
      </c>
      <c r="BJ243" s="3">
        <f ca="1">IFERROR(__xludf.DUMMYFUNCTION("""COMPUTED_VALUE"""),48.86)</f>
        <v>48.86</v>
      </c>
      <c r="BK243" s="3">
        <f ca="1">IFERROR(__xludf.DUMMYFUNCTION("""COMPUTED_VALUE"""),49.08)</f>
        <v>49.08</v>
      </c>
      <c r="BL243" s="3">
        <f ca="1">IFERROR(__xludf.DUMMYFUNCTION("""COMPUTED_VALUE"""),48.53)</f>
        <v>48.53</v>
      </c>
      <c r="BM243" s="3">
        <f ca="1">IFERROR(__xludf.DUMMYFUNCTION("""COMPUTED_VALUE"""),49.08)</f>
        <v>49.08</v>
      </c>
      <c r="BN243" s="3">
        <f ca="1">IFERROR(__xludf.DUMMYFUNCTION("""COMPUTED_VALUE"""),9124107)</f>
        <v>9124107</v>
      </c>
    </row>
    <row r="244" spans="7:66" ht="13" x14ac:dyDescent="0.15">
      <c r="G244" s="4">
        <f ca="1">IFERROR(__xludf.DUMMYFUNCTION("""COMPUTED_VALUE"""),42479.6666666666)</f>
        <v>42479.666666666599</v>
      </c>
      <c r="H244" s="3">
        <f ca="1">IFERROR(__xludf.DUMMYFUNCTION("""COMPUTED_VALUE"""),80.34)</f>
        <v>80.34</v>
      </c>
      <c r="I244" s="3">
        <f ca="1">IFERROR(__xludf.DUMMYFUNCTION("""COMPUTED_VALUE"""),80.46)</f>
        <v>80.459999999999994</v>
      </c>
      <c r="J244" s="3">
        <f ca="1">IFERROR(__xludf.DUMMYFUNCTION("""COMPUTED_VALUE"""),79.5)</f>
        <v>79.5</v>
      </c>
      <c r="K244" s="3">
        <f ca="1">IFERROR(__xludf.DUMMYFUNCTION("""COMPUTED_VALUE"""),79.8)</f>
        <v>79.8</v>
      </c>
      <c r="L244" s="3">
        <f ca="1">IFERROR(__xludf.DUMMYFUNCTION("""COMPUTED_VALUE"""),4272786)</f>
        <v>4272786</v>
      </c>
      <c r="M244" s="4">
        <f ca="1">IFERROR(__xludf.DUMMYFUNCTION("""COMPUTED_VALUE"""),42479.6666666666)</f>
        <v>42479.666666666599</v>
      </c>
      <c r="N244" s="3">
        <f ca="1">IFERROR(__xludf.DUMMYFUNCTION("""COMPUTED_VALUE"""),53.23)</f>
        <v>53.23</v>
      </c>
      <c r="O244" s="3">
        <f ca="1">IFERROR(__xludf.DUMMYFUNCTION("""COMPUTED_VALUE"""),53.36)</f>
        <v>53.36</v>
      </c>
      <c r="P244" s="3">
        <f ca="1">IFERROR(__xludf.DUMMYFUNCTION("""COMPUTED_VALUE"""),53.07)</f>
        <v>53.07</v>
      </c>
      <c r="Q244" s="3">
        <f ca="1">IFERROR(__xludf.DUMMYFUNCTION("""COMPUTED_VALUE"""),53.31)</f>
        <v>53.31</v>
      </c>
      <c r="R244" s="3">
        <f ca="1">IFERROR(__xludf.DUMMYFUNCTION("""COMPUTED_VALUE"""),5980137)</f>
        <v>5980137</v>
      </c>
      <c r="S244" s="4">
        <f ca="1">IFERROR(__xludf.DUMMYFUNCTION("""COMPUTED_VALUE"""),42479.6666666666)</f>
        <v>42479.666666666599</v>
      </c>
      <c r="T244" s="3">
        <f ca="1">IFERROR(__xludf.DUMMYFUNCTION("""COMPUTED_VALUE"""),64.96)</f>
        <v>64.959999999999994</v>
      </c>
      <c r="U244" s="3">
        <f ca="1">IFERROR(__xludf.DUMMYFUNCTION("""COMPUTED_VALUE"""),65.95)</f>
        <v>65.95</v>
      </c>
      <c r="V244" s="3">
        <f ca="1">IFERROR(__xludf.DUMMYFUNCTION("""COMPUTED_VALUE"""),64.66)</f>
        <v>64.66</v>
      </c>
      <c r="W244" s="3">
        <f ca="1">IFERROR(__xludf.DUMMYFUNCTION("""COMPUTED_VALUE"""),65.88)</f>
        <v>65.88</v>
      </c>
      <c r="X244" s="3">
        <f ca="1">IFERROR(__xludf.DUMMYFUNCTION("""COMPUTED_VALUE"""),17341382)</f>
        <v>17341382</v>
      </c>
      <c r="Y244" s="4">
        <f ca="1">IFERROR(__xludf.DUMMYFUNCTION("""COMPUTED_VALUE"""),42479.6666666666)</f>
        <v>42479.666666666599</v>
      </c>
      <c r="Z244" s="3">
        <f ca="1">IFERROR(__xludf.DUMMYFUNCTION("""COMPUTED_VALUE"""),18.79)</f>
        <v>18.79</v>
      </c>
      <c r="AA244" s="3">
        <f ca="1">IFERROR(__xludf.DUMMYFUNCTION("""COMPUTED_VALUE"""),18.97)</f>
        <v>18.97</v>
      </c>
      <c r="AB244" s="3">
        <f ca="1">IFERROR(__xludf.DUMMYFUNCTION("""COMPUTED_VALUE"""),18.79)</f>
        <v>18.79</v>
      </c>
      <c r="AC244" s="3">
        <f ca="1">IFERROR(__xludf.DUMMYFUNCTION("""COMPUTED_VALUE"""),18.97)</f>
        <v>18.97</v>
      </c>
      <c r="AD244" s="3">
        <f ca="1">IFERROR(__xludf.DUMMYFUNCTION("""COMPUTED_VALUE"""),46441385)</f>
        <v>46441385</v>
      </c>
      <c r="AE244" s="4">
        <f ca="1">IFERROR(__xludf.DUMMYFUNCTION("""COMPUTED_VALUE"""),42479.6666666666)</f>
        <v>42479.666666666599</v>
      </c>
      <c r="AF244" s="3">
        <f ca="1">IFERROR(__xludf.DUMMYFUNCTION("""COMPUTED_VALUE"""),70.79)</f>
        <v>70.790000000000006</v>
      </c>
      <c r="AG244" s="3">
        <f ca="1">IFERROR(__xludf.DUMMYFUNCTION("""COMPUTED_VALUE"""),71.3)</f>
        <v>71.3</v>
      </c>
      <c r="AH244" s="3">
        <f ca="1">IFERROR(__xludf.DUMMYFUNCTION("""COMPUTED_VALUE"""),70.53)</f>
        <v>70.53</v>
      </c>
      <c r="AI244" s="3">
        <f ca="1">IFERROR(__xludf.DUMMYFUNCTION("""COMPUTED_VALUE"""),70.92)</f>
        <v>70.92</v>
      </c>
      <c r="AJ244" s="3">
        <f ca="1">IFERROR(__xludf.DUMMYFUNCTION("""COMPUTED_VALUE"""),6655013)</f>
        <v>6655013</v>
      </c>
      <c r="AK244" s="4">
        <f ca="1">IFERROR(__xludf.DUMMYFUNCTION("""COMPUTED_VALUE"""),42479.6666666666)</f>
        <v>42479.666666666599</v>
      </c>
      <c r="AL244" s="3">
        <f ca="1">IFERROR(__xludf.DUMMYFUNCTION("""COMPUTED_VALUE"""),56.4)</f>
        <v>56.4</v>
      </c>
      <c r="AM244" s="3">
        <f ca="1">IFERROR(__xludf.DUMMYFUNCTION("""COMPUTED_VALUE"""),56.72)</f>
        <v>56.72</v>
      </c>
      <c r="AN244" s="3">
        <f ca="1">IFERROR(__xludf.DUMMYFUNCTION("""COMPUTED_VALUE"""),56.28)</f>
        <v>56.28</v>
      </c>
      <c r="AO244" s="3">
        <f ca="1">IFERROR(__xludf.DUMMYFUNCTION("""COMPUTED_VALUE"""),56.5)</f>
        <v>56.5</v>
      </c>
      <c r="AP244" s="3">
        <f ca="1">IFERROR(__xludf.DUMMYFUNCTION("""COMPUTED_VALUE"""),9318780)</f>
        <v>9318780</v>
      </c>
      <c r="AQ244" s="4">
        <f ca="1">IFERROR(__xludf.DUMMYFUNCTION("""COMPUTED_VALUE"""),42479.6666666666)</f>
        <v>42479.666666666599</v>
      </c>
      <c r="AR244" s="3">
        <f ca="1">IFERROR(__xludf.DUMMYFUNCTION("""COMPUTED_VALUE"""),46.42)</f>
        <v>46.42</v>
      </c>
      <c r="AS244" s="3">
        <f ca="1">IFERROR(__xludf.DUMMYFUNCTION("""COMPUTED_VALUE"""),47.26)</f>
        <v>47.26</v>
      </c>
      <c r="AT244" s="3">
        <f ca="1">IFERROR(__xludf.DUMMYFUNCTION("""COMPUTED_VALUE"""),46.35)</f>
        <v>46.35</v>
      </c>
      <c r="AU244" s="3">
        <f ca="1">IFERROR(__xludf.DUMMYFUNCTION("""COMPUTED_VALUE"""),47.23)</f>
        <v>47.23</v>
      </c>
      <c r="AV244" s="3">
        <f ca="1">IFERROR(__xludf.DUMMYFUNCTION("""COMPUTED_VALUE"""),6326080)</f>
        <v>6326080</v>
      </c>
      <c r="AW244" s="4">
        <f ca="1">IFERROR(__xludf.DUMMYFUNCTION("""COMPUTED_VALUE"""),42642.6666666666)</f>
        <v>42642.666666666599</v>
      </c>
      <c r="AX244" s="3">
        <f ca="1">IFERROR(__xludf.DUMMYFUNCTION("""COMPUTED_VALUE"""),33.18)</f>
        <v>33.18</v>
      </c>
      <c r="AY244" s="3">
        <f ca="1">IFERROR(__xludf.DUMMYFUNCTION("""COMPUTED_VALUE"""),33.29)</f>
        <v>33.29</v>
      </c>
      <c r="AZ244" s="3">
        <f ca="1">IFERROR(__xludf.DUMMYFUNCTION("""COMPUTED_VALUE"""),32.81)</f>
        <v>32.81</v>
      </c>
      <c r="BA244" s="3">
        <f ca="1">IFERROR(__xludf.DUMMYFUNCTION("""COMPUTED_VALUE"""),32.92)</f>
        <v>32.92</v>
      </c>
      <c r="BB244" s="3">
        <f ca="1">IFERROR(__xludf.DUMMYFUNCTION("""COMPUTED_VALUE"""),2674449)</f>
        <v>2674449</v>
      </c>
      <c r="BC244" s="4">
        <f ca="1">IFERROR(__xludf.DUMMYFUNCTION("""COMPUTED_VALUE"""),42479.6666666666)</f>
        <v>42479.666666666599</v>
      </c>
      <c r="BD244" s="3">
        <f ca="1">IFERROR(__xludf.DUMMYFUNCTION("""COMPUTED_VALUE"""),44.61)</f>
        <v>44.61</v>
      </c>
      <c r="BE244" s="3">
        <f ca="1">IFERROR(__xludf.DUMMYFUNCTION("""COMPUTED_VALUE"""),44.66)</f>
        <v>44.66</v>
      </c>
      <c r="BF244" s="3">
        <f ca="1">IFERROR(__xludf.DUMMYFUNCTION("""COMPUTED_VALUE"""),44.03)</f>
        <v>44.03</v>
      </c>
      <c r="BG244" s="3">
        <f ca="1">IFERROR(__xludf.DUMMYFUNCTION("""COMPUTED_VALUE"""),44.28)</f>
        <v>44.28</v>
      </c>
      <c r="BH244" s="3">
        <f ca="1">IFERROR(__xludf.DUMMYFUNCTION("""COMPUTED_VALUE"""),6470997)</f>
        <v>6470997</v>
      </c>
      <c r="BI244" s="4">
        <f ca="1">IFERROR(__xludf.DUMMYFUNCTION("""COMPUTED_VALUE"""),42479.6666666666)</f>
        <v>42479.666666666599</v>
      </c>
      <c r="BJ244" s="3">
        <f ca="1">IFERROR(__xludf.DUMMYFUNCTION("""COMPUTED_VALUE"""),49.13)</f>
        <v>49.13</v>
      </c>
      <c r="BK244" s="3">
        <f ca="1">IFERROR(__xludf.DUMMYFUNCTION("""COMPUTED_VALUE"""),49.23)</f>
        <v>49.23</v>
      </c>
      <c r="BL244" s="3">
        <f ca="1">IFERROR(__xludf.DUMMYFUNCTION("""COMPUTED_VALUE"""),48.84)</f>
        <v>48.84</v>
      </c>
      <c r="BM244" s="3">
        <f ca="1">IFERROR(__xludf.DUMMYFUNCTION("""COMPUTED_VALUE"""),49.16)</f>
        <v>49.16</v>
      </c>
      <c r="BN244" s="3">
        <f ca="1">IFERROR(__xludf.DUMMYFUNCTION("""COMPUTED_VALUE"""),10495446)</f>
        <v>10495446</v>
      </c>
    </row>
    <row r="245" spans="7:66" ht="13" x14ac:dyDescent="0.15">
      <c r="G245" s="4">
        <f ca="1">IFERROR(__xludf.DUMMYFUNCTION("""COMPUTED_VALUE"""),42480.6666666666)</f>
        <v>42480.666666666599</v>
      </c>
      <c r="H245" s="3">
        <f ca="1">IFERROR(__xludf.DUMMYFUNCTION("""COMPUTED_VALUE"""),80)</f>
        <v>80</v>
      </c>
      <c r="I245" s="3">
        <f ca="1">IFERROR(__xludf.DUMMYFUNCTION("""COMPUTED_VALUE"""),80.17)</f>
        <v>80.17</v>
      </c>
      <c r="J245" s="3">
        <f ca="1">IFERROR(__xludf.DUMMYFUNCTION("""COMPUTED_VALUE"""),79.52)</f>
        <v>79.52</v>
      </c>
      <c r="K245" s="3">
        <f ca="1">IFERROR(__xludf.DUMMYFUNCTION("""COMPUTED_VALUE"""),79.9)</f>
        <v>79.900000000000006</v>
      </c>
      <c r="L245" s="3">
        <f ca="1">IFERROR(__xludf.DUMMYFUNCTION("""COMPUTED_VALUE"""),4785727)</f>
        <v>4785727</v>
      </c>
      <c r="M245" s="4">
        <f ca="1">IFERROR(__xludf.DUMMYFUNCTION("""COMPUTED_VALUE"""),42480.6666666666)</f>
        <v>42480.666666666599</v>
      </c>
      <c r="N245" s="3">
        <f ca="1">IFERROR(__xludf.DUMMYFUNCTION("""COMPUTED_VALUE"""),53.22)</f>
        <v>53.22</v>
      </c>
      <c r="O245" s="3">
        <f ca="1">IFERROR(__xludf.DUMMYFUNCTION("""COMPUTED_VALUE"""),53.22)</f>
        <v>53.22</v>
      </c>
      <c r="P245" s="3">
        <f ca="1">IFERROR(__xludf.DUMMYFUNCTION("""COMPUTED_VALUE"""),52.58)</f>
        <v>52.58</v>
      </c>
      <c r="Q245" s="3">
        <f ca="1">IFERROR(__xludf.DUMMYFUNCTION("""COMPUTED_VALUE"""),52.59)</f>
        <v>52.59</v>
      </c>
      <c r="R245" s="3">
        <f ca="1">IFERROR(__xludf.DUMMYFUNCTION("""COMPUTED_VALUE"""),20207310)</f>
        <v>20207310</v>
      </c>
      <c r="S245" s="4">
        <f ca="1">IFERROR(__xludf.DUMMYFUNCTION("""COMPUTED_VALUE"""),42480.6666666666)</f>
        <v>42480.666666666599</v>
      </c>
      <c r="T245" s="3">
        <f ca="1">IFERROR(__xludf.DUMMYFUNCTION("""COMPUTED_VALUE"""),65.53)</f>
        <v>65.53</v>
      </c>
      <c r="U245" s="3">
        <f ca="1">IFERROR(__xludf.DUMMYFUNCTION("""COMPUTED_VALUE"""),66.98)</f>
        <v>66.98</v>
      </c>
      <c r="V245" s="3">
        <f ca="1">IFERROR(__xludf.DUMMYFUNCTION("""COMPUTED_VALUE"""),65.32)</f>
        <v>65.319999999999993</v>
      </c>
      <c r="W245" s="3">
        <f ca="1">IFERROR(__xludf.DUMMYFUNCTION("""COMPUTED_VALUE"""),66.47)</f>
        <v>66.47</v>
      </c>
      <c r="X245" s="3">
        <f ca="1">IFERROR(__xludf.DUMMYFUNCTION("""COMPUTED_VALUE"""),21088333)</f>
        <v>21088333</v>
      </c>
      <c r="Y245" s="4">
        <f ca="1">IFERROR(__xludf.DUMMYFUNCTION("""COMPUTED_VALUE"""),42480.6666666666)</f>
        <v>42480.666666666599</v>
      </c>
      <c r="Z245" s="3">
        <f ca="1">IFERROR(__xludf.DUMMYFUNCTION("""COMPUTED_VALUE"""),18.96)</f>
        <v>18.96</v>
      </c>
      <c r="AA245" s="3">
        <f ca="1">IFERROR(__xludf.DUMMYFUNCTION("""COMPUTED_VALUE"""),19.15)</f>
        <v>19.149999999999999</v>
      </c>
      <c r="AB245" s="3">
        <f ca="1">IFERROR(__xludf.DUMMYFUNCTION("""COMPUTED_VALUE"""),18.95)</f>
        <v>18.95</v>
      </c>
      <c r="AC245" s="3">
        <f ca="1">IFERROR(__xludf.DUMMYFUNCTION("""COMPUTED_VALUE"""),19.12)</f>
        <v>19.12</v>
      </c>
      <c r="AD245" s="3">
        <f ca="1">IFERROR(__xludf.DUMMYFUNCTION("""COMPUTED_VALUE"""),60717437)</f>
        <v>60717437</v>
      </c>
      <c r="AE245" s="4">
        <f ca="1">IFERROR(__xludf.DUMMYFUNCTION("""COMPUTED_VALUE"""),42480.6666666666)</f>
        <v>42480.666666666599</v>
      </c>
      <c r="AF245" s="3">
        <f ca="1">IFERROR(__xludf.DUMMYFUNCTION("""COMPUTED_VALUE"""),70.94)</f>
        <v>70.94</v>
      </c>
      <c r="AG245" s="3">
        <f ca="1">IFERROR(__xludf.DUMMYFUNCTION("""COMPUTED_VALUE"""),71.64)</f>
        <v>71.64</v>
      </c>
      <c r="AH245" s="3">
        <f ca="1">IFERROR(__xludf.DUMMYFUNCTION("""COMPUTED_VALUE"""),70.88)</f>
        <v>70.88</v>
      </c>
      <c r="AI245" s="3">
        <f ca="1">IFERROR(__xludf.DUMMYFUNCTION("""COMPUTED_VALUE"""),71.3)</f>
        <v>71.3</v>
      </c>
      <c r="AJ245" s="3">
        <f ca="1">IFERROR(__xludf.DUMMYFUNCTION("""COMPUTED_VALUE"""),10763418)</f>
        <v>10763418</v>
      </c>
      <c r="AK245" s="4">
        <f ca="1">IFERROR(__xludf.DUMMYFUNCTION("""COMPUTED_VALUE"""),42480.6666666666)</f>
        <v>42480.666666666599</v>
      </c>
      <c r="AL245" s="3">
        <f ca="1">IFERROR(__xludf.DUMMYFUNCTION("""COMPUTED_VALUE"""),56.52)</f>
        <v>56.52</v>
      </c>
      <c r="AM245" s="3">
        <f ca="1">IFERROR(__xludf.DUMMYFUNCTION("""COMPUTED_VALUE"""),56.71)</f>
        <v>56.71</v>
      </c>
      <c r="AN245" s="3">
        <f ca="1">IFERROR(__xludf.DUMMYFUNCTION("""COMPUTED_VALUE"""),56.26)</f>
        <v>56.26</v>
      </c>
      <c r="AO245" s="3">
        <f ca="1">IFERROR(__xludf.DUMMYFUNCTION("""COMPUTED_VALUE"""),56.41)</f>
        <v>56.41</v>
      </c>
      <c r="AP245" s="3">
        <f ca="1">IFERROR(__xludf.DUMMYFUNCTION("""COMPUTED_VALUE"""),13632607)</f>
        <v>13632607</v>
      </c>
      <c r="AQ245" s="4">
        <f ca="1">IFERROR(__xludf.DUMMYFUNCTION("""COMPUTED_VALUE"""),42480.6666666666)</f>
        <v>42480.666666666599</v>
      </c>
      <c r="AR245" s="3">
        <f ca="1">IFERROR(__xludf.DUMMYFUNCTION("""COMPUTED_VALUE"""),47.29)</f>
        <v>47.29</v>
      </c>
      <c r="AS245" s="3">
        <f ca="1">IFERROR(__xludf.DUMMYFUNCTION("""COMPUTED_VALUE"""),47.32)</f>
        <v>47.32</v>
      </c>
      <c r="AT245" s="3">
        <f ca="1">IFERROR(__xludf.DUMMYFUNCTION("""COMPUTED_VALUE"""),46.97)</f>
        <v>46.97</v>
      </c>
      <c r="AU245" s="3">
        <f ca="1">IFERROR(__xludf.DUMMYFUNCTION("""COMPUTED_VALUE"""),47.09)</f>
        <v>47.09</v>
      </c>
      <c r="AV245" s="3">
        <f ca="1">IFERROR(__xludf.DUMMYFUNCTION("""COMPUTED_VALUE"""),6506675)</f>
        <v>6506675</v>
      </c>
      <c r="AW245" s="4">
        <f ca="1">IFERROR(__xludf.DUMMYFUNCTION("""COMPUTED_VALUE"""),42643.6666666666)</f>
        <v>42643.666666666599</v>
      </c>
      <c r="AX245" s="3">
        <f ca="1">IFERROR(__xludf.DUMMYFUNCTION("""COMPUTED_VALUE"""),33.01)</f>
        <v>33.01</v>
      </c>
      <c r="AY245" s="3">
        <f ca="1">IFERROR(__xludf.DUMMYFUNCTION("""COMPUTED_VALUE"""),33.28)</f>
        <v>33.28</v>
      </c>
      <c r="AZ245" s="3">
        <f ca="1">IFERROR(__xludf.DUMMYFUNCTION("""COMPUTED_VALUE"""),32.73)</f>
        <v>32.729999999999997</v>
      </c>
      <c r="BA245" s="3">
        <f ca="1">IFERROR(__xludf.DUMMYFUNCTION("""COMPUTED_VALUE"""),32.77)</f>
        <v>32.770000000000003</v>
      </c>
      <c r="BB245" s="3">
        <f ca="1">IFERROR(__xludf.DUMMYFUNCTION("""COMPUTED_VALUE"""),2058021)</f>
        <v>2058021</v>
      </c>
      <c r="BC245" s="4">
        <f ca="1">IFERROR(__xludf.DUMMYFUNCTION("""COMPUTED_VALUE"""),42480.6666666666)</f>
        <v>42480.666666666599</v>
      </c>
      <c r="BD245" s="3">
        <f ca="1">IFERROR(__xludf.DUMMYFUNCTION("""COMPUTED_VALUE"""),44.32)</f>
        <v>44.32</v>
      </c>
      <c r="BE245" s="3">
        <f ca="1">IFERROR(__xludf.DUMMYFUNCTION("""COMPUTED_VALUE"""),44.57)</f>
        <v>44.57</v>
      </c>
      <c r="BF245" s="3">
        <f ca="1">IFERROR(__xludf.DUMMYFUNCTION("""COMPUTED_VALUE"""),44.19)</f>
        <v>44.19</v>
      </c>
      <c r="BG245" s="3">
        <f ca="1">IFERROR(__xludf.DUMMYFUNCTION("""COMPUTED_VALUE"""),44.37)</f>
        <v>44.37</v>
      </c>
      <c r="BH245" s="3">
        <f ca="1">IFERROR(__xludf.DUMMYFUNCTION("""COMPUTED_VALUE"""),6877832)</f>
        <v>6877832</v>
      </c>
      <c r="BI245" s="4">
        <f ca="1">IFERROR(__xludf.DUMMYFUNCTION("""COMPUTED_VALUE"""),42480.6666666666)</f>
        <v>42480.666666666599</v>
      </c>
      <c r="BJ245" s="3">
        <f ca="1">IFERROR(__xludf.DUMMYFUNCTION("""COMPUTED_VALUE"""),49.2)</f>
        <v>49.2</v>
      </c>
      <c r="BK245" s="3">
        <f ca="1">IFERROR(__xludf.DUMMYFUNCTION("""COMPUTED_VALUE"""),49.26)</f>
        <v>49.26</v>
      </c>
      <c r="BL245" s="3">
        <f ca="1">IFERROR(__xludf.DUMMYFUNCTION("""COMPUTED_VALUE"""),47.9)</f>
        <v>47.9</v>
      </c>
      <c r="BM245" s="3">
        <f ca="1">IFERROR(__xludf.DUMMYFUNCTION("""COMPUTED_VALUE"""),47.93)</f>
        <v>47.93</v>
      </c>
      <c r="BN245" s="3">
        <f ca="1">IFERROR(__xludf.DUMMYFUNCTION("""COMPUTED_VALUE"""),26068701)</f>
        <v>26068701</v>
      </c>
    </row>
    <row r="246" spans="7:66" ht="13" x14ac:dyDescent="0.15">
      <c r="G246" s="4">
        <f ca="1">IFERROR(__xludf.DUMMYFUNCTION("""COMPUTED_VALUE"""),42481.6666666666)</f>
        <v>42481.666666666599</v>
      </c>
      <c r="H246" s="3">
        <f ca="1">IFERROR(__xludf.DUMMYFUNCTION("""COMPUTED_VALUE"""),80.11)</f>
        <v>80.11</v>
      </c>
      <c r="I246" s="3">
        <f ca="1">IFERROR(__xludf.DUMMYFUNCTION("""COMPUTED_VALUE"""),80.26)</f>
        <v>80.260000000000005</v>
      </c>
      <c r="J246" s="3">
        <f ca="1">IFERROR(__xludf.DUMMYFUNCTION("""COMPUTED_VALUE"""),79.59)</f>
        <v>79.59</v>
      </c>
      <c r="K246" s="3">
        <f ca="1">IFERROR(__xludf.DUMMYFUNCTION("""COMPUTED_VALUE"""),79.62)</f>
        <v>79.62</v>
      </c>
      <c r="L246" s="3">
        <f ca="1">IFERROR(__xludf.DUMMYFUNCTION("""COMPUTED_VALUE"""),4142744)</f>
        <v>4142744</v>
      </c>
      <c r="M246" s="4">
        <f ca="1">IFERROR(__xludf.DUMMYFUNCTION("""COMPUTED_VALUE"""),42481.6666666666)</f>
        <v>42481.666666666599</v>
      </c>
      <c r="N246" s="3">
        <f ca="1">IFERROR(__xludf.DUMMYFUNCTION("""COMPUTED_VALUE"""),52.51)</f>
        <v>52.51</v>
      </c>
      <c r="O246" s="3">
        <f ca="1">IFERROR(__xludf.DUMMYFUNCTION("""COMPUTED_VALUE"""),52.58)</f>
        <v>52.58</v>
      </c>
      <c r="P246" s="3">
        <f ca="1">IFERROR(__xludf.DUMMYFUNCTION("""COMPUTED_VALUE"""),51.73)</f>
        <v>51.73</v>
      </c>
      <c r="Q246" s="3">
        <f ca="1">IFERROR(__xludf.DUMMYFUNCTION("""COMPUTED_VALUE"""),51.77)</f>
        <v>51.77</v>
      </c>
      <c r="R246" s="3">
        <f ca="1">IFERROR(__xludf.DUMMYFUNCTION("""COMPUTED_VALUE"""),30667357)</f>
        <v>30667357</v>
      </c>
      <c r="S246" s="4">
        <f ca="1">IFERROR(__xludf.DUMMYFUNCTION("""COMPUTED_VALUE"""),42481.6666666666)</f>
        <v>42481.666666666599</v>
      </c>
      <c r="T246" s="3">
        <f ca="1">IFERROR(__xludf.DUMMYFUNCTION("""COMPUTED_VALUE"""),66.56)</f>
        <v>66.56</v>
      </c>
      <c r="U246" s="3">
        <f ca="1">IFERROR(__xludf.DUMMYFUNCTION("""COMPUTED_VALUE"""),66.84)</f>
        <v>66.84</v>
      </c>
      <c r="V246" s="3">
        <f ca="1">IFERROR(__xludf.DUMMYFUNCTION("""COMPUTED_VALUE"""),65.94)</f>
        <v>65.94</v>
      </c>
      <c r="W246" s="3">
        <f ca="1">IFERROR(__xludf.DUMMYFUNCTION("""COMPUTED_VALUE"""),66.08)</f>
        <v>66.08</v>
      </c>
      <c r="X246" s="3">
        <f ca="1">IFERROR(__xludf.DUMMYFUNCTION("""COMPUTED_VALUE"""),19335063)</f>
        <v>19335063</v>
      </c>
      <c r="Y246" s="4">
        <f ca="1">IFERROR(__xludf.DUMMYFUNCTION("""COMPUTED_VALUE"""),42481.6666666666)</f>
        <v>42481.666666666599</v>
      </c>
      <c r="Z246" s="3">
        <f ca="1">IFERROR(__xludf.DUMMYFUNCTION("""COMPUTED_VALUE"""),19.11)</f>
        <v>19.11</v>
      </c>
      <c r="AA246" s="3">
        <f ca="1">IFERROR(__xludf.DUMMYFUNCTION("""COMPUTED_VALUE"""),19.19)</f>
        <v>19.190000000000001</v>
      </c>
      <c r="AB246" s="3">
        <f ca="1">IFERROR(__xludf.DUMMYFUNCTION("""COMPUTED_VALUE"""),18.9)</f>
        <v>18.899999999999999</v>
      </c>
      <c r="AC246" s="3">
        <f ca="1">IFERROR(__xludf.DUMMYFUNCTION("""COMPUTED_VALUE"""),18.95)</f>
        <v>18.95</v>
      </c>
      <c r="AD246" s="3">
        <f ca="1">IFERROR(__xludf.DUMMYFUNCTION("""COMPUTED_VALUE"""),51532672)</f>
        <v>51532672</v>
      </c>
      <c r="AE246" s="4">
        <f ca="1">IFERROR(__xludf.DUMMYFUNCTION("""COMPUTED_VALUE"""),42481.6666666666)</f>
        <v>42481.666666666599</v>
      </c>
      <c r="AF246" s="3">
        <f ca="1">IFERROR(__xludf.DUMMYFUNCTION("""COMPUTED_VALUE"""),71.34)</f>
        <v>71.34</v>
      </c>
      <c r="AG246" s="3">
        <f ca="1">IFERROR(__xludf.DUMMYFUNCTION("""COMPUTED_VALUE"""),71.88)</f>
        <v>71.88</v>
      </c>
      <c r="AH246" s="3">
        <f ca="1">IFERROR(__xludf.DUMMYFUNCTION("""COMPUTED_VALUE"""),71.25)</f>
        <v>71.25</v>
      </c>
      <c r="AI246" s="3">
        <f ca="1">IFERROR(__xludf.DUMMYFUNCTION("""COMPUTED_VALUE"""),71.72)</f>
        <v>71.72</v>
      </c>
      <c r="AJ246" s="3">
        <f ca="1">IFERROR(__xludf.DUMMYFUNCTION("""COMPUTED_VALUE"""),12463114)</f>
        <v>12463114</v>
      </c>
      <c r="AK246" s="4">
        <f ca="1">IFERROR(__xludf.DUMMYFUNCTION("""COMPUTED_VALUE"""),42481.6666666666)</f>
        <v>42481.666666666599</v>
      </c>
      <c r="AL246" s="3">
        <f ca="1">IFERROR(__xludf.DUMMYFUNCTION("""COMPUTED_VALUE"""),56.39)</f>
        <v>56.39</v>
      </c>
      <c r="AM246" s="3">
        <f ca="1">IFERROR(__xludf.DUMMYFUNCTION("""COMPUTED_VALUE"""),56.6)</f>
        <v>56.6</v>
      </c>
      <c r="AN246" s="3">
        <f ca="1">IFERROR(__xludf.DUMMYFUNCTION("""COMPUTED_VALUE"""),56.21)</f>
        <v>56.21</v>
      </c>
      <c r="AO246" s="3">
        <f ca="1">IFERROR(__xludf.DUMMYFUNCTION("""COMPUTED_VALUE"""),56.27)</f>
        <v>56.27</v>
      </c>
      <c r="AP246" s="3">
        <f ca="1">IFERROR(__xludf.DUMMYFUNCTION("""COMPUTED_VALUE"""),11941761)</f>
        <v>11941761</v>
      </c>
      <c r="AQ246" s="4">
        <f ca="1">IFERROR(__xludf.DUMMYFUNCTION("""COMPUTED_VALUE"""),42481.6666666666)</f>
        <v>42481.666666666599</v>
      </c>
      <c r="AR246" s="3">
        <f ca="1">IFERROR(__xludf.DUMMYFUNCTION("""COMPUTED_VALUE"""),47.23)</f>
        <v>47.23</v>
      </c>
      <c r="AS246" s="3">
        <f ca="1">IFERROR(__xludf.DUMMYFUNCTION("""COMPUTED_VALUE"""),47.41)</f>
        <v>47.41</v>
      </c>
      <c r="AT246" s="3">
        <f ca="1">IFERROR(__xludf.DUMMYFUNCTION("""COMPUTED_VALUE"""),46.87)</f>
        <v>46.87</v>
      </c>
      <c r="AU246" s="3">
        <f ca="1">IFERROR(__xludf.DUMMYFUNCTION("""COMPUTED_VALUE"""),46.88)</f>
        <v>46.88</v>
      </c>
      <c r="AV246" s="3">
        <f ca="1">IFERROR(__xludf.DUMMYFUNCTION("""COMPUTED_VALUE"""),6070639)</f>
        <v>6070639</v>
      </c>
      <c r="AW246" s="4">
        <f ca="1">IFERROR(__xludf.DUMMYFUNCTION("""COMPUTED_VALUE"""),42646.6666666666)</f>
        <v>42646.666666666599</v>
      </c>
      <c r="AX246" s="3">
        <f ca="1">IFERROR(__xludf.DUMMYFUNCTION("""COMPUTED_VALUE"""),32.66)</f>
        <v>32.659999999999997</v>
      </c>
      <c r="AY246" s="3">
        <f ca="1">IFERROR(__xludf.DUMMYFUNCTION("""COMPUTED_VALUE"""),32.7)</f>
        <v>32.700000000000003</v>
      </c>
      <c r="AZ246" s="3">
        <f ca="1">IFERROR(__xludf.DUMMYFUNCTION("""COMPUTED_VALUE"""),32.09)</f>
        <v>32.090000000000003</v>
      </c>
      <c r="BA246" s="3">
        <f ca="1">IFERROR(__xludf.DUMMYFUNCTION("""COMPUTED_VALUE"""),32.14)</f>
        <v>32.14</v>
      </c>
      <c r="BB246" s="3">
        <f ca="1">IFERROR(__xludf.DUMMYFUNCTION("""COMPUTED_VALUE"""),2344817)</f>
        <v>2344817</v>
      </c>
      <c r="BC246" s="4">
        <f ca="1">IFERROR(__xludf.DUMMYFUNCTION("""COMPUTED_VALUE"""),42481.6666666666)</f>
        <v>42481.666666666599</v>
      </c>
      <c r="BD246" s="3">
        <f ca="1">IFERROR(__xludf.DUMMYFUNCTION("""COMPUTED_VALUE"""),44.31)</f>
        <v>44.31</v>
      </c>
      <c r="BE246" s="3">
        <f ca="1">IFERROR(__xludf.DUMMYFUNCTION("""COMPUTED_VALUE"""),44.4)</f>
        <v>44.4</v>
      </c>
      <c r="BF246" s="3">
        <f ca="1">IFERROR(__xludf.DUMMYFUNCTION("""COMPUTED_VALUE"""),44.1)</f>
        <v>44.1</v>
      </c>
      <c r="BG246" s="3">
        <f ca="1">IFERROR(__xludf.DUMMYFUNCTION("""COMPUTED_VALUE"""),44.21)</f>
        <v>44.21</v>
      </c>
      <c r="BH246" s="3">
        <f ca="1">IFERROR(__xludf.DUMMYFUNCTION("""COMPUTED_VALUE"""),11277897)</f>
        <v>11277897</v>
      </c>
      <c r="BI246" s="4">
        <f ca="1">IFERROR(__xludf.DUMMYFUNCTION("""COMPUTED_VALUE"""),42481.6666666666)</f>
        <v>42481.666666666599</v>
      </c>
      <c r="BJ246" s="3">
        <f ca="1">IFERROR(__xludf.DUMMYFUNCTION("""COMPUTED_VALUE"""),47.75)</f>
        <v>47.75</v>
      </c>
      <c r="BK246" s="3">
        <f ca="1">IFERROR(__xludf.DUMMYFUNCTION("""COMPUTED_VALUE"""),47.88)</f>
        <v>47.88</v>
      </c>
      <c r="BL246" s="3">
        <f ca="1">IFERROR(__xludf.DUMMYFUNCTION("""COMPUTED_VALUE"""),46.73)</f>
        <v>46.73</v>
      </c>
      <c r="BM246" s="3">
        <f ca="1">IFERROR(__xludf.DUMMYFUNCTION("""COMPUTED_VALUE"""),46.93)</f>
        <v>46.93</v>
      </c>
      <c r="BN246" s="3">
        <f ca="1">IFERROR(__xludf.DUMMYFUNCTION("""COMPUTED_VALUE"""),32065681)</f>
        <v>32065681</v>
      </c>
    </row>
    <row r="247" spans="7:66" ht="13" x14ac:dyDescent="0.15">
      <c r="G247" s="4">
        <f ca="1">IFERROR(__xludf.DUMMYFUNCTION("""COMPUTED_VALUE"""),42482.6666666666)</f>
        <v>42482.666666666599</v>
      </c>
      <c r="H247" s="3">
        <f ca="1">IFERROR(__xludf.DUMMYFUNCTION("""COMPUTED_VALUE"""),79.66)</f>
        <v>79.66</v>
      </c>
      <c r="I247" s="3">
        <f ca="1">IFERROR(__xludf.DUMMYFUNCTION("""COMPUTED_VALUE"""),79.91)</f>
        <v>79.91</v>
      </c>
      <c r="J247" s="3">
        <f ca="1">IFERROR(__xludf.DUMMYFUNCTION("""COMPUTED_VALUE"""),78.97)</f>
        <v>78.97</v>
      </c>
      <c r="K247" s="3">
        <f ca="1">IFERROR(__xludf.DUMMYFUNCTION("""COMPUTED_VALUE"""),79.46)</f>
        <v>79.459999999999994</v>
      </c>
      <c r="L247" s="3">
        <f ca="1">IFERROR(__xludf.DUMMYFUNCTION("""COMPUTED_VALUE"""),4730011)</f>
        <v>4730011</v>
      </c>
      <c r="M247" s="4">
        <f ca="1">IFERROR(__xludf.DUMMYFUNCTION("""COMPUTED_VALUE"""),42482.6666666666)</f>
        <v>42482.666666666599</v>
      </c>
      <c r="N247" s="3">
        <f ca="1">IFERROR(__xludf.DUMMYFUNCTION("""COMPUTED_VALUE"""),51.6)</f>
        <v>51.6</v>
      </c>
      <c r="O247" s="3">
        <f ca="1">IFERROR(__xludf.DUMMYFUNCTION("""COMPUTED_VALUE"""),51.96)</f>
        <v>51.96</v>
      </c>
      <c r="P247" s="3">
        <f ca="1">IFERROR(__xludf.DUMMYFUNCTION("""COMPUTED_VALUE"""),51.54)</f>
        <v>51.54</v>
      </c>
      <c r="Q247" s="3">
        <f ca="1">IFERROR(__xludf.DUMMYFUNCTION("""COMPUTED_VALUE"""),51.96)</f>
        <v>51.96</v>
      </c>
      <c r="R247" s="3">
        <f ca="1">IFERROR(__xludf.DUMMYFUNCTION("""COMPUTED_VALUE"""),22004991)</f>
        <v>22004991</v>
      </c>
      <c r="S247" s="4">
        <f ca="1">IFERROR(__xludf.DUMMYFUNCTION("""COMPUTED_VALUE"""),42482.6666666666)</f>
        <v>42482.666666666599</v>
      </c>
      <c r="T247" s="3">
        <f ca="1">IFERROR(__xludf.DUMMYFUNCTION("""COMPUTED_VALUE"""),66.24)</f>
        <v>66.239999999999995</v>
      </c>
      <c r="U247" s="3">
        <f ca="1">IFERROR(__xludf.DUMMYFUNCTION("""COMPUTED_VALUE"""),67.29)</f>
        <v>67.290000000000006</v>
      </c>
      <c r="V247" s="3">
        <f ca="1">IFERROR(__xludf.DUMMYFUNCTION("""COMPUTED_VALUE"""),66.19)</f>
        <v>66.19</v>
      </c>
      <c r="W247" s="3">
        <f ca="1">IFERROR(__xludf.DUMMYFUNCTION("""COMPUTED_VALUE"""),67.04)</f>
        <v>67.040000000000006</v>
      </c>
      <c r="X247" s="3">
        <f ca="1">IFERROR(__xludf.DUMMYFUNCTION("""COMPUTED_VALUE"""),15764509)</f>
        <v>15764509</v>
      </c>
      <c r="Y247" s="4">
        <f ca="1">IFERROR(__xludf.DUMMYFUNCTION("""COMPUTED_VALUE"""),42482.6666666666)</f>
        <v>42482.666666666599</v>
      </c>
      <c r="Z247" s="3">
        <f ca="1">IFERROR(__xludf.DUMMYFUNCTION("""COMPUTED_VALUE"""),18.96)</f>
        <v>18.96</v>
      </c>
      <c r="AA247" s="3">
        <f ca="1">IFERROR(__xludf.DUMMYFUNCTION("""COMPUTED_VALUE"""),19.16)</f>
        <v>19.16</v>
      </c>
      <c r="AB247" s="3">
        <f ca="1">IFERROR(__xludf.DUMMYFUNCTION("""COMPUTED_VALUE"""),18.96)</f>
        <v>18.96</v>
      </c>
      <c r="AC247" s="3">
        <f ca="1">IFERROR(__xludf.DUMMYFUNCTION("""COMPUTED_VALUE"""),19.12)</f>
        <v>19.12</v>
      </c>
      <c r="AD247" s="3">
        <f ca="1">IFERROR(__xludf.DUMMYFUNCTION("""COMPUTED_VALUE"""),37959483)</f>
        <v>37959483</v>
      </c>
      <c r="AE247" s="4">
        <f ca="1">IFERROR(__xludf.DUMMYFUNCTION("""COMPUTED_VALUE"""),42482.6666666666)</f>
        <v>42482.666666666599</v>
      </c>
      <c r="AF247" s="3">
        <f ca="1">IFERROR(__xludf.DUMMYFUNCTION("""COMPUTED_VALUE"""),71.76)</f>
        <v>71.760000000000005</v>
      </c>
      <c r="AG247" s="3">
        <f ca="1">IFERROR(__xludf.DUMMYFUNCTION("""COMPUTED_VALUE"""),72.11)</f>
        <v>72.11</v>
      </c>
      <c r="AH247" s="3">
        <f ca="1">IFERROR(__xludf.DUMMYFUNCTION("""COMPUTED_VALUE"""),71.44)</f>
        <v>71.44</v>
      </c>
      <c r="AI247" s="3">
        <f ca="1">IFERROR(__xludf.DUMMYFUNCTION("""COMPUTED_VALUE"""),71.87)</f>
        <v>71.87</v>
      </c>
      <c r="AJ247" s="3">
        <f ca="1">IFERROR(__xludf.DUMMYFUNCTION("""COMPUTED_VALUE"""),12052773)</f>
        <v>12052773</v>
      </c>
      <c r="AK247" s="4">
        <f ca="1">IFERROR(__xludf.DUMMYFUNCTION("""COMPUTED_VALUE"""),42482.6666666666)</f>
        <v>42482.666666666599</v>
      </c>
      <c r="AL247" s="3">
        <f ca="1">IFERROR(__xludf.DUMMYFUNCTION("""COMPUTED_VALUE"""),56.31)</f>
        <v>56.31</v>
      </c>
      <c r="AM247" s="3">
        <f ca="1">IFERROR(__xludf.DUMMYFUNCTION("""COMPUTED_VALUE"""),56.5)</f>
        <v>56.5</v>
      </c>
      <c r="AN247" s="3">
        <f ca="1">IFERROR(__xludf.DUMMYFUNCTION("""COMPUTED_VALUE"""),56.14)</f>
        <v>56.14</v>
      </c>
      <c r="AO247" s="3">
        <f ca="1">IFERROR(__xludf.DUMMYFUNCTION("""COMPUTED_VALUE"""),56.41)</f>
        <v>56.41</v>
      </c>
      <c r="AP247" s="3">
        <f ca="1">IFERROR(__xludf.DUMMYFUNCTION("""COMPUTED_VALUE"""),14750155)</f>
        <v>14750155</v>
      </c>
      <c r="AQ247" s="4">
        <f ca="1">IFERROR(__xludf.DUMMYFUNCTION("""COMPUTED_VALUE"""),42482.6666666666)</f>
        <v>42482.666666666599</v>
      </c>
      <c r="AR247" s="3">
        <f ca="1">IFERROR(__xludf.DUMMYFUNCTION("""COMPUTED_VALUE"""),47.03)</f>
        <v>47.03</v>
      </c>
      <c r="AS247" s="3">
        <f ca="1">IFERROR(__xludf.DUMMYFUNCTION("""COMPUTED_VALUE"""),47.36)</f>
        <v>47.36</v>
      </c>
      <c r="AT247" s="3">
        <f ca="1">IFERROR(__xludf.DUMMYFUNCTION("""COMPUTED_VALUE"""),46.95)</f>
        <v>46.95</v>
      </c>
      <c r="AU247" s="3">
        <f ca="1">IFERROR(__xludf.DUMMYFUNCTION("""COMPUTED_VALUE"""),47.21)</f>
        <v>47.21</v>
      </c>
      <c r="AV247" s="3">
        <f ca="1">IFERROR(__xludf.DUMMYFUNCTION("""COMPUTED_VALUE"""),5429761)</f>
        <v>5429761</v>
      </c>
      <c r="AW247" s="4">
        <f ca="1">IFERROR(__xludf.DUMMYFUNCTION("""COMPUTED_VALUE"""),42647.6666666666)</f>
        <v>42647.666666666599</v>
      </c>
      <c r="AX247" s="3">
        <f ca="1">IFERROR(__xludf.DUMMYFUNCTION("""COMPUTED_VALUE"""),32.15)</f>
        <v>32.15</v>
      </c>
      <c r="AY247" s="3">
        <f ca="1">IFERROR(__xludf.DUMMYFUNCTION("""COMPUTED_VALUE"""),32.15)</f>
        <v>32.15</v>
      </c>
      <c r="AZ247" s="3">
        <f ca="1">IFERROR(__xludf.DUMMYFUNCTION("""COMPUTED_VALUE"""),31.47)</f>
        <v>31.47</v>
      </c>
      <c r="BA247" s="3">
        <f ca="1">IFERROR(__xludf.DUMMYFUNCTION("""COMPUTED_VALUE"""),31.65)</f>
        <v>31.65</v>
      </c>
      <c r="BB247" s="3">
        <f ca="1">IFERROR(__xludf.DUMMYFUNCTION("""COMPUTED_VALUE"""),3262713)</f>
        <v>3262713</v>
      </c>
      <c r="BC247" s="4">
        <f ca="1">IFERROR(__xludf.DUMMYFUNCTION("""COMPUTED_VALUE"""),42482.6666666666)</f>
        <v>42482.666666666599</v>
      </c>
      <c r="BD247" s="3">
        <f ca="1">IFERROR(__xludf.DUMMYFUNCTION("""COMPUTED_VALUE"""),43.51)</f>
        <v>43.51</v>
      </c>
      <c r="BE247" s="3">
        <f ca="1">IFERROR(__xludf.DUMMYFUNCTION("""COMPUTED_VALUE"""),43.73)</f>
        <v>43.73</v>
      </c>
      <c r="BF247" s="3">
        <f ca="1">IFERROR(__xludf.DUMMYFUNCTION("""COMPUTED_VALUE"""),43.21)</f>
        <v>43.21</v>
      </c>
      <c r="BG247" s="3">
        <f ca="1">IFERROR(__xludf.DUMMYFUNCTION("""COMPUTED_VALUE"""),43.44)</f>
        <v>43.44</v>
      </c>
      <c r="BH247" s="3">
        <f ca="1">IFERROR(__xludf.DUMMYFUNCTION("""COMPUTED_VALUE"""),14924441)</f>
        <v>14924441</v>
      </c>
      <c r="BI247" s="4">
        <f ca="1">IFERROR(__xludf.DUMMYFUNCTION("""COMPUTED_VALUE"""),42482.6666666666)</f>
        <v>42482.666666666599</v>
      </c>
      <c r="BJ247" s="3">
        <f ca="1">IFERROR(__xludf.DUMMYFUNCTION("""COMPUTED_VALUE"""),47.06)</f>
        <v>47.06</v>
      </c>
      <c r="BK247" s="3">
        <f ca="1">IFERROR(__xludf.DUMMYFUNCTION("""COMPUTED_VALUE"""),47.41)</f>
        <v>47.41</v>
      </c>
      <c r="BL247" s="3">
        <f ca="1">IFERROR(__xludf.DUMMYFUNCTION("""COMPUTED_VALUE"""),47.03)</f>
        <v>47.03</v>
      </c>
      <c r="BM247" s="3">
        <f ca="1">IFERROR(__xludf.DUMMYFUNCTION("""COMPUTED_VALUE"""),47.35)</f>
        <v>47.35</v>
      </c>
      <c r="BN247" s="3">
        <f ca="1">IFERROR(__xludf.DUMMYFUNCTION("""COMPUTED_VALUE"""),12309022)</f>
        <v>12309022</v>
      </c>
    </row>
    <row r="248" spans="7:66" ht="13" x14ac:dyDescent="0.15">
      <c r="G248" s="4">
        <f ca="1">IFERROR(__xludf.DUMMYFUNCTION("""COMPUTED_VALUE"""),42485.6666666666)</f>
        <v>42485.666666666599</v>
      </c>
      <c r="H248" s="3">
        <f ca="1">IFERROR(__xludf.DUMMYFUNCTION("""COMPUTED_VALUE"""),79.31)</f>
        <v>79.31</v>
      </c>
      <c r="I248" s="3">
        <f ca="1">IFERROR(__xludf.DUMMYFUNCTION("""COMPUTED_VALUE"""),79.56)</f>
        <v>79.56</v>
      </c>
      <c r="J248" s="3">
        <f ca="1">IFERROR(__xludf.DUMMYFUNCTION("""COMPUTED_VALUE"""),78.99)</f>
        <v>78.989999999999995</v>
      </c>
      <c r="K248" s="3">
        <f ca="1">IFERROR(__xludf.DUMMYFUNCTION("""COMPUTED_VALUE"""),79.55)</f>
        <v>79.55</v>
      </c>
      <c r="L248" s="3">
        <f ca="1">IFERROR(__xludf.DUMMYFUNCTION("""COMPUTED_VALUE"""),3897217)</f>
        <v>3897217</v>
      </c>
      <c r="M248" s="4">
        <f ca="1">IFERROR(__xludf.DUMMYFUNCTION("""COMPUTED_VALUE"""),42485.6666666666)</f>
        <v>42485.666666666599</v>
      </c>
      <c r="N248" s="3">
        <f ca="1">IFERROR(__xludf.DUMMYFUNCTION("""COMPUTED_VALUE"""),51.67)</f>
        <v>51.67</v>
      </c>
      <c r="O248" s="3">
        <f ca="1">IFERROR(__xludf.DUMMYFUNCTION("""COMPUTED_VALUE"""),52.32)</f>
        <v>52.32</v>
      </c>
      <c r="P248" s="3">
        <f ca="1">IFERROR(__xludf.DUMMYFUNCTION("""COMPUTED_VALUE"""),51.66)</f>
        <v>51.66</v>
      </c>
      <c r="Q248" s="3">
        <f ca="1">IFERROR(__xludf.DUMMYFUNCTION("""COMPUTED_VALUE"""),52.32)</f>
        <v>52.32</v>
      </c>
      <c r="R248" s="3">
        <f ca="1">IFERROR(__xludf.DUMMYFUNCTION("""COMPUTED_VALUE"""),8947330)</f>
        <v>8947330</v>
      </c>
      <c r="S248" s="4">
        <f ca="1">IFERROR(__xludf.DUMMYFUNCTION("""COMPUTED_VALUE"""),42485.6666666666)</f>
        <v>42485.666666666599</v>
      </c>
      <c r="T248" s="3">
        <f ca="1">IFERROR(__xludf.DUMMYFUNCTION("""COMPUTED_VALUE"""),66.81)</f>
        <v>66.81</v>
      </c>
      <c r="U248" s="3">
        <f ca="1">IFERROR(__xludf.DUMMYFUNCTION("""COMPUTED_VALUE"""),66.82)</f>
        <v>66.819999999999993</v>
      </c>
      <c r="V248" s="3">
        <f ca="1">IFERROR(__xludf.DUMMYFUNCTION("""COMPUTED_VALUE"""),65.79)</f>
        <v>65.790000000000006</v>
      </c>
      <c r="W248" s="3">
        <f ca="1">IFERROR(__xludf.DUMMYFUNCTION("""COMPUTED_VALUE"""),66.29)</f>
        <v>66.290000000000006</v>
      </c>
      <c r="X248" s="3">
        <f ca="1">IFERROR(__xludf.DUMMYFUNCTION("""COMPUTED_VALUE"""),17234253)</f>
        <v>17234253</v>
      </c>
      <c r="Y248" s="4">
        <f ca="1">IFERROR(__xludf.DUMMYFUNCTION("""COMPUTED_VALUE"""),42485.6666666666)</f>
        <v>42485.666666666599</v>
      </c>
      <c r="Z248" s="3">
        <f ca="1">IFERROR(__xludf.DUMMYFUNCTION("""COMPUTED_VALUE"""),19.04)</f>
        <v>19.04</v>
      </c>
      <c r="AA248" s="3">
        <f ca="1">IFERROR(__xludf.DUMMYFUNCTION("""COMPUTED_VALUE"""),19.1)</f>
        <v>19.100000000000001</v>
      </c>
      <c r="AB248" s="3">
        <f ca="1">IFERROR(__xludf.DUMMYFUNCTION("""COMPUTED_VALUE"""),18.95)</f>
        <v>18.95</v>
      </c>
      <c r="AC248" s="3">
        <f ca="1">IFERROR(__xludf.DUMMYFUNCTION("""COMPUTED_VALUE"""),19.08)</f>
        <v>19.079999999999998</v>
      </c>
      <c r="AD248" s="3">
        <f ca="1">IFERROR(__xludf.DUMMYFUNCTION("""COMPUTED_VALUE"""),31023297)</f>
        <v>31023297</v>
      </c>
      <c r="AE248" s="4">
        <f ca="1">IFERROR(__xludf.DUMMYFUNCTION("""COMPUTED_VALUE"""),42485.6666666666)</f>
        <v>42485.666666666599</v>
      </c>
      <c r="AF248" s="3">
        <f ca="1">IFERROR(__xludf.DUMMYFUNCTION("""COMPUTED_VALUE"""),71.6)</f>
        <v>71.599999999999994</v>
      </c>
      <c r="AG248" s="3">
        <f ca="1">IFERROR(__xludf.DUMMYFUNCTION("""COMPUTED_VALUE"""),71.82)</f>
        <v>71.819999999999993</v>
      </c>
      <c r="AH248" s="3">
        <f ca="1">IFERROR(__xludf.DUMMYFUNCTION("""COMPUTED_VALUE"""),71.36)</f>
        <v>71.36</v>
      </c>
      <c r="AI248" s="3">
        <f ca="1">IFERROR(__xludf.DUMMYFUNCTION("""COMPUTED_VALUE"""),71.59)</f>
        <v>71.59</v>
      </c>
      <c r="AJ248" s="3">
        <f ca="1">IFERROR(__xludf.DUMMYFUNCTION("""COMPUTED_VALUE"""),8937489)</f>
        <v>8937489</v>
      </c>
      <c r="AK248" s="4">
        <f ca="1">IFERROR(__xludf.DUMMYFUNCTION("""COMPUTED_VALUE"""),42485.6666666666)</f>
        <v>42485.666666666599</v>
      </c>
      <c r="AL248" s="3">
        <f ca="1">IFERROR(__xludf.DUMMYFUNCTION("""COMPUTED_VALUE"""),56.36)</f>
        <v>56.36</v>
      </c>
      <c r="AM248" s="3">
        <f ca="1">IFERROR(__xludf.DUMMYFUNCTION("""COMPUTED_VALUE"""),56.38)</f>
        <v>56.38</v>
      </c>
      <c r="AN248" s="3">
        <f ca="1">IFERROR(__xludf.DUMMYFUNCTION("""COMPUTED_VALUE"""),55.87)</f>
        <v>55.87</v>
      </c>
      <c r="AO248" s="3">
        <f ca="1">IFERROR(__xludf.DUMMYFUNCTION("""COMPUTED_VALUE"""),56.14)</f>
        <v>56.14</v>
      </c>
      <c r="AP248" s="3">
        <f ca="1">IFERROR(__xludf.DUMMYFUNCTION("""COMPUTED_VALUE"""),10224099)</f>
        <v>10224099</v>
      </c>
      <c r="AQ248" s="4">
        <f ca="1">IFERROR(__xludf.DUMMYFUNCTION("""COMPUTED_VALUE"""),42485.6666666666)</f>
        <v>42485.666666666599</v>
      </c>
      <c r="AR248" s="3">
        <f ca="1">IFERROR(__xludf.DUMMYFUNCTION("""COMPUTED_VALUE"""),47.16)</f>
        <v>47.16</v>
      </c>
      <c r="AS248" s="3">
        <f ca="1">IFERROR(__xludf.DUMMYFUNCTION("""COMPUTED_VALUE"""),47.16)</f>
        <v>47.16</v>
      </c>
      <c r="AT248" s="3">
        <f ca="1">IFERROR(__xludf.DUMMYFUNCTION("""COMPUTED_VALUE"""),46.69)</f>
        <v>46.69</v>
      </c>
      <c r="AU248" s="3">
        <f ca="1">IFERROR(__xludf.DUMMYFUNCTION("""COMPUTED_VALUE"""),47.05)</f>
        <v>47.05</v>
      </c>
      <c r="AV248" s="3">
        <f ca="1">IFERROR(__xludf.DUMMYFUNCTION("""COMPUTED_VALUE"""),4601892)</f>
        <v>4601892</v>
      </c>
      <c r="AW248" s="4">
        <f ca="1">IFERROR(__xludf.DUMMYFUNCTION("""COMPUTED_VALUE"""),42648.6666666666)</f>
        <v>42648.666666666599</v>
      </c>
      <c r="AX248" s="3">
        <f ca="1">IFERROR(__xludf.DUMMYFUNCTION("""COMPUTED_VALUE"""),31.66)</f>
        <v>31.66</v>
      </c>
      <c r="AY248" s="3">
        <f ca="1">IFERROR(__xludf.DUMMYFUNCTION("""COMPUTED_VALUE"""),31.85)</f>
        <v>31.85</v>
      </c>
      <c r="AZ248" s="3">
        <f ca="1">IFERROR(__xludf.DUMMYFUNCTION("""COMPUTED_VALUE"""),30.96)</f>
        <v>30.96</v>
      </c>
      <c r="BA248" s="3">
        <f ca="1">IFERROR(__xludf.DUMMYFUNCTION("""COMPUTED_VALUE"""),31.06)</f>
        <v>31.06</v>
      </c>
      <c r="BB248" s="3">
        <f ca="1">IFERROR(__xludf.DUMMYFUNCTION("""COMPUTED_VALUE"""),4848671)</f>
        <v>4848671</v>
      </c>
      <c r="BC248" s="4">
        <f ca="1">IFERROR(__xludf.DUMMYFUNCTION("""COMPUTED_VALUE"""),42485.6666666666)</f>
        <v>42485.666666666599</v>
      </c>
      <c r="BD248" s="3">
        <f ca="1">IFERROR(__xludf.DUMMYFUNCTION("""COMPUTED_VALUE"""),43.32)</f>
        <v>43.32</v>
      </c>
      <c r="BE248" s="3">
        <f ca="1">IFERROR(__xludf.DUMMYFUNCTION("""COMPUTED_VALUE"""),43.47)</f>
        <v>43.47</v>
      </c>
      <c r="BF248" s="3">
        <f ca="1">IFERROR(__xludf.DUMMYFUNCTION("""COMPUTED_VALUE"""),43.21)</f>
        <v>43.21</v>
      </c>
      <c r="BG248" s="3">
        <f ca="1">IFERROR(__xludf.DUMMYFUNCTION("""COMPUTED_VALUE"""),43.45)</f>
        <v>43.45</v>
      </c>
      <c r="BH248" s="3">
        <f ca="1">IFERROR(__xludf.DUMMYFUNCTION("""COMPUTED_VALUE"""),9357526)</f>
        <v>9357526</v>
      </c>
      <c r="BI248" s="4">
        <f ca="1">IFERROR(__xludf.DUMMYFUNCTION("""COMPUTED_VALUE"""),42485.6666666666)</f>
        <v>42485.666666666599</v>
      </c>
      <c r="BJ248" s="3">
        <f ca="1">IFERROR(__xludf.DUMMYFUNCTION("""COMPUTED_VALUE"""),47.15)</f>
        <v>47.15</v>
      </c>
      <c r="BK248" s="3">
        <f ca="1">IFERROR(__xludf.DUMMYFUNCTION("""COMPUTED_VALUE"""),47.45)</f>
        <v>47.45</v>
      </c>
      <c r="BL248" s="3">
        <f ca="1">IFERROR(__xludf.DUMMYFUNCTION("""COMPUTED_VALUE"""),47.12)</f>
        <v>47.12</v>
      </c>
      <c r="BM248" s="3">
        <f ca="1">IFERROR(__xludf.DUMMYFUNCTION("""COMPUTED_VALUE"""),47.44)</f>
        <v>47.44</v>
      </c>
      <c r="BN248" s="3">
        <f ca="1">IFERROR(__xludf.DUMMYFUNCTION("""COMPUTED_VALUE"""),12742883)</f>
        <v>12742883</v>
      </c>
    </row>
    <row r="249" spans="7:66" ht="13" x14ac:dyDescent="0.15">
      <c r="G249" s="4">
        <f ca="1">IFERROR(__xludf.DUMMYFUNCTION("""COMPUTED_VALUE"""),42486.6666666666)</f>
        <v>42486.666666666599</v>
      </c>
      <c r="H249" s="3">
        <f ca="1">IFERROR(__xludf.DUMMYFUNCTION("""COMPUTED_VALUE"""),79.69)</f>
        <v>79.69</v>
      </c>
      <c r="I249" s="3">
        <f ca="1">IFERROR(__xludf.DUMMYFUNCTION("""COMPUTED_VALUE"""),80)</f>
        <v>80</v>
      </c>
      <c r="J249" s="3">
        <f ca="1">IFERROR(__xludf.DUMMYFUNCTION("""COMPUTED_VALUE"""),79.31)</f>
        <v>79.31</v>
      </c>
      <c r="K249" s="3">
        <f ca="1">IFERROR(__xludf.DUMMYFUNCTION("""COMPUTED_VALUE"""),79.74)</f>
        <v>79.739999999999995</v>
      </c>
      <c r="L249" s="3">
        <f ca="1">IFERROR(__xludf.DUMMYFUNCTION("""COMPUTED_VALUE"""),3898533)</f>
        <v>3898533</v>
      </c>
      <c r="M249" s="4">
        <f ca="1">IFERROR(__xludf.DUMMYFUNCTION("""COMPUTED_VALUE"""),42486.6666666666)</f>
        <v>42486.666666666599</v>
      </c>
      <c r="N249" s="3">
        <f ca="1">IFERROR(__xludf.DUMMYFUNCTION("""COMPUTED_VALUE"""),52.45)</f>
        <v>52.45</v>
      </c>
      <c r="O249" s="3">
        <f ca="1">IFERROR(__xludf.DUMMYFUNCTION("""COMPUTED_VALUE"""),52.48)</f>
        <v>52.48</v>
      </c>
      <c r="P249" s="3">
        <f ca="1">IFERROR(__xludf.DUMMYFUNCTION("""COMPUTED_VALUE"""),52.02)</f>
        <v>52.02</v>
      </c>
      <c r="Q249" s="3">
        <f ca="1">IFERROR(__xludf.DUMMYFUNCTION("""COMPUTED_VALUE"""),52.11)</f>
        <v>52.11</v>
      </c>
      <c r="R249" s="3">
        <f ca="1">IFERROR(__xludf.DUMMYFUNCTION("""COMPUTED_VALUE"""),10821827)</f>
        <v>10821827</v>
      </c>
      <c r="S249" s="4">
        <f ca="1">IFERROR(__xludf.DUMMYFUNCTION("""COMPUTED_VALUE"""),42486.6666666666)</f>
        <v>42486.666666666599</v>
      </c>
      <c r="T249" s="3">
        <f ca="1">IFERROR(__xludf.DUMMYFUNCTION("""COMPUTED_VALUE"""),66.67)</f>
        <v>66.67</v>
      </c>
      <c r="U249" s="3">
        <f ca="1">IFERROR(__xludf.DUMMYFUNCTION("""COMPUTED_VALUE"""),67.38)</f>
        <v>67.38</v>
      </c>
      <c r="V249" s="3">
        <f ca="1">IFERROR(__xludf.DUMMYFUNCTION("""COMPUTED_VALUE"""),66.51)</f>
        <v>66.510000000000005</v>
      </c>
      <c r="W249" s="3">
        <f ca="1">IFERROR(__xludf.DUMMYFUNCTION("""COMPUTED_VALUE"""),67.35)</f>
        <v>67.349999999999994</v>
      </c>
      <c r="X249" s="3">
        <f ca="1">IFERROR(__xludf.DUMMYFUNCTION("""COMPUTED_VALUE"""),13585695)</f>
        <v>13585695</v>
      </c>
      <c r="Y249" s="4">
        <f ca="1">IFERROR(__xludf.DUMMYFUNCTION("""COMPUTED_VALUE"""),42486.6666666666)</f>
        <v>42486.666666666599</v>
      </c>
      <c r="Z249" s="3">
        <f ca="1">IFERROR(__xludf.DUMMYFUNCTION("""COMPUTED_VALUE"""),19.1)</f>
        <v>19.100000000000001</v>
      </c>
      <c r="AA249" s="3">
        <f ca="1">IFERROR(__xludf.DUMMYFUNCTION("""COMPUTED_VALUE"""),19.23)</f>
        <v>19.23</v>
      </c>
      <c r="AB249" s="3">
        <f ca="1">IFERROR(__xludf.DUMMYFUNCTION("""COMPUTED_VALUE"""),19.07)</f>
        <v>19.07</v>
      </c>
      <c r="AC249" s="3">
        <f ca="1">IFERROR(__xludf.DUMMYFUNCTION("""COMPUTED_VALUE"""),19.21)</f>
        <v>19.21</v>
      </c>
      <c r="AD249" s="3">
        <f ca="1">IFERROR(__xludf.DUMMYFUNCTION("""COMPUTED_VALUE"""),33846309)</f>
        <v>33846309</v>
      </c>
      <c r="AE249" s="4">
        <f ca="1">IFERROR(__xludf.DUMMYFUNCTION("""COMPUTED_VALUE"""),42486.6666666666)</f>
        <v>42486.666666666599</v>
      </c>
      <c r="AF249" s="3">
        <f ca="1">IFERROR(__xludf.DUMMYFUNCTION("""COMPUTED_VALUE"""),71.73)</f>
        <v>71.73</v>
      </c>
      <c r="AG249" s="3">
        <f ca="1">IFERROR(__xludf.DUMMYFUNCTION("""COMPUTED_VALUE"""),71.73)</f>
        <v>71.73</v>
      </c>
      <c r="AH249" s="3">
        <f ca="1">IFERROR(__xludf.DUMMYFUNCTION("""COMPUTED_VALUE"""),71.11)</f>
        <v>71.11</v>
      </c>
      <c r="AI249" s="3">
        <f ca="1">IFERROR(__xludf.DUMMYFUNCTION("""COMPUTED_VALUE"""),71.32)</f>
        <v>71.319999999999993</v>
      </c>
      <c r="AJ249" s="3">
        <f ca="1">IFERROR(__xludf.DUMMYFUNCTION("""COMPUTED_VALUE"""),7433502)</f>
        <v>7433502</v>
      </c>
      <c r="AK249" s="4">
        <f ca="1">IFERROR(__xludf.DUMMYFUNCTION("""COMPUTED_VALUE"""),42486.6666666666)</f>
        <v>42486.666666666599</v>
      </c>
      <c r="AL249" s="3">
        <f ca="1">IFERROR(__xludf.DUMMYFUNCTION("""COMPUTED_VALUE"""),56.27)</f>
        <v>56.27</v>
      </c>
      <c r="AM249" s="3">
        <f ca="1">IFERROR(__xludf.DUMMYFUNCTION("""COMPUTED_VALUE"""),56.64)</f>
        <v>56.64</v>
      </c>
      <c r="AN249" s="3">
        <f ca="1">IFERROR(__xludf.DUMMYFUNCTION("""COMPUTED_VALUE"""),56.24)</f>
        <v>56.24</v>
      </c>
      <c r="AO249" s="3">
        <f ca="1">IFERROR(__xludf.DUMMYFUNCTION("""COMPUTED_VALUE"""),56.64)</f>
        <v>56.64</v>
      </c>
      <c r="AP249" s="3">
        <f ca="1">IFERROR(__xludf.DUMMYFUNCTION("""COMPUTED_VALUE"""),10139889)</f>
        <v>10139889</v>
      </c>
      <c r="AQ249" s="4">
        <f ca="1">IFERROR(__xludf.DUMMYFUNCTION("""COMPUTED_VALUE"""),42486.6666666666)</f>
        <v>42486.666666666599</v>
      </c>
      <c r="AR249" s="3">
        <f ca="1">IFERROR(__xludf.DUMMYFUNCTION("""COMPUTED_VALUE"""),47.09)</f>
        <v>47.09</v>
      </c>
      <c r="AS249" s="3">
        <f ca="1">IFERROR(__xludf.DUMMYFUNCTION("""COMPUTED_VALUE"""),47.49)</f>
        <v>47.49</v>
      </c>
      <c r="AT249" s="3">
        <f ca="1">IFERROR(__xludf.DUMMYFUNCTION("""COMPUTED_VALUE"""),47.05)</f>
        <v>47.05</v>
      </c>
      <c r="AU249" s="3">
        <f ca="1">IFERROR(__xludf.DUMMYFUNCTION("""COMPUTED_VALUE"""),47.43)</f>
        <v>47.43</v>
      </c>
      <c r="AV249" s="3">
        <f ca="1">IFERROR(__xludf.DUMMYFUNCTION("""COMPUTED_VALUE"""),5040021)</f>
        <v>5040021</v>
      </c>
      <c r="AW249" s="4">
        <f ca="1">IFERROR(__xludf.DUMMYFUNCTION("""COMPUTED_VALUE"""),42649.6666666666)</f>
        <v>42649.666666666599</v>
      </c>
      <c r="AX249" s="3">
        <f ca="1">IFERROR(__xludf.DUMMYFUNCTION("""COMPUTED_VALUE"""),30.98)</f>
        <v>30.98</v>
      </c>
      <c r="AY249" s="3">
        <f ca="1">IFERROR(__xludf.DUMMYFUNCTION("""COMPUTED_VALUE"""),31.33)</f>
        <v>31.33</v>
      </c>
      <c r="AZ249" s="3">
        <f ca="1">IFERROR(__xludf.DUMMYFUNCTION("""COMPUTED_VALUE"""),30.63)</f>
        <v>30.63</v>
      </c>
      <c r="BA249" s="3">
        <f ca="1">IFERROR(__xludf.DUMMYFUNCTION("""COMPUTED_VALUE"""),31.12)</f>
        <v>31.12</v>
      </c>
      <c r="BB249" s="3">
        <f ca="1">IFERROR(__xludf.DUMMYFUNCTION("""COMPUTED_VALUE"""),2438750)</f>
        <v>2438750</v>
      </c>
      <c r="BC249" s="4">
        <f ca="1">IFERROR(__xludf.DUMMYFUNCTION("""COMPUTED_VALUE"""),42486.6666666666)</f>
        <v>42486.666666666599</v>
      </c>
      <c r="BD249" s="3">
        <f ca="1">IFERROR(__xludf.DUMMYFUNCTION("""COMPUTED_VALUE"""),43.5)</f>
        <v>43.5</v>
      </c>
      <c r="BE249" s="3">
        <f ca="1">IFERROR(__xludf.DUMMYFUNCTION("""COMPUTED_VALUE"""),43.6)</f>
        <v>43.6</v>
      </c>
      <c r="BF249" s="3">
        <f ca="1">IFERROR(__xludf.DUMMYFUNCTION("""COMPUTED_VALUE"""),43.1)</f>
        <v>43.1</v>
      </c>
      <c r="BG249" s="3">
        <f ca="1">IFERROR(__xludf.DUMMYFUNCTION("""COMPUTED_VALUE"""),43.24)</f>
        <v>43.24</v>
      </c>
      <c r="BH249" s="3">
        <f ca="1">IFERROR(__xludf.DUMMYFUNCTION("""COMPUTED_VALUE"""),7367371)</f>
        <v>7367371</v>
      </c>
      <c r="BI249" s="4">
        <f ca="1">IFERROR(__xludf.DUMMYFUNCTION("""COMPUTED_VALUE"""),42486.6666666666)</f>
        <v>42486.666666666599</v>
      </c>
      <c r="BJ249" s="3">
        <f ca="1">IFERROR(__xludf.DUMMYFUNCTION("""COMPUTED_VALUE"""),47.47)</f>
        <v>47.47</v>
      </c>
      <c r="BK249" s="3">
        <f ca="1">IFERROR(__xludf.DUMMYFUNCTION("""COMPUTED_VALUE"""),47.71)</f>
        <v>47.71</v>
      </c>
      <c r="BL249" s="3">
        <f ca="1">IFERROR(__xludf.DUMMYFUNCTION("""COMPUTED_VALUE"""),47.38)</f>
        <v>47.38</v>
      </c>
      <c r="BM249" s="3">
        <f ca="1">IFERROR(__xludf.DUMMYFUNCTION("""COMPUTED_VALUE"""),47.51)</f>
        <v>47.51</v>
      </c>
      <c r="BN249" s="3">
        <f ca="1">IFERROR(__xludf.DUMMYFUNCTION("""COMPUTED_VALUE"""),13021794)</f>
        <v>13021794</v>
      </c>
    </row>
    <row r="250" spans="7:66" ht="13" x14ac:dyDescent="0.15">
      <c r="G250" s="4">
        <f ca="1">IFERROR(__xludf.DUMMYFUNCTION("""COMPUTED_VALUE"""),42487.6666666666)</f>
        <v>42487.666666666599</v>
      </c>
      <c r="H250" s="3">
        <f ca="1">IFERROR(__xludf.DUMMYFUNCTION("""COMPUTED_VALUE"""),79.7)</f>
        <v>79.7</v>
      </c>
      <c r="I250" s="3">
        <f ca="1">IFERROR(__xludf.DUMMYFUNCTION("""COMPUTED_VALUE"""),79.86)</f>
        <v>79.86</v>
      </c>
      <c r="J250" s="3">
        <f ca="1">IFERROR(__xludf.DUMMYFUNCTION("""COMPUTED_VALUE"""),79.27)</f>
        <v>79.27</v>
      </c>
      <c r="K250" s="3">
        <f ca="1">IFERROR(__xludf.DUMMYFUNCTION("""COMPUTED_VALUE"""),79.66)</f>
        <v>79.66</v>
      </c>
      <c r="L250" s="3">
        <f ca="1">IFERROR(__xludf.DUMMYFUNCTION("""COMPUTED_VALUE"""),5711629)</f>
        <v>5711629</v>
      </c>
      <c r="M250" s="4">
        <f ca="1">IFERROR(__xludf.DUMMYFUNCTION("""COMPUTED_VALUE"""),42487.6666666666)</f>
        <v>42487.666666666599</v>
      </c>
      <c r="N250" s="3">
        <f ca="1">IFERROR(__xludf.DUMMYFUNCTION("""COMPUTED_VALUE"""),52.3)</f>
        <v>52.3</v>
      </c>
      <c r="O250" s="3">
        <f ca="1">IFERROR(__xludf.DUMMYFUNCTION("""COMPUTED_VALUE"""),52.52)</f>
        <v>52.52</v>
      </c>
      <c r="P250" s="3">
        <f ca="1">IFERROR(__xludf.DUMMYFUNCTION("""COMPUTED_VALUE"""),51.91)</f>
        <v>51.91</v>
      </c>
      <c r="Q250" s="3">
        <f ca="1">IFERROR(__xludf.DUMMYFUNCTION("""COMPUTED_VALUE"""),52.36)</f>
        <v>52.36</v>
      </c>
      <c r="R250" s="3">
        <f ca="1">IFERROR(__xludf.DUMMYFUNCTION("""COMPUTED_VALUE"""),12012219)</f>
        <v>12012219</v>
      </c>
      <c r="S250" s="4">
        <f ca="1">IFERROR(__xludf.DUMMYFUNCTION("""COMPUTED_VALUE"""),42487.6666666666)</f>
        <v>42487.666666666599</v>
      </c>
      <c r="T250" s="3">
        <f ca="1">IFERROR(__xludf.DUMMYFUNCTION("""COMPUTED_VALUE"""),67.7)</f>
        <v>67.7</v>
      </c>
      <c r="U250" s="3">
        <f ca="1">IFERROR(__xludf.DUMMYFUNCTION("""COMPUTED_VALUE"""),68.78)</f>
        <v>68.78</v>
      </c>
      <c r="V250" s="3">
        <f ca="1">IFERROR(__xludf.DUMMYFUNCTION("""COMPUTED_VALUE"""),67.65)</f>
        <v>67.650000000000006</v>
      </c>
      <c r="W250" s="3">
        <f ca="1">IFERROR(__xludf.DUMMYFUNCTION("""COMPUTED_VALUE"""),68.63)</f>
        <v>68.63</v>
      </c>
      <c r="X250" s="3">
        <f ca="1">IFERROR(__xludf.DUMMYFUNCTION("""COMPUTED_VALUE"""),21962444)</f>
        <v>21962444</v>
      </c>
      <c r="Y250" s="4">
        <f ca="1">IFERROR(__xludf.DUMMYFUNCTION("""COMPUTED_VALUE"""),42487.6666666666)</f>
        <v>42487.666666666599</v>
      </c>
      <c r="Z250" s="3">
        <f ca="1">IFERROR(__xludf.DUMMYFUNCTION("""COMPUTED_VALUE"""),19.19)</f>
        <v>19.190000000000001</v>
      </c>
      <c r="AA250" s="3">
        <f ca="1">IFERROR(__xludf.DUMMYFUNCTION("""COMPUTED_VALUE"""),19.3)</f>
        <v>19.3</v>
      </c>
      <c r="AB250" s="3">
        <f ca="1">IFERROR(__xludf.DUMMYFUNCTION("""COMPUTED_VALUE"""),19.12)</f>
        <v>19.12</v>
      </c>
      <c r="AC250" s="3">
        <f ca="1">IFERROR(__xludf.DUMMYFUNCTION("""COMPUTED_VALUE"""),19.24)</f>
        <v>19.239999999999998</v>
      </c>
      <c r="AD250" s="3">
        <f ca="1">IFERROR(__xludf.DUMMYFUNCTION("""COMPUTED_VALUE"""),46235737)</f>
        <v>46235737</v>
      </c>
      <c r="AE250" s="4">
        <f ca="1">IFERROR(__xludf.DUMMYFUNCTION("""COMPUTED_VALUE"""),42487.6666666666)</f>
        <v>42487.666666666599</v>
      </c>
      <c r="AF250" s="3">
        <f ca="1">IFERROR(__xludf.DUMMYFUNCTION("""COMPUTED_VALUE"""),71.37)</f>
        <v>71.37</v>
      </c>
      <c r="AG250" s="3">
        <f ca="1">IFERROR(__xludf.DUMMYFUNCTION("""COMPUTED_VALUE"""),71.54)</f>
        <v>71.540000000000006</v>
      </c>
      <c r="AH250" s="3">
        <f ca="1">IFERROR(__xludf.DUMMYFUNCTION("""COMPUTED_VALUE"""),70.94)</f>
        <v>70.94</v>
      </c>
      <c r="AI250" s="3">
        <f ca="1">IFERROR(__xludf.DUMMYFUNCTION("""COMPUTED_VALUE"""),71.24)</f>
        <v>71.239999999999995</v>
      </c>
      <c r="AJ250" s="3">
        <f ca="1">IFERROR(__xludf.DUMMYFUNCTION("""COMPUTED_VALUE"""),9121173)</f>
        <v>9121173</v>
      </c>
      <c r="AK250" s="4">
        <f ca="1">IFERROR(__xludf.DUMMYFUNCTION("""COMPUTED_VALUE"""),42487.6666666666)</f>
        <v>42487.666666666599</v>
      </c>
      <c r="AL250" s="3">
        <f ca="1">IFERROR(__xludf.DUMMYFUNCTION("""COMPUTED_VALUE"""),56.71)</f>
        <v>56.71</v>
      </c>
      <c r="AM250" s="3">
        <f ca="1">IFERROR(__xludf.DUMMYFUNCTION("""COMPUTED_VALUE"""),57.18)</f>
        <v>57.18</v>
      </c>
      <c r="AN250" s="3">
        <f ca="1">IFERROR(__xludf.DUMMYFUNCTION("""COMPUTED_VALUE"""),56.48)</f>
        <v>56.48</v>
      </c>
      <c r="AO250" s="3">
        <f ca="1">IFERROR(__xludf.DUMMYFUNCTION("""COMPUTED_VALUE"""),57.04)</f>
        <v>57.04</v>
      </c>
      <c r="AP250" s="3">
        <f ca="1">IFERROR(__xludf.DUMMYFUNCTION("""COMPUTED_VALUE"""),9258143)</f>
        <v>9258143</v>
      </c>
      <c r="AQ250" s="4">
        <f ca="1">IFERROR(__xludf.DUMMYFUNCTION("""COMPUTED_VALUE"""),42487.6666666666)</f>
        <v>42487.666666666599</v>
      </c>
      <c r="AR250" s="3">
        <f ca="1">IFERROR(__xludf.DUMMYFUNCTION("""COMPUTED_VALUE"""),47.55)</f>
        <v>47.55</v>
      </c>
      <c r="AS250" s="3">
        <f ca="1">IFERROR(__xludf.DUMMYFUNCTION("""COMPUTED_VALUE"""),47.88)</f>
        <v>47.88</v>
      </c>
      <c r="AT250" s="3">
        <f ca="1">IFERROR(__xludf.DUMMYFUNCTION("""COMPUTED_VALUE"""),47.34)</f>
        <v>47.34</v>
      </c>
      <c r="AU250" s="3">
        <f ca="1">IFERROR(__xludf.DUMMYFUNCTION("""COMPUTED_VALUE"""),47.83)</f>
        <v>47.83</v>
      </c>
      <c r="AV250" s="3">
        <f ca="1">IFERROR(__xludf.DUMMYFUNCTION("""COMPUTED_VALUE"""),5705787)</f>
        <v>5705787</v>
      </c>
      <c r="AW250" s="4">
        <f ca="1">IFERROR(__xludf.DUMMYFUNCTION("""COMPUTED_VALUE"""),42650.6666666666)</f>
        <v>42650.666666666599</v>
      </c>
      <c r="AX250" s="3">
        <f ca="1">IFERROR(__xludf.DUMMYFUNCTION("""COMPUTED_VALUE"""),31.19)</f>
        <v>31.19</v>
      </c>
      <c r="AY250" s="3">
        <f ca="1">IFERROR(__xludf.DUMMYFUNCTION("""COMPUTED_VALUE"""),31.6)</f>
        <v>31.6</v>
      </c>
      <c r="AZ250" s="3">
        <f ca="1">IFERROR(__xludf.DUMMYFUNCTION("""COMPUTED_VALUE"""),30.9)</f>
        <v>30.9</v>
      </c>
      <c r="BA250" s="3">
        <f ca="1">IFERROR(__xludf.DUMMYFUNCTION("""COMPUTED_VALUE"""),31.04)</f>
        <v>31.04</v>
      </c>
      <c r="BB250" s="3">
        <f ca="1">IFERROR(__xludf.DUMMYFUNCTION("""COMPUTED_VALUE"""),1711450)</f>
        <v>1711450</v>
      </c>
      <c r="BC250" s="4">
        <f ca="1">IFERROR(__xludf.DUMMYFUNCTION("""COMPUTED_VALUE"""),42487.6666666666)</f>
        <v>42487.666666666599</v>
      </c>
      <c r="BD250" s="3">
        <f ca="1">IFERROR(__xludf.DUMMYFUNCTION("""COMPUTED_VALUE"""),42.69)</f>
        <v>42.69</v>
      </c>
      <c r="BE250" s="3">
        <f ca="1">IFERROR(__xludf.DUMMYFUNCTION("""COMPUTED_VALUE"""),43.09)</f>
        <v>43.09</v>
      </c>
      <c r="BF250" s="3">
        <f ca="1">IFERROR(__xludf.DUMMYFUNCTION("""COMPUTED_VALUE"""),42.53)</f>
        <v>42.53</v>
      </c>
      <c r="BG250" s="3">
        <f ca="1">IFERROR(__xludf.DUMMYFUNCTION("""COMPUTED_VALUE"""),43.04)</f>
        <v>43.04</v>
      </c>
      <c r="BH250" s="3">
        <f ca="1">IFERROR(__xludf.DUMMYFUNCTION("""COMPUTED_VALUE"""),12779629)</f>
        <v>12779629</v>
      </c>
      <c r="BI250" s="4">
        <f ca="1">IFERROR(__xludf.DUMMYFUNCTION("""COMPUTED_VALUE"""),42487.6666666666)</f>
        <v>42487.666666666599</v>
      </c>
      <c r="BJ250" s="3">
        <f ca="1">IFERROR(__xludf.DUMMYFUNCTION("""COMPUTED_VALUE"""),47.65)</f>
        <v>47.65</v>
      </c>
      <c r="BK250" s="3">
        <f ca="1">IFERROR(__xludf.DUMMYFUNCTION("""COMPUTED_VALUE"""),48.48)</f>
        <v>48.48</v>
      </c>
      <c r="BL250" s="3">
        <f ca="1">IFERROR(__xludf.DUMMYFUNCTION("""COMPUTED_VALUE"""),47.5)</f>
        <v>47.5</v>
      </c>
      <c r="BM250" s="3">
        <f ca="1">IFERROR(__xludf.DUMMYFUNCTION("""COMPUTED_VALUE"""),48.2)</f>
        <v>48.2</v>
      </c>
      <c r="BN250" s="3">
        <f ca="1">IFERROR(__xludf.DUMMYFUNCTION("""COMPUTED_VALUE"""),24559219)</f>
        <v>24559219</v>
      </c>
    </row>
    <row r="251" spans="7:66" ht="13" x14ac:dyDescent="0.15">
      <c r="G251" s="4">
        <f ca="1">IFERROR(__xludf.DUMMYFUNCTION("""COMPUTED_VALUE"""),42488.6666666666)</f>
        <v>42488.666666666599</v>
      </c>
      <c r="H251" s="3">
        <f ca="1">IFERROR(__xludf.DUMMYFUNCTION("""COMPUTED_VALUE"""),79.27)</f>
        <v>79.27</v>
      </c>
      <c r="I251" s="3">
        <f ca="1">IFERROR(__xludf.DUMMYFUNCTION("""COMPUTED_VALUE"""),79.97)</f>
        <v>79.97</v>
      </c>
      <c r="J251" s="3">
        <f ca="1">IFERROR(__xludf.DUMMYFUNCTION("""COMPUTED_VALUE"""),78.63)</f>
        <v>78.63</v>
      </c>
      <c r="K251" s="3">
        <f ca="1">IFERROR(__xludf.DUMMYFUNCTION("""COMPUTED_VALUE"""),78.8)</f>
        <v>78.8</v>
      </c>
      <c r="L251" s="3">
        <f ca="1">IFERROR(__xludf.DUMMYFUNCTION("""COMPUTED_VALUE"""),7300781)</f>
        <v>7300781</v>
      </c>
      <c r="M251" s="4">
        <f ca="1">IFERROR(__xludf.DUMMYFUNCTION("""COMPUTED_VALUE"""),42488.6666666666)</f>
        <v>42488.666666666599</v>
      </c>
      <c r="N251" s="3">
        <f ca="1">IFERROR(__xludf.DUMMYFUNCTION("""COMPUTED_VALUE"""),52.16)</f>
        <v>52.16</v>
      </c>
      <c r="O251" s="3">
        <f ca="1">IFERROR(__xludf.DUMMYFUNCTION("""COMPUTED_VALUE"""),52.72)</f>
        <v>52.72</v>
      </c>
      <c r="P251" s="3">
        <f ca="1">IFERROR(__xludf.DUMMYFUNCTION("""COMPUTED_VALUE"""),52.15)</f>
        <v>52.15</v>
      </c>
      <c r="Q251" s="3">
        <f ca="1">IFERROR(__xludf.DUMMYFUNCTION("""COMPUTED_VALUE"""),52.41)</f>
        <v>52.41</v>
      </c>
      <c r="R251" s="3">
        <f ca="1">IFERROR(__xludf.DUMMYFUNCTION("""COMPUTED_VALUE"""),11547041)</f>
        <v>11547041</v>
      </c>
      <c r="S251" s="4">
        <f ca="1">IFERROR(__xludf.DUMMYFUNCTION("""COMPUTED_VALUE"""),42488.6666666666)</f>
        <v>42488.666666666599</v>
      </c>
      <c r="T251" s="3">
        <f ca="1">IFERROR(__xludf.DUMMYFUNCTION("""COMPUTED_VALUE"""),68.32)</f>
        <v>68.319999999999993</v>
      </c>
      <c r="U251" s="3">
        <f ca="1">IFERROR(__xludf.DUMMYFUNCTION("""COMPUTED_VALUE"""),68.82)</f>
        <v>68.819999999999993</v>
      </c>
      <c r="V251" s="3">
        <f ca="1">IFERROR(__xludf.DUMMYFUNCTION("""COMPUTED_VALUE"""),67.35)</f>
        <v>67.349999999999994</v>
      </c>
      <c r="W251" s="3">
        <f ca="1">IFERROR(__xludf.DUMMYFUNCTION("""COMPUTED_VALUE"""),67.61)</f>
        <v>67.61</v>
      </c>
      <c r="X251" s="3">
        <f ca="1">IFERROR(__xludf.DUMMYFUNCTION("""COMPUTED_VALUE"""),15555187)</f>
        <v>15555187</v>
      </c>
      <c r="Y251" s="4">
        <f ca="1">IFERROR(__xludf.DUMMYFUNCTION("""COMPUTED_VALUE"""),42488.6666666666)</f>
        <v>42488.666666666599</v>
      </c>
      <c r="Z251" s="3">
        <f ca="1">IFERROR(__xludf.DUMMYFUNCTION("""COMPUTED_VALUE"""),19.08)</f>
        <v>19.079999999999998</v>
      </c>
      <c r="AA251" s="3">
        <f ca="1">IFERROR(__xludf.DUMMYFUNCTION("""COMPUTED_VALUE"""),19.23)</f>
        <v>19.23</v>
      </c>
      <c r="AB251" s="3">
        <f ca="1">IFERROR(__xludf.DUMMYFUNCTION("""COMPUTED_VALUE"""),18.97)</f>
        <v>18.97</v>
      </c>
      <c r="AC251" s="3">
        <f ca="1">IFERROR(__xludf.DUMMYFUNCTION("""COMPUTED_VALUE"""),19.03)</f>
        <v>19.03</v>
      </c>
      <c r="AD251" s="3">
        <f ca="1">IFERROR(__xludf.DUMMYFUNCTION("""COMPUTED_VALUE"""),60804934)</f>
        <v>60804934</v>
      </c>
      <c r="AE251" s="4">
        <f ca="1">IFERROR(__xludf.DUMMYFUNCTION("""COMPUTED_VALUE"""),42488.6666666666)</f>
        <v>42488.666666666599</v>
      </c>
      <c r="AF251" s="3">
        <f ca="1">IFERROR(__xludf.DUMMYFUNCTION("""COMPUTED_VALUE"""),70.83)</f>
        <v>70.83</v>
      </c>
      <c r="AG251" s="3">
        <f ca="1">IFERROR(__xludf.DUMMYFUNCTION("""COMPUTED_VALUE"""),71.59)</f>
        <v>71.59</v>
      </c>
      <c r="AH251" s="3">
        <f ca="1">IFERROR(__xludf.DUMMYFUNCTION("""COMPUTED_VALUE"""),70.51)</f>
        <v>70.510000000000005</v>
      </c>
      <c r="AI251" s="3">
        <f ca="1">IFERROR(__xludf.DUMMYFUNCTION("""COMPUTED_VALUE"""),70.9)</f>
        <v>70.900000000000006</v>
      </c>
      <c r="AJ251" s="3">
        <f ca="1">IFERROR(__xludf.DUMMYFUNCTION("""COMPUTED_VALUE"""),19512040)</f>
        <v>19512040</v>
      </c>
      <c r="AK251" s="4">
        <f ca="1">IFERROR(__xludf.DUMMYFUNCTION("""COMPUTED_VALUE"""),42488.6666666666)</f>
        <v>42488.666666666599</v>
      </c>
      <c r="AL251" s="3">
        <f ca="1">IFERROR(__xludf.DUMMYFUNCTION("""COMPUTED_VALUE"""),56.65)</f>
        <v>56.65</v>
      </c>
      <c r="AM251" s="3">
        <f ca="1">IFERROR(__xludf.DUMMYFUNCTION("""COMPUTED_VALUE"""),57.14)</f>
        <v>57.14</v>
      </c>
      <c r="AN251" s="3">
        <f ca="1">IFERROR(__xludf.DUMMYFUNCTION("""COMPUTED_VALUE"""),56.36)</f>
        <v>56.36</v>
      </c>
      <c r="AO251" s="3">
        <f ca="1">IFERROR(__xludf.DUMMYFUNCTION("""COMPUTED_VALUE"""),56.49)</f>
        <v>56.49</v>
      </c>
      <c r="AP251" s="3">
        <f ca="1">IFERROR(__xludf.DUMMYFUNCTION("""COMPUTED_VALUE"""),19554920)</f>
        <v>19554920</v>
      </c>
      <c r="AQ251" s="4">
        <f ca="1">IFERROR(__xludf.DUMMYFUNCTION("""COMPUTED_VALUE"""),42488.6666666666)</f>
        <v>42488.666666666599</v>
      </c>
      <c r="AR251" s="3">
        <f ca="1">IFERROR(__xludf.DUMMYFUNCTION("""COMPUTED_VALUE"""),47.47)</f>
        <v>47.47</v>
      </c>
      <c r="AS251" s="3">
        <f ca="1">IFERROR(__xludf.DUMMYFUNCTION("""COMPUTED_VALUE"""),47.91)</f>
        <v>47.91</v>
      </c>
      <c r="AT251" s="3">
        <f ca="1">IFERROR(__xludf.DUMMYFUNCTION("""COMPUTED_VALUE"""),47.18)</f>
        <v>47.18</v>
      </c>
      <c r="AU251" s="3">
        <f ca="1">IFERROR(__xludf.DUMMYFUNCTION("""COMPUTED_VALUE"""),47.38)</f>
        <v>47.38</v>
      </c>
      <c r="AV251" s="3">
        <f ca="1">IFERROR(__xludf.DUMMYFUNCTION("""COMPUTED_VALUE"""),5664100)</f>
        <v>5664100</v>
      </c>
      <c r="AW251" s="4">
        <f ca="1">IFERROR(__xludf.DUMMYFUNCTION("""COMPUTED_VALUE"""),42653.6666666666)</f>
        <v>42653.666666666599</v>
      </c>
      <c r="AX251" s="3">
        <f ca="1">IFERROR(__xludf.DUMMYFUNCTION("""COMPUTED_VALUE"""),31.05)</f>
        <v>31.05</v>
      </c>
      <c r="AY251" s="3">
        <f ca="1">IFERROR(__xludf.DUMMYFUNCTION("""COMPUTED_VALUE"""),31.32)</f>
        <v>31.32</v>
      </c>
      <c r="AZ251" s="3">
        <f ca="1">IFERROR(__xludf.DUMMYFUNCTION("""COMPUTED_VALUE"""),31)</f>
        <v>31</v>
      </c>
      <c r="BA251" s="3">
        <f ca="1">IFERROR(__xludf.DUMMYFUNCTION("""COMPUTED_VALUE"""),31.16)</f>
        <v>31.16</v>
      </c>
      <c r="BB251" s="3">
        <f ca="1">IFERROR(__xludf.DUMMYFUNCTION("""COMPUTED_VALUE"""),2404051)</f>
        <v>2404051</v>
      </c>
      <c r="BC251" s="4">
        <f ca="1">IFERROR(__xludf.DUMMYFUNCTION("""COMPUTED_VALUE"""),42488.6666666666)</f>
        <v>42488.666666666599</v>
      </c>
      <c r="BD251" s="3">
        <f ca="1">IFERROR(__xludf.DUMMYFUNCTION("""COMPUTED_VALUE"""),43.11)</f>
        <v>43.11</v>
      </c>
      <c r="BE251" s="3">
        <f ca="1">IFERROR(__xludf.DUMMYFUNCTION("""COMPUTED_VALUE"""),43.26)</f>
        <v>43.26</v>
      </c>
      <c r="BF251" s="3">
        <f ca="1">IFERROR(__xludf.DUMMYFUNCTION("""COMPUTED_VALUE"""),42.36)</f>
        <v>42.36</v>
      </c>
      <c r="BG251" s="3">
        <f ca="1">IFERROR(__xludf.DUMMYFUNCTION("""COMPUTED_VALUE"""),42.5)</f>
        <v>42.5</v>
      </c>
      <c r="BH251" s="3">
        <f ca="1">IFERROR(__xludf.DUMMYFUNCTION("""COMPUTED_VALUE"""),22669609)</f>
        <v>22669609</v>
      </c>
      <c r="BI251" s="4">
        <f ca="1">IFERROR(__xludf.DUMMYFUNCTION("""COMPUTED_VALUE"""),42488.6666666666)</f>
        <v>42488.666666666599</v>
      </c>
      <c r="BJ251" s="3">
        <f ca="1">IFERROR(__xludf.DUMMYFUNCTION("""COMPUTED_VALUE"""),47.78)</f>
        <v>47.78</v>
      </c>
      <c r="BK251" s="3">
        <f ca="1">IFERROR(__xludf.DUMMYFUNCTION("""COMPUTED_VALUE"""),48.25)</f>
        <v>48.25</v>
      </c>
      <c r="BL251" s="3">
        <f ca="1">IFERROR(__xludf.DUMMYFUNCTION("""COMPUTED_VALUE"""),47.5)</f>
        <v>47.5</v>
      </c>
      <c r="BM251" s="3">
        <f ca="1">IFERROR(__xludf.DUMMYFUNCTION("""COMPUTED_VALUE"""),48.13)</f>
        <v>48.13</v>
      </c>
      <c r="BN251" s="3">
        <f ca="1">IFERROR(__xludf.DUMMYFUNCTION("""COMPUTED_VALUE"""),20158019)</f>
        <v>20158019</v>
      </c>
    </row>
    <row r="252" spans="7:66" ht="13" x14ac:dyDescent="0.15">
      <c r="G252" s="4">
        <f ca="1">IFERROR(__xludf.DUMMYFUNCTION("""COMPUTED_VALUE"""),42489.6666666666)</f>
        <v>42489.666666666599</v>
      </c>
      <c r="H252" s="3">
        <f ca="1">IFERROR(__xludf.DUMMYFUNCTION("""COMPUTED_VALUE"""),79.45)</f>
        <v>79.45</v>
      </c>
      <c r="I252" s="3">
        <f ca="1">IFERROR(__xludf.DUMMYFUNCTION("""COMPUTED_VALUE"""),79.58)</f>
        <v>79.58</v>
      </c>
      <c r="J252" s="3">
        <f ca="1">IFERROR(__xludf.DUMMYFUNCTION("""COMPUTED_VALUE"""),78.6)</f>
        <v>78.599999999999994</v>
      </c>
      <c r="K252" s="3">
        <f ca="1">IFERROR(__xludf.DUMMYFUNCTION("""COMPUTED_VALUE"""),79.2)</f>
        <v>79.2</v>
      </c>
      <c r="L252" s="3">
        <f ca="1">IFERROR(__xludf.DUMMYFUNCTION("""COMPUTED_VALUE"""),8399548)</f>
        <v>8399548</v>
      </c>
      <c r="M252" s="4">
        <f ca="1">IFERROR(__xludf.DUMMYFUNCTION("""COMPUTED_VALUE"""),42489.6666666666)</f>
        <v>42489.666666666599</v>
      </c>
      <c r="N252" s="3">
        <f ca="1">IFERROR(__xludf.DUMMYFUNCTION("""COMPUTED_VALUE"""),52.4)</f>
        <v>52.4</v>
      </c>
      <c r="O252" s="3">
        <f ca="1">IFERROR(__xludf.DUMMYFUNCTION("""COMPUTED_VALUE"""),52.41)</f>
        <v>52.41</v>
      </c>
      <c r="P252" s="3">
        <f ca="1">IFERROR(__xludf.DUMMYFUNCTION("""COMPUTED_VALUE"""),51.99)</f>
        <v>51.99</v>
      </c>
      <c r="Q252" s="3">
        <f ca="1">IFERROR(__xludf.DUMMYFUNCTION("""COMPUTED_VALUE"""),52.3)</f>
        <v>52.3</v>
      </c>
      <c r="R252" s="3">
        <f ca="1">IFERROR(__xludf.DUMMYFUNCTION("""COMPUTED_VALUE"""),13198539)</f>
        <v>13198539</v>
      </c>
      <c r="S252" s="4">
        <f ca="1">IFERROR(__xludf.DUMMYFUNCTION("""COMPUTED_VALUE"""),42489.6666666666)</f>
        <v>42489.666666666599</v>
      </c>
      <c r="T252" s="3">
        <f ca="1">IFERROR(__xludf.DUMMYFUNCTION("""COMPUTED_VALUE"""),67.76)</f>
        <v>67.760000000000005</v>
      </c>
      <c r="U252" s="3">
        <f ca="1">IFERROR(__xludf.DUMMYFUNCTION("""COMPUTED_VALUE"""),68.42)</f>
        <v>68.42</v>
      </c>
      <c r="V252" s="3">
        <f ca="1">IFERROR(__xludf.DUMMYFUNCTION("""COMPUTED_VALUE"""),66.47)</f>
        <v>66.47</v>
      </c>
      <c r="W252" s="3">
        <f ca="1">IFERROR(__xludf.DUMMYFUNCTION("""COMPUTED_VALUE"""),67.5)</f>
        <v>67.5</v>
      </c>
      <c r="X252" s="3">
        <f ca="1">IFERROR(__xludf.DUMMYFUNCTION("""COMPUTED_VALUE"""),24107385)</f>
        <v>24107385</v>
      </c>
      <c r="Y252" s="4">
        <f ca="1">IFERROR(__xludf.DUMMYFUNCTION("""COMPUTED_VALUE"""),42489.6666666666)</f>
        <v>42489.666666666599</v>
      </c>
      <c r="Z252" s="3">
        <f ca="1">IFERROR(__xludf.DUMMYFUNCTION("""COMPUTED_VALUE"""),18.93)</f>
        <v>18.93</v>
      </c>
      <c r="AA252" s="3">
        <f ca="1">IFERROR(__xludf.DUMMYFUNCTION("""COMPUTED_VALUE"""),19)</f>
        <v>19</v>
      </c>
      <c r="AB252" s="3">
        <f ca="1">IFERROR(__xludf.DUMMYFUNCTION("""COMPUTED_VALUE"""),18.76)</f>
        <v>18.760000000000002</v>
      </c>
      <c r="AC252" s="3">
        <f ca="1">IFERROR(__xludf.DUMMYFUNCTION("""COMPUTED_VALUE"""),18.93)</f>
        <v>18.93</v>
      </c>
      <c r="AD252" s="3">
        <f ca="1">IFERROR(__xludf.DUMMYFUNCTION("""COMPUTED_VALUE"""),48999339)</f>
        <v>48999339</v>
      </c>
      <c r="AE252" s="4">
        <f ca="1">IFERROR(__xludf.DUMMYFUNCTION("""COMPUTED_VALUE"""),42489.6666666666)</f>
        <v>42489.666666666599</v>
      </c>
      <c r="AF252" s="3">
        <f ca="1">IFERROR(__xludf.DUMMYFUNCTION("""COMPUTED_VALUE"""),70.26)</f>
        <v>70.260000000000005</v>
      </c>
      <c r="AG252" s="3">
        <f ca="1">IFERROR(__xludf.DUMMYFUNCTION("""COMPUTED_VALUE"""),70.4)</f>
        <v>70.400000000000006</v>
      </c>
      <c r="AH252" s="3">
        <f ca="1">IFERROR(__xludf.DUMMYFUNCTION("""COMPUTED_VALUE"""),69.37)</f>
        <v>69.37</v>
      </c>
      <c r="AI252" s="3">
        <f ca="1">IFERROR(__xludf.DUMMYFUNCTION("""COMPUTED_VALUE"""),69.79)</f>
        <v>69.790000000000006</v>
      </c>
      <c r="AJ252" s="3">
        <f ca="1">IFERROR(__xludf.DUMMYFUNCTION("""COMPUTED_VALUE"""),13577850)</f>
        <v>13577850</v>
      </c>
      <c r="AK252" s="4">
        <f ca="1">IFERROR(__xludf.DUMMYFUNCTION("""COMPUTED_VALUE"""),42489.6666666666)</f>
        <v>42489.666666666599</v>
      </c>
      <c r="AL252" s="3">
        <f ca="1">IFERROR(__xludf.DUMMYFUNCTION("""COMPUTED_VALUE"""),56.17)</f>
        <v>56.17</v>
      </c>
      <c r="AM252" s="3">
        <f ca="1">IFERROR(__xludf.DUMMYFUNCTION("""COMPUTED_VALUE"""),56.4)</f>
        <v>56.4</v>
      </c>
      <c r="AN252" s="3">
        <f ca="1">IFERROR(__xludf.DUMMYFUNCTION("""COMPUTED_VALUE"""),55.82)</f>
        <v>55.82</v>
      </c>
      <c r="AO252" s="3">
        <f ca="1">IFERROR(__xludf.DUMMYFUNCTION("""COMPUTED_VALUE"""),56.16)</f>
        <v>56.16</v>
      </c>
      <c r="AP252" s="3">
        <f ca="1">IFERROR(__xludf.DUMMYFUNCTION("""COMPUTED_VALUE"""),16369932)</f>
        <v>16369932</v>
      </c>
      <c r="AQ252" s="4">
        <f ca="1">IFERROR(__xludf.DUMMYFUNCTION("""COMPUTED_VALUE"""),42489.6666666666)</f>
        <v>42489.666666666599</v>
      </c>
      <c r="AR252" s="3">
        <f ca="1">IFERROR(__xludf.DUMMYFUNCTION("""COMPUTED_VALUE"""),47.22)</f>
        <v>47.22</v>
      </c>
      <c r="AS252" s="3">
        <f ca="1">IFERROR(__xludf.DUMMYFUNCTION("""COMPUTED_VALUE"""),47.54)</f>
        <v>47.54</v>
      </c>
      <c r="AT252" s="3">
        <f ca="1">IFERROR(__xludf.DUMMYFUNCTION("""COMPUTED_VALUE"""),46.78)</f>
        <v>46.78</v>
      </c>
      <c r="AU252" s="3">
        <f ca="1">IFERROR(__xludf.DUMMYFUNCTION("""COMPUTED_VALUE"""),47.1)</f>
        <v>47.1</v>
      </c>
      <c r="AV252" s="3">
        <f ca="1">IFERROR(__xludf.DUMMYFUNCTION("""COMPUTED_VALUE"""),6371915)</f>
        <v>6371915</v>
      </c>
      <c r="AW252" s="4">
        <f ca="1">IFERROR(__xludf.DUMMYFUNCTION("""COMPUTED_VALUE"""),42654.6666666666)</f>
        <v>42654.666666666599</v>
      </c>
      <c r="AX252" s="3">
        <f ca="1">IFERROR(__xludf.DUMMYFUNCTION("""COMPUTED_VALUE"""),31.08)</f>
        <v>31.08</v>
      </c>
      <c r="AY252" s="3">
        <f ca="1">IFERROR(__xludf.DUMMYFUNCTION("""COMPUTED_VALUE"""),31.2)</f>
        <v>31.2</v>
      </c>
      <c r="AZ252" s="3">
        <f ca="1">IFERROR(__xludf.DUMMYFUNCTION("""COMPUTED_VALUE"""),30.82)</f>
        <v>30.82</v>
      </c>
      <c r="BA252" s="3">
        <f ca="1">IFERROR(__xludf.DUMMYFUNCTION("""COMPUTED_VALUE"""),30.92)</f>
        <v>30.92</v>
      </c>
      <c r="BB252" s="3">
        <f ca="1">IFERROR(__xludf.DUMMYFUNCTION("""COMPUTED_VALUE"""),1770422)</f>
        <v>1770422</v>
      </c>
      <c r="BC252" s="4">
        <f ca="1">IFERROR(__xludf.DUMMYFUNCTION("""COMPUTED_VALUE"""),42489.6666666666)</f>
        <v>42489.666666666599</v>
      </c>
      <c r="BD252" s="3">
        <f ca="1">IFERROR(__xludf.DUMMYFUNCTION("""COMPUTED_VALUE"""),42.26)</f>
        <v>42.26</v>
      </c>
      <c r="BE252" s="3">
        <f ca="1">IFERROR(__xludf.DUMMYFUNCTION("""COMPUTED_VALUE"""),42.33)</f>
        <v>42.33</v>
      </c>
      <c r="BF252" s="3">
        <f ca="1">IFERROR(__xludf.DUMMYFUNCTION("""COMPUTED_VALUE"""),41.82)</f>
        <v>41.82</v>
      </c>
      <c r="BG252" s="3">
        <f ca="1">IFERROR(__xludf.DUMMYFUNCTION("""COMPUTED_VALUE"""),42.13)</f>
        <v>42.13</v>
      </c>
      <c r="BH252" s="3">
        <f ca="1">IFERROR(__xludf.DUMMYFUNCTION("""COMPUTED_VALUE"""),11896165)</f>
        <v>11896165</v>
      </c>
      <c r="BI252" s="4">
        <f ca="1">IFERROR(__xludf.DUMMYFUNCTION("""COMPUTED_VALUE"""),42489.6666666666)</f>
        <v>42489.666666666599</v>
      </c>
      <c r="BJ252" s="3">
        <f ca="1">IFERROR(__xludf.DUMMYFUNCTION("""COMPUTED_VALUE"""),47.93)</f>
        <v>47.93</v>
      </c>
      <c r="BK252" s="3">
        <f ca="1">IFERROR(__xludf.DUMMYFUNCTION("""COMPUTED_VALUE"""),48.47)</f>
        <v>48.47</v>
      </c>
      <c r="BL252" s="3">
        <f ca="1">IFERROR(__xludf.DUMMYFUNCTION("""COMPUTED_VALUE"""),47.57)</f>
        <v>47.57</v>
      </c>
      <c r="BM252" s="3">
        <f ca="1">IFERROR(__xludf.DUMMYFUNCTION("""COMPUTED_VALUE"""),48.42)</f>
        <v>48.42</v>
      </c>
      <c r="BN252" s="3">
        <f ca="1">IFERROR(__xludf.DUMMYFUNCTION("""COMPUTED_VALUE"""),20177234)</f>
        <v>20177234</v>
      </c>
    </row>
    <row r="253" spans="7:66" ht="13" x14ac:dyDescent="0.15">
      <c r="G253" s="4">
        <f ca="1">IFERROR(__xludf.DUMMYFUNCTION("""COMPUTED_VALUE"""),42492.6666666666)</f>
        <v>42492.666666666599</v>
      </c>
      <c r="H253" s="3">
        <f ca="1">IFERROR(__xludf.DUMMYFUNCTION("""COMPUTED_VALUE"""),79.42)</f>
        <v>79.42</v>
      </c>
      <c r="I253" s="3">
        <f ca="1">IFERROR(__xludf.DUMMYFUNCTION("""COMPUTED_VALUE"""),80.37)</f>
        <v>80.37</v>
      </c>
      <c r="J253" s="3">
        <f ca="1">IFERROR(__xludf.DUMMYFUNCTION("""COMPUTED_VALUE"""),79.32)</f>
        <v>79.319999999999993</v>
      </c>
      <c r="K253" s="3">
        <f ca="1">IFERROR(__xludf.DUMMYFUNCTION("""COMPUTED_VALUE"""),80.31)</f>
        <v>80.31</v>
      </c>
      <c r="L253" s="3">
        <f ca="1">IFERROR(__xludf.DUMMYFUNCTION("""COMPUTED_VALUE"""),6648020)</f>
        <v>6648020</v>
      </c>
      <c r="M253" s="4">
        <f ca="1">IFERROR(__xludf.DUMMYFUNCTION("""COMPUTED_VALUE"""),42492.6666666666)</f>
        <v>42492.666666666599</v>
      </c>
      <c r="N253" s="3">
        <f ca="1">IFERROR(__xludf.DUMMYFUNCTION("""COMPUTED_VALUE"""),52.45)</f>
        <v>52.45</v>
      </c>
      <c r="O253" s="3">
        <f ca="1">IFERROR(__xludf.DUMMYFUNCTION("""COMPUTED_VALUE"""),52.95)</f>
        <v>52.95</v>
      </c>
      <c r="P253" s="3">
        <f ca="1">IFERROR(__xludf.DUMMYFUNCTION("""COMPUTED_VALUE"""),52.28)</f>
        <v>52.28</v>
      </c>
      <c r="Q253" s="3">
        <f ca="1">IFERROR(__xludf.DUMMYFUNCTION("""COMPUTED_VALUE"""),52.9)</f>
        <v>52.9</v>
      </c>
      <c r="R253" s="3">
        <f ca="1">IFERROR(__xludf.DUMMYFUNCTION("""COMPUTED_VALUE"""),14096369)</f>
        <v>14096369</v>
      </c>
      <c r="S253" s="4">
        <f ca="1">IFERROR(__xludf.DUMMYFUNCTION("""COMPUTED_VALUE"""),42492.6666666666)</f>
        <v>42492.666666666599</v>
      </c>
      <c r="T253" s="3">
        <f ca="1">IFERROR(__xludf.DUMMYFUNCTION("""COMPUTED_VALUE"""),67.38)</f>
        <v>67.38</v>
      </c>
      <c r="U253" s="3">
        <f ca="1">IFERROR(__xludf.DUMMYFUNCTION("""COMPUTED_VALUE"""),67.66)</f>
        <v>67.66</v>
      </c>
      <c r="V253" s="3">
        <f ca="1">IFERROR(__xludf.DUMMYFUNCTION("""COMPUTED_VALUE"""),66.6)</f>
        <v>66.599999999999994</v>
      </c>
      <c r="W253" s="3">
        <f ca="1">IFERROR(__xludf.DUMMYFUNCTION("""COMPUTED_VALUE"""),67.43)</f>
        <v>67.430000000000007</v>
      </c>
      <c r="X253" s="3">
        <f ca="1">IFERROR(__xludf.DUMMYFUNCTION("""COMPUTED_VALUE"""),15065966)</f>
        <v>15065966</v>
      </c>
      <c r="Y253" s="4">
        <f ca="1">IFERROR(__xludf.DUMMYFUNCTION("""COMPUTED_VALUE"""),42492.6666666666)</f>
        <v>42492.666666666599</v>
      </c>
      <c r="Z253" s="3">
        <f ca="1">IFERROR(__xludf.DUMMYFUNCTION("""COMPUTED_VALUE"""),18.95)</f>
        <v>18.95</v>
      </c>
      <c r="AA253" s="3">
        <f ca="1">IFERROR(__xludf.DUMMYFUNCTION("""COMPUTED_VALUE"""),19.12)</f>
        <v>19.12</v>
      </c>
      <c r="AB253" s="3">
        <f ca="1">IFERROR(__xludf.DUMMYFUNCTION("""COMPUTED_VALUE"""),18.9)</f>
        <v>18.899999999999999</v>
      </c>
      <c r="AC253" s="3">
        <f ca="1">IFERROR(__xludf.DUMMYFUNCTION("""COMPUTED_VALUE"""),19.1)</f>
        <v>19.100000000000001</v>
      </c>
      <c r="AD253" s="3">
        <f ca="1">IFERROR(__xludf.DUMMYFUNCTION("""COMPUTED_VALUE"""),35389630)</f>
        <v>35389630</v>
      </c>
      <c r="AE253" s="4">
        <f ca="1">IFERROR(__xludf.DUMMYFUNCTION("""COMPUTED_VALUE"""),42492.6666666666)</f>
        <v>42492.666666666599</v>
      </c>
      <c r="AF253" s="3">
        <f ca="1">IFERROR(__xludf.DUMMYFUNCTION("""COMPUTED_VALUE"""),69.92)</f>
        <v>69.92</v>
      </c>
      <c r="AG253" s="3">
        <f ca="1">IFERROR(__xludf.DUMMYFUNCTION("""COMPUTED_VALUE"""),70.22)</f>
        <v>70.22</v>
      </c>
      <c r="AH253" s="3">
        <f ca="1">IFERROR(__xludf.DUMMYFUNCTION("""COMPUTED_VALUE"""),69.63)</f>
        <v>69.63</v>
      </c>
      <c r="AI253" s="3">
        <f ca="1">IFERROR(__xludf.DUMMYFUNCTION("""COMPUTED_VALUE"""),70.19)</f>
        <v>70.19</v>
      </c>
      <c r="AJ253" s="3">
        <f ca="1">IFERROR(__xludf.DUMMYFUNCTION("""COMPUTED_VALUE"""),9074808)</f>
        <v>9074808</v>
      </c>
      <c r="AK253" s="4">
        <f ca="1">IFERROR(__xludf.DUMMYFUNCTION("""COMPUTED_VALUE"""),42492.6666666666)</f>
        <v>42492.666666666599</v>
      </c>
      <c r="AL253" s="3">
        <f ca="1">IFERROR(__xludf.DUMMYFUNCTION("""COMPUTED_VALUE"""),56.27)</f>
        <v>56.27</v>
      </c>
      <c r="AM253" s="3">
        <f ca="1">IFERROR(__xludf.DUMMYFUNCTION("""COMPUTED_VALUE"""),56.49)</f>
        <v>56.49</v>
      </c>
      <c r="AN253" s="3">
        <f ca="1">IFERROR(__xludf.DUMMYFUNCTION("""COMPUTED_VALUE"""),56.02)</f>
        <v>56.02</v>
      </c>
      <c r="AO253" s="3">
        <f ca="1">IFERROR(__xludf.DUMMYFUNCTION("""COMPUTED_VALUE"""),56.45)</f>
        <v>56.45</v>
      </c>
      <c r="AP253" s="3">
        <f ca="1">IFERROR(__xludf.DUMMYFUNCTION("""COMPUTED_VALUE"""),10145145)</f>
        <v>10145145</v>
      </c>
      <c r="AQ253" s="4">
        <f ca="1">IFERROR(__xludf.DUMMYFUNCTION("""COMPUTED_VALUE"""),42492.6666666666)</f>
        <v>42492.666666666599</v>
      </c>
      <c r="AR253" s="3">
        <f ca="1">IFERROR(__xludf.DUMMYFUNCTION("""COMPUTED_VALUE"""),47.29)</f>
        <v>47.29</v>
      </c>
      <c r="AS253" s="3">
        <f ca="1">IFERROR(__xludf.DUMMYFUNCTION("""COMPUTED_VALUE"""),47.3)</f>
        <v>47.3</v>
      </c>
      <c r="AT253" s="3">
        <f ca="1">IFERROR(__xludf.DUMMYFUNCTION("""COMPUTED_VALUE"""),46.81)</f>
        <v>46.81</v>
      </c>
      <c r="AU253" s="3">
        <f ca="1">IFERROR(__xludf.DUMMYFUNCTION("""COMPUTED_VALUE"""),47.27)</f>
        <v>47.27</v>
      </c>
      <c r="AV253" s="3">
        <f ca="1">IFERROR(__xludf.DUMMYFUNCTION("""COMPUTED_VALUE"""),6204001)</f>
        <v>6204001</v>
      </c>
      <c r="AW253" s="4">
        <f ca="1">IFERROR(__xludf.DUMMYFUNCTION("""COMPUTED_VALUE"""),42655.6666666666)</f>
        <v>42655.666666666599</v>
      </c>
      <c r="AX253" s="3">
        <f ca="1">IFERROR(__xludf.DUMMYFUNCTION("""COMPUTED_VALUE"""),30.97)</f>
        <v>30.97</v>
      </c>
      <c r="AY253" s="3">
        <f ca="1">IFERROR(__xludf.DUMMYFUNCTION("""COMPUTED_VALUE"""),31.36)</f>
        <v>31.36</v>
      </c>
      <c r="AZ253" s="3">
        <f ca="1">IFERROR(__xludf.DUMMYFUNCTION("""COMPUTED_VALUE"""),30.93)</f>
        <v>30.93</v>
      </c>
      <c r="BA253" s="3">
        <f ca="1">IFERROR(__xludf.DUMMYFUNCTION("""COMPUTED_VALUE"""),31.36)</f>
        <v>31.36</v>
      </c>
      <c r="BB253" s="3">
        <f ca="1">IFERROR(__xludf.DUMMYFUNCTION("""COMPUTED_VALUE"""),1411699)</f>
        <v>1411699</v>
      </c>
      <c r="BC253" s="4">
        <f ca="1">IFERROR(__xludf.DUMMYFUNCTION("""COMPUTED_VALUE"""),42492.6666666666)</f>
        <v>42492.666666666599</v>
      </c>
      <c r="BD253" s="3">
        <f ca="1">IFERROR(__xludf.DUMMYFUNCTION("""COMPUTED_VALUE"""),42.22)</f>
        <v>42.22</v>
      </c>
      <c r="BE253" s="3">
        <f ca="1">IFERROR(__xludf.DUMMYFUNCTION("""COMPUTED_VALUE"""),42.49)</f>
        <v>42.49</v>
      </c>
      <c r="BF253" s="3">
        <f ca="1">IFERROR(__xludf.DUMMYFUNCTION("""COMPUTED_VALUE"""),42.04)</f>
        <v>42.04</v>
      </c>
      <c r="BG253" s="3">
        <f ca="1">IFERROR(__xludf.DUMMYFUNCTION("""COMPUTED_VALUE"""),42.44)</f>
        <v>42.44</v>
      </c>
      <c r="BH253" s="3">
        <f ca="1">IFERROR(__xludf.DUMMYFUNCTION("""COMPUTED_VALUE"""),12552678)</f>
        <v>12552678</v>
      </c>
      <c r="BI253" s="4">
        <f ca="1">IFERROR(__xludf.DUMMYFUNCTION("""COMPUTED_VALUE"""),42492.6666666666)</f>
        <v>42492.666666666599</v>
      </c>
      <c r="BJ253" s="3">
        <f ca="1">IFERROR(__xludf.DUMMYFUNCTION("""COMPUTED_VALUE"""),48.45)</f>
        <v>48.45</v>
      </c>
      <c r="BK253" s="3">
        <f ca="1">IFERROR(__xludf.DUMMYFUNCTION("""COMPUTED_VALUE"""),49.05)</f>
        <v>49.05</v>
      </c>
      <c r="BL253" s="3">
        <f ca="1">IFERROR(__xludf.DUMMYFUNCTION("""COMPUTED_VALUE"""),48.39)</f>
        <v>48.39</v>
      </c>
      <c r="BM253" s="3">
        <f ca="1">IFERROR(__xludf.DUMMYFUNCTION("""COMPUTED_VALUE"""),48.81)</f>
        <v>48.81</v>
      </c>
      <c r="BN253" s="3">
        <f ca="1">IFERROR(__xludf.DUMMYFUNCTION("""COMPUTED_VALUE"""),16366582)</f>
        <v>16366582</v>
      </c>
    </row>
    <row r="254" spans="7:66" ht="13" x14ac:dyDescent="0.15">
      <c r="G254" s="4">
        <f ca="1">IFERROR(__xludf.DUMMYFUNCTION("""COMPUTED_VALUE"""),42493.6666666666)</f>
        <v>42493.666666666599</v>
      </c>
      <c r="H254" s="3">
        <f ca="1">IFERROR(__xludf.DUMMYFUNCTION("""COMPUTED_VALUE"""),79.71)</f>
        <v>79.709999999999994</v>
      </c>
      <c r="I254" s="3">
        <f ca="1">IFERROR(__xludf.DUMMYFUNCTION("""COMPUTED_VALUE"""),80.04)</f>
        <v>80.040000000000006</v>
      </c>
      <c r="J254" s="3">
        <f ca="1">IFERROR(__xludf.DUMMYFUNCTION("""COMPUTED_VALUE"""),79.41)</f>
        <v>79.41</v>
      </c>
      <c r="K254" s="3">
        <f ca="1">IFERROR(__xludf.DUMMYFUNCTION("""COMPUTED_VALUE"""),79.57)</f>
        <v>79.569999999999993</v>
      </c>
      <c r="L254" s="3">
        <f ca="1">IFERROR(__xludf.DUMMYFUNCTION("""COMPUTED_VALUE"""),5779349)</f>
        <v>5779349</v>
      </c>
      <c r="M254" s="4">
        <f ca="1">IFERROR(__xludf.DUMMYFUNCTION("""COMPUTED_VALUE"""),42493.6666666666)</f>
        <v>42493.666666666599</v>
      </c>
      <c r="N254" s="3">
        <f ca="1">IFERROR(__xludf.DUMMYFUNCTION("""COMPUTED_VALUE"""),52.71)</f>
        <v>52.71</v>
      </c>
      <c r="O254" s="3">
        <f ca="1">IFERROR(__xludf.DUMMYFUNCTION("""COMPUTED_VALUE"""),53.01)</f>
        <v>53.01</v>
      </c>
      <c r="P254" s="3">
        <f ca="1">IFERROR(__xludf.DUMMYFUNCTION("""COMPUTED_VALUE"""),52.65)</f>
        <v>52.65</v>
      </c>
      <c r="Q254" s="3">
        <f ca="1">IFERROR(__xludf.DUMMYFUNCTION("""COMPUTED_VALUE"""),52.8)</f>
        <v>52.8</v>
      </c>
      <c r="R254" s="3">
        <f ca="1">IFERROR(__xludf.DUMMYFUNCTION("""COMPUTED_VALUE"""),12837332)</f>
        <v>12837332</v>
      </c>
      <c r="S254" s="4">
        <f ca="1">IFERROR(__xludf.DUMMYFUNCTION("""COMPUTED_VALUE"""),42493.6666666666)</f>
        <v>42493.666666666599</v>
      </c>
      <c r="T254" s="3">
        <f ca="1">IFERROR(__xludf.DUMMYFUNCTION("""COMPUTED_VALUE"""),66.52)</f>
        <v>66.52</v>
      </c>
      <c r="U254" s="3">
        <f ca="1">IFERROR(__xludf.DUMMYFUNCTION("""COMPUTED_VALUE"""),66.64)</f>
        <v>66.64</v>
      </c>
      <c r="V254" s="3">
        <f ca="1">IFERROR(__xludf.DUMMYFUNCTION("""COMPUTED_VALUE"""),65.43)</f>
        <v>65.430000000000007</v>
      </c>
      <c r="W254" s="3">
        <f ca="1">IFERROR(__xludf.DUMMYFUNCTION("""COMPUTED_VALUE"""),65.84)</f>
        <v>65.84</v>
      </c>
      <c r="X254" s="3">
        <f ca="1">IFERROR(__xludf.DUMMYFUNCTION("""COMPUTED_VALUE"""),16158058)</f>
        <v>16158058</v>
      </c>
      <c r="Y254" s="4">
        <f ca="1">IFERROR(__xludf.DUMMYFUNCTION("""COMPUTED_VALUE"""),42493.6666666666)</f>
        <v>42493.666666666599</v>
      </c>
      <c r="Z254" s="3">
        <f ca="1">IFERROR(__xludf.DUMMYFUNCTION("""COMPUTED_VALUE"""),18.88)</f>
        <v>18.88</v>
      </c>
      <c r="AA254" s="3">
        <f ca="1">IFERROR(__xludf.DUMMYFUNCTION("""COMPUTED_VALUE"""),18.9)</f>
        <v>18.899999999999999</v>
      </c>
      <c r="AB254" s="3">
        <f ca="1">IFERROR(__xludf.DUMMYFUNCTION("""COMPUTED_VALUE"""),18.69)</f>
        <v>18.690000000000001</v>
      </c>
      <c r="AC254" s="3">
        <f ca="1">IFERROR(__xludf.DUMMYFUNCTION("""COMPUTED_VALUE"""),18.86)</f>
        <v>18.86</v>
      </c>
      <c r="AD254" s="3">
        <f ca="1">IFERROR(__xludf.DUMMYFUNCTION("""COMPUTED_VALUE"""),35858748)</f>
        <v>35858748</v>
      </c>
      <c r="AE254" s="4">
        <f ca="1">IFERROR(__xludf.DUMMYFUNCTION("""COMPUTED_VALUE"""),42493.6666666666)</f>
        <v>42493.666666666599</v>
      </c>
      <c r="AF254" s="3">
        <f ca="1">IFERROR(__xludf.DUMMYFUNCTION("""COMPUTED_VALUE"""),69.94)</f>
        <v>69.94</v>
      </c>
      <c r="AG254" s="3">
        <f ca="1">IFERROR(__xludf.DUMMYFUNCTION("""COMPUTED_VALUE"""),70.4)</f>
        <v>70.400000000000006</v>
      </c>
      <c r="AH254" s="3">
        <f ca="1">IFERROR(__xludf.DUMMYFUNCTION("""COMPUTED_VALUE"""),69.7)</f>
        <v>69.7</v>
      </c>
      <c r="AI254" s="3">
        <f ca="1">IFERROR(__xludf.DUMMYFUNCTION("""COMPUTED_VALUE"""),69.97)</f>
        <v>69.97</v>
      </c>
      <c r="AJ254" s="3">
        <f ca="1">IFERROR(__xludf.DUMMYFUNCTION("""COMPUTED_VALUE"""),9436765)</f>
        <v>9436765</v>
      </c>
      <c r="AK254" s="4">
        <f ca="1">IFERROR(__xludf.DUMMYFUNCTION("""COMPUTED_VALUE"""),42493.6666666666)</f>
        <v>42493.666666666599</v>
      </c>
      <c r="AL254" s="3">
        <f ca="1">IFERROR(__xludf.DUMMYFUNCTION("""COMPUTED_VALUE"""),56.08)</f>
        <v>56.08</v>
      </c>
      <c r="AM254" s="3">
        <f ca="1">IFERROR(__xludf.DUMMYFUNCTION("""COMPUTED_VALUE"""),56.08)</f>
        <v>56.08</v>
      </c>
      <c r="AN254" s="3">
        <f ca="1">IFERROR(__xludf.DUMMYFUNCTION("""COMPUTED_VALUE"""),55.6)</f>
        <v>55.6</v>
      </c>
      <c r="AO254" s="3">
        <f ca="1">IFERROR(__xludf.DUMMYFUNCTION("""COMPUTED_VALUE"""),55.99)</f>
        <v>55.99</v>
      </c>
      <c r="AP254" s="3">
        <f ca="1">IFERROR(__xludf.DUMMYFUNCTION("""COMPUTED_VALUE"""),11171359)</f>
        <v>11171359</v>
      </c>
      <c r="AQ254" s="4">
        <f ca="1">IFERROR(__xludf.DUMMYFUNCTION("""COMPUTED_VALUE"""),42493.6666666666)</f>
        <v>42493.666666666599</v>
      </c>
      <c r="AR254" s="3">
        <f ca="1">IFERROR(__xludf.DUMMYFUNCTION("""COMPUTED_VALUE"""),46.83)</f>
        <v>46.83</v>
      </c>
      <c r="AS254" s="3">
        <f ca="1">IFERROR(__xludf.DUMMYFUNCTION("""COMPUTED_VALUE"""),46.86)</f>
        <v>46.86</v>
      </c>
      <c r="AT254" s="3">
        <f ca="1">IFERROR(__xludf.DUMMYFUNCTION("""COMPUTED_VALUE"""),46.29)</f>
        <v>46.29</v>
      </c>
      <c r="AU254" s="3">
        <f ca="1">IFERROR(__xludf.DUMMYFUNCTION("""COMPUTED_VALUE"""),46.49)</f>
        <v>46.49</v>
      </c>
      <c r="AV254" s="3">
        <f ca="1">IFERROR(__xludf.DUMMYFUNCTION("""COMPUTED_VALUE"""),9322214)</f>
        <v>9322214</v>
      </c>
      <c r="AW254" s="4">
        <f ca="1">IFERROR(__xludf.DUMMYFUNCTION("""COMPUTED_VALUE"""),42656.6666666666)</f>
        <v>42656.666666666599</v>
      </c>
      <c r="AX254" s="3">
        <f ca="1">IFERROR(__xludf.DUMMYFUNCTION("""COMPUTED_VALUE"""),31.27)</f>
        <v>31.27</v>
      </c>
      <c r="AY254" s="3">
        <f ca="1">IFERROR(__xludf.DUMMYFUNCTION("""COMPUTED_VALUE"""),31.54)</f>
        <v>31.54</v>
      </c>
      <c r="AZ254" s="3">
        <f ca="1">IFERROR(__xludf.DUMMYFUNCTION("""COMPUTED_VALUE"""),31.12)</f>
        <v>31.12</v>
      </c>
      <c r="BA254" s="3">
        <f ca="1">IFERROR(__xludf.DUMMYFUNCTION("""COMPUTED_VALUE"""),31.46)</f>
        <v>31.46</v>
      </c>
      <c r="BB254" s="3">
        <f ca="1">IFERROR(__xludf.DUMMYFUNCTION("""COMPUTED_VALUE"""),3299281)</f>
        <v>3299281</v>
      </c>
      <c r="BC254" s="4">
        <f ca="1">IFERROR(__xludf.DUMMYFUNCTION("""COMPUTED_VALUE"""),42493.6666666666)</f>
        <v>42493.666666666599</v>
      </c>
      <c r="BD254" s="3">
        <f ca="1">IFERROR(__xludf.DUMMYFUNCTION("""COMPUTED_VALUE"""),42.15)</f>
        <v>42.15</v>
      </c>
      <c r="BE254" s="3">
        <f ca="1">IFERROR(__xludf.DUMMYFUNCTION("""COMPUTED_VALUE"""),42.24)</f>
        <v>42.24</v>
      </c>
      <c r="BF254" s="3">
        <f ca="1">IFERROR(__xludf.DUMMYFUNCTION("""COMPUTED_VALUE"""),41.91)</f>
        <v>41.91</v>
      </c>
      <c r="BG254" s="3">
        <f ca="1">IFERROR(__xludf.DUMMYFUNCTION("""COMPUTED_VALUE"""),42.05)</f>
        <v>42.05</v>
      </c>
      <c r="BH254" s="3">
        <f ca="1">IFERROR(__xludf.DUMMYFUNCTION("""COMPUTED_VALUE"""),12531192)</f>
        <v>12531192</v>
      </c>
      <c r="BI254" s="4">
        <f ca="1">IFERROR(__xludf.DUMMYFUNCTION("""COMPUTED_VALUE"""),42493.6666666666)</f>
        <v>42493.666666666599</v>
      </c>
      <c r="BJ254" s="3">
        <f ca="1">IFERROR(__xludf.DUMMYFUNCTION("""COMPUTED_VALUE"""),48.77)</f>
        <v>48.77</v>
      </c>
      <c r="BK254" s="3">
        <f ca="1">IFERROR(__xludf.DUMMYFUNCTION("""COMPUTED_VALUE"""),49.03)</f>
        <v>49.03</v>
      </c>
      <c r="BL254" s="3">
        <f ca="1">IFERROR(__xludf.DUMMYFUNCTION("""COMPUTED_VALUE"""),48.5)</f>
        <v>48.5</v>
      </c>
      <c r="BM254" s="3">
        <f ca="1">IFERROR(__xludf.DUMMYFUNCTION("""COMPUTED_VALUE"""),48.77)</f>
        <v>48.77</v>
      </c>
      <c r="BN254" s="3">
        <f ca="1">IFERROR(__xludf.DUMMYFUNCTION("""COMPUTED_VALUE"""),15746653)</f>
        <v>15746653</v>
      </c>
    </row>
    <row r="255" spans="7:66" ht="13" x14ac:dyDescent="0.15">
      <c r="G255" s="4">
        <f ca="1">IFERROR(__xludf.DUMMYFUNCTION("""COMPUTED_VALUE"""),42494.6666666666)</f>
        <v>42494.666666666599</v>
      </c>
      <c r="H255" s="3">
        <f ca="1">IFERROR(__xludf.DUMMYFUNCTION("""COMPUTED_VALUE"""),78.92)</f>
        <v>78.92</v>
      </c>
      <c r="I255" s="3">
        <f ca="1">IFERROR(__xludf.DUMMYFUNCTION("""COMPUTED_VALUE"""),79.55)</f>
        <v>79.55</v>
      </c>
      <c r="J255" s="3">
        <f ca="1">IFERROR(__xludf.DUMMYFUNCTION("""COMPUTED_VALUE"""),78.85)</f>
        <v>78.849999999999994</v>
      </c>
      <c r="K255" s="3">
        <f ca="1">IFERROR(__xludf.DUMMYFUNCTION("""COMPUTED_VALUE"""),79.21)</f>
        <v>79.209999999999994</v>
      </c>
      <c r="L255" s="3">
        <f ca="1">IFERROR(__xludf.DUMMYFUNCTION("""COMPUTED_VALUE"""),6438236)</f>
        <v>6438236</v>
      </c>
      <c r="M255" s="4">
        <f ca="1">IFERROR(__xludf.DUMMYFUNCTION("""COMPUTED_VALUE"""),42494.6666666666)</f>
        <v>42494.666666666599</v>
      </c>
      <c r="N255" s="3">
        <f ca="1">IFERROR(__xludf.DUMMYFUNCTION("""COMPUTED_VALUE"""),52.65)</f>
        <v>52.65</v>
      </c>
      <c r="O255" s="3">
        <f ca="1">IFERROR(__xludf.DUMMYFUNCTION("""COMPUTED_VALUE"""),53.06)</f>
        <v>53.06</v>
      </c>
      <c r="P255" s="3">
        <f ca="1">IFERROR(__xludf.DUMMYFUNCTION("""COMPUTED_VALUE"""),52.5)</f>
        <v>52.5</v>
      </c>
      <c r="Q255" s="3">
        <f ca="1">IFERROR(__xludf.DUMMYFUNCTION("""COMPUTED_VALUE"""),52.96)</f>
        <v>52.96</v>
      </c>
      <c r="R255" s="3">
        <f ca="1">IFERROR(__xludf.DUMMYFUNCTION("""COMPUTED_VALUE"""),11003150)</f>
        <v>11003150</v>
      </c>
      <c r="S255" s="4">
        <f ca="1">IFERROR(__xludf.DUMMYFUNCTION("""COMPUTED_VALUE"""),42494.6666666666)</f>
        <v>42494.666666666599</v>
      </c>
      <c r="T255" s="3">
        <f ca="1">IFERROR(__xludf.DUMMYFUNCTION("""COMPUTED_VALUE"""),65.88)</f>
        <v>65.88</v>
      </c>
      <c r="U255" s="3">
        <f ca="1">IFERROR(__xludf.DUMMYFUNCTION("""COMPUTED_VALUE"""),66.34)</f>
        <v>66.34</v>
      </c>
      <c r="V255" s="3">
        <f ca="1">IFERROR(__xludf.DUMMYFUNCTION("""COMPUTED_VALUE"""),64.5)</f>
        <v>64.5</v>
      </c>
      <c r="W255" s="3">
        <f ca="1">IFERROR(__xludf.DUMMYFUNCTION("""COMPUTED_VALUE"""),64.89)</f>
        <v>64.89</v>
      </c>
      <c r="X255" s="3">
        <f ca="1">IFERROR(__xludf.DUMMYFUNCTION("""COMPUTED_VALUE"""),18605357)</f>
        <v>18605357</v>
      </c>
      <c r="Y255" s="4">
        <f ca="1">IFERROR(__xludf.DUMMYFUNCTION("""COMPUTED_VALUE"""),42494.6666666666)</f>
        <v>42494.666666666599</v>
      </c>
      <c r="Z255" s="3">
        <f ca="1">IFERROR(__xludf.DUMMYFUNCTION("""COMPUTED_VALUE"""),18.64)</f>
        <v>18.64</v>
      </c>
      <c r="AA255" s="3">
        <f ca="1">IFERROR(__xludf.DUMMYFUNCTION("""COMPUTED_VALUE"""),18.8)</f>
        <v>18.8</v>
      </c>
      <c r="AB255" s="3">
        <f ca="1">IFERROR(__xludf.DUMMYFUNCTION("""COMPUTED_VALUE"""),18.62)</f>
        <v>18.62</v>
      </c>
      <c r="AC255" s="3">
        <f ca="1">IFERROR(__xludf.DUMMYFUNCTION("""COMPUTED_VALUE"""),18.71)</f>
        <v>18.71</v>
      </c>
      <c r="AD255" s="3">
        <f ca="1">IFERROR(__xludf.DUMMYFUNCTION("""COMPUTED_VALUE"""),37747077)</f>
        <v>37747077</v>
      </c>
      <c r="AE255" s="4">
        <f ca="1">IFERROR(__xludf.DUMMYFUNCTION("""COMPUTED_VALUE"""),42494.6666666666)</f>
        <v>42494.666666666599</v>
      </c>
      <c r="AF255" s="3">
        <f ca="1">IFERROR(__xludf.DUMMYFUNCTION("""COMPUTED_VALUE"""),69.53)</f>
        <v>69.53</v>
      </c>
      <c r="AG255" s="3">
        <f ca="1">IFERROR(__xludf.DUMMYFUNCTION("""COMPUTED_VALUE"""),69.65)</f>
        <v>69.650000000000006</v>
      </c>
      <c r="AH255" s="3">
        <f ca="1">IFERROR(__xludf.DUMMYFUNCTION("""COMPUTED_VALUE"""),69.11)</f>
        <v>69.11</v>
      </c>
      <c r="AI255" s="3">
        <f ca="1">IFERROR(__xludf.DUMMYFUNCTION("""COMPUTED_VALUE"""),69.3)</f>
        <v>69.3</v>
      </c>
      <c r="AJ255" s="3">
        <f ca="1">IFERROR(__xludf.DUMMYFUNCTION("""COMPUTED_VALUE"""),11802044)</f>
        <v>11802044</v>
      </c>
      <c r="AK255" s="4">
        <f ca="1">IFERROR(__xludf.DUMMYFUNCTION("""COMPUTED_VALUE"""),42494.6666666666)</f>
        <v>42494.666666666599</v>
      </c>
      <c r="AL255" s="3">
        <f ca="1">IFERROR(__xludf.DUMMYFUNCTION("""COMPUTED_VALUE"""),55.69)</f>
        <v>55.69</v>
      </c>
      <c r="AM255" s="3">
        <f ca="1">IFERROR(__xludf.DUMMYFUNCTION("""COMPUTED_VALUE"""),55.73)</f>
        <v>55.73</v>
      </c>
      <c r="AN255" s="3">
        <f ca="1">IFERROR(__xludf.DUMMYFUNCTION("""COMPUTED_VALUE"""),55.06)</f>
        <v>55.06</v>
      </c>
      <c r="AO255" s="3">
        <f ca="1">IFERROR(__xludf.DUMMYFUNCTION("""COMPUTED_VALUE"""),55.3)</f>
        <v>55.3</v>
      </c>
      <c r="AP255" s="3">
        <f ca="1">IFERROR(__xludf.DUMMYFUNCTION("""COMPUTED_VALUE"""),22102900)</f>
        <v>22102900</v>
      </c>
      <c r="AQ255" s="4">
        <f ca="1">IFERROR(__xludf.DUMMYFUNCTION("""COMPUTED_VALUE"""),42494.6666666666)</f>
        <v>42494.666666666599</v>
      </c>
      <c r="AR255" s="3">
        <f ca="1">IFERROR(__xludf.DUMMYFUNCTION("""COMPUTED_VALUE"""),46.08)</f>
        <v>46.08</v>
      </c>
      <c r="AS255" s="3">
        <f ca="1">IFERROR(__xludf.DUMMYFUNCTION("""COMPUTED_VALUE"""),46.37)</f>
        <v>46.37</v>
      </c>
      <c r="AT255" s="3">
        <f ca="1">IFERROR(__xludf.DUMMYFUNCTION("""COMPUTED_VALUE"""),45.72)</f>
        <v>45.72</v>
      </c>
      <c r="AU255" s="3">
        <f ca="1">IFERROR(__xludf.DUMMYFUNCTION("""COMPUTED_VALUE"""),46.02)</f>
        <v>46.02</v>
      </c>
      <c r="AV255" s="3">
        <f ca="1">IFERROR(__xludf.DUMMYFUNCTION("""COMPUTED_VALUE"""),8070638)</f>
        <v>8070638</v>
      </c>
      <c r="AW255" s="4">
        <f ca="1">IFERROR(__xludf.DUMMYFUNCTION("""COMPUTED_VALUE"""),42657.6666666666)</f>
        <v>42657.666666666599</v>
      </c>
      <c r="AX255" s="3">
        <f ca="1">IFERROR(__xludf.DUMMYFUNCTION("""COMPUTED_VALUE"""),31.56)</f>
        <v>31.56</v>
      </c>
      <c r="AY255" s="3">
        <f ca="1">IFERROR(__xludf.DUMMYFUNCTION("""COMPUTED_VALUE"""),31.73)</f>
        <v>31.73</v>
      </c>
      <c r="AZ255" s="3">
        <f ca="1">IFERROR(__xludf.DUMMYFUNCTION("""COMPUTED_VALUE"""),31.35)</f>
        <v>31.35</v>
      </c>
      <c r="BA255" s="3">
        <f ca="1">IFERROR(__xludf.DUMMYFUNCTION("""COMPUTED_VALUE"""),31.42)</f>
        <v>31.42</v>
      </c>
      <c r="BB255" s="3">
        <f ca="1">IFERROR(__xludf.DUMMYFUNCTION("""COMPUTED_VALUE"""),2381432)</f>
        <v>2381432</v>
      </c>
      <c r="BC255" s="4">
        <f ca="1">IFERROR(__xludf.DUMMYFUNCTION("""COMPUTED_VALUE"""),42494.6666666666)</f>
        <v>42494.666666666599</v>
      </c>
      <c r="BD255" s="3">
        <f ca="1">IFERROR(__xludf.DUMMYFUNCTION("""COMPUTED_VALUE"""),41.86)</f>
        <v>41.86</v>
      </c>
      <c r="BE255" s="3">
        <f ca="1">IFERROR(__xludf.DUMMYFUNCTION("""COMPUTED_VALUE"""),42.04)</f>
        <v>42.04</v>
      </c>
      <c r="BF255" s="3">
        <f ca="1">IFERROR(__xludf.DUMMYFUNCTION("""COMPUTED_VALUE"""),41.8)</f>
        <v>41.8</v>
      </c>
      <c r="BG255" s="3">
        <f ca="1">IFERROR(__xludf.DUMMYFUNCTION("""COMPUTED_VALUE"""),41.92)</f>
        <v>41.92</v>
      </c>
      <c r="BH255" s="3">
        <f ca="1">IFERROR(__xludf.DUMMYFUNCTION("""COMPUTED_VALUE"""),11245655)</f>
        <v>11245655</v>
      </c>
      <c r="BI255" s="4">
        <f ca="1">IFERROR(__xludf.DUMMYFUNCTION("""COMPUTED_VALUE"""),42494.6666666666)</f>
        <v>42494.666666666599</v>
      </c>
      <c r="BJ255" s="3">
        <f ca="1">IFERROR(__xludf.DUMMYFUNCTION("""COMPUTED_VALUE"""),48.79)</f>
        <v>48.79</v>
      </c>
      <c r="BK255" s="3">
        <f ca="1">IFERROR(__xludf.DUMMYFUNCTION("""COMPUTED_VALUE"""),49.65)</f>
        <v>49.65</v>
      </c>
      <c r="BL255" s="3">
        <f ca="1">IFERROR(__xludf.DUMMYFUNCTION("""COMPUTED_VALUE"""),48.64)</f>
        <v>48.64</v>
      </c>
      <c r="BM255" s="3">
        <f ca="1">IFERROR(__xludf.DUMMYFUNCTION("""COMPUTED_VALUE"""),49.34)</f>
        <v>49.34</v>
      </c>
      <c r="BN255" s="3">
        <f ca="1">IFERROR(__xludf.DUMMYFUNCTION("""COMPUTED_VALUE"""),17603930)</f>
        <v>17603930</v>
      </c>
    </row>
    <row r="256" spans="7:66" ht="13" x14ac:dyDescent="0.15">
      <c r="G256" s="4">
        <f ca="1">IFERROR(__xludf.DUMMYFUNCTION("""COMPUTED_VALUE"""),42495.6666666666)</f>
        <v>42495.666666666599</v>
      </c>
      <c r="H256" s="3">
        <f ca="1">IFERROR(__xludf.DUMMYFUNCTION("""COMPUTED_VALUE"""),79.18)</f>
        <v>79.180000000000007</v>
      </c>
      <c r="I256" s="3">
        <f ca="1">IFERROR(__xludf.DUMMYFUNCTION("""COMPUTED_VALUE"""),79.27)</f>
        <v>79.27</v>
      </c>
      <c r="J256" s="3">
        <f ca="1">IFERROR(__xludf.DUMMYFUNCTION("""COMPUTED_VALUE"""),78.64)</f>
        <v>78.64</v>
      </c>
      <c r="K256" s="3">
        <f ca="1">IFERROR(__xludf.DUMMYFUNCTION("""COMPUTED_VALUE"""),78.7)</f>
        <v>78.7</v>
      </c>
      <c r="L256" s="3">
        <f ca="1">IFERROR(__xludf.DUMMYFUNCTION("""COMPUTED_VALUE"""),6294753)</f>
        <v>6294753</v>
      </c>
      <c r="M256" s="4">
        <f ca="1">IFERROR(__xludf.DUMMYFUNCTION("""COMPUTED_VALUE"""),42495.6666666666)</f>
        <v>42495.666666666599</v>
      </c>
      <c r="N256" s="3">
        <f ca="1">IFERROR(__xludf.DUMMYFUNCTION("""COMPUTED_VALUE"""),52.84)</f>
        <v>52.84</v>
      </c>
      <c r="O256" s="3">
        <f ca="1">IFERROR(__xludf.DUMMYFUNCTION("""COMPUTED_VALUE"""),53.26)</f>
        <v>53.26</v>
      </c>
      <c r="P256" s="3">
        <f ca="1">IFERROR(__xludf.DUMMYFUNCTION("""COMPUTED_VALUE"""),52.8)</f>
        <v>52.8</v>
      </c>
      <c r="Q256" s="3">
        <f ca="1">IFERROR(__xludf.DUMMYFUNCTION("""COMPUTED_VALUE"""),52.97)</f>
        <v>52.97</v>
      </c>
      <c r="R256" s="3">
        <f ca="1">IFERROR(__xludf.DUMMYFUNCTION("""COMPUTED_VALUE"""),10555852)</f>
        <v>10555852</v>
      </c>
      <c r="S256" s="4">
        <f ca="1">IFERROR(__xludf.DUMMYFUNCTION("""COMPUTED_VALUE"""),42495.6666666666)</f>
        <v>42495.666666666599</v>
      </c>
      <c r="T256" s="3">
        <f ca="1">IFERROR(__xludf.DUMMYFUNCTION("""COMPUTED_VALUE"""),65.99)</f>
        <v>65.989999999999995</v>
      </c>
      <c r="U256" s="3">
        <f ca="1">IFERROR(__xludf.DUMMYFUNCTION("""COMPUTED_VALUE"""),66.35)</f>
        <v>66.349999999999994</v>
      </c>
      <c r="V256" s="3">
        <f ca="1">IFERROR(__xludf.DUMMYFUNCTION("""COMPUTED_VALUE"""),64.88)</f>
        <v>64.88</v>
      </c>
      <c r="W256" s="3">
        <f ca="1">IFERROR(__xludf.DUMMYFUNCTION("""COMPUTED_VALUE"""),65.42)</f>
        <v>65.42</v>
      </c>
      <c r="X256" s="3">
        <f ca="1">IFERROR(__xludf.DUMMYFUNCTION("""COMPUTED_VALUE"""),14352026)</f>
        <v>14352026</v>
      </c>
      <c r="Y256" s="4">
        <f ca="1">IFERROR(__xludf.DUMMYFUNCTION("""COMPUTED_VALUE"""),42495.6666666666)</f>
        <v>42495.666666666599</v>
      </c>
      <c r="Z256" s="3">
        <f ca="1">IFERROR(__xludf.DUMMYFUNCTION("""COMPUTED_VALUE"""),18.75)</f>
        <v>18.75</v>
      </c>
      <c r="AA256" s="3">
        <f ca="1">IFERROR(__xludf.DUMMYFUNCTION("""COMPUTED_VALUE"""),18.82)</f>
        <v>18.82</v>
      </c>
      <c r="AB256" s="3">
        <f ca="1">IFERROR(__xludf.DUMMYFUNCTION("""COMPUTED_VALUE"""),18.65)</f>
        <v>18.649999999999999</v>
      </c>
      <c r="AC256" s="3">
        <f ca="1">IFERROR(__xludf.DUMMYFUNCTION("""COMPUTED_VALUE"""),18.7)</f>
        <v>18.7</v>
      </c>
      <c r="AD256" s="3">
        <f ca="1">IFERROR(__xludf.DUMMYFUNCTION("""COMPUTED_VALUE"""),38215354)</f>
        <v>38215354</v>
      </c>
      <c r="AE256" s="4">
        <f ca="1">IFERROR(__xludf.DUMMYFUNCTION("""COMPUTED_VALUE"""),42495.6666666666)</f>
        <v>42495.666666666599</v>
      </c>
      <c r="AF256" s="3">
        <f ca="1">IFERROR(__xludf.DUMMYFUNCTION("""COMPUTED_VALUE"""),69.31)</f>
        <v>69.31</v>
      </c>
      <c r="AG256" s="3">
        <f ca="1">IFERROR(__xludf.DUMMYFUNCTION("""COMPUTED_VALUE"""),69.69)</f>
        <v>69.69</v>
      </c>
      <c r="AH256" s="3">
        <f ca="1">IFERROR(__xludf.DUMMYFUNCTION("""COMPUTED_VALUE"""),69.16)</f>
        <v>69.16</v>
      </c>
      <c r="AI256" s="3">
        <f ca="1">IFERROR(__xludf.DUMMYFUNCTION("""COMPUTED_VALUE"""),69.59)</f>
        <v>69.59</v>
      </c>
      <c r="AJ256" s="3">
        <f ca="1">IFERROR(__xludf.DUMMYFUNCTION("""COMPUTED_VALUE"""),10145219)</f>
        <v>10145219</v>
      </c>
      <c r="AK256" s="4">
        <f ca="1">IFERROR(__xludf.DUMMYFUNCTION("""COMPUTED_VALUE"""),42495.6666666666)</f>
        <v>42495.666666666599</v>
      </c>
      <c r="AL256" s="3">
        <f ca="1">IFERROR(__xludf.DUMMYFUNCTION("""COMPUTED_VALUE"""),55.45)</f>
        <v>55.45</v>
      </c>
      <c r="AM256" s="3">
        <f ca="1">IFERROR(__xludf.DUMMYFUNCTION("""COMPUTED_VALUE"""),55.59)</f>
        <v>55.59</v>
      </c>
      <c r="AN256" s="3">
        <f ca="1">IFERROR(__xludf.DUMMYFUNCTION("""COMPUTED_VALUE"""),55.15)</f>
        <v>55.15</v>
      </c>
      <c r="AO256" s="3">
        <f ca="1">IFERROR(__xludf.DUMMYFUNCTION("""COMPUTED_VALUE"""),55.27)</f>
        <v>55.27</v>
      </c>
      <c r="AP256" s="3">
        <f ca="1">IFERROR(__xludf.DUMMYFUNCTION("""COMPUTED_VALUE"""),12841127)</f>
        <v>12841127</v>
      </c>
      <c r="AQ256" s="4">
        <f ca="1">IFERROR(__xludf.DUMMYFUNCTION("""COMPUTED_VALUE"""),42495.6666666666)</f>
        <v>42495.666666666599</v>
      </c>
      <c r="AR256" s="3">
        <f ca="1">IFERROR(__xludf.DUMMYFUNCTION("""COMPUTED_VALUE"""),46.31)</f>
        <v>46.31</v>
      </c>
      <c r="AS256" s="3">
        <f ca="1">IFERROR(__xludf.DUMMYFUNCTION("""COMPUTED_VALUE"""),46.38)</f>
        <v>46.38</v>
      </c>
      <c r="AT256" s="3">
        <f ca="1">IFERROR(__xludf.DUMMYFUNCTION("""COMPUTED_VALUE"""),45.71)</f>
        <v>45.71</v>
      </c>
      <c r="AU256" s="3">
        <f ca="1">IFERROR(__xludf.DUMMYFUNCTION("""COMPUTED_VALUE"""),45.79)</f>
        <v>45.79</v>
      </c>
      <c r="AV256" s="3">
        <f ca="1">IFERROR(__xludf.DUMMYFUNCTION("""COMPUTED_VALUE"""),6970993)</f>
        <v>6970993</v>
      </c>
      <c r="AW256" s="4">
        <f ca="1">IFERROR(__xludf.DUMMYFUNCTION("""COMPUTED_VALUE"""),42660.6666666666)</f>
        <v>42660.666666666599</v>
      </c>
      <c r="AX256" s="3">
        <f ca="1">IFERROR(__xludf.DUMMYFUNCTION("""COMPUTED_VALUE"""),31.42)</f>
        <v>31.42</v>
      </c>
      <c r="AY256" s="3">
        <f ca="1">IFERROR(__xludf.DUMMYFUNCTION("""COMPUTED_VALUE"""),31.61)</f>
        <v>31.61</v>
      </c>
      <c r="AZ256" s="3">
        <f ca="1">IFERROR(__xludf.DUMMYFUNCTION("""COMPUTED_VALUE"""),31.4)</f>
        <v>31.4</v>
      </c>
      <c r="BA256" s="3">
        <f ca="1">IFERROR(__xludf.DUMMYFUNCTION("""COMPUTED_VALUE"""),31.45)</f>
        <v>31.45</v>
      </c>
      <c r="BB256" s="3">
        <f ca="1">IFERROR(__xludf.DUMMYFUNCTION("""COMPUTED_VALUE"""),1148299)</f>
        <v>1148299</v>
      </c>
      <c r="BC256" s="4">
        <f ca="1">IFERROR(__xludf.DUMMYFUNCTION("""COMPUTED_VALUE"""),42495.6666666666)</f>
        <v>42495.666666666599</v>
      </c>
      <c r="BD256" s="3">
        <f ca="1">IFERROR(__xludf.DUMMYFUNCTION("""COMPUTED_VALUE"""),42.04)</f>
        <v>42.04</v>
      </c>
      <c r="BE256" s="3">
        <f ca="1">IFERROR(__xludf.DUMMYFUNCTION("""COMPUTED_VALUE"""),42.14)</f>
        <v>42.14</v>
      </c>
      <c r="BF256" s="3">
        <f ca="1">IFERROR(__xludf.DUMMYFUNCTION("""COMPUTED_VALUE"""),41.84)</f>
        <v>41.84</v>
      </c>
      <c r="BG256" s="3">
        <f ca="1">IFERROR(__xludf.DUMMYFUNCTION("""COMPUTED_VALUE"""),41.94)</f>
        <v>41.94</v>
      </c>
      <c r="BH256" s="3">
        <f ca="1">IFERROR(__xludf.DUMMYFUNCTION("""COMPUTED_VALUE"""),13559918)</f>
        <v>13559918</v>
      </c>
      <c r="BI256" s="4">
        <f ca="1">IFERROR(__xludf.DUMMYFUNCTION("""COMPUTED_VALUE"""),42495.6666666666)</f>
        <v>42495.666666666599</v>
      </c>
      <c r="BJ256" s="3">
        <f ca="1">IFERROR(__xludf.DUMMYFUNCTION("""COMPUTED_VALUE"""),49.2)</f>
        <v>49.2</v>
      </c>
      <c r="BK256" s="3">
        <f ca="1">IFERROR(__xludf.DUMMYFUNCTION("""COMPUTED_VALUE"""),49.75)</f>
        <v>49.75</v>
      </c>
      <c r="BL256" s="3">
        <f ca="1">IFERROR(__xludf.DUMMYFUNCTION("""COMPUTED_VALUE"""),48.97)</f>
        <v>48.97</v>
      </c>
      <c r="BM256" s="3">
        <f ca="1">IFERROR(__xludf.DUMMYFUNCTION("""COMPUTED_VALUE"""),49.15)</f>
        <v>49.15</v>
      </c>
      <c r="BN256" s="3">
        <f ca="1">IFERROR(__xludf.DUMMYFUNCTION("""COMPUTED_VALUE"""),15826480)</f>
        <v>15826480</v>
      </c>
    </row>
    <row r="257" spans="7:66" ht="13" x14ac:dyDescent="0.15">
      <c r="G257" s="4">
        <f ca="1">IFERROR(__xludf.DUMMYFUNCTION("""COMPUTED_VALUE"""),42496.6666666666)</f>
        <v>42496.666666666599</v>
      </c>
      <c r="H257" s="3">
        <f ca="1">IFERROR(__xludf.DUMMYFUNCTION("""COMPUTED_VALUE"""),78.54)</f>
        <v>78.540000000000006</v>
      </c>
      <c r="I257" s="3">
        <f ca="1">IFERROR(__xludf.DUMMYFUNCTION("""COMPUTED_VALUE"""),79.28)</f>
        <v>79.28</v>
      </c>
      <c r="J257" s="3">
        <f ca="1">IFERROR(__xludf.DUMMYFUNCTION("""COMPUTED_VALUE"""),78.28)</f>
        <v>78.28</v>
      </c>
      <c r="K257" s="3">
        <f ca="1">IFERROR(__xludf.DUMMYFUNCTION("""COMPUTED_VALUE"""),79.28)</f>
        <v>79.28</v>
      </c>
      <c r="L257" s="3">
        <f ca="1">IFERROR(__xludf.DUMMYFUNCTION("""COMPUTED_VALUE"""),5391700)</f>
        <v>5391700</v>
      </c>
      <c r="M257" s="4">
        <f ca="1">IFERROR(__xludf.DUMMYFUNCTION("""COMPUTED_VALUE"""),42496.6666666666)</f>
        <v>42496.666666666599</v>
      </c>
      <c r="N257" s="3">
        <f ca="1">IFERROR(__xludf.DUMMYFUNCTION("""COMPUTED_VALUE"""),52.89)</f>
        <v>52.89</v>
      </c>
      <c r="O257" s="3">
        <f ca="1">IFERROR(__xludf.DUMMYFUNCTION("""COMPUTED_VALUE"""),53.24)</f>
        <v>53.24</v>
      </c>
      <c r="P257" s="3">
        <f ca="1">IFERROR(__xludf.DUMMYFUNCTION("""COMPUTED_VALUE"""),52.72)</f>
        <v>52.72</v>
      </c>
      <c r="Q257" s="3">
        <f ca="1">IFERROR(__xludf.DUMMYFUNCTION("""COMPUTED_VALUE"""),53.24)</f>
        <v>53.24</v>
      </c>
      <c r="R257" s="3">
        <f ca="1">IFERROR(__xludf.DUMMYFUNCTION("""COMPUTED_VALUE"""),8435388)</f>
        <v>8435388</v>
      </c>
      <c r="S257" s="4">
        <f ca="1">IFERROR(__xludf.DUMMYFUNCTION("""COMPUTED_VALUE"""),42496.6666666666)</f>
        <v>42496.666666666599</v>
      </c>
      <c r="T257" s="3">
        <f ca="1">IFERROR(__xludf.DUMMYFUNCTION("""COMPUTED_VALUE"""),65)</f>
        <v>65</v>
      </c>
      <c r="U257" s="3">
        <f ca="1">IFERROR(__xludf.DUMMYFUNCTION("""COMPUTED_VALUE"""),66.07)</f>
        <v>66.069999999999993</v>
      </c>
      <c r="V257" s="3">
        <f ca="1">IFERROR(__xludf.DUMMYFUNCTION("""COMPUTED_VALUE"""),64.83)</f>
        <v>64.83</v>
      </c>
      <c r="W257" s="3">
        <f ca="1">IFERROR(__xludf.DUMMYFUNCTION("""COMPUTED_VALUE"""),65.27)</f>
        <v>65.27</v>
      </c>
      <c r="X257" s="3">
        <f ca="1">IFERROR(__xludf.DUMMYFUNCTION("""COMPUTED_VALUE"""),12545475)</f>
        <v>12545475</v>
      </c>
      <c r="Y257" s="4">
        <f ca="1">IFERROR(__xludf.DUMMYFUNCTION("""COMPUTED_VALUE"""),42496.6666666666)</f>
        <v>42496.666666666599</v>
      </c>
      <c r="Z257" s="3">
        <f ca="1">IFERROR(__xludf.DUMMYFUNCTION("""COMPUTED_VALUE"""),18.56)</f>
        <v>18.559999999999999</v>
      </c>
      <c r="AA257" s="3">
        <f ca="1">IFERROR(__xludf.DUMMYFUNCTION("""COMPUTED_VALUE"""),18.79)</f>
        <v>18.79</v>
      </c>
      <c r="AB257" s="3">
        <f ca="1">IFERROR(__xludf.DUMMYFUNCTION("""COMPUTED_VALUE"""),18.56)</f>
        <v>18.559999999999999</v>
      </c>
      <c r="AC257" s="3">
        <f ca="1">IFERROR(__xludf.DUMMYFUNCTION("""COMPUTED_VALUE"""),18.78)</f>
        <v>18.78</v>
      </c>
      <c r="AD257" s="3">
        <f ca="1">IFERROR(__xludf.DUMMYFUNCTION("""COMPUTED_VALUE"""),31652361)</f>
        <v>31652361</v>
      </c>
      <c r="AE257" s="4">
        <f ca="1">IFERROR(__xludf.DUMMYFUNCTION("""COMPUTED_VALUE"""),42496.6666666666)</f>
        <v>42496.666666666599</v>
      </c>
      <c r="AF257" s="3">
        <f ca="1">IFERROR(__xludf.DUMMYFUNCTION("""COMPUTED_VALUE"""),69.34)</f>
        <v>69.34</v>
      </c>
      <c r="AG257" s="3">
        <f ca="1">IFERROR(__xludf.DUMMYFUNCTION("""COMPUTED_VALUE"""),69.54)</f>
        <v>69.540000000000006</v>
      </c>
      <c r="AH257" s="3">
        <f ca="1">IFERROR(__xludf.DUMMYFUNCTION("""COMPUTED_VALUE"""),68.61)</f>
        <v>68.61</v>
      </c>
      <c r="AI257" s="3">
        <f ca="1">IFERROR(__xludf.DUMMYFUNCTION("""COMPUTED_VALUE"""),69.18)</f>
        <v>69.180000000000007</v>
      </c>
      <c r="AJ257" s="3">
        <f ca="1">IFERROR(__xludf.DUMMYFUNCTION("""COMPUTED_VALUE"""),14164252)</f>
        <v>14164252</v>
      </c>
      <c r="AK257" s="4">
        <f ca="1">IFERROR(__xludf.DUMMYFUNCTION("""COMPUTED_VALUE"""),42496.6666666666)</f>
        <v>42496.666666666599</v>
      </c>
      <c r="AL257" s="3">
        <f ca="1">IFERROR(__xludf.DUMMYFUNCTION("""COMPUTED_VALUE"""),55.04)</f>
        <v>55.04</v>
      </c>
      <c r="AM257" s="3">
        <f ca="1">IFERROR(__xludf.DUMMYFUNCTION("""COMPUTED_VALUE"""),55.68)</f>
        <v>55.68</v>
      </c>
      <c r="AN257" s="3">
        <f ca="1">IFERROR(__xludf.DUMMYFUNCTION("""COMPUTED_VALUE"""),54.94)</f>
        <v>54.94</v>
      </c>
      <c r="AO257" s="3">
        <f ca="1">IFERROR(__xludf.DUMMYFUNCTION("""COMPUTED_VALUE"""),55.64)</f>
        <v>55.64</v>
      </c>
      <c r="AP257" s="3">
        <f ca="1">IFERROR(__xludf.DUMMYFUNCTION("""COMPUTED_VALUE"""),9934378)</f>
        <v>9934378</v>
      </c>
      <c r="AQ257" s="4">
        <f ca="1">IFERROR(__xludf.DUMMYFUNCTION("""COMPUTED_VALUE"""),42496.6666666666)</f>
        <v>42496.666666666599</v>
      </c>
      <c r="AR257" s="3">
        <f ca="1">IFERROR(__xludf.DUMMYFUNCTION("""COMPUTED_VALUE"""),45.69)</f>
        <v>45.69</v>
      </c>
      <c r="AS257" s="3">
        <f ca="1">IFERROR(__xludf.DUMMYFUNCTION("""COMPUTED_VALUE"""),46.2)</f>
        <v>46.2</v>
      </c>
      <c r="AT257" s="3">
        <f ca="1">IFERROR(__xludf.DUMMYFUNCTION("""COMPUTED_VALUE"""),45.54)</f>
        <v>45.54</v>
      </c>
      <c r="AU257" s="3">
        <f ca="1">IFERROR(__xludf.DUMMYFUNCTION("""COMPUTED_VALUE"""),46.16)</f>
        <v>46.16</v>
      </c>
      <c r="AV257" s="3">
        <f ca="1">IFERROR(__xludf.DUMMYFUNCTION("""COMPUTED_VALUE"""),6777265)</f>
        <v>6777265</v>
      </c>
      <c r="AW257" s="4">
        <f ca="1">IFERROR(__xludf.DUMMYFUNCTION("""COMPUTED_VALUE"""),42661.6666666666)</f>
        <v>42661.666666666599</v>
      </c>
      <c r="AX257" s="3">
        <f ca="1">IFERROR(__xludf.DUMMYFUNCTION("""COMPUTED_VALUE"""),31.65)</f>
        <v>31.65</v>
      </c>
      <c r="AY257" s="3">
        <f ca="1">IFERROR(__xludf.DUMMYFUNCTION("""COMPUTED_VALUE"""),31.81)</f>
        <v>31.81</v>
      </c>
      <c r="AZ257" s="3">
        <f ca="1">IFERROR(__xludf.DUMMYFUNCTION("""COMPUTED_VALUE"""),31.54)</f>
        <v>31.54</v>
      </c>
      <c r="BA257" s="3">
        <f ca="1">IFERROR(__xludf.DUMMYFUNCTION("""COMPUTED_VALUE"""),31.61)</f>
        <v>31.61</v>
      </c>
      <c r="BB257" s="3">
        <f ca="1">IFERROR(__xludf.DUMMYFUNCTION("""COMPUTED_VALUE"""),4753162)</f>
        <v>4753162</v>
      </c>
      <c r="BC257" s="4">
        <f ca="1">IFERROR(__xludf.DUMMYFUNCTION("""COMPUTED_VALUE"""),42496.6666666666)</f>
        <v>42496.666666666599</v>
      </c>
      <c r="BD257" s="3">
        <f ca="1">IFERROR(__xludf.DUMMYFUNCTION("""COMPUTED_VALUE"""),41.76)</f>
        <v>41.76</v>
      </c>
      <c r="BE257" s="3">
        <f ca="1">IFERROR(__xludf.DUMMYFUNCTION("""COMPUTED_VALUE"""),42.25)</f>
        <v>42.25</v>
      </c>
      <c r="BF257" s="3">
        <f ca="1">IFERROR(__xludf.DUMMYFUNCTION("""COMPUTED_VALUE"""),41.76)</f>
        <v>41.76</v>
      </c>
      <c r="BG257" s="3">
        <f ca="1">IFERROR(__xludf.DUMMYFUNCTION("""COMPUTED_VALUE"""),42.25)</f>
        <v>42.25</v>
      </c>
      <c r="BH257" s="3">
        <f ca="1">IFERROR(__xludf.DUMMYFUNCTION("""COMPUTED_VALUE"""),9229886)</f>
        <v>9229886</v>
      </c>
      <c r="BI257" s="4">
        <f ca="1">IFERROR(__xludf.DUMMYFUNCTION("""COMPUTED_VALUE"""),42496.6666666666)</f>
        <v>42496.666666666599</v>
      </c>
      <c r="BJ257" s="3">
        <f ca="1">IFERROR(__xludf.DUMMYFUNCTION("""COMPUTED_VALUE"""),48.91)</f>
        <v>48.91</v>
      </c>
      <c r="BK257" s="3">
        <f ca="1">IFERROR(__xludf.DUMMYFUNCTION("""COMPUTED_VALUE"""),49.08)</f>
        <v>49.08</v>
      </c>
      <c r="BL257" s="3">
        <f ca="1">IFERROR(__xludf.DUMMYFUNCTION("""COMPUTED_VALUE"""),48.39)</f>
        <v>48.39</v>
      </c>
      <c r="BM257" s="3">
        <f ca="1">IFERROR(__xludf.DUMMYFUNCTION("""COMPUTED_VALUE"""),48.83)</f>
        <v>48.83</v>
      </c>
      <c r="BN257" s="3">
        <f ca="1">IFERROR(__xludf.DUMMYFUNCTION("""COMPUTED_VALUE"""),20053586)</f>
        <v>20053586</v>
      </c>
    </row>
    <row r="258" spans="7:66" ht="13" x14ac:dyDescent="0.15">
      <c r="G258" s="4">
        <f ca="1">IFERROR(__xludf.DUMMYFUNCTION("""COMPUTED_VALUE"""),42499.6666666666)</f>
        <v>42499.666666666599</v>
      </c>
      <c r="H258" s="3">
        <f ca="1">IFERROR(__xludf.DUMMYFUNCTION("""COMPUTED_VALUE"""),79.25)</f>
        <v>79.25</v>
      </c>
      <c r="I258" s="3">
        <f ca="1">IFERROR(__xludf.DUMMYFUNCTION("""COMPUTED_VALUE"""),79.73)</f>
        <v>79.73</v>
      </c>
      <c r="J258" s="3">
        <f ca="1">IFERROR(__xludf.DUMMYFUNCTION("""COMPUTED_VALUE"""),79.22)</f>
        <v>79.22</v>
      </c>
      <c r="K258" s="3">
        <f ca="1">IFERROR(__xludf.DUMMYFUNCTION("""COMPUTED_VALUE"""),79.5)</f>
        <v>79.5</v>
      </c>
      <c r="L258" s="3">
        <f ca="1">IFERROR(__xludf.DUMMYFUNCTION("""COMPUTED_VALUE"""),5216513)</f>
        <v>5216513</v>
      </c>
      <c r="M258" s="4">
        <f ca="1">IFERROR(__xludf.DUMMYFUNCTION("""COMPUTED_VALUE"""),42499.6666666666)</f>
        <v>42499.666666666599</v>
      </c>
      <c r="N258" s="3">
        <f ca="1">IFERROR(__xludf.DUMMYFUNCTION("""COMPUTED_VALUE"""),53.27)</f>
        <v>53.27</v>
      </c>
      <c r="O258" s="3">
        <f ca="1">IFERROR(__xludf.DUMMYFUNCTION("""COMPUTED_VALUE"""),53.68)</f>
        <v>53.68</v>
      </c>
      <c r="P258" s="3">
        <f ca="1">IFERROR(__xludf.DUMMYFUNCTION("""COMPUTED_VALUE"""),53.15)</f>
        <v>53.15</v>
      </c>
      <c r="Q258" s="3">
        <f ca="1">IFERROR(__xludf.DUMMYFUNCTION("""COMPUTED_VALUE"""),53.53)</f>
        <v>53.53</v>
      </c>
      <c r="R258" s="3">
        <f ca="1">IFERROR(__xludf.DUMMYFUNCTION("""COMPUTED_VALUE"""),9845154)</f>
        <v>9845154</v>
      </c>
      <c r="S258" s="4">
        <f ca="1">IFERROR(__xludf.DUMMYFUNCTION("""COMPUTED_VALUE"""),42499.6666666666)</f>
        <v>42499.666666666599</v>
      </c>
      <c r="T258" s="3">
        <f ca="1">IFERROR(__xludf.DUMMYFUNCTION("""COMPUTED_VALUE"""),64.9)</f>
        <v>64.900000000000006</v>
      </c>
      <c r="U258" s="3">
        <f ca="1">IFERROR(__xludf.DUMMYFUNCTION("""COMPUTED_VALUE"""),65.04)</f>
        <v>65.040000000000006</v>
      </c>
      <c r="V258" s="3">
        <f ca="1">IFERROR(__xludf.DUMMYFUNCTION("""COMPUTED_VALUE"""),63.5)</f>
        <v>63.5</v>
      </c>
      <c r="W258" s="3">
        <f ca="1">IFERROR(__xludf.DUMMYFUNCTION("""COMPUTED_VALUE"""),64.32)</f>
        <v>64.319999999999993</v>
      </c>
      <c r="X258" s="3">
        <f ca="1">IFERROR(__xludf.DUMMYFUNCTION("""COMPUTED_VALUE"""),16020841)</f>
        <v>16020841</v>
      </c>
      <c r="Y258" s="4">
        <f ca="1">IFERROR(__xludf.DUMMYFUNCTION("""COMPUTED_VALUE"""),42499.6666666666)</f>
        <v>42499.666666666599</v>
      </c>
      <c r="Z258" s="3">
        <f ca="1">IFERROR(__xludf.DUMMYFUNCTION("""COMPUTED_VALUE"""),18.75)</f>
        <v>18.75</v>
      </c>
      <c r="AA258" s="3">
        <f ca="1">IFERROR(__xludf.DUMMYFUNCTION("""COMPUTED_VALUE"""),18.84)</f>
        <v>18.84</v>
      </c>
      <c r="AB258" s="3">
        <f ca="1">IFERROR(__xludf.DUMMYFUNCTION("""COMPUTED_VALUE"""),18.66)</f>
        <v>18.66</v>
      </c>
      <c r="AC258" s="3">
        <f ca="1">IFERROR(__xludf.DUMMYFUNCTION("""COMPUTED_VALUE"""),18.73)</f>
        <v>18.73</v>
      </c>
      <c r="AD258" s="3">
        <f ca="1">IFERROR(__xludf.DUMMYFUNCTION("""COMPUTED_VALUE"""),25986442)</f>
        <v>25986442</v>
      </c>
      <c r="AE258" s="4">
        <f ca="1">IFERROR(__xludf.DUMMYFUNCTION("""COMPUTED_VALUE"""),42499.6666666666)</f>
        <v>42499.666666666599</v>
      </c>
      <c r="AF258" s="3">
        <f ca="1">IFERROR(__xludf.DUMMYFUNCTION("""COMPUTED_VALUE"""),69.18)</f>
        <v>69.180000000000007</v>
      </c>
      <c r="AG258" s="3">
        <f ca="1">IFERROR(__xludf.DUMMYFUNCTION("""COMPUTED_VALUE"""),70.19)</f>
        <v>70.19</v>
      </c>
      <c r="AH258" s="3">
        <f ca="1">IFERROR(__xludf.DUMMYFUNCTION("""COMPUTED_VALUE"""),69.15)</f>
        <v>69.150000000000006</v>
      </c>
      <c r="AI258" s="3">
        <f ca="1">IFERROR(__xludf.DUMMYFUNCTION("""COMPUTED_VALUE"""),69.97)</f>
        <v>69.97</v>
      </c>
      <c r="AJ258" s="3">
        <f ca="1">IFERROR(__xludf.DUMMYFUNCTION("""COMPUTED_VALUE"""),13606997)</f>
        <v>13606997</v>
      </c>
      <c r="AK258" s="4">
        <f ca="1">IFERROR(__xludf.DUMMYFUNCTION("""COMPUTED_VALUE"""),42499.6666666666)</f>
        <v>42499.666666666599</v>
      </c>
      <c r="AL258" s="3">
        <f ca="1">IFERROR(__xludf.DUMMYFUNCTION("""COMPUTED_VALUE"""),55.52)</f>
        <v>55.52</v>
      </c>
      <c r="AM258" s="3">
        <f ca="1">IFERROR(__xludf.DUMMYFUNCTION("""COMPUTED_VALUE"""),55.63)</f>
        <v>55.63</v>
      </c>
      <c r="AN258" s="3">
        <f ca="1">IFERROR(__xludf.DUMMYFUNCTION("""COMPUTED_VALUE"""),55.27)</f>
        <v>55.27</v>
      </c>
      <c r="AO258" s="3">
        <f ca="1">IFERROR(__xludf.DUMMYFUNCTION("""COMPUTED_VALUE"""),55.39)</f>
        <v>55.39</v>
      </c>
      <c r="AP258" s="3">
        <f ca="1">IFERROR(__xludf.DUMMYFUNCTION("""COMPUTED_VALUE"""),7765106)</f>
        <v>7765106</v>
      </c>
      <c r="AQ258" s="4">
        <f ca="1">IFERROR(__xludf.DUMMYFUNCTION("""COMPUTED_VALUE"""),42499.6666666666)</f>
        <v>42499.666666666599</v>
      </c>
      <c r="AR258" s="3">
        <f ca="1">IFERROR(__xludf.DUMMYFUNCTION("""COMPUTED_VALUE"""),45.81)</f>
        <v>45.81</v>
      </c>
      <c r="AS258" s="3">
        <f ca="1">IFERROR(__xludf.DUMMYFUNCTION("""COMPUTED_VALUE"""),45.88)</f>
        <v>45.88</v>
      </c>
      <c r="AT258" s="3">
        <f ca="1">IFERROR(__xludf.DUMMYFUNCTION("""COMPUTED_VALUE"""),45.54)</f>
        <v>45.54</v>
      </c>
      <c r="AU258" s="3">
        <f ca="1">IFERROR(__xludf.DUMMYFUNCTION("""COMPUTED_VALUE"""),45.6)</f>
        <v>45.6</v>
      </c>
      <c r="AV258" s="3">
        <f ca="1">IFERROR(__xludf.DUMMYFUNCTION("""COMPUTED_VALUE"""),6569086)</f>
        <v>6569086</v>
      </c>
      <c r="AW258" s="4">
        <f ca="1">IFERROR(__xludf.DUMMYFUNCTION("""COMPUTED_VALUE"""),42662.6666666666)</f>
        <v>42662.666666666599</v>
      </c>
      <c r="AX258" s="3">
        <f ca="1">IFERROR(__xludf.DUMMYFUNCTION("""COMPUTED_VALUE"""),31.76)</f>
        <v>31.76</v>
      </c>
      <c r="AY258" s="3">
        <f ca="1">IFERROR(__xludf.DUMMYFUNCTION("""COMPUTED_VALUE"""),31.76)</f>
        <v>31.76</v>
      </c>
      <c r="AZ258" s="3">
        <f ca="1">IFERROR(__xludf.DUMMYFUNCTION("""COMPUTED_VALUE"""),31.44)</f>
        <v>31.44</v>
      </c>
      <c r="BA258" s="3">
        <f ca="1">IFERROR(__xludf.DUMMYFUNCTION("""COMPUTED_VALUE"""),31.73)</f>
        <v>31.73</v>
      </c>
      <c r="BB258" s="3">
        <f ca="1">IFERROR(__xludf.DUMMYFUNCTION("""COMPUTED_VALUE"""),1515634)</f>
        <v>1515634</v>
      </c>
      <c r="BC258" s="4">
        <f ca="1">IFERROR(__xludf.DUMMYFUNCTION("""COMPUTED_VALUE"""),42499.6666666666)</f>
        <v>42499.666666666599</v>
      </c>
      <c r="BD258" s="3">
        <f ca="1">IFERROR(__xludf.DUMMYFUNCTION("""COMPUTED_VALUE"""),42.27)</f>
        <v>42.27</v>
      </c>
      <c r="BE258" s="3">
        <f ca="1">IFERROR(__xludf.DUMMYFUNCTION("""COMPUTED_VALUE"""),42.45)</f>
        <v>42.45</v>
      </c>
      <c r="BF258" s="3">
        <f ca="1">IFERROR(__xludf.DUMMYFUNCTION("""COMPUTED_VALUE"""),42.22)</f>
        <v>42.22</v>
      </c>
      <c r="BG258" s="3">
        <f ca="1">IFERROR(__xludf.DUMMYFUNCTION("""COMPUTED_VALUE"""),42.25)</f>
        <v>42.25</v>
      </c>
      <c r="BH258" s="3">
        <f ca="1">IFERROR(__xludf.DUMMYFUNCTION("""COMPUTED_VALUE"""),7541183)</f>
        <v>7541183</v>
      </c>
      <c r="BI258" s="4">
        <f ca="1">IFERROR(__xludf.DUMMYFUNCTION("""COMPUTED_VALUE"""),42499.6666666666)</f>
        <v>42499.666666666599</v>
      </c>
      <c r="BJ258" s="3">
        <f ca="1">IFERROR(__xludf.DUMMYFUNCTION("""COMPUTED_VALUE"""),48.86)</f>
        <v>48.86</v>
      </c>
      <c r="BK258" s="3">
        <f ca="1">IFERROR(__xludf.DUMMYFUNCTION("""COMPUTED_VALUE"""),49.18)</f>
        <v>49.18</v>
      </c>
      <c r="BL258" s="3">
        <f ca="1">IFERROR(__xludf.DUMMYFUNCTION("""COMPUTED_VALUE"""),48.76)</f>
        <v>48.76</v>
      </c>
      <c r="BM258" s="3">
        <f ca="1">IFERROR(__xludf.DUMMYFUNCTION("""COMPUTED_VALUE"""),49.11)</f>
        <v>49.11</v>
      </c>
      <c r="BN258" s="3">
        <f ca="1">IFERROR(__xludf.DUMMYFUNCTION("""COMPUTED_VALUE"""),11231779)</f>
        <v>11231779</v>
      </c>
    </row>
    <row r="259" spans="7:66" ht="13" x14ac:dyDescent="0.15">
      <c r="G259" s="4">
        <f ca="1">IFERROR(__xludf.DUMMYFUNCTION("""COMPUTED_VALUE"""),42500.6666666666)</f>
        <v>42500.666666666599</v>
      </c>
      <c r="H259" s="3">
        <f ca="1">IFERROR(__xludf.DUMMYFUNCTION("""COMPUTED_VALUE"""),79.73)</f>
        <v>79.73</v>
      </c>
      <c r="I259" s="3">
        <f ca="1">IFERROR(__xludf.DUMMYFUNCTION("""COMPUTED_VALUE"""),80.54)</f>
        <v>80.540000000000006</v>
      </c>
      <c r="J259" s="3">
        <f ca="1">IFERROR(__xludf.DUMMYFUNCTION("""COMPUTED_VALUE"""),79.72)</f>
        <v>79.72</v>
      </c>
      <c r="K259" s="3">
        <f ca="1">IFERROR(__xludf.DUMMYFUNCTION("""COMPUTED_VALUE"""),80.52)</f>
        <v>80.52</v>
      </c>
      <c r="L259" s="3">
        <f ca="1">IFERROR(__xludf.DUMMYFUNCTION("""COMPUTED_VALUE"""),4832283)</f>
        <v>4832283</v>
      </c>
      <c r="M259" s="4">
        <f ca="1">IFERROR(__xludf.DUMMYFUNCTION("""COMPUTED_VALUE"""),42500.6666666666)</f>
        <v>42500.666666666599</v>
      </c>
      <c r="N259" s="3">
        <f ca="1">IFERROR(__xludf.DUMMYFUNCTION("""COMPUTED_VALUE"""),53.7)</f>
        <v>53.7</v>
      </c>
      <c r="O259" s="3">
        <f ca="1">IFERROR(__xludf.DUMMYFUNCTION("""COMPUTED_VALUE"""),54.06)</f>
        <v>54.06</v>
      </c>
      <c r="P259" s="3">
        <f ca="1">IFERROR(__xludf.DUMMYFUNCTION("""COMPUTED_VALUE"""),53.64)</f>
        <v>53.64</v>
      </c>
      <c r="Q259" s="3">
        <f ca="1">IFERROR(__xludf.DUMMYFUNCTION("""COMPUTED_VALUE"""),54.06)</f>
        <v>54.06</v>
      </c>
      <c r="R259" s="3">
        <f ca="1">IFERROR(__xludf.DUMMYFUNCTION("""COMPUTED_VALUE"""),8567408)</f>
        <v>8567408</v>
      </c>
      <c r="S259" s="4">
        <f ca="1">IFERROR(__xludf.DUMMYFUNCTION("""COMPUTED_VALUE"""),42500.6666666666)</f>
        <v>42500.666666666599</v>
      </c>
      <c r="T259" s="3">
        <f ca="1">IFERROR(__xludf.DUMMYFUNCTION("""COMPUTED_VALUE"""),64.65)</f>
        <v>64.650000000000006</v>
      </c>
      <c r="U259" s="3">
        <f ca="1">IFERROR(__xludf.DUMMYFUNCTION("""COMPUTED_VALUE"""),65.47)</f>
        <v>65.47</v>
      </c>
      <c r="V259" s="3">
        <f ca="1">IFERROR(__xludf.DUMMYFUNCTION("""COMPUTED_VALUE"""),64.62)</f>
        <v>64.62</v>
      </c>
      <c r="W259" s="3">
        <f ca="1">IFERROR(__xludf.DUMMYFUNCTION("""COMPUTED_VALUE"""),65.45)</f>
        <v>65.45</v>
      </c>
      <c r="X259" s="3">
        <f ca="1">IFERROR(__xludf.DUMMYFUNCTION("""COMPUTED_VALUE"""),10351379)</f>
        <v>10351379</v>
      </c>
      <c r="Y259" s="4">
        <f ca="1">IFERROR(__xludf.DUMMYFUNCTION("""COMPUTED_VALUE"""),42500.6666666666)</f>
        <v>42500.666666666599</v>
      </c>
      <c r="Z259" s="3">
        <f ca="1">IFERROR(__xludf.DUMMYFUNCTION("""COMPUTED_VALUE"""),18.82)</f>
        <v>18.82</v>
      </c>
      <c r="AA259" s="3">
        <f ca="1">IFERROR(__xludf.DUMMYFUNCTION("""COMPUTED_VALUE"""),19.01)</f>
        <v>19.010000000000002</v>
      </c>
      <c r="AB259" s="3">
        <f ca="1">IFERROR(__xludf.DUMMYFUNCTION("""COMPUTED_VALUE"""),18.82)</f>
        <v>18.82</v>
      </c>
      <c r="AC259" s="3">
        <f ca="1">IFERROR(__xludf.DUMMYFUNCTION("""COMPUTED_VALUE"""),19)</f>
        <v>19</v>
      </c>
      <c r="AD259" s="3">
        <f ca="1">IFERROR(__xludf.DUMMYFUNCTION("""COMPUTED_VALUE"""),30502920)</f>
        <v>30502920</v>
      </c>
      <c r="AE259" s="4">
        <f ca="1">IFERROR(__xludf.DUMMYFUNCTION("""COMPUTED_VALUE"""),42500.6666666666)</f>
        <v>42500.666666666599</v>
      </c>
      <c r="AF259" s="3">
        <f ca="1">IFERROR(__xludf.DUMMYFUNCTION("""COMPUTED_VALUE"""),70.25)</f>
        <v>70.25</v>
      </c>
      <c r="AG259" s="3">
        <f ca="1">IFERROR(__xludf.DUMMYFUNCTION("""COMPUTED_VALUE"""),70.57)</f>
        <v>70.569999999999993</v>
      </c>
      <c r="AH259" s="3">
        <f ca="1">IFERROR(__xludf.DUMMYFUNCTION("""COMPUTED_VALUE"""),70.06)</f>
        <v>70.06</v>
      </c>
      <c r="AI259" s="3">
        <f ca="1">IFERROR(__xludf.DUMMYFUNCTION("""COMPUTED_VALUE"""),70.56)</f>
        <v>70.56</v>
      </c>
      <c r="AJ259" s="3">
        <f ca="1">IFERROR(__xludf.DUMMYFUNCTION("""COMPUTED_VALUE"""),11073007)</f>
        <v>11073007</v>
      </c>
      <c r="AK259" s="4">
        <f ca="1">IFERROR(__xludf.DUMMYFUNCTION("""COMPUTED_VALUE"""),42500.6666666666)</f>
        <v>42500.666666666599</v>
      </c>
      <c r="AL259" s="3">
        <f ca="1">IFERROR(__xludf.DUMMYFUNCTION("""COMPUTED_VALUE"""),55.55)</f>
        <v>55.55</v>
      </c>
      <c r="AM259" s="3">
        <f ca="1">IFERROR(__xludf.DUMMYFUNCTION("""COMPUTED_VALUE"""),56.35)</f>
        <v>56.35</v>
      </c>
      <c r="AN259" s="3">
        <f ca="1">IFERROR(__xludf.DUMMYFUNCTION("""COMPUTED_VALUE"""),55.55)</f>
        <v>55.55</v>
      </c>
      <c r="AO259" s="3">
        <f ca="1">IFERROR(__xludf.DUMMYFUNCTION("""COMPUTED_VALUE"""),56.34)</f>
        <v>56.34</v>
      </c>
      <c r="AP259" s="3">
        <f ca="1">IFERROR(__xludf.DUMMYFUNCTION("""COMPUTED_VALUE"""),14983063)</f>
        <v>14983063</v>
      </c>
      <c r="AQ259" s="4">
        <f ca="1">IFERROR(__xludf.DUMMYFUNCTION("""COMPUTED_VALUE"""),42500.6666666666)</f>
        <v>42500.666666666599</v>
      </c>
      <c r="AR259" s="3">
        <f ca="1">IFERROR(__xludf.DUMMYFUNCTION("""COMPUTED_VALUE"""),45.83)</f>
        <v>45.83</v>
      </c>
      <c r="AS259" s="3">
        <f ca="1">IFERROR(__xludf.DUMMYFUNCTION("""COMPUTED_VALUE"""),46.4)</f>
        <v>46.4</v>
      </c>
      <c r="AT259" s="3">
        <f ca="1">IFERROR(__xludf.DUMMYFUNCTION("""COMPUTED_VALUE"""),45.74)</f>
        <v>45.74</v>
      </c>
      <c r="AU259" s="3">
        <f ca="1">IFERROR(__xludf.DUMMYFUNCTION("""COMPUTED_VALUE"""),46.36)</f>
        <v>46.36</v>
      </c>
      <c r="AV259" s="3">
        <f ca="1">IFERROR(__xludf.DUMMYFUNCTION("""COMPUTED_VALUE"""),6788160)</f>
        <v>6788160</v>
      </c>
      <c r="AW259" s="4">
        <f ca="1">IFERROR(__xludf.DUMMYFUNCTION("""COMPUTED_VALUE"""),42663.6666666666)</f>
        <v>42663.666666666599</v>
      </c>
      <c r="AX259" s="3">
        <f ca="1">IFERROR(__xludf.DUMMYFUNCTION("""COMPUTED_VALUE"""),31.57)</f>
        <v>31.57</v>
      </c>
      <c r="AY259" s="3">
        <f ca="1">IFERROR(__xludf.DUMMYFUNCTION("""COMPUTED_VALUE"""),31.83)</f>
        <v>31.83</v>
      </c>
      <c r="AZ259" s="3">
        <f ca="1">IFERROR(__xludf.DUMMYFUNCTION("""COMPUTED_VALUE"""),31.47)</f>
        <v>31.47</v>
      </c>
      <c r="BA259" s="3">
        <f ca="1">IFERROR(__xludf.DUMMYFUNCTION("""COMPUTED_VALUE"""),31.62)</f>
        <v>31.62</v>
      </c>
      <c r="BB259" s="3">
        <f ca="1">IFERROR(__xludf.DUMMYFUNCTION("""COMPUTED_VALUE"""),1977109)</f>
        <v>1977109</v>
      </c>
      <c r="BC259" s="4">
        <f ca="1">IFERROR(__xludf.DUMMYFUNCTION("""COMPUTED_VALUE"""),42500.6666666666)</f>
        <v>42500.666666666599</v>
      </c>
      <c r="BD259" s="3">
        <f ca="1">IFERROR(__xludf.DUMMYFUNCTION("""COMPUTED_VALUE"""),42.38)</f>
        <v>42.38</v>
      </c>
      <c r="BE259" s="3">
        <f ca="1">IFERROR(__xludf.DUMMYFUNCTION("""COMPUTED_VALUE"""),42.8)</f>
        <v>42.8</v>
      </c>
      <c r="BF259" s="3">
        <f ca="1">IFERROR(__xludf.DUMMYFUNCTION("""COMPUTED_VALUE"""),42.33)</f>
        <v>42.33</v>
      </c>
      <c r="BG259" s="3">
        <f ca="1">IFERROR(__xludf.DUMMYFUNCTION("""COMPUTED_VALUE"""),42.8)</f>
        <v>42.8</v>
      </c>
      <c r="BH259" s="3">
        <f ca="1">IFERROR(__xludf.DUMMYFUNCTION("""COMPUTED_VALUE"""),13920189)</f>
        <v>13920189</v>
      </c>
      <c r="BI259" s="4">
        <f ca="1">IFERROR(__xludf.DUMMYFUNCTION("""COMPUTED_VALUE"""),42500.6666666666)</f>
        <v>42500.666666666599</v>
      </c>
      <c r="BJ259" s="3">
        <f ca="1">IFERROR(__xludf.DUMMYFUNCTION("""COMPUTED_VALUE"""),49.16)</f>
        <v>49.16</v>
      </c>
      <c r="BK259" s="3">
        <f ca="1">IFERROR(__xludf.DUMMYFUNCTION("""COMPUTED_VALUE"""),49.34)</f>
        <v>49.34</v>
      </c>
      <c r="BL259" s="3">
        <f ca="1">IFERROR(__xludf.DUMMYFUNCTION("""COMPUTED_VALUE"""),48.98)</f>
        <v>48.98</v>
      </c>
      <c r="BM259" s="3">
        <f ca="1">IFERROR(__xludf.DUMMYFUNCTION("""COMPUTED_VALUE"""),49.16)</f>
        <v>49.16</v>
      </c>
      <c r="BN259" s="3">
        <f ca="1">IFERROR(__xludf.DUMMYFUNCTION("""COMPUTED_VALUE"""),13257927)</f>
        <v>13257927</v>
      </c>
    </row>
    <row r="260" spans="7:66" ht="13" x14ac:dyDescent="0.15">
      <c r="G260" s="4">
        <f ca="1">IFERROR(__xludf.DUMMYFUNCTION("""COMPUTED_VALUE"""),42501.6666666666)</f>
        <v>42501.666666666599</v>
      </c>
      <c r="H260" s="3">
        <f ca="1">IFERROR(__xludf.DUMMYFUNCTION("""COMPUTED_VALUE"""),79.74)</f>
        <v>79.739999999999995</v>
      </c>
      <c r="I260" s="3">
        <f ca="1">IFERROR(__xludf.DUMMYFUNCTION("""COMPUTED_VALUE"""),79.74)</f>
        <v>79.739999999999995</v>
      </c>
      <c r="J260" s="3">
        <f ca="1">IFERROR(__xludf.DUMMYFUNCTION("""COMPUTED_VALUE"""),78.85)</f>
        <v>78.849999999999994</v>
      </c>
      <c r="K260" s="3">
        <f ca="1">IFERROR(__xludf.DUMMYFUNCTION("""COMPUTED_VALUE"""),78.9)</f>
        <v>78.900000000000006</v>
      </c>
      <c r="L260" s="3">
        <f ca="1">IFERROR(__xludf.DUMMYFUNCTION("""COMPUTED_VALUE"""),6116767)</f>
        <v>6116767</v>
      </c>
      <c r="M260" s="4">
        <f ca="1">IFERROR(__xludf.DUMMYFUNCTION("""COMPUTED_VALUE"""),42501.6666666666)</f>
        <v>42501.666666666599</v>
      </c>
      <c r="N260" s="3">
        <f ca="1">IFERROR(__xludf.DUMMYFUNCTION("""COMPUTED_VALUE"""),53.98)</f>
        <v>53.98</v>
      </c>
      <c r="O260" s="3">
        <f ca="1">IFERROR(__xludf.DUMMYFUNCTION("""COMPUTED_VALUE"""),54.04)</f>
        <v>54.04</v>
      </c>
      <c r="P260" s="3">
        <f ca="1">IFERROR(__xludf.DUMMYFUNCTION("""COMPUTED_VALUE"""),53.61)</f>
        <v>53.61</v>
      </c>
      <c r="Q260" s="3">
        <f ca="1">IFERROR(__xludf.DUMMYFUNCTION("""COMPUTED_VALUE"""),53.63)</f>
        <v>53.63</v>
      </c>
      <c r="R260" s="3">
        <f ca="1">IFERROR(__xludf.DUMMYFUNCTION("""COMPUTED_VALUE"""),6462128)</f>
        <v>6462128</v>
      </c>
      <c r="S260" s="4">
        <f ca="1">IFERROR(__xludf.DUMMYFUNCTION("""COMPUTED_VALUE"""),42501.6666666666)</f>
        <v>42501.666666666599</v>
      </c>
      <c r="T260" s="3">
        <f ca="1">IFERROR(__xludf.DUMMYFUNCTION("""COMPUTED_VALUE"""),65.29)</f>
        <v>65.290000000000006</v>
      </c>
      <c r="U260" s="3">
        <f ca="1">IFERROR(__xludf.DUMMYFUNCTION("""COMPUTED_VALUE"""),66.23)</f>
        <v>66.23</v>
      </c>
      <c r="V260" s="3">
        <f ca="1">IFERROR(__xludf.DUMMYFUNCTION("""COMPUTED_VALUE"""),64.76)</f>
        <v>64.760000000000005</v>
      </c>
      <c r="W260" s="3">
        <f ca="1">IFERROR(__xludf.DUMMYFUNCTION("""COMPUTED_VALUE"""),65.65)</f>
        <v>65.650000000000006</v>
      </c>
      <c r="X260" s="3">
        <f ca="1">IFERROR(__xludf.DUMMYFUNCTION("""COMPUTED_VALUE"""),14214778)</f>
        <v>14214778</v>
      </c>
      <c r="Y260" s="4">
        <f ca="1">IFERROR(__xludf.DUMMYFUNCTION("""COMPUTED_VALUE"""),42501.6666666666)</f>
        <v>42501.666666666599</v>
      </c>
      <c r="Z260" s="3">
        <f ca="1">IFERROR(__xludf.DUMMYFUNCTION("""COMPUTED_VALUE"""),18.95)</f>
        <v>18.95</v>
      </c>
      <c r="AA260" s="3">
        <f ca="1">IFERROR(__xludf.DUMMYFUNCTION("""COMPUTED_VALUE"""),18.99)</f>
        <v>18.989999999999998</v>
      </c>
      <c r="AB260" s="3">
        <f ca="1">IFERROR(__xludf.DUMMYFUNCTION("""COMPUTED_VALUE"""),18.78)</f>
        <v>18.78</v>
      </c>
      <c r="AC260" s="3">
        <f ca="1">IFERROR(__xludf.DUMMYFUNCTION("""COMPUTED_VALUE"""),18.8)</f>
        <v>18.8</v>
      </c>
      <c r="AD260" s="3">
        <f ca="1">IFERROR(__xludf.DUMMYFUNCTION("""COMPUTED_VALUE"""),25963552)</f>
        <v>25963552</v>
      </c>
      <c r="AE260" s="4">
        <f ca="1">IFERROR(__xludf.DUMMYFUNCTION("""COMPUTED_VALUE"""),42501.6666666666)</f>
        <v>42501.666666666599</v>
      </c>
      <c r="AF260" s="3">
        <f ca="1">IFERROR(__xludf.DUMMYFUNCTION("""COMPUTED_VALUE"""),70.45)</f>
        <v>70.45</v>
      </c>
      <c r="AG260" s="3">
        <f ca="1">IFERROR(__xludf.DUMMYFUNCTION("""COMPUTED_VALUE"""),70.63)</f>
        <v>70.63</v>
      </c>
      <c r="AH260" s="3">
        <f ca="1">IFERROR(__xludf.DUMMYFUNCTION("""COMPUTED_VALUE"""),69.7)</f>
        <v>69.7</v>
      </c>
      <c r="AI260" s="3">
        <f ca="1">IFERROR(__xludf.DUMMYFUNCTION("""COMPUTED_VALUE"""),69.71)</f>
        <v>69.709999999999994</v>
      </c>
      <c r="AJ260" s="3">
        <f ca="1">IFERROR(__xludf.DUMMYFUNCTION("""COMPUTED_VALUE"""),8452541)</f>
        <v>8452541</v>
      </c>
      <c r="AK260" s="4">
        <f ca="1">IFERROR(__xludf.DUMMYFUNCTION("""COMPUTED_VALUE"""),42501.6666666666)</f>
        <v>42501.666666666599</v>
      </c>
      <c r="AL260" s="3">
        <f ca="1">IFERROR(__xludf.DUMMYFUNCTION("""COMPUTED_VALUE"""),56.3)</f>
        <v>56.3</v>
      </c>
      <c r="AM260" s="3">
        <f ca="1">IFERROR(__xludf.DUMMYFUNCTION("""COMPUTED_VALUE"""),56.48)</f>
        <v>56.48</v>
      </c>
      <c r="AN260" s="3">
        <f ca="1">IFERROR(__xludf.DUMMYFUNCTION("""COMPUTED_VALUE"""),55.87)</f>
        <v>55.87</v>
      </c>
      <c r="AO260" s="3">
        <f ca="1">IFERROR(__xludf.DUMMYFUNCTION("""COMPUTED_VALUE"""),55.87)</f>
        <v>55.87</v>
      </c>
      <c r="AP260" s="3">
        <f ca="1">IFERROR(__xludf.DUMMYFUNCTION("""COMPUTED_VALUE"""),12801978)</f>
        <v>12801978</v>
      </c>
      <c r="AQ260" s="4">
        <f ca="1">IFERROR(__xludf.DUMMYFUNCTION("""COMPUTED_VALUE"""),42501.6666666666)</f>
        <v>42501.666666666599</v>
      </c>
      <c r="AR260" s="3">
        <f ca="1">IFERROR(__xludf.DUMMYFUNCTION("""COMPUTED_VALUE"""),46.44)</f>
        <v>46.44</v>
      </c>
      <c r="AS260" s="3">
        <f ca="1">IFERROR(__xludf.DUMMYFUNCTION("""COMPUTED_VALUE"""),46.6)</f>
        <v>46.6</v>
      </c>
      <c r="AT260" s="3">
        <f ca="1">IFERROR(__xludf.DUMMYFUNCTION("""COMPUTED_VALUE"""),46.17)</f>
        <v>46.17</v>
      </c>
      <c r="AU260" s="3">
        <f ca="1">IFERROR(__xludf.DUMMYFUNCTION("""COMPUTED_VALUE"""),46.2)</f>
        <v>46.2</v>
      </c>
      <c r="AV260" s="3">
        <f ca="1">IFERROR(__xludf.DUMMYFUNCTION("""COMPUTED_VALUE"""),5682506)</f>
        <v>5682506</v>
      </c>
      <c r="AW260" s="4">
        <f ca="1">IFERROR(__xludf.DUMMYFUNCTION("""COMPUTED_VALUE"""),42664.6666666666)</f>
        <v>42664.666666666599</v>
      </c>
      <c r="AX260" s="3">
        <f ca="1">IFERROR(__xludf.DUMMYFUNCTION("""COMPUTED_VALUE"""),31.4)</f>
        <v>31.4</v>
      </c>
      <c r="AY260" s="3">
        <f ca="1">IFERROR(__xludf.DUMMYFUNCTION("""COMPUTED_VALUE"""),31.61)</f>
        <v>31.61</v>
      </c>
      <c r="AZ260" s="3">
        <f ca="1">IFERROR(__xludf.DUMMYFUNCTION("""COMPUTED_VALUE"""),31.35)</f>
        <v>31.35</v>
      </c>
      <c r="BA260" s="3">
        <f ca="1">IFERROR(__xludf.DUMMYFUNCTION("""COMPUTED_VALUE"""),31.6)</f>
        <v>31.6</v>
      </c>
      <c r="BB260" s="3">
        <f ca="1">IFERROR(__xludf.DUMMYFUNCTION("""COMPUTED_VALUE"""),1295726)</f>
        <v>1295726</v>
      </c>
      <c r="BC260" s="4">
        <f ca="1">IFERROR(__xludf.DUMMYFUNCTION("""COMPUTED_VALUE"""),42501.6666666666)</f>
        <v>42501.666666666599</v>
      </c>
      <c r="BD260" s="3">
        <f ca="1">IFERROR(__xludf.DUMMYFUNCTION("""COMPUTED_VALUE"""),42.69)</f>
        <v>42.69</v>
      </c>
      <c r="BE260" s="3">
        <f ca="1">IFERROR(__xludf.DUMMYFUNCTION("""COMPUTED_VALUE"""),42.93)</f>
        <v>42.93</v>
      </c>
      <c r="BF260" s="3">
        <f ca="1">IFERROR(__xludf.DUMMYFUNCTION("""COMPUTED_VALUE"""),42.49)</f>
        <v>42.49</v>
      </c>
      <c r="BG260" s="3">
        <f ca="1">IFERROR(__xludf.DUMMYFUNCTION("""COMPUTED_VALUE"""),42.49)</f>
        <v>42.49</v>
      </c>
      <c r="BH260" s="3">
        <f ca="1">IFERROR(__xludf.DUMMYFUNCTION("""COMPUTED_VALUE"""),7152065)</f>
        <v>7152065</v>
      </c>
      <c r="BI260" s="4">
        <f ca="1">IFERROR(__xludf.DUMMYFUNCTION("""COMPUTED_VALUE"""),42501.6666666666)</f>
        <v>42501.666666666599</v>
      </c>
      <c r="BJ260" s="3">
        <f ca="1">IFERROR(__xludf.DUMMYFUNCTION("""COMPUTED_VALUE"""),49.17)</f>
        <v>49.17</v>
      </c>
      <c r="BK260" s="3">
        <f ca="1">IFERROR(__xludf.DUMMYFUNCTION("""COMPUTED_VALUE"""),49.38)</f>
        <v>49.38</v>
      </c>
      <c r="BL260" s="3">
        <f ca="1">IFERROR(__xludf.DUMMYFUNCTION("""COMPUTED_VALUE"""),48.9)</f>
        <v>48.9</v>
      </c>
      <c r="BM260" s="3">
        <f ca="1">IFERROR(__xludf.DUMMYFUNCTION("""COMPUTED_VALUE"""),49.34)</f>
        <v>49.34</v>
      </c>
      <c r="BN260" s="3">
        <f ca="1">IFERROR(__xludf.DUMMYFUNCTION("""COMPUTED_VALUE"""),12173944)</f>
        <v>12173944</v>
      </c>
    </row>
    <row r="261" spans="7:66" ht="13" x14ac:dyDescent="0.15">
      <c r="G261" s="4">
        <f ca="1">IFERROR(__xludf.DUMMYFUNCTION("""COMPUTED_VALUE"""),42502.6666666666)</f>
        <v>42502.666666666599</v>
      </c>
      <c r="H261" s="3">
        <f ca="1">IFERROR(__xludf.DUMMYFUNCTION("""COMPUTED_VALUE"""),79.2)</f>
        <v>79.2</v>
      </c>
      <c r="I261" s="3">
        <f ca="1">IFERROR(__xludf.DUMMYFUNCTION("""COMPUTED_VALUE"""),79.35)</f>
        <v>79.349999999999994</v>
      </c>
      <c r="J261" s="3">
        <f ca="1">IFERROR(__xludf.DUMMYFUNCTION("""COMPUTED_VALUE"""),78.49)</f>
        <v>78.489999999999995</v>
      </c>
      <c r="K261" s="3">
        <f ca="1">IFERROR(__xludf.DUMMYFUNCTION("""COMPUTED_VALUE"""),79.05)</f>
        <v>79.05</v>
      </c>
      <c r="L261" s="3">
        <f ca="1">IFERROR(__xludf.DUMMYFUNCTION("""COMPUTED_VALUE"""),5603270)</f>
        <v>5603270</v>
      </c>
      <c r="M261" s="4">
        <f ca="1">IFERROR(__xludf.DUMMYFUNCTION("""COMPUTED_VALUE"""),42502.6666666666)</f>
        <v>42502.666666666599</v>
      </c>
      <c r="N261" s="3">
        <f ca="1">IFERROR(__xludf.DUMMYFUNCTION("""COMPUTED_VALUE"""),53.75)</f>
        <v>53.75</v>
      </c>
      <c r="O261" s="3">
        <f ca="1">IFERROR(__xludf.DUMMYFUNCTION("""COMPUTED_VALUE"""),54.03)</f>
        <v>54.03</v>
      </c>
      <c r="P261" s="3">
        <f ca="1">IFERROR(__xludf.DUMMYFUNCTION("""COMPUTED_VALUE"""),53.64)</f>
        <v>53.64</v>
      </c>
      <c r="Q261" s="3">
        <f ca="1">IFERROR(__xludf.DUMMYFUNCTION("""COMPUTED_VALUE"""),53.92)</f>
        <v>53.92</v>
      </c>
      <c r="R261" s="3">
        <f ca="1">IFERROR(__xludf.DUMMYFUNCTION("""COMPUTED_VALUE"""),11906398)</f>
        <v>11906398</v>
      </c>
      <c r="S261" s="4">
        <f ca="1">IFERROR(__xludf.DUMMYFUNCTION("""COMPUTED_VALUE"""),42502.6666666666)</f>
        <v>42502.666666666599</v>
      </c>
      <c r="T261" s="3">
        <f ca="1">IFERROR(__xludf.DUMMYFUNCTION("""COMPUTED_VALUE"""),66.24)</f>
        <v>66.239999999999995</v>
      </c>
      <c r="U261" s="3">
        <f ca="1">IFERROR(__xludf.DUMMYFUNCTION("""COMPUTED_VALUE"""),66.74)</f>
        <v>66.739999999999995</v>
      </c>
      <c r="V261" s="3">
        <f ca="1">IFERROR(__xludf.DUMMYFUNCTION("""COMPUTED_VALUE"""),65.34)</f>
        <v>65.34</v>
      </c>
      <c r="W261" s="3">
        <f ca="1">IFERROR(__xludf.DUMMYFUNCTION("""COMPUTED_VALUE"""),65.83)</f>
        <v>65.83</v>
      </c>
      <c r="X261" s="3">
        <f ca="1">IFERROR(__xludf.DUMMYFUNCTION("""COMPUTED_VALUE"""),12477167)</f>
        <v>12477167</v>
      </c>
      <c r="Y261" s="4">
        <f ca="1">IFERROR(__xludf.DUMMYFUNCTION("""COMPUTED_VALUE"""),42502.6666666666)</f>
        <v>42502.666666666599</v>
      </c>
      <c r="Z261" s="3">
        <f ca="1">IFERROR(__xludf.DUMMYFUNCTION("""COMPUTED_VALUE"""),18.86)</f>
        <v>18.86</v>
      </c>
      <c r="AA261" s="3">
        <f ca="1">IFERROR(__xludf.DUMMYFUNCTION("""COMPUTED_VALUE"""),18.95)</f>
        <v>18.95</v>
      </c>
      <c r="AB261" s="3">
        <f ca="1">IFERROR(__xludf.DUMMYFUNCTION("""COMPUTED_VALUE"""),18.69)</f>
        <v>18.690000000000001</v>
      </c>
      <c r="AC261" s="3">
        <f ca="1">IFERROR(__xludf.DUMMYFUNCTION("""COMPUTED_VALUE"""),18.81)</f>
        <v>18.809999999999999</v>
      </c>
      <c r="AD261" s="3">
        <f ca="1">IFERROR(__xludf.DUMMYFUNCTION("""COMPUTED_VALUE"""),28639309)</f>
        <v>28639309</v>
      </c>
      <c r="AE261" s="4">
        <f ca="1">IFERROR(__xludf.DUMMYFUNCTION("""COMPUTED_VALUE"""),42502.6666666666)</f>
        <v>42502.666666666599</v>
      </c>
      <c r="AF261" s="3">
        <f ca="1">IFERROR(__xludf.DUMMYFUNCTION("""COMPUTED_VALUE"""),69.86)</f>
        <v>69.86</v>
      </c>
      <c r="AG261" s="3">
        <f ca="1">IFERROR(__xludf.DUMMYFUNCTION("""COMPUTED_VALUE"""),70.07)</f>
        <v>70.069999999999993</v>
      </c>
      <c r="AH261" s="3">
        <f ca="1">IFERROR(__xludf.DUMMYFUNCTION("""COMPUTED_VALUE"""),68.9)</f>
        <v>68.900000000000006</v>
      </c>
      <c r="AI261" s="3">
        <f ca="1">IFERROR(__xludf.DUMMYFUNCTION("""COMPUTED_VALUE"""),69.3)</f>
        <v>69.3</v>
      </c>
      <c r="AJ261" s="3">
        <f ca="1">IFERROR(__xludf.DUMMYFUNCTION("""COMPUTED_VALUE"""),11322942)</f>
        <v>11322942</v>
      </c>
      <c r="AK261" s="4">
        <f ca="1">IFERROR(__xludf.DUMMYFUNCTION("""COMPUTED_VALUE"""),42502.6666666666)</f>
        <v>42502.666666666599</v>
      </c>
      <c r="AL261" s="3">
        <f ca="1">IFERROR(__xludf.DUMMYFUNCTION("""COMPUTED_VALUE"""),55.88)</f>
        <v>55.88</v>
      </c>
      <c r="AM261" s="3">
        <f ca="1">IFERROR(__xludf.DUMMYFUNCTION("""COMPUTED_VALUE"""),56.13)</f>
        <v>56.13</v>
      </c>
      <c r="AN261" s="3">
        <f ca="1">IFERROR(__xludf.DUMMYFUNCTION("""COMPUTED_VALUE"""),55.41)</f>
        <v>55.41</v>
      </c>
      <c r="AO261" s="3">
        <f ca="1">IFERROR(__xludf.DUMMYFUNCTION("""COMPUTED_VALUE"""),55.75)</f>
        <v>55.75</v>
      </c>
      <c r="AP261" s="3">
        <f ca="1">IFERROR(__xludf.DUMMYFUNCTION("""COMPUTED_VALUE"""),13992392)</f>
        <v>13992392</v>
      </c>
      <c r="AQ261" s="4">
        <f ca="1">IFERROR(__xludf.DUMMYFUNCTION("""COMPUTED_VALUE"""),42502.6666666666)</f>
        <v>42502.666666666599</v>
      </c>
      <c r="AR261" s="3">
        <f ca="1">IFERROR(__xludf.DUMMYFUNCTION("""COMPUTED_VALUE"""),47.04)</f>
        <v>47.04</v>
      </c>
      <c r="AS261" s="3">
        <f ca="1">IFERROR(__xludf.DUMMYFUNCTION("""COMPUTED_VALUE"""),47.19)</f>
        <v>47.19</v>
      </c>
      <c r="AT261" s="3">
        <f ca="1">IFERROR(__xludf.DUMMYFUNCTION("""COMPUTED_VALUE"""),46.24)</f>
        <v>46.24</v>
      </c>
      <c r="AU261" s="3">
        <f ca="1">IFERROR(__xludf.DUMMYFUNCTION("""COMPUTED_VALUE"""),46.4)</f>
        <v>46.4</v>
      </c>
      <c r="AV261" s="3">
        <f ca="1">IFERROR(__xludf.DUMMYFUNCTION("""COMPUTED_VALUE"""),9937625)</f>
        <v>9937625</v>
      </c>
      <c r="AW261" s="4">
        <f ca="1">IFERROR(__xludf.DUMMYFUNCTION("""COMPUTED_VALUE"""),42667.6666666666)</f>
        <v>42667.666666666599</v>
      </c>
      <c r="AX261" s="3">
        <f ca="1">IFERROR(__xludf.DUMMYFUNCTION("""COMPUTED_VALUE"""),31.65)</f>
        <v>31.65</v>
      </c>
      <c r="AY261" s="3">
        <f ca="1">IFERROR(__xludf.DUMMYFUNCTION("""COMPUTED_VALUE"""),31.96)</f>
        <v>31.96</v>
      </c>
      <c r="AZ261" s="3">
        <f ca="1">IFERROR(__xludf.DUMMYFUNCTION("""COMPUTED_VALUE"""),31.54)</f>
        <v>31.54</v>
      </c>
      <c r="BA261" s="3">
        <f ca="1">IFERROR(__xludf.DUMMYFUNCTION("""COMPUTED_VALUE"""),31.64)</f>
        <v>31.64</v>
      </c>
      <c r="BB261" s="3">
        <f ca="1">IFERROR(__xludf.DUMMYFUNCTION("""COMPUTED_VALUE"""),1108723)</f>
        <v>1108723</v>
      </c>
      <c r="BC261" s="4">
        <f ca="1">IFERROR(__xludf.DUMMYFUNCTION("""COMPUTED_VALUE"""),42502.6666666666)</f>
        <v>42502.666666666599</v>
      </c>
      <c r="BD261" s="3">
        <f ca="1">IFERROR(__xludf.DUMMYFUNCTION("""COMPUTED_VALUE"""),42.65)</f>
        <v>42.65</v>
      </c>
      <c r="BE261" s="3">
        <f ca="1">IFERROR(__xludf.DUMMYFUNCTION("""COMPUTED_VALUE"""),42.65)</f>
        <v>42.65</v>
      </c>
      <c r="BF261" s="3">
        <f ca="1">IFERROR(__xludf.DUMMYFUNCTION("""COMPUTED_VALUE"""),42.1)</f>
        <v>42.1</v>
      </c>
      <c r="BG261" s="3">
        <f ca="1">IFERROR(__xludf.DUMMYFUNCTION("""COMPUTED_VALUE"""),42.37)</f>
        <v>42.37</v>
      </c>
      <c r="BH261" s="3">
        <f ca="1">IFERROR(__xludf.DUMMYFUNCTION("""COMPUTED_VALUE"""),9336628)</f>
        <v>9336628</v>
      </c>
      <c r="BI261" s="4">
        <f ca="1">IFERROR(__xludf.DUMMYFUNCTION("""COMPUTED_VALUE"""),42502.6666666666)</f>
        <v>42502.666666666599</v>
      </c>
      <c r="BJ261" s="3">
        <f ca="1">IFERROR(__xludf.DUMMYFUNCTION("""COMPUTED_VALUE"""),49.26)</f>
        <v>49.26</v>
      </c>
      <c r="BK261" s="3">
        <f ca="1">IFERROR(__xludf.DUMMYFUNCTION("""COMPUTED_VALUE"""),49.71)</f>
        <v>49.71</v>
      </c>
      <c r="BL261" s="3">
        <f ca="1">IFERROR(__xludf.DUMMYFUNCTION("""COMPUTED_VALUE"""),49.08)</f>
        <v>49.08</v>
      </c>
      <c r="BM261" s="3">
        <f ca="1">IFERROR(__xludf.DUMMYFUNCTION("""COMPUTED_VALUE"""),49.63)</f>
        <v>49.63</v>
      </c>
      <c r="BN261" s="3">
        <f ca="1">IFERROR(__xludf.DUMMYFUNCTION("""COMPUTED_VALUE"""),17727710)</f>
        <v>17727710</v>
      </c>
    </row>
    <row r="262" spans="7:66" ht="13" x14ac:dyDescent="0.15">
      <c r="G262" s="4">
        <f ca="1">IFERROR(__xludf.DUMMYFUNCTION("""COMPUTED_VALUE"""),42503.6666666666)</f>
        <v>42503.666666666599</v>
      </c>
      <c r="H262" s="3">
        <f ca="1">IFERROR(__xludf.DUMMYFUNCTION("""COMPUTED_VALUE"""),78.66)</f>
        <v>78.66</v>
      </c>
      <c r="I262" s="3">
        <f ca="1">IFERROR(__xludf.DUMMYFUNCTION("""COMPUTED_VALUE"""),79.01)</f>
        <v>79.010000000000005</v>
      </c>
      <c r="J262" s="3">
        <f ca="1">IFERROR(__xludf.DUMMYFUNCTION("""COMPUTED_VALUE"""),78.07)</f>
        <v>78.069999999999993</v>
      </c>
      <c r="K262" s="3">
        <f ca="1">IFERROR(__xludf.DUMMYFUNCTION("""COMPUTED_VALUE"""),78.11)</f>
        <v>78.11</v>
      </c>
      <c r="L262" s="3">
        <f ca="1">IFERROR(__xludf.DUMMYFUNCTION("""COMPUTED_VALUE"""),7602049)</f>
        <v>7602049</v>
      </c>
      <c r="M262" s="4">
        <f ca="1">IFERROR(__xludf.DUMMYFUNCTION("""COMPUTED_VALUE"""),42503.6666666666)</f>
        <v>42503.666666666599</v>
      </c>
      <c r="N262" s="3">
        <f ca="1">IFERROR(__xludf.DUMMYFUNCTION("""COMPUTED_VALUE"""),53.79)</f>
        <v>53.79</v>
      </c>
      <c r="O262" s="3">
        <f ca="1">IFERROR(__xludf.DUMMYFUNCTION("""COMPUTED_VALUE"""),53.87)</f>
        <v>53.87</v>
      </c>
      <c r="P262" s="3">
        <f ca="1">IFERROR(__xludf.DUMMYFUNCTION("""COMPUTED_VALUE"""),53.15)</f>
        <v>53.15</v>
      </c>
      <c r="Q262" s="3">
        <f ca="1">IFERROR(__xludf.DUMMYFUNCTION("""COMPUTED_VALUE"""),53.24)</f>
        <v>53.24</v>
      </c>
      <c r="R262" s="3">
        <f ca="1">IFERROR(__xludf.DUMMYFUNCTION("""COMPUTED_VALUE"""),10657717)</f>
        <v>10657717</v>
      </c>
      <c r="S262" s="4">
        <f ca="1">IFERROR(__xludf.DUMMYFUNCTION("""COMPUTED_VALUE"""),42503.6666666666)</f>
        <v>42503.666666666599</v>
      </c>
      <c r="T262" s="3">
        <f ca="1">IFERROR(__xludf.DUMMYFUNCTION("""COMPUTED_VALUE"""),65.54)</f>
        <v>65.540000000000006</v>
      </c>
      <c r="U262" s="3">
        <f ca="1">IFERROR(__xludf.DUMMYFUNCTION("""COMPUTED_VALUE"""),66.04)</f>
        <v>66.040000000000006</v>
      </c>
      <c r="V262" s="3">
        <f ca="1">IFERROR(__xludf.DUMMYFUNCTION("""COMPUTED_VALUE"""),64.85)</f>
        <v>64.849999999999994</v>
      </c>
      <c r="W262" s="3">
        <f ca="1">IFERROR(__xludf.DUMMYFUNCTION("""COMPUTED_VALUE"""),64.99)</f>
        <v>64.989999999999995</v>
      </c>
      <c r="X262" s="3">
        <f ca="1">IFERROR(__xludf.DUMMYFUNCTION("""COMPUTED_VALUE"""),12371851)</f>
        <v>12371851</v>
      </c>
      <c r="Y262" s="4">
        <f ca="1">IFERROR(__xludf.DUMMYFUNCTION("""COMPUTED_VALUE"""),42503.6666666666)</f>
        <v>42503.666666666599</v>
      </c>
      <c r="Z262" s="3">
        <f ca="1">IFERROR(__xludf.DUMMYFUNCTION("""COMPUTED_VALUE"""),18.77)</f>
        <v>18.77</v>
      </c>
      <c r="AA262" s="3">
        <f ca="1">IFERROR(__xludf.DUMMYFUNCTION("""COMPUTED_VALUE"""),18.9)</f>
        <v>18.899999999999999</v>
      </c>
      <c r="AB262" s="3">
        <f ca="1">IFERROR(__xludf.DUMMYFUNCTION("""COMPUTED_VALUE"""),18.55)</f>
        <v>18.55</v>
      </c>
      <c r="AC262" s="3">
        <f ca="1">IFERROR(__xludf.DUMMYFUNCTION("""COMPUTED_VALUE"""),18.58)</f>
        <v>18.579999999999998</v>
      </c>
      <c r="AD262" s="3">
        <f ca="1">IFERROR(__xludf.DUMMYFUNCTION("""COMPUTED_VALUE"""),36993400)</f>
        <v>36993400</v>
      </c>
      <c r="AE262" s="4">
        <f ca="1">IFERROR(__xludf.DUMMYFUNCTION("""COMPUTED_VALUE"""),42503.6666666666)</f>
        <v>42503.666666666599</v>
      </c>
      <c r="AF262" s="3">
        <f ca="1">IFERROR(__xludf.DUMMYFUNCTION("""COMPUTED_VALUE"""),69.22)</f>
        <v>69.22</v>
      </c>
      <c r="AG262" s="3">
        <f ca="1">IFERROR(__xludf.DUMMYFUNCTION("""COMPUTED_VALUE"""),69.67)</f>
        <v>69.67</v>
      </c>
      <c r="AH262" s="3">
        <f ca="1">IFERROR(__xludf.DUMMYFUNCTION("""COMPUTED_VALUE"""),69.08)</f>
        <v>69.08</v>
      </c>
      <c r="AI262" s="3">
        <f ca="1">IFERROR(__xludf.DUMMYFUNCTION("""COMPUTED_VALUE"""),69.14)</f>
        <v>69.14</v>
      </c>
      <c r="AJ262" s="3">
        <f ca="1">IFERROR(__xludf.DUMMYFUNCTION("""COMPUTED_VALUE"""),11947338)</f>
        <v>11947338</v>
      </c>
      <c r="AK262" s="4">
        <f ca="1">IFERROR(__xludf.DUMMYFUNCTION("""COMPUTED_VALUE"""),42503.6666666666)</f>
        <v>42503.666666666599</v>
      </c>
      <c r="AL262" s="3">
        <f ca="1">IFERROR(__xludf.DUMMYFUNCTION("""COMPUTED_VALUE"""),55.66)</f>
        <v>55.66</v>
      </c>
      <c r="AM262" s="3">
        <f ca="1">IFERROR(__xludf.DUMMYFUNCTION("""COMPUTED_VALUE"""),55.88)</f>
        <v>55.88</v>
      </c>
      <c r="AN262" s="3">
        <f ca="1">IFERROR(__xludf.DUMMYFUNCTION("""COMPUTED_VALUE"""),54.9)</f>
        <v>54.9</v>
      </c>
      <c r="AO262" s="3">
        <f ca="1">IFERROR(__xludf.DUMMYFUNCTION("""COMPUTED_VALUE"""),55.05)</f>
        <v>55.05</v>
      </c>
      <c r="AP262" s="3">
        <f ca="1">IFERROR(__xludf.DUMMYFUNCTION("""COMPUTED_VALUE"""),13017961)</f>
        <v>13017961</v>
      </c>
      <c r="AQ262" s="4">
        <f ca="1">IFERROR(__xludf.DUMMYFUNCTION("""COMPUTED_VALUE"""),42503.6666666666)</f>
        <v>42503.666666666599</v>
      </c>
      <c r="AR262" s="3">
        <f ca="1">IFERROR(__xludf.DUMMYFUNCTION("""COMPUTED_VALUE"""),46.38)</f>
        <v>46.38</v>
      </c>
      <c r="AS262" s="3">
        <f ca="1">IFERROR(__xludf.DUMMYFUNCTION("""COMPUTED_VALUE"""),46.62)</f>
        <v>46.62</v>
      </c>
      <c r="AT262" s="3">
        <f ca="1">IFERROR(__xludf.DUMMYFUNCTION("""COMPUTED_VALUE"""),45.78)</f>
        <v>45.78</v>
      </c>
      <c r="AU262" s="3">
        <f ca="1">IFERROR(__xludf.DUMMYFUNCTION("""COMPUTED_VALUE"""),45.95)</f>
        <v>45.95</v>
      </c>
      <c r="AV262" s="3">
        <f ca="1">IFERROR(__xludf.DUMMYFUNCTION("""COMPUTED_VALUE"""),5623949)</f>
        <v>5623949</v>
      </c>
      <c r="AW262" s="4">
        <f ca="1">IFERROR(__xludf.DUMMYFUNCTION("""COMPUTED_VALUE"""),42668.6666666666)</f>
        <v>42668.666666666599</v>
      </c>
      <c r="AX262" s="3">
        <f ca="1">IFERROR(__xludf.DUMMYFUNCTION("""COMPUTED_VALUE"""),31.53)</f>
        <v>31.53</v>
      </c>
      <c r="AY262" s="3">
        <f ca="1">IFERROR(__xludf.DUMMYFUNCTION("""COMPUTED_VALUE"""),31.63)</f>
        <v>31.63</v>
      </c>
      <c r="AZ262" s="3">
        <f ca="1">IFERROR(__xludf.DUMMYFUNCTION("""COMPUTED_VALUE"""),31.41)</f>
        <v>31.41</v>
      </c>
      <c r="BA262" s="3">
        <f ca="1">IFERROR(__xludf.DUMMYFUNCTION("""COMPUTED_VALUE"""),31.6)</f>
        <v>31.6</v>
      </c>
      <c r="BB262" s="3">
        <f ca="1">IFERROR(__xludf.DUMMYFUNCTION("""COMPUTED_VALUE"""),1402869)</f>
        <v>1402869</v>
      </c>
      <c r="BC262" s="4">
        <f ca="1">IFERROR(__xludf.DUMMYFUNCTION("""COMPUTED_VALUE"""),42503.6666666666)</f>
        <v>42503.666666666599</v>
      </c>
      <c r="BD262" s="3">
        <f ca="1">IFERROR(__xludf.DUMMYFUNCTION("""COMPUTED_VALUE"""),42.36)</f>
        <v>42.36</v>
      </c>
      <c r="BE262" s="3">
        <f ca="1">IFERROR(__xludf.DUMMYFUNCTION("""COMPUTED_VALUE"""),42.62)</f>
        <v>42.62</v>
      </c>
      <c r="BF262" s="3">
        <f ca="1">IFERROR(__xludf.DUMMYFUNCTION("""COMPUTED_VALUE"""),42.16)</f>
        <v>42.16</v>
      </c>
      <c r="BG262" s="3">
        <f ca="1">IFERROR(__xludf.DUMMYFUNCTION("""COMPUTED_VALUE"""),42.21)</f>
        <v>42.21</v>
      </c>
      <c r="BH262" s="3">
        <f ca="1">IFERROR(__xludf.DUMMYFUNCTION("""COMPUTED_VALUE"""),10921355)</f>
        <v>10921355</v>
      </c>
      <c r="BI262" s="4">
        <f ca="1">IFERROR(__xludf.DUMMYFUNCTION("""COMPUTED_VALUE"""),42503.6666666666)</f>
        <v>42503.666666666599</v>
      </c>
      <c r="BJ262" s="3">
        <f ca="1">IFERROR(__xludf.DUMMYFUNCTION("""COMPUTED_VALUE"""),49.5)</f>
        <v>49.5</v>
      </c>
      <c r="BK262" s="3">
        <f ca="1">IFERROR(__xludf.DUMMYFUNCTION("""COMPUTED_VALUE"""),49.61)</f>
        <v>49.61</v>
      </c>
      <c r="BL262" s="3">
        <f ca="1">IFERROR(__xludf.DUMMYFUNCTION("""COMPUTED_VALUE"""),49.15)</f>
        <v>49.15</v>
      </c>
      <c r="BM262" s="3">
        <f ca="1">IFERROR(__xludf.DUMMYFUNCTION("""COMPUTED_VALUE"""),49.39)</f>
        <v>49.39</v>
      </c>
      <c r="BN262" s="3">
        <f ca="1">IFERROR(__xludf.DUMMYFUNCTION("""COMPUTED_VALUE"""),12626636)</f>
        <v>12626636</v>
      </c>
    </row>
    <row r="263" spans="7:66" ht="13" x14ac:dyDescent="0.15">
      <c r="G263" s="4">
        <f ca="1">IFERROR(__xludf.DUMMYFUNCTION("""COMPUTED_VALUE"""),42506.6666666666)</f>
        <v>42506.666666666599</v>
      </c>
      <c r="H263" s="3">
        <f ca="1">IFERROR(__xludf.DUMMYFUNCTION("""COMPUTED_VALUE"""),78.05)</f>
        <v>78.05</v>
      </c>
      <c r="I263" s="3">
        <f ca="1">IFERROR(__xludf.DUMMYFUNCTION("""COMPUTED_VALUE"""),78.85)</f>
        <v>78.849999999999994</v>
      </c>
      <c r="J263" s="3">
        <f ca="1">IFERROR(__xludf.DUMMYFUNCTION("""COMPUTED_VALUE"""),77.94)</f>
        <v>77.94</v>
      </c>
      <c r="K263" s="3">
        <f ca="1">IFERROR(__xludf.DUMMYFUNCTION("""COMPUTED_VALUE"""),78.6)</f>
        <v>78.599999999999994</v>
      </c>
      <c r="L263" s="3">
        <f ca="1">IFERROR(__xludf.DUMMYFUNCTION("""COMPUTED_VALUE"""),4605726)</f>
        <v>4605726</v>
      </c>
      <c r="M263" s="4">
        <f ca="1">IFERROR(__xludf.DUMMYFUNCTION("""COMPUTED_VALUE"""),42506.6666666666)</f>
        <v>42506.666666666599</v>
      </c>
      <c r="N263" s="3">
        <f ca="1">IFERROR(__xludf.DUMMYFUNCTION("""COMPUTED_VALUE"""),53.14)</f>
        <v>53.14</v>
      </c>
      <c r="O263" s="3">
        <f ca="1">IFERROR(__xludf.DUMMYFUNCTION("""COMPUTED_VALUE"""),53.7)</f>
        <v>53.7</v>
      </c>
      <c r="P263" s="3">
        <f ca="1">IFERROR(__xludf.DUMMYFUNCTION("""COMPUTED_VALUE"""),53.1)</f>
        <v>53.1</v>
      </c>
      <c r="Q263" s="3">
        <f ca="1">IFERROR(__xludf.DUMMYFUNCTION("""COMPUTED_VALUE"""),53.58)</f>
        <v>53.58</v>
      </c>
      <c r="R263" s="3">
        <f ca="1">IFERROR(__xludf.DUMMYFUNCTION("""COMPUTED_VALUE"""),8139327)</f>
        <v>8139327</v>
      </c>
      <c r="S263" s="4">
        <f ca="1">IFERROR(__xludf.DUMMYFUNCTION("""COMPUTED_VALUE"""),42506.6666666666)</f>
        <v>42506.666666666599</v>
      </c>
      <c r="T263" s="3">
        <f ca="1">IFERROR(__xludf.DUMMYFUNCTION("""COMPUTED_VALUE"""),65.84)</f>
        <v>65.84</v>
      </c>
      <c r="U263" s="3">
        <f ca="1">IFERROR(__xludf.DUMMYFUNCTION("""COMPUTED_VALUE"""),66.3)</f>
        <v>66.3</v>
      </c>
      <c r="V263" s="3">
        <f ca="1">IFERROR(__xludf.DUMMYFUNCTION("""COMPUTED_VALUE"""),65.65)</f>
        <v>65.650000000000006</v>
      </c>
      <c r="W263" s="3">
        <f ca="1">IFERROR(__xludf.DUMMYFUNCTION("""COMPUTED_VALUE"""),66.09)</f>
        <v>66.09</v>
      </c>
      <c r="X263" s="3">
        <f ca="1">IFERROR(__xludf.DUMMYFUNCTION("""COMPUTED_VALUE"""),13727687)</f>
        <v>13727687</v>
      </c>
      <c r="Y263" s="4">
        <f ca="1">IFERROR(__xludf.DUMMYFUNCTION("""COMPUTED_VALUE"""),42506.6666666666)</f>
        <v>42506.666666666599</v>
      </c>
      <c r="Z263" s="3">
        <f ca="1">IFERROR(__xludf.DUMMYFUNCTION("""COMPUTED_VALUE"""),18.58)</f>
        <v>18.579999999999998</v>
      </c>
      <c r="AA263" s="3">
        <f ca="1">IFERROR(__xludf.DUMMYFUNCTION("""COMPUTED_VALUE"""),18.76)</f>
        <v>18.760000000000002</v>
      </c>
      <c r="AB263" s="3">
        <f ca="1">IFERROR(__xludf.DUMMYFUNCTION("""COMPUTED_VALUE"""),18.56)</f>
        <v>18.559999999999999</v>
      </c>
      <c r="AC263" s="3">
        <f ca="1">IFERROR(__xludf.DUMMYFUNCTION("""COMPUTED_VALUE"""),18.68)</f>
        <v>18.68</v>
      </c>
      <c r="AD263" s="3">
        <f ca="1">IFERROR(__xludf.DUMMYFUNCTION("""COMPUTED_VALUE"""),27454297)</f>
        <v>27454297</v>
      </c>
      <c r="AE263" s="4">
        <f ca="1">IFERROR(__xludf.DUMMYFUNCTION("""COMPUTED_VALUE"""),42506.6666666666)</f>
        <v>42506.666666666599</v>
      </c>
      <c r="AF263" s="3">
        <f ca="1">IFERROR(__xludf.DUMMYFUNCTION("""COMPUTED_VALUE"""),69.15)</f>
        <v>69.150000000000006</v>
      </c>
      <c r="AG263" s="3">
        <f ca="1">IFERROR(__xludf.DUMMYFUNCTION("""COMPUTED_VALUE"""),70.23)</f>
        <v>70.23</v>
      </c>
      <c r="AH263" s="3">
        <f ca="1">IFERROR(__xludf.DUMMYFUNCTION("""COMPUTED_VALUE"""),69.12)</f>
        <v>69.12</v>
      </c>
      <c r="AI263" s="3">
        <f ca="1">IFERROR(__xludf.DUMMYFUNCTION("""COMPUTED_VALUE"""),70.08)</f>
        <v>70.08</v>
      </c>
      <c r="AJ263" s="3">
        <f ca="1">IFERROR(__xludf.DUMMYFUNCTION("""COMPUTED_VALUE"""),8338124)</f>
        <v>8338124</v>
      </c>
      <c r="AK263" s="4">
        <f ca="1">IFERROR(__xludf.DUMMYFUNCTION("""COMPUTED_VALUE"""),42506.6666666666)</f>
        <v>42506.666666666599</v>
      </c>
      <c r="AL263" s="3">
        <f ca="1">IFERROR(__xludf.DUMMYFUNCTION("""COMPUTED_VALUE"""),55.05)</f>
        <v>55.05</v>
      </c>
      <c r="AM263" s="3">
        <f ca="1">IFERROR(__xludf.DUMMYFUNCTION("""COMPUTED_VALUE"""),55.9)</f>
        <v>55.9</v>
      </c>
      <c r="AN263" s="3">
        <f ca="1">IFERROR(__xludf.DUMMYFUNCTION("""COMPUTED_VALUE"""),55.05)</f>
        <v>55.05</v>
      </c>
      <c r="AO263" s="3">
        <f ca="1">IFERROR(__xludf.DUMMYFUNCTION("""COMPUTED_VALUE"""),55.73)</f>
        <v>55.73</v>
      </c>
      <c r="AP263" s="3">
        <f ca="1">IFERROR(__xludf.DUMMYFUNCTION("""COMPUTED_VALUE"""),9210833)</f>
        <v>9210833</v>
      </c>
      <c r="AQ263" s="4">
        <f ca="1">IFERROR(__xludf.DUMMYFUNCTION("""COMPUTED_VALUE"""),42506.6666666666)</f>
        <v>42506.666666666599</v>
      </c>
      <c r="AR263" s="3">
        <f ca="1">IFERROR(__xludf.DUMMYFUNCTION("""COMPUTED_VALUE"""),46.05)</f>
        <v>46.05</v>
      </c>
      <c r="AS263" s="3">
        <f ca="1">IFERROR(__xludf.DUMMYFUNCTION("""COMPUTED_VALUE"""),46.79)</f>
        <v>46.79</v>
      </c>
      <c r="AT263" s="3">
        <f ca="1">IFERROR(__xludf.DUMMYFUNCTION("""COMPUTED_VALUE"""),46.03)</f>
        <v>46.03</v>
      </c>
      <c r="AU263" s="3">
        <f ca="1">IFERROR(__xludf.DUMMYFUNCTION("""COMPUTED_VALUE"""),46.74)</f>
        <v>46.74</v>
      </c>
      <c r="AV263" s="3">
        <f ca="1">IFERROR(__xludf.DUMMYFUNCTION("""COMPUTED_VALUE"""),5837143)</f>
        <v>5837143</v>
      </c>
      <c r="AW263" s="4">
        <f ca="1">IFERROR(__xludf.DUMMYFUNCTION("""COMPUTED_VALUE"""),42669.6666666666)</f>
        <v>42669.666666666599</v>
      </c>
      <c r="AX263" s="3">
        <f ca="1">IFERROR(__xludf.DUMMYFUNCTION("""COMPUTED_VALUE"""),31.4)</f>
        <v>31.4</v>
      </c>
      <c r="AY263" s="3">
        <f ca="1">IFERROR(__xludf.DUMMYFUNCTION("""COMPUTED_VALUE"""),31.5)</f>
        <v>31.5</v>
      </c>
      <c r="AZ263" s="3">
        <f ca="1">IFERROR(__xludf.DUMMYFUNCTION("""COMPUTED_VALUE"""),30.99)</f>
        <v>30.99</v>
      </c>
      <c r="BA263" s="3">
        <f ca="1">IFERROR(__xludf.DUMMYFUNCTION("""COMPUTED_VALUE"""),31.19)</f>
        <v>31.19</v>
      </c>
      <c r="BB263" s="3">
        <f ca="1">IFERROR(__xludf.DUMMYFUNCTION("""COMPUTED_VALUE"""),1481903)</f>
        <v>1481903</v>
      </c>
      <c r="BC263" s="4">
        <f ca="1">IFERROR(__xludf.DUMMYFUNCTION("""COMPUTED_VALUE"""),42506.6666666666)</f>
        <v>42506.666666666599</v>
      </c>
      <c r="BD263" s="3">
        <f ca="1">IFERROR(__xludf.DUMMYFUNCTION("""COMPUTED_VALUE"""),42.25)</f>
        <v>42.25</v>
      </c>
      <c r="BE263" s="3">
        <f ca="1">IFERROR(__xludf.DUMMYFUNCTION("""COMPUTED_VALUE"""),42.9)</f>
        <v>42.9</v>
      </c>
      <c r="BF263" s="3">
        <f ca="1">IFERROR(__xludf.DUMMYFUNCTION("""COMPUTED_VALUE"""),42.25)</f>
        <v>42.25</v>
      </c>
      <c r="BG263" s="3">
        <f ca="1">IFERROR(__xludf.DUMMYFUNCTION("""COMPUTED_VALUE"""),42.8)</f>
        <v>42.8</v>
      </c>
      <c r="BH263" s="3">
        <f ca="1">IFERROR(__xludf.DUMMYFUNCTION("""COMPUTED_VALUE"""),6394168)</f>
        <v>6394168</v>
      </c>
      <c r="BI263" s="4">
        <f ca="1">IFERROR(__xludf.DUMMYFUNCTION("""COMPUTED_VALUE"""),42506.6666666666)</f>
        <v>42506.666666666599</v>
      </c>
      <c r="BJ263" s="3">
        <f ca="1">IFERROR(__xludf.DUMMYFUNCTION("""COMPUTED_VALUE"""),49.22)</f>
        <v>49.22</v>
      </c>
      <c r="BK263" s="3">
        <f ca="1">IFERROR(__xludf.DUMMYFUNCTION("""COMPUTED_VALUE"""),49.46)</f>
        <v>49.46</v>
      </c>
      <c r="BL263" s="3">
        <f ca="1">IFERROR(__xludf.DUMMYFUNCTION("""COMPUTED_VALUE"""),49.04)</f>
        <v>49.04</v>
      </c>
      <c r="BM263" s="3">
        <f ca="1">IFERROR(__xludf.DUMMYFUNCTION("""COMPUTED_VALUE"""),49.45)</f>
        <v>49.45</v>
      </c>
      <c r="BN263" s="3">
        <f ca="1">IFERROR(__xludf.DUMMYFUNCTION("""COMPUTED_VALUE"""),11087144)</f>
        <v>11087144</v>
      </c>
    </row>
    <row r="264" spans="7:66" ht="13" x14ac:dyDescent="0.15">
      <c r="G264" s="4">
        <f ca="1">IFERROR(__xludf.DUMMYFUNCTION("""COMPUTED_VALUE"""),42507.6666666666)</f>
        <v>42507.666666666599</v>
      </c>
      <c r="H264" s="3">
        <f ca="1">IFERROR(__xludf.DUMMYFUNCTION("""COMPUTED_VALUE"""),78.48)</f>
        <v>78.48</v>
      </c>
      <c r="I264" s="3">
        <f ca="1">IFERROR(__xludf.DUMMYFUNCTION("""COMPUTED_VALUE"""),78.65)</f>
        <v>78.650000000000006</v>
      </c>
      <c r="J264" s="3">
        <f ca="1">IFERROR(__xludf.DUMMYFUNCTION("""COMPUTED_VALUE"""),77.49)</f>
        <v>77.489999999999995</v>
      </c>
      <c r="K264" s="3">
        <f ca="1">IFERROR(__xludf.DUMMYFUNCTION("""COMPUTED_VALUE"""),77.71)</f>
        <v>77.709999999999994</v>
      </c>
      <c r="L264" s="3">
        <f ca="1">IFERROR(__xludf.DUMMYFUNCTION("""COMPUTED_VALUE"""),6543245)</f>
        <v>6543245</v>
      </c>
      <c r="M264" s="4">
        <f ca="1">IFERROR(__xludf.DUMMYFUNCTION("""COMPUTED_VALUE"""),42507.6666666666)</f>
        <v>42507.666666666599</v>
      </c>
      <c r="N264" s="3">
        <f ca="1">IFERROR(__xludf.DUMMYFUNCTION("""COMPUTED_VALUE"""),53.38)</f>
        <v>53.38</v>
      </c>
      <c r="O264" s="3">
        <f ca="1">IFERROR(__xludf.DUMMYFUNCTION("""COMPUTED_VALUE"""),53.55)</f>
        <v>53.55</v>
      </c>
      <c r="P264" s="3">
        <f ca="1">IFERROR(__xludf.DUMMYFUNCTION("""COMPUTED_VALUE"""),52.39)</f>
        <v>52.39</v>
      </c>
      <c r="Q264" s="3">
        <f ca="1">IFERROR(__xludf.DUMMYFUNCTION("""COMPUTED_VALUE"""),52.53)</f>
        <v>52.53</v>
      </c>
      <c r="R264" s="3">
        <f ca="1">IFERROR(__xludf.DUMMYFUNCTION("""COMPUTED_VALUE"""),19898173)</f>
        <v>19898173</v>
      </c>
      <c r="S264" s="4">
        <f ca="1">IFERROR(__xludf.DUMMYFUNCTION("""COMPUTED_VALUE"""),42507.6666666666)</f>
        <v>42507.666666666599</v>
      </c>
      <c r="T264" s="3">
        <f ca="1">IFERROR(__xludf.DUMMYFUNCTION("""COMPUTED_VALUE"""),66.1)</f>
        <v>66.099999999999994</v>
      </c>
      <c r="U264" s="3">
        <f ca="1">IFERROR(__xludf.DUMMYFUNCTION("""COMPUTED_VALUE"""),66.91)</f>
        <v>66.91</v>
      </c>
      <c r="V264" s="3">
        <f ca="1">IFERROR(__xludf.DUMMYFUNCTION("""COMPUTED_VALUE"""),65.89)</f>
        <v>65.89</v>
      </c>
      <c r="W264" s="3">
        <f ca="1">IFERROR(__xludf.DUMMYFUNCTION("""COMPUTED_VALUE"""),66.4)</f>
        <v>66.400000000000006</v>
      </c>
      <c r="X264" s="3">
        <f ca="1">IFERROR(__xludf.DUMMYFUNCTION("""COMPUTED_VALUE"""),15837339)</f>
        <v>15837339</v>
      </c>
      <c r="Y264" s="4">
        <f ca="1">IFERROR(__xludf.DUMMYFUNCTION("""COMPUTED_VALUE"""),42507.6666666666)</f>
        <v>42507.666666666599</v>
      </c>
      <c r="Z264" s="3">
        <f ca="1">IFERROR(__xludf.DUMMYFUNCTION("""COMPUTED_VALUE"""),18.63)</f>
        <v>18.63</v>
      </c>
      <c r="AA264" s="3">
        <f ca="1">IFERROR(__xludf.DUMMYFUNCTION("""COMPUTED_VALUE"""),18.71)</f>
        <v>18.71</v>
      </c>
      <c r="AB264" s="3">
        <f ca="1">IFERROR(__xludf.DUMMYFUNCTION("""COMPUTED_VALUE"""),18.49)</f>
        <v>18.489999999999998</v>
      </c>
      <c r="AC264" s="3">
        <f ca="1">IFERROR(__xludf.DUMMYFUNCTION("""COMPUTED_VALUE"""),18.57)</f>
        <v>18.57</v>
      </c>
      <c r="AD264" s="3">
        <f ca="1">IFERROR(__xludf.DUMMYFUNCTION("""COMPUTED_VALUE"""),36927351)</f>
        <v>36927351</v>
      </c>
      <c r="AE264" s="4">
        <f ca="1">IFERROR(__xludf.DUMMYFUNCTION("""COMPUTED_VALUE"""),42507.6666666666)</f>
        <v>42507.666666666599</v>
      </c>
      <c r="AF264" s="3">
        <f ca="1">IFERROR(__xludf.DUMMYFUNCTION("""COMPUTED_VALUE"""),69.95)</f>
        <v>69.95</v>
      </c>
      <c r="AG264" s="3">
        <f ca="1">IFERROR(__xludf.DUMMYFUNCTION("""COMPUTED_VALUE"""),70.13)</f>
        <v>70.13</v>
      </c>
      <c r="AH264" s="3">
        <f ca="1">IFERROR(__xludf.DUMMYFUNCTION("""COMPUTED_VALUE"""),69.1)</f>
        <v>69.099999999999994</v>
      </c>
      <c r="AI264" s="3">
        <f ca="1">IFERROR(__xludf.DUMMYFUNCTION("""COMPUTED_VALUE"""),69.35)</f>
        <v>69.349999999999994</v>
      </c>
      <c r="AJ264" s="3">
        <f ca="1">IFERROR(__xludf.DUMMYFUNCTION("""COMPUTED_VALUE"""),14919984)</f>
        <v>14919984</v>
      </c>
      <c r="AK264" s="4">
        <f ca="1">IFERROR(__xludf.DUMMYFUNCTION("""COMPUTED_VALUE"""),42507.6666666666)</f>
        <v>42507.666666666599</v>
      </c>
      <c r="AL264" s="3">
        <f ca="1">IFERROR(__xludf.DUMMYFUNCTION("""COMPUTED_VALUE"""),55.55)</f>
        <v>55.55</v>
      </c>
      <c r="AM264" s="3">
        <f ca="1">IFERROR(__xludf.DUMMYFUNCTION("""COMPUTED_VALUE"""),56.04)</f>
        <v>56.04</v>
      </c>
      <c r="AN264" s="3">
        <f ca="1">IFERROR(__xludf.DUMMYFUNCTION("""COMPUTED_VALUE"""),55.27)</f>
        <v>55.27</v>
      </c>
      <c r="AO264" s="3">
        <f ca="1">IFERROR(__xludf.DUMMYFUNCTION("""COMPUTED_VALUE"""),55.46)</f>
        <v>55.46</v>
      </c>
      <c r="AP264" s="3">
        <f ca="1">IFERROR(__xludf.DUMMYFUNCTION("""COMPUTED_VALUE"""),11830078)</f>
        <v>11830078</v>
      </c>
      <c r="AQ264" s="4">
        <f ca="1">IFERROR(__xludf.DUMMYFUNCTION("""COMPUTED_VALUE"""),42507.6666666666)</f>
        <v>42507.666666666599</v>
      </c>
      <c r="AR264" s="3">
        <f ca="1">IFERROR(__xludf.DUMMYFUNCTION("""COMPUTED_VALUE"""),46.51)</f>
        <v>46.51</v>
      </c>
      <c r="AS264" s="3">
        <f ca="1">IFERROR(__xludf.DUMMYFUNCTION("""COMPUTED_VALUE"""),46.97)</f>
        <v>46.97</v>
      </c>
      <c r="AT264" s="3">
        <f ca="1">IFERROR(__xludf.DUMMYFUNCTION("""COMPUTED_VALUE"""),46.4)</f>
        <v>46.4</v>
      </c>
      <c r="AU264" s="3">
        <f ca="1">IFERROR(__xludf.DUMMYFUNCTION("""COMPUTED_VALUE"""),46.5)</f>
        <v>46.5</v>
      </c>
      <c r="AV264" s="3">
        <f ca="1">IFERROR(__xludf.DUMMYFUNCTION("""COMPUTED_VALUE"""),6422449)</f>
        <v>6422449</v>
      </c>
      <c r="AW264" s="4">
        <f ca="1">IFERROR(__xludf.DUMMYFUNCTION("""COMPUTED_VALUE"""),42670.6666666666)</f>
        <v>42670.666666666599</v>
      </c>
      <c r="AX264" s="3">
        <f ca="1">IFERROR(__xludf.DUMMYFUNCTION("""COMPUTED_VALUE"""),31.11)</f>
        <v>31.11</v>
      </c>
      <c r="AY264" s="3">
        <f ca="1">IFERROR(__xludf.DUMMYFUNCTION("""COMPUTED_VALUE"""),31.11)</f>
        <v>31.11</v>
      </c>
      <c r="AZ264" s="3">
        <f ca="1">IFERROR(__xludf.DUMMYFUNCTION("""COMPUTED_VALUE"""),30.36)</f>
        <v>30.36</v>
      </c>
      <c r="BA264" s="3">
        <f ca="1">IFERROR(__xludf.DUMMYFUNCTION("""COMPUTED_VALUE"""),30.45)</f>
        <v>30.45</v>
      </c>
      <c r="BB264" s="3">
        <f ca="1">IFERROR(__xludf.DUMMYFUNCTION("""COMPUTED_VALUE"""),1409067)</f>
        <v>1409067</v>
      </c>
      <c r="BC264" s="4">
        <f ca="1">IFERROR(__xludf.DUMMYFUNCTION("""COMPUTED_VALUE"""),42507.6666666666)</f>
        <v>42507.666666666599</v>
      </c>
      <c r="BD264" s="3">
        <f ca="1">IFERROR(__xludf.DUMMYFUNCTION("""COMPUTED_VALUE"""),42.67)</f>
        <v>42.67</v>
      </c>
      <c r="BE264" s="3">
        <f ca="1">IFERROR(__xludf.DUMMYFUNCTION("""COMPUTED_VALUE"""),42.88)</f>
        <v>42.88</v>
      </c>
      <c r="BF264" s="3">
        <f ca="1">IFERROR(__xludf.DUMMYFUNCTION("""COMPUTED_VALUE"""),42.24)</f>
        <v>42.24</v>
      </c>
      <c r="BG264" s="3">
        <f ca="1">IFERROR(__xludf.DUMMYFUNCTION("""COMPUTED_VALUE"""),42.37)</f>
        <v>42.37</v>
      </c>
      <c r="BH264" s="3">
        <f ca="1">IFERROR(__xludf.DUMMYFUNCTION("""COMPUTED_VALUE"""),9940068)</f>
        <v>9940068</v>
      </c>
      <c r="BI264" s="4">
        <f ca="1">IFERROR(__xludf.DUMMYFUNCTION("""COMPUTED_VALUE"""),42507.6666666666)</f>
        <v>42507.666666666599</v>
      </c>
      <c r="BJ264" s="3">
        <f ca="1">IFERROR(__xludf.DUMMYFUNCTION("""COMPUTED_VALUE"""),49.29)</f>
        <v>49.29</v>
      </c>
      <c r="BK264" s="3">
        <f ca="1">IFERROR(__xludf.DUMMYFUNCTION("""COMPUTED_VALUE"""),49.41)</f>
        <v>49.41</v>
      </c>
      <c r="BL264" s="3">
        <f ca="1">IFERROR(__xludf.DUMMYFUNCTION("""COMPUTED_VALUE"""),48.35)</f>
        <v>48.35</v>
      </c>
      <c r="BM264" s="3">
        <f ca="1">IFERROR(__xludf.DUMMYFUNCTION("""COMPUTED_VALUE"""),48.61)</f>
        <v>48.61</v>
      </c>
      <c r="BN264" s="3">
        <f ca="1">IFERROR(__xludf.DUMMYFUNCTION("""COMPUTED_VALUE"""),17532997)</f>
        <v>17532997</v>
      </c>
    </row>
    <row r="265" spans="7:66" ht="13" x14ac:dyDescent="0.15">
      <c r="G265" s="4">
        <f ca="1">IFERROR(__xludf.DUMMYFUNCTION("""COMPUTED_VALUE"""),42508.6666666666)</f>
        <v>42508.666666666599</v>
      </c>
      <c r="H265" s="3">
        <f ca="1">IFERROR(__xludf.DUMMYFUNCTION("""COMPUTED_VALUE"""),77.18)</f>
        <v>77.180000000000007</v>
      </c>
      <c r="I265" s="3">
        <f ca="1">IFERROR(__xludf.DUMMYFUNCTION("""COMPUTED_VALUE"""),77.76)</f>
        <v>77.760000000000005</v>
      </c>
      <c r="J265" s="3">
        <f ca="1">IFERROR(__xludf.DUMMYFUNCTION("""COMPUTED_VALUE"""),76.73)</f>
        <v>76.73</v>
      </c>
      <c r="K265" s="3">
        <f ca="1">IFERROR(__xludf.DUMMYFUNCTION("""COMPUTED_VALUE"""),77.26)</f>
        <v>77.260000000000005</v>
      </c>
      <c r="L265" s="3">
        <f ca="1">IFERROR(__xludf.DUMMYFUNCTION("""COMPUTED_VALUE"""),11329345)</f>
        <v>11329345</v>
      </c>
      <c r="M265" s="4">
        <f ca="1">IFERROR(__xludf.DUMMYFUNCTION("""COMPUTED_VALUE"""),42508.6666666666)</f>
        <v>42508.666666666599</v>
      </c>
      <c r="N265" s="3">
        <f ca="1">IFERROR(__xludf.DUMMYFUNCTION("""COMPUTED_VALUE"""),52.24)</f>
        <v>52.24</v>
      </c>
      <c r="O265" s="3">
        <f ca="1">IFERROR(__xludf.DUMMYFUNCTION("""COMPUTED_VALUE"""),52.4)</f>
        <v>52.4</v>
      </c>
      <c r="P265" s="3">
        <f ca="1">IFERROR(__xludf.DUMMYFUNCTION("""COMPUTED_VALUE"""),51.72)</f>
        <v>51.72</v>
      </c>
      <c r="Q265" s="3">
        <f ca="1">IFERROR(__xludf.DUMMYFUNCTION("""COMPUTED_VALUE"""),51.92)</f>
        <v>51.92</v>
      </c>
      <c r="R265" s="3">
        <f ca="1">IFERROR(__xludf.DUMMYFUNCTION("""COMPUTED_VALUE"""),20132506)</f>
        <v>20132506</v>
      </c>
      <c r="S265" s="4">
        <f ca="1">IFERROR(__xludf.DUMMYFUNCTION("""COMPUTED_VALUE"""),42508.6666666666)</f>
        <v>42508.666666666599</v>
      </c>
      <c r="T265" s="3">
        <f ca="1">IFERROR(__xludf.DUMMYFUNCTION("""COMPUTED_VALUE"""),66.39)</f>
        <v>66.39</v>
      </c>
      <c r="U265" s="3">
        <f ca="1">IFERROR(__xludf.DUMMYFUNCTION("""COMPUTED_VALUE"""),66.61)</f>
        <v>66.61</v>
      </c>
      <c r="V265" s="3">
        <f ca="1">IFERROR(__xludf.DUMMYFUNCTION("""COMPUTED_VALUE"""),65.34)</f>
        <v>65.34</v>
      </c>
      <c r="W265" s="3">
        <f ca="1">IFERROR(__xludf.DUMMYFUNCTION("""COMPUTED_VALUE"""),65.76)</f>
        <v>65.760000000000005</v>
      </c>
      <c r="X265" s="3">
        <f ca="1">IFERROR(__xludf.DUMMYFUNCTION("""COMPUTED_VALUE"""),22951773)</f>
        <v>22951773</v>
      </c>
      <c r="Y265" s="4">
        <f ca="1">IFERROR(__xludf.DUMMYFUNCTION("""COMPUTED_VALUE"""),42508.6666666666)</f>
        <v>42508.666666666599</v>
      </c>
      <c r="Z265" s="3">
        <f ca="1">IFERROR(__xludf.DUMMYFUNCTION("""COMPUTED_VALUE"""),18.51)</f>
        <v>18.510000000000002</v>
      </c>
      <c r="AA265" s="3">
        <f ca="1">IFERROR(__xludf.DUMMYFUNCTION("""COMPUTED_VALUE"""),18.91)</f>
        <v>18.91</v>
      </c>
      <c r="AB265" s="3">
        <f ca="1">IFERROR(__xludf.DUMMYFUNCTION("""COMPUTED_VALUE"""),18.51)</f>
        <v>18.510000000000002</v>
      </c>
      <c r="AC265" s="3">
        <f ca="1">IFERROR(__xludf.DUMMYFUNCTION("""COMPUTED_VALUE"""),18.9)</f>
        <v>18.899999999999999</v>
      </c>
      <c r="AD265" s="3">
        <f ca="1">IFERROR(__xludf.DUMMYFUNCTION("""COMPUTED_VALUE"""),81431448)</f>
        <v>81431448</v>
      </c>
      <c r="AE265" s="4">
        <f ca="1">IFERROR(__xludf.DUMMYFUNCTION("""COMPUTED_VALUE"""),42508.6666666666)</f>
        <v>42508.666666666599</v>
      </c>
      <c r="AF265" s="3">
        <f ca="1">IFERROR(__xludf.DUMMYFUNCTION("""COMPUTED_VALUE"""),69.24)</f>
        <v>69.239999999999995</v>
      </c>
      <c r="AG265" s="3">
        <f ca="1">IFERROR(__xludf.DUMMYFUNCTION("""COMPUTED_VALUE"""),69.99)</f>
        <v>69.989999999999995</v>
      </c>
      <c r="AH265" s="3">
        <f ca="1">IFERROR(__xludf.DUMMYFUNCTION("""COMPUTED_VALUE"""),69.17)</f>
        <v>69.17</v>
      </c>
      <c r="AI265" s="3">
        <f ca="1">IFERROR(__xludf.DUMMYFUNCTION("""COMPUTED_VALUE"""),69.64)</f>
        <v>69.64</v>
      </c>
      <c r="AJ265" s="3">
        <f ca="1">IFERROR(__xludf.DUMMYFUNCTION("""COMPUTED_VALUE"""),11524253)</f>
        <v>11524253</v>
      </c>
      <c r="AK265" s="4">
        <f ca="1">IFERROR(__xludf.DUMMYFUNCTION("""COMPUTED_VALUE"""),42508.6666666666)</f>
        <v>42508.666666666599</v>
      </c>
      <c r="AL265" s="3">
        <f ca="1">IFERROR(__xludf.DUMMYFUNCTION("""COMPUTED_VALUE"""),55.31)</f>
        <v>55.31</v>
      </c>
      <c r="AM265" s="3">
        <f ca="1">IFERROR(__xludf.DUMMYFUNCTION("""COMPUTED_VALUE"""),55.76)</f>
        <v>55.76</v>
      </c>
      <c r="AN265" s="3">
        <f ca="1">IFERROR(__xludf.DUMMYFUNCTION("""COMPUTED_VALUE"""),54.96)</f>
        <v>54.96</v>
      </c>
      <c r="AO265" s="3">
        <f ca="1">IFERROR(__xludf.DUMMYFUNCTION("""COMPUTED_VALUE"""),55.27)</f>
        <v>55.27</v>
      </c>
      <c r="AP265" s="3">
        <f ca="1">IFERROR(__xludf.DUMMYFUNCTION("""COMPUTED_VALUE"""),13609444)</f>
        <v>13609444</v>
      </c>
      <c r="AQ265" s="4">
        <f ca="1">IFERROR(__xludf.DUMMYFUNCTION("""COMPUTED_VALUE"""),42508.6666666666)</f>
        <v>42508.666666666599</v>
      </c>
      <c r="AR265" s="3">
        <f ca="1">IFERROR(__xludf.DUMMYFUNCTION("""COMPUTED_VALUE"""),46.24)</f>
        <v>46.24</v>
      </c>
      <c r="AS265" s="3">
        <f ca="1">IFERROR(__xludf.DUMMYFUNCTION("""COMPUTED_VALUE"""),46.58)</f>
        <v>46.58</v>
      </c>
      <c r="AT265" s="3">
        <f ca="1">IFERROR(__xludf.DUMMYFUNCTION("""COMPUTED_VALUE"""),45.58)</f>
        <v>45.58</v>
      </c>
      <c r="AU265" s="3">
        <f ca="1">IFERROR(__xludf.DUMMYFUNCTION("""COMPUTED_VALUE"""),45.79)</f>
        <v>45.79</v>
      </c>
      <c r="AV265" s="3">
        <f ca="1">IFERROR(__xludf.DUMMYFUNCTION("""COMPUTED_VALUE"""),9594756)</f>
        <v>9594756</v>
      </c>
      <c r="AW265" s="4">
        <f ca="1">IFERROR(__xludf.DUMMYFUNCTION("""COMPUTED_VALUE"""),42671.6666666666)</f>
        <v>42671.666666666599</v>
      </c>
      <c r="AX265" s="3">
        <f ca="1">IFERROR(__xludf.DUMMYFUNCTION("""COMPUTED_VALUE"""),30.55)</f>
        <v>30.55</v>
      </c>
      <c r="AY265" s="3">
        <f ca="1">IFERROR(__xludf.DUMMYFUNCTION("""COMPUTED_VALUE"""),30.78)</f>
        <v>30.78</v>
      </c>
      <c r="AZ265" s="3">
        <f ca="1">IFERROR(__xludf.DUMMYFUNCTION("""COMPUTED_VALUE"""),30.43)</f>
        <v>30.43</v>
      </c>
      <c r="BA265" s="3">
        <f ca="1">IFERROR(__xludf.DUMMYFUNCTION("""COMPUTED_VALUE"""),30.53)</f>
        <v>30.53</v>
      </c>
      <c r="BB265" s="3">
        <f ca="1">IFERROR(__xludf.DUMMYFUNCTION("""COMPUTED_VALUE"""),2338168)</f>
        <v>2338168</v>
      </c>
      <c r="BC265" s="4">
        <f ca="1">IFERROR(__xludf.DUMMYFUNCTION("""COMPUTED_VALUE"""),42508.6666666666)</f>
        <v>42508.666666666599</v>
      </c>
      <c r="BD265" s="3">
        <f ca="1">IFERROR(__xludf.DUMMYFUNCTION("""COMPUTED_VALUE"""),42.26)</f>
        <v>42.26</v>
      </c>
      <c r="BE265" s="3">
        <f ca="1">IFERROR(__xludf.DUMMYFUNCTION("""COMPUTED_VALUE"""),42.78)</f>
        <v>42.78</v>
      </c>
      <c r="BF265" s="3">
        <f ca="1">IFERROR(__xludf.DUMMYFUNCTION("""COMPUTED_VALUE"""),42.2)</f>
        <v>42.2</v>
      </c>
      <c r="BG265" s="3">
        <f ca="1">IFERROR(__xludf.DUMMYFUNCTION("""COMPUTED_VALUE"""),42.45)</f>
        <v>42.45</v>
      </c>
      <c r="BH265" s="3">
        <f ca="1">IFERROR(__xludf.DUMMYFUNCTION("""COMPUTED_VALUE"""),10903724)</f>
        <v>10903724</v>
      </c>
      <c r="BI265" s="4">
        <f ca="1">IFERROR(__xludf.DUMMYFUNCTION("""COMPUTED_VALUE"""),42508.6666666666)</f>
        <v>42508.666666666599</v>
      </c>
      <c r="BJ265" s="3">
        <f ca="1">IFERROR(__xludf.DUMMYFUNCTION("""COMPUTED_VALUE"""),48.33)</f>
        <v>48.33</v>
      </c>
      <c r="BK265" s="3">
        <f ca="1">IFERROR(__xludf.DUMMYFUNCTION("""COMPUTED_VALUE"""),48.71)</f>
        <v>48.71</v>
      </c>
      <c r="BL265" s="3">
        <f ca="1">IFERROR(__xludf.DUMMYFUNCTION("""COMPUTED_VALUE"""),47.54)</f>
        <v>47.54</v>
      </c>
      <c r="BM265" s="3">
        <f ca="1">IFERROR(__xludf.DUMMYFUNCTION("""COMPUTED_VALUE"""),47.7)</f>
        <v>47.7</v>
      </c>
      <c r="BN265" s="3">
        <f ca="1">IFERROR(__xludf.DUMMYFUNCTION("""COMPUTED_VALUE"""),27257599)</f>
        <v>27257599</v>
      </c>
    </row>
    <row r="266" spans="7:66" ht="13" x14ac:dyDescent="0.15">
      <c r="G266" s="4">
        <f ca="1">IFERROR(__xludf.DUMMYFUNCTION("""COMPUTED_VALUE"""),42509.6666666666)</f>
        <v>42509.666666666599</v>
      </c>
      <c r="H266" s="3">
        <f ca="1">IFERROR(__xludf.DUMMYFUNCTION("""COMPUTED_VALUE"""),76.92)</f>
        <v>76.92</v>
      </c>
      <c r="I266" s="3">
        <f ca="1">IFERROR(__xludf.DUMMYFUNCTION("""COMPUTED_VALUE"""),77.31)</f>
        <v>77.31</v>
      </c>
      <c r="J266" s="3">
        <f ca="1">IFERROR(__xludf.DUMMYFUNCTION("""COMPUTED_VALUE"""),76.65)</f>
        <v>76.650000000000006</v>
      </c>
      <c r="K266" s="3">
        <f ca="1">IFERROR(__xludf.DUMMYFUNCTION("""COMPUTED_VALUE"""),77.19)</f>
        <v>77.19</v>
      </c>
      <c r="L266" s="3">
        <f ca="1">IFERROR(__xludf.DUMMYFUNCTION("""COMPUTED_VALUE"""),7833646)</f>
        <v>7833646</v>
      </c>
      <c r="M266" s="4">
        <f ca="1">IFERROR(__xludf.DUMMYFUNCTION("""COMPUTED_VALUE"""),42509.6666666666)</f>
        <v>42509.666666666599</v>
      </c>
      <c r="N266" s="3">
        <f ca="1">IFERROR(__xludf.DUMMYFUNCTION("""COMPUTED_VALUE"""),52.08)</f>
        <v>52.08</v>
      </c>
      <c r="O266" s="3">
        <f ca="1">IFERROR(__xludf.DUMMYFUNCTION("""COMPUTED_VALUE"""),52.45)</f>
        <v>52.45</v>
      </c>
      <c r="P266" s="3">
        <f ca="1">IFERROR(__xludf.DUMMYFUNCTION("""COMPUTED_VALUE"""),51.95)</f>
        <v>51.95</v>
      </c>
      <c r="Q266" s="3">
        <f ca="1">IFERROR(__xludf.DUMMYFUNCTION("""COMPUTED_VALUE"""),52.43)</f>
        <v>52.43</v>
      </c>
      <c r="R266" s="3">
        <f ca="1">IFERROR(__xludf.DUMMYFUNCTION("""COMPUTED_VALUE"""),13237265)</f>
        <v>13237265</v>
      </c>
      <c r="S266" s="4">
        <f ca="1">IFERROR(__xludf.DUMMYFUNCTION("""COMPUTED_VALUE"""),42509.6666666666)</f>
        <v>42509.666666666599</v>
      </c>
      <c r="T266" s="3">
        <f ca="1">IFERROR(__xludf.DUMMYFUNCTION("""COMPUTED_VALUE"""),65.1)</f>
        <v>65.099999999999994</v>
      </c>
      <c r="U266" s="3">
        <f ca="1">IFERROR(__xludf.DUMMYFUNCTION("""COMPUTED_VALUE"""),65.92)</f>
        <v>65.92</v>
      </c>
      <c r="V266" s="3">
        <f ca="1">IFERROR(__xludf.DUMMYFUNCTION("""COMPUTED_VALUE"""),64.49)</f>
        <v>64.489999999999995</v>
      </c>
      <c r="W266" s="3">
        <f ca="1">IFERROR(__xludf.DUMMYFUNCTION("""COMPUTED_VALUE"""),65.77)</f>
        <v>65.77</v>
      </c>
      <c r="X266" s="3">
        <f ca="1">IFERROR(__xludf.DUMMYFUNCTION("""COMPUTED_VALUE"""),16854850)</f>
        <v>16854850</v>
      </c>
      <c r="Y266" s="4">
        <f ca="1">IFERROR(__xludf.DUMMYFUNCTION("""COMPUTED_VALUE"""),42509.6666666666)</f>
        <v>42509.666666666599</v>
      </c>
      <c r="Z266" s="3">
        <f ca="1">IFERROR(__xludf.DUMMYFUNCTION("""COMPUTED_VALUE"""),18.81)</f>
        <v>18.809999999999999</v>
      </c>
      <c r="AA266" s="3">
        <f ca="1">IFERROR(__xludf.DUMMYFUNCTION("""COMPUTED_VALUE"""),18.9)</f>
        <v>18.899999999999999</v>
      </c>
      <c r="AB266" s="3">
        <f ca="1">IFERROR(__xludf.DUMMYFUNCTION("""COMPUTED_VALUE"""),18.6)</f>
        <v>18.600000000000001</v>
      </c>
      <c r="AC266" s="3">
        <f ca="1">IFERROR(__xludf.DUMMYFUNCTION("""COMPUTED_VALUE"""),18.72)</f>
        <v>18.72</v>
      </c>
      <c r="AD266" s="3">
        <f ca="1">IFERROR(__xludf.DUMMYFUNCTION("""COMPUTED_VALUE"""),53780085)</f>
        <v>53780085</v>
      </c>
      <c r="AE266" s="4">
        <f ca="1">IFERROR(__xludf.DUMMYFUNCTION("""COMPUTED_VALUE"""),42509.6666666666)</f>
        <v>42509.666666666599</v>
      </c>
      <c r="AF266" s="3">
        <f ca="1">IFERROR(__xludf.DUMMYFUNCTION("""COMPUTED_VALUE"""),69.24)</f>
        <v>69.239999999999995</v>
      </c>
      <c r="AG266" s="3">
        <f ca="1">IFERROR(__xludf.DUMMYFUNCTION("""COMPUTED_VALUE"""),69.56)</f>
        <v>69.56</v>
      </c>
      <c r="AH266" s="3">
        <f ca="1">IFERROR(__xludf.DUMMYFUNCTION("""COMPUTED_VALUE"""),68.61)</f>
        <v>68.61</v>
      </c>
      <c r="AI266" s="3">
        <f ca="1">IFERROR(__xludf.DUMMYFUNCTION("""COMPUTED_VALUE"""),69.05)</f>
        <v>69.05</v>
      </c>
      <c r="AJ266" s="3">
        <f ca="1">IFERROR(__xludf.DUMMYFUNCTION("""COMPUTED_VALUE"""),8765724)</f>
        <v>8765724</v>
      </c>
      <c r="AK266" s="4">
        <f ca="1">IFERROR(__xludf.DUMMYFUNCTION("""COMPUTED_VALUE"""),42509.6666666666)</f>
        <v>42509.666666666599</v>
      </c>
      <c r="AL266" s="3">
        <f ca="1">IFERROR(__xludf.DUMMYFUNCTION("""COMPUTED_VALUE"""),54.83)</f>
        <v>54.83</v>
      </c>
      <c r="AM266" s="3">
        <f ca="1">IFERROR(__xludf.DUMMYFUNCTION("""COMPUTED_VALUE"""),55.03)</f>
        <v>55.03</v>
      </c>
      <c r="AN266" s="3">
        <f ca="1">IFERROR(__xludf.DUMMYFUNCTION("""COMPUTED_VALUE"""),54.39)</f>
        <v>54.39</v>
      </c>
      <c r="AO266" s="3">
        <f ca="1">IFERROR(__xludf.DUMMYFUNCTION("""COMPUTED_VALUE"""),54.75)</f>
        <v>54.75</v>
      </c>
      <c r="AP266" s="3">
        <f ca="1">IFERROR(__xludf.DUMMYFUNCTION("""COMPUTED_VALUE"""),15143060)</f>
        <v>15143060</v>
      </c>
      <c r="AQ266" s="4">
        <f ca="1">IFERROR(__xludf.DUMMYFUNCTION("""COMPUTED_VALUE"""),42509.6666666666)</f>
        <v>42509.666666666599</v>
      </c>
      <c r="AR266" s="3">
        <f ca="1">IFERROR(__xludf.DUMMYFUNCTION("""COMPUTED_VALUE"""),45.7)</f>
        <v>45.7</v>
      </c>
      <c r="AS266" s="3">
        <f ca="1">IFERROR(__xludf.DUMMYFUNCTION("""COMPUTED_VALUE"""),46.01)</f>
        <v>46.01</v>
      </c>
      <c r="AT266" s="3">
        <f ca="1">IFERROR(__xludf.DUMMYFUNCTION("""COMPUTED_VALUE"""),45.42)</f>
        <v>45.42</v>
      </c>
      <c r="AU266" s="3">
        <f ca="1">IFERROR(__xludf.DUMMYFUNCTION("""COMPUTED_VALUE"""),45.95)</f>
        <v>45.95</v>
      </c>
      <c r="AV266" s="3">
        <f ca="1">IFERROR(__xludf.DUMMYFUNCTION("""COMPUTED_VALUE"""),6264884)</f>
        <v>6264884</v>
      </c>
      <c r="AW266" s="4">
        <f ca="1">IFERROR(__xludf.DUMMYFUNCTION("""COMPUTED_VALUE"""),42674.6666666666)</f>
        <v>42674.666666666599</v>
      </c>
      <c r="AX266" s="3">
        <f ca="1">IFERROR(__xludf.DUMMYFUNCTION("""COMPUTED_VALUE"""),30.6)</f>
        <v>30.6</v>
      </c>
      <c r="AY266" s="3">
        <f ca="1">IFERROR(__xludf.DUMMYFUNCTION("""COMPUTED_VALUE"""),30.98)</f>
        <v>30.98</v>
      </c>
      <c r="AZ266" s="3">
        <f ca="1">IFERROR(__xludf.DUMMYFUNCTION("""COMPUTED_VALUE"""),30.52)</f>
        <v>30.52</v>
      </c>
      <c r="BA266" s="3">
        <f ca="1">IFERROR(__xludf.DUMMYFUNCTION("""COMPUTED_VALUE"""),30.95)</f>
        <v>30.95</v>
      </c>
      <c r="BB266" s="3">
        <f ca="1">IFERROR(__xludf.DUMMYFUNCTION("""COMPUTED_VALUE"""),1071353)</f>
        <v>1071353</v>
      </c>
      <c r="BC266" s="4">
        <f ca="1">IFERROR(__xludf.DUMMYFUNCTION("""COMPUTED_VALUE"""),42509.6666666666)</f>
        <v>42509.666666666599</v>
      </c>
      <c r="BD266" s="3">
        <f ca="1">IFERROR(__xludf.DUMMYFUNCTION("""COMPUTED_VALUE"""),42.35)</f>
        <v>42.35</v>
      </c>
      <c r="BE266" s="3">
        <f ca="1">IFERROR(__xludf.DUMMYFUNCTION("""COMPUTED_VALUE"""),42.4)</f>
        <v>42.4</v>
      </c>
      <c r="BF266" s="3">
        <f ca="1">IFERROR(__xludf.DUMMYFUNCTION("""COMPUTED_VALUE"""),41.97)</f>
        <v>41.97</v>
      </c>
      <c r="BG266" s="3">
        <f ca="1">IFERROR(__xludf.DUMMYFUNCTION("""COMPUTED_VALUE"""),42.22)</f>
        <v>42.22</v>
      </c>
      <c r="BH266" s="3">
        <f ca="1">IFERROR(__xludf.DUMMYFUNCTION("""COMPUTED_VALUE"""),8634847)</f>
        <v>8634847</v>
      </c>
      <c r="BI266" s="4">
        <f ca="1">IFERROR(__xludf.DUMMYFUNCTION("""COMPUTED_VALUE"""),42509.6666666666)</f>
        <v>42509.666666666599</v>
      </c>
      <c r="BJ266" s="3">
        <f ca="1">IFERROR(__xludf.DUMMYFUNCTION("""COMPUTED_VALUE"""),47.52)</f>
        <v>47.52</v>
      </c>
      <c r="BK266" s="3">
        <f ca="1">IFERROR(__xludf.DUMMYFUNCTION("""COMPUTED_VALUE"""),48.19)</f>
        <v>48.19</v>
      </c>
      <c r="BL266" s="3">
        <f ca="1">IFERROR(__xludf.DUMMYFUNCTION("""COMPUTED_VALUE"""),47.25)</f>
        <v>47.25</v>
      </c>
      <c r="BM266" s="3">
        <f ca="1">IFERROR(__xludf.DUMMYFUNCTION("""COMPUTED_VALUE"""),48.18)</f>
        <v>48.18</v>
      </c>
      <c r="BN266" s="3">
        <f ca="1">IFERROR(__xludf.DUMMYFUNCTION("""COMPUTED_VALUE"""),19582762)</f>
        <v>19582762</v>
      </c>
    </row>
    <row r="267" spans="7:66" ht="13" x14ac:dyDescent="0.15">
      <c r="G267" s="4">
        <f ca="1">IFERROR(__xludf.DUMMYFUNCTION("""COMPUTED_VALUE"""),42510.6666666666)</f>
        <v>42510.666666666599</v>
      </c>
      <c r="H267" s="3">
        <f ca="1">IFERROR(__xludf.DUMMYFUNCTION("""COMPUTED_VALUE"""),77.28)</f>
        <v>77.28</v>
      </c>
      <c r="I267" s="3">
        <f ca="1">IFERROR(__xludf.DUMMYFUNCTION("""COMPUTED_VALUE"""),77.95)</f>
        <v>77.95</v>
      </c>
      <c r="J267" s="3">
        <f ca="1">IFERROR(__xludf.DUMMYFUNCTION("""COMPUTED_VALUE"""),77.22)</f>
        <v>77.22</v>
      </c>
      <c r="K267" s="3">
        <f ca="1">IFERROR(__xludf.DUMMYFUNCTION("""COMPUTED_VALUE"""),77.7)</f>
        <v>77.7</v>
      </c>
      <c r="L267" s="3">
        <f ca="1">IFERROR(__xludf.DUMMYFUNCTION("""COMPUTED_VALUE"""),3908089)</f>
        <v>3908089</v>
      </c>
      <c r="M267" s="4">
        <f ca="1">IFERROR(__xludf.DUMMYFUNCTION("""COMPUTED_VALUE"""),42510.6666666666)</f>
        <v>42510.666666666599</v>
      </c>
      <c r="N267" s="3">
        <f ca="1">IFERROR(__xludf.DUMMYFUNCTION("""COMPUTED_VALUE"""),52.57)</f>
        <v>52.57</v>
      </c>
      <c r="O267" s="3">
        <f ca="1">IFERROR(__xludf.DUMMYFUNCTION("""COMPUTED_VALUE"""),52.6)</f>
        <v>52.6</v>
      </c>
      <c r="P267" s="3">
        <f ca="1">IFERROR(__xludf.DUMMYFUNCTION("""COMPUTED_VALUE"""),52.1)</f>
        <v>52.1</v>
      </c>
      <c r="Q267" s="3">
        <f ca="1">IFERROR(__xludf.DUMMYFUNCTION("""COMPUTED_VALUE"""),52.16)</f>
        <v>52.16</v>
      </c>
      <c r="R267" s="3">
        <f ca="1">IFERROR(__xludf.DUMMYFUNCTION("""COMPUTED_VALUE"""),7050783)</f>
        <v>7050783</v>
      </c>
      <c r="S267" s="4">
        <f ca="1">IFERROR(__xludf.DUMMYFUNCTION("""COMPUTED_VALUE"""),42510.6666666666)</f>
        <v>42510.666666666599</v>
      </c>
      <c r="T267" s="3">
        <f ca="1">IFERROR(__xludf.DUMMYFUNCTION("""COMPUTED_VALUE"""),65.97)</f>
        <v>65.97</v>
      </c>
      <c r="U267" s="3">
        <f ca="1">IFERROR(__xludf.DUMMYFUNCTION("""COMPUTED_VALUE"""),66.3)</f>
        <v>66.3</v>
      </c>
      <c r="V267" s="3">
        <f ca="1">IFERROR(__xludf.DUMMYFUNCTION("""COMPUTED_VALUE"""),65.57)</f>
        <v>65.569999999999993</v>
      </c>
      <c r="W267" s="3">
        <f ca="1">IFERROR(__xludf.DUMMYFUNCTION("""COMPUTED_VALUE"""),66.16)</f>
        <v>66.16</v>
      </c>
      <c r="X267" s="3">
        <f ca="1">IFERROR(__xludf.DUMMYFUNCTION("""COMPUTED_VALUE"""),9833512)</f>
        <v>9833512</v>
      </c>
      <c r="Y267" s="4">
        <f ca="1">IFERROR(__xludf.DUMMYFUNCTION("""COMPUTED_VALUE"""),42510.6666666666)</f>
        <v>42510.666666666599</v>
      </c>
      <c r="Z267" s="3">
        <f ca="1">IFERROR(__xludf.DUMMYFUNCTION("""COMPUTED_VALUE"""),18.82)</f>
        <v>18.82</v>
      </c>
      <c r="AA267" s="3">
        <f ca="1">IFERROR(__xludf.DUMMYFUNCTION("""COMPUTED_VALUE"""),18.95)</f>
        <v>18.95</v>
      </c>
      <c r="AB267" s="3">
        <f ca="1">IFERROR(__xludf.DUMMYFUNCTION("""COMPUTED_VALUE"""),18.79)</f>
        <v>18.79</v>
      </c>
      <c r="AC267" s="3">
        <f ca="1">IFERROR(__xludf.DUMMYFUNCTION("""COMPUTED_VALUE"""),18.85)</f>
        <v>18.850000000000001</v>
      </c>
      <c r="AD267" s="3">
        <f ca="1">IFERROR(__xludf.DUMMYFUNCTION("""COMPUTED_VALUE"""),29053929)</f>
        <v>29053929</v>
      </c>
      <c r="AE267" s="4">
        <f ca="1">IFERROR(__xludf.DUMMYFUNCTION("""COMPUTED_VALUE"""),42510.6666666666)</f>
        <v>42510.666666666599</v>
      </c>
      <c r="AF267" s="3">
        <f ca="1">IFERROR(__xludf.DUMMYFUNCTION("""COMPUTED_VALUE"""),69.31)</f>
        <v>69.31</v>
      </c>
      <c r="AG267" s="3">
        <f ca="1">IFERROR(__xludf.DUMMYFUNCTION("""COMPUTED_VALUE"""),69.93)</f>
        <v>69.930000000000007</v>
      </c>
      <c r="AH267" s="3">
        <f ca="1">IFERROR(__xludf.DUMMYFUNCTION("""COMPUTED_VALUE"""),69.28)</f>
        <v>69.28</v>
      </c>
      <c r="AI267" s="3">
        <f ca="1">IFERROR(__xludf.DUMMYFUNCTION("""COMPUTED_VALUE"""),69.69)</f>
        <v>69.69</v>
      </c>
      <c r="AJ267" s="3">
        <f ca="1">IFERROR(__xludf.DUMMYFUNCTION("""COMPUTED_VALUE"""),7926080)</f>
        <v>7926080</v>
      </c>
      <c r="AK267" s="4">
        <f ca="1">IFERROR(__xludf.DUMMYFUNCTION("""COMPUTED_VALUE"""),42510.6666666666)</f>
        <v>42510.666666666599</v>
      </c>
      <c r="AL267" s="3">
        <f ca="1">IFERROR(__xludf.DUMMYFUNCTION("""COMPUTED_VALUE"""),54.97)</f>
        <v>54.97</v>
      </c>
      <c r="AM267" s="3">
        <f ca="1">IFERROR(__xludf.DUMMYFUNCTION("""COMPUTED_VALUE"""),55.32)</f>
        <v>55.32</v>
      </c>
      <c r="AN267" s="3">
        <f ca="1">IFERROR(__xludf.DUMMYFUNCTION("""COMPUTED_VALUE"""),54.96)</f>
        <v>54.96</v>
      </c>
      <c r="AO267" s="3">
        <f ca="1">IFERROR(__xludf.DUMMYFUNCTION("""COMPUTED_VALUE"""),55.03)</f>
        <v>55.03</v>
      </c>
      <c r="AP267" s="3">
        <f ca="1">IFERROR(__xludf.DUMMYFUNCTION("""COMPUTED_VALUE"""),9397852)</f>
        <v>9397852</v>
      </c>
      <c r="AQ267" s="4">
        <f ca="1">IFERROR(__xludf.DUMMYFUNCTION("""COMPUTED_VALUE"""),42510.6666666666)</f>
        <v>42510.666666666599</v>
      </c>
      <c r="AR267" s="3">
        <f ca="1">IFERROR(__xludf.DUMMYFUNCTION("""COMPUTED_VALUE"""),46.14)</f>
        <v>46.14</v>
      </c>
      <c r="AS267" s="3">
        <f ca="1">IFERROR(__xludf.DUMMYFUNCTION("""COMPUTED_VALUE"""),46.47)</f>
        <v>46.47</v>
      </c>
      <c r="AT267" s="3">
        <f ca="1">IFERROR(__xludf.DUMMYFUNCTION("""COMPUTED_VALUE"""),46.11)</f>
        <v>46.11</v>
      </c>
      <c r="AU267" s="3">
        <f ca="1">IFERROR(__xludf.DUMMYFUNCTION("""COMPUTED_VALUE"""),46.28)</f>
        <v>46.28</v>
      </c>
      <c r="AV267" s="3">
        <f ca="1">IFERROR(__xludf.DUMMYFUNCTION("""COMPUTED_VALUE"""),4912622)</f>
        <v>4912622</v>
      </c>
      <c r="AW267" s="4">
        <f ca="1">IFERROR(__xludf.DUMMYFUNCTION("""COMPUTED_VALUE"""),42675.6666666666)</f>
        <v>42675.666666666599</v>
      </c>
      <c r="AX267" s="3">
        <f ca="1">IFERROR(__xludf.DUMMYFUNCTION("""COMPUTED_VALUE"""),30.87)</f>
        <v>30.87</v>
      </c>
      <c r="AY267" s="3">
        <f ca="1">IFERROR(__xludf.DUMMYFUNCTION("""COMPUTED_VALUE"""),30.9)</f>
        <v>30.9</v>
      </c>
      <c r="AZ267" s="3">
        <f ca="1">IFERROR(__xludf.DUMMYFUNCTION("""COMPUTED_VALUE"""),30.21)</f>
        <v>30.21</v>
      </c>
      <c r="BA267" s="3">
        <f ca="1">IFERROR(__xludf.DUMMYFUNCTION("""COMPUTED_VALUE"""),30.34)</f>
        <v>30.34</v>
      </c>
      <c r="BB267" s="3">
        <f ca="1">IFERROR(__xludf.DUMMYFUNCTION("""COMPUTED_VALUE"""),3438594)</f>
        <v>3438594</v>
      </c>
      <c r="BC267" s="4">
        <f ca="1">IFERROR(__xludf.DUMMYFUNCTION("""COMPUTED_VALUE"""),42510.6666666666)</f>
        <v>42510.666666666599</v>
      </c>
      <c r="BD267" s="3">
        <f ca="1">IFERROR(__xludf.DUMMYFUNCTION("""COMPUTED_VALUE"""),42.45)</f>
        <v>42.45</v>
      </c>
      <c r="BE267" s="3">
        <f ca="1">IFERROR(__xludf.DUMMYFUNCTION("""COMPUTED_VALUE"""),42.83)</f>
        <v>42.83</v>
      </c>
      <c r="BF267" s="3">
        <f ca="1">IFERROR(__xludf.DUMMYFUNCTION("""COMPUTED_VALUE"""),42.42)</f>
        <v>42.42</v>
      </c>
      <c r="BG267" s="3">
        <f ca="1">IFERROR(__xludf.DUMMYFUNCTION("""COMPUTED_VALUE"""),42.73)</f>
        <v>42.73</v>
      </c>
      <c r="BH267" s="3">
        <f ca="1">IFERROR(__xludf.DUMMYFUNCTION("""COMPUTED_VALUE"""),5873037)</f>
        <v>5873037</v>
      </c>
      <c r="BI267" s="4">
        <f ca="1">IFERROR(__xludf.DUMMYFUNCTION("""COMPUTED_VALUE"""),42510.6666666666)</f>
        <v>42510.666666666599</v>
      </c>
      <c r="BJ267" s="3">
        <f ca="1">IFERROR(__xludf.DUMMYFUNCTION("""COMPUTED_VALUE"""),48.29)</f>
        <v>48.29</v>
      </c>
      <c r="BK267" s="3">
        <f ca="1">IFERROR(__xludf.DUMMYFUNCTION("""COMPUTED_VALUE"""),48.35)</f>
        <v>48.35</v>
      </c>
      <c r="BL267" s="3">
        <f ca="1">IFERROR(__xludf.DUMMYFUNCTION("""COMPUTED_VALUE"""),47.92)</f>
        <v>47.92</v>
      </c>
      <c r="BM267" s="3">
        <f ca="1">IFERROR(__xludf.DUMMYFUNCTION("""COMPUTED_VALUE"""),48.29)</f>
        <v>48.29</v>
      </c>
      <c r="BN267" s="3">
        <f ca="1">IFERROR(__xludf.DUMMYFUNCTION("""COMPUTED_VALUE"""),15185693)</f>
        <v>15185693</v>
      </c>
    </row>
    <row r="268" spans="7:66" ht="13" x14ac:dyDescent="0.15">
      <c r="G268" s="4">
        <f ca="1">IFERROR(__xludf.DUMMYFUNCTION("""COMPUTED_VALUE"""),42513.6666666666)</f>
        <v>42513.666666666599</v>
      </c>
      <c r="H268" s="3">
        <f ca="1">IFERROR(__xludf.DUMMYFUNCTION("""COMPUTED_VALUE"""),77.59)</f>
        <v>77.59</v>
      </c>
      <c r="I268" s="3">
        <f ca="1">IFERROR(__xludf.DUMMYFUNCTION("""COMPUTED_VALUE"""),77.94)</f>
        <v>77.94</v>
      </c>
      <c r="J268" s="3">
        <f ca="1">IFERROR(__xludf.DUMMYFUNCTION("""COMPUTED_VALUE"""),77.35)</f>
        <v>77.349999999999994</v>
      </c>
      <c r="K268" s="3">
        <f ca="1">IFERROR(__xludf.DUMMYFUNCTION("""COMPUTED_VALUE"""),77.43)</f>
        <v>77.430000000000007</v>
      </c>
      <c r="L268" s="3">
        <f ca="1">IFERROR(__xludf.DUMMYFUNCTION("""COMPUTED_VALUE"""),4252544)</f>
        <v>4252544</v>
      </c>
      <c r="M268" s="4">
        <f ca="1">IFERROR(__xludf.DUMMYFUNCTION("""COMPUTED_VALUE"""),42513.6666666666)</f>
        <v>42513.666666666599</v>
      </c>
      <c r="N268" s="3">
        <f ca="1">IFERROR(__xludf.DUMMYFUNCTION("""COMPUTED_VALUE"""),52.25)</f>
        <v>52.25</v>
      </c>
      <c r="O268" s="3">
        <f ca="1">IFERROR(__xludf.DUMMYFUNCTION("""COMPUTED_VALUE"""),52.35)</f>
        <v>52.35</v>
      </c>
      <c r="P268" s="3">
        <f ca="1">IFERROR(__xludf.DUMMYFUNCTION("""COMPUTED_VALUE"""),52.11)</f>
        <v>52.11</v>
      </c>
      <c r="Q268" s="3">
        <f ca="1">IFERROR(__xludf.DUMMYFUNCTION("""COMPUTED_VALUE"""),52.21)</f>
        <v>52.21</v>
      </c>
      <c r="R268" s="3">
        <f ca="1">IFERROR(__xludf.DUMMYFUNCTION("""COMPUTED_VALUE"""),8546688)</f>
        <v>8546688</v>
      </c>
      <c r="S268" s="4">
        <f ca="1">IFERROR(__xludf.DUMMYFUNCTION("""COMPUTED_VALUE"""),42513.6666666666)</f>
        <v>42513.666666666599</v>
      </c>
      <c r="T268" s="3">
        <f ca="1">IFERROR(__xludf.DUMMYFUNCTION("""COMPUTED_VALUE"""),65.77)</f>
        <v>65.77</v>
      </c>
      <c r="U268" s="3">
        <f ca="1">IFERROR(__xludf.DUMMYFUNCTION("""COMPUTED_VALUE"""),66.28)</f>
        <v>66.28</v>
      </c>
      <c r="V268" s="3">
        <f ca="1">IFERROR(__xludf.DUMMYFUNCTION("""COMPUTED_VALUE"""),65.54)</f>
        <v>65.540000000000006</v>
      </c>
      <c r="W268" s="3">
        <f ca="1">IFERROR(__xludf.DUMMYFUNCTION("""COMPUTED_VALUE"""),65.99)</f>
        <v>65.989999999999995</v>
      </c>
      <c r="X268" s="3">
        <f ca="1">IFERROR(__xludf.DUMMYFUNCTION("""COMPUTED_VALUE"""),10272532)</f>
        <v>10272532</v>
      </c>
      <c r="Y268" s="4">
        <f ca="1">IFERROR(__xludf.DUMMYFUNCTION("""COMPUTED_VALUE"""),42513.6666666666)</f>
        <v>42513.666666666599</v>
      </c>
      <c r="Z268" s="3">
        <f ca="1">IFERROR(__xludf.DUMMYFUNCTION("""COMPUTED_VALUE"""),18.81)</f>
        <v>18.809999999999999</v>
      </c>
      <c r="AA268" s="3">
        <f ca="1">IFERROR(__xludf.DUMMYFUNCTION("""COMPUTED_VALUE"""),18.9)</f>
        <v>18.899999999999999</v>
      </c>
      <c r="AB268" s="3">
        <f ca="1">IFERROR(__xludf.DUMMYFUNCTION("""COMPUTED_VALUE"""),18.75)</f>
        <v>18.75</v>
      </c>
      <c r="AC268" s="3">
        <f ca="1">IFERROR(__xludf.DUMMYFUNCTION("""COMPUTED_VALUE"""),18.83)</f>
        <v>18.829999999999998</v>
      </c>
      <c r="AD268" s="3">
        <f ca="1">IFERROR(__xludf.DUMMYFUNCTION("""COMPUTED_VALUE"""),31336892)</f>
        <v>31336892</v>
      </c>
      <c r="AE268" s="4">
        <f ca="1">IFERROR(__xludf.DUMMYFUNCTION("""COMPUTED_VALUE"""),42513.6666666666)</f>
        <v>42513.666666666599</v>
      </c>
      <c r="AF268" s="3">
        <f ca="1">IFERROR(__xludf.DUMMYFUNCTION("""COMPUTED_VALUE"""),69.59)</f>
        <v>69.59</v>
      </c>
      <c r="AG268" s="3">
        <f ca="1">IFERROR(__xludf.DUMMYFUNCTION("""COMPUTED_VALUE"""),69.72)</f>
        <v>69.72</v>
      </c>
      <c r="AH268" s="3">
        <f ca="1">IFERROR(__xludf.DUMMYFUNCTION("""COMPUTED_VALUE"""),69.35)</f>
        <v>69.349999999999994</v>
      </c>
      <c r="AI268" s="3">
        <f ca="1">IFERROR(__xludf.DUMMYFUNCTION("""COMPUTED_VALUE"""),69.41)</f>
        <v>69.41</v>
      </c>
      <c r="AJ268" s="3">
        <f ca="1">IFERROR(__xludf.DUMMYFUNCTION("""COMPUTED_VALUE"""),5061439)</f>
        <v>5061439</v>
      </c>
      <c r="AK268" s="4">
        <f ca="1">IFERROR(__xludf.DUMMYFUNCTION("""COMPUTED_VALUE"""),42513.6666666666)</f>
        <v>42513.666666666599</v>
      </c>
      <c r="AL268" s="3">
        <f ca="1">IFERROR(__xludf.DUMMYFUNCTION("""COMPUTED_VALUE"""),54.96)</f>
        <v>54.96</v>
      </c>
      <c r="AM268" s="3">
        <f ca="1">IFERROR(__xludf.DUMMYFUNCTION("""COMPUTED_VALUE"""),55.15)</f>
        <v>55.15</v>
      </c>
      <c r="AN268" s="3">
        <f ca="1">IFERROR(__xludf.DUMMYFUNCTION("""COMPUTED_VALUE"""),54.74)</f>
        <v>54.74</v>
      </c>
      <c r="AO268" s="3">
        <f ca="1">IFERROR(__xludf.DUMMYFUNCTION("""COMPUTED_VALUE"""),54.93)</f>
        <v>54.93</v>
      </c>
      <c r="AP268" s="3">
        <f ca="1">IFERROR(__xludf.DUMMYFUNCTION("""COMPUTED_VALUE"""),7617219)</f>
        <v>7617219</v>
      </c>
      <c r="AQ268" s="4">
        <f ca="1">IFERROR(__xludf.DUMMYFUNCTION("""COMPUTED_VALUE"""),42513.6666666666)</f>
        <v>42513.666666666599</v>
      </c>
      <c r="AR268" s="3">
        <f ca="1">IFERROR(__xludf.DUMMYFUNCTION("""COMPUTED_VALUE"""),46.5)</f>
        <v>46.5</v>
      </c>
      <c r="AS268" s="3">
        <f ca="1">IFERROR(__xludf.DUMMYFUNCTION("""COMPUTED_VALUE"""),47.03)</f>
        <v>47.03</v>
      </c>
      <c r="AT268" s="3">
        <f ca="1">IFERROR(__xludf.DUMMYFUNCTION("""COMPUTED_VALUE"""),46.48)</f>
        <v>46.48</v>
      </c>
      <c r="AU268" s="3">
        <f ca="1">IFERROR(__xludf.DUMMYFUNCTION("""COMPUTED_VALUE"""),46.82)</f>
        <v>46.82</v>
      </c>
      <c r="AV268" s="3">
        <f ca="1">IFERROR(__xludf.DUMMYFUNCTION("""COMPUTED_VALUE"""),4284726)</f>
        <v>4284726</v>
      </c>
      <c r="AW268" s="4">
        <f ca="1">IFERROR(__xludf.DUMMYFUNCTION("""COMPUTED_VALUE"""),42676.6666666666)</f>
        <v>42676.666666666599</v>
      </c>
      <c r="AX268" s="3">
        <f ca="1">IFERROR(__xludf.DUMMYFUNCTION("""COMPUTED_VALUE"""),30.25)</f>
        <v>30.25</v>
      </c>
      <c r="AY268" s="3">
        <f ca="1">IFERROR(__xludf.DUMMYFUNCTION("""COMPUTED_VALUE"""),30.32)</f>
        <v>30.32</v>
      </c>
      <c r="AZ268" s="3">
        <f ca="1">IFERROR(__xludf.DUMMYFUNCTION("""COMPUTED_VALUE"""),29.87)</f>
        <v>29.87</v>
      </c>
      <c r="BA268" s="3">
        <f ca="1">IFERROR(__xludf.DUMMYFUNCTION("""COMPUTED_VALUE"""),29.87)</f>
        <v>29.87</v>
      </c>
      <c r="BB268" s="3">
        <f ca="1">IFERROR(__xludf.DUMMYFUNCTION("""COMPUTED_VALUE"""),1699336)</f>
        <v>1699336</v>
      </c>
      <c r="BC268" s="4">
        <f ca="1">IFERROR(__xludf.DUMMYFUNCTION("""COMPUTED_VALUE"""),42513.6666666666)</f>
        <v>42513.666666666599</v>
      </c>
      <c r="BD268" s="3">
        <f ca="1">IFERROR(__xludf.DUMMYFUNCTION("""COMPUTED_VALUE"""),42.71)</f>
        <v>42.71</v>
      </c>
      <c r="BE268" s="3">
        <f ca="1">IFERROR(__xludf.DUMMYFUNCTION("""COMPUTED_VALUE"""),42.89)</f>
        <v>42.89</v>
      </c>
      <c r="BF268" s="3">
        <f ca="1">IFERROR(__xludf.DUMMYFUNCTION("""COMPUTED_VALUE"""),42.61)</f>
        <v>42.61</v>
      </c>
      <c r="BG268" s="3">
        <f ca="1">IFERROR(__xludf.DUMMYFUNCTION("""COMPUTED_VALUE"""),42.65)</f>
        <v>42.65</v>
      </c>
      <c r="BH268" s="3">
        <f ca="1">IFERROR(__xludf.DUMMYFUNCTION("""COMPUTED_VALUE"""),8427695)</f>
        <v>8427695</v>
      </c>
      <c r="BI268" s="4">
        <f ca="1">IFERROR(__xludf.DUMMYFUNCTION("""COMPUTED_VALUE"""),42513.6666666666)</f>
        <v>42513.666666666599</v>
      </c>
      <c r="BJ268" s="3">
        <f ca="1">IFERROR(__xludf.DUMMYFUNCTION("""COMPUTED_VALUE"""),48.28)</f>
        <v>48.28</v>
      </c>
      <c r="BK268" s="3">
        <f ca="1">IFERROR(__xludf.DUMMYFUNCTION("""COMPUTED_VALUE"""),48.4)</f>
        <v>48.4</v>
      </c>
      <c r="BL268" s="3">
        <f ca="1">IFERROR(__xludf.DUMMYFUNCTION("""COMPUTED_VALUE"""),47.8)</f>
        <v>47.8</v>
      </c>
      <c r="BM268" s="3">
        <f ca="1">IFERROR(__xludf.DUMMYFUNCTION("""COMPUTED_VALUE"""),47.86)</f>
        <v>47.86</v>
      </c>
      <c r="BN268" s="3">
        <f ca="1">IFERROR(__xludf.DUMMYFUNCTION("""COMPUTED_VALUE"""),12690241)</f>
        <v>12690241</v>
      </c>
    </row>
    <row r="269" spans="7:66" ht="13" x14ac:dyDescent="0.15">
      <c r="G269" s="4">
        <f ca="1">IFERROR(__xludf.DUMMYFUNCTION("""COMPUTED_VALUE"""),42514.6666666666)</f>
        <v>42514.666666666599</v>
      </c>
      <c r="H269" s="3">
        <f ca="1">IFERROR(__xludf.DUMMYFUNCTION("""COMPUTED_VALUE"""),77.73)</f>
        <v>77.73</v>
      </c>
      <c r="I269" s="3">
        <f ca="1">IFERROR(__xludf.DUMMYFUNCTION("""COMPUTED_VALUE"""),78.58)</f>
        <v>78.58</v>
      </c>
      <c r="J269" s="3">
        <f ca="1">IFERROR(__xludf.DUMMYFUNCTION("""COMPUTED_VALUE"""),77.7)</f>
        <v>77.7</v>
      </c>
      <c r="K269" s="3">
        <f ca="1">IFERROR(__xludf.DUMMYFUNCTION("""COMPUTED_VALUE"""),78.36)</f>
        <v>78.36</v>
      </c>
      <c r="L269" s="3">
        <f ca="1">IFERROR(__xludf.DUMMYFUNCTION("""COMPUTED_VALUE"""),3991464)</f>
        <v>3991464</v>
      </c>
      <c r="M269" s="4">
        <f ca="1">IFERROR(__xludf.DUMMYFUNCTION("""COMPUTED_VALUE"""),42514.6666666666)</f>
        <v>42514.666666666599</v>
      </c>
      <c r="N269" s="3">
        <f ca="1">IFERROR(__xludf.DUMMYFUNCTION("""COMPUTED_VALUE"""),52.33)</f>
        <v>52.33</v>
      </c>
      <c r="O269" s="3">
        <f ca="1">IFERROR(__xludf.DUMMYFUNCTION("""COMPUTED_VALUE"""),52.77)</f>
        <v>52.77</v>
      </c>
      <c r="P269" s="3">
        <f ca="1">IFERROR(__xludf.DUMMYFUNCTION("""COMPUTED_VALUE"""),52.31)</f>
        <v>52.31</v>
      </c>
      <c r="Q269" s="3">
        <f ca="1">IFERROR(__xludf.DUMMYFUNCTION("""COMPUTED_VALUE"""),52.65)</f>
        <v>52.65</v>
      </c>
      <c r="R269" s="3">
        <f ca="1">IFERROR(__xludf.DUMMYFUNCTION("""COMPUTED_VALUE"""),11258205)</f>
        <v>11258205</v>
      </c>
      <c r="S269" s="4">
        <f ca="1">IFERROR(__xludf.DUMMYFUNCTION("""COMPUTED_VALUE"""),42514.6666666666)</f>
        <v>42514.666666666599</v>
      </c>
      <c r="T269" s="3">
        <f ca="1">IFERROR(__xludf.DUMMYFUNCTION("""COMPUTED_VALUE"""),66.33)</f>
        <v>66.33</v>
      </c>
      <c r="U269" s="3">
        <f ca="1">IFERROR(__xludf.DUMMYFUNCTION("""COMPUTED_VALUE"""),66.71)</f>
        <v>66.709999999999994</v>
      </c>
      <c r="V269" s="3">
        <f ca="1">IFERROR(__xludf.DUMMYFUNCTION("""COMPUTED_VALUE"""),65.91)</f>
        <v>65.91</v>
      </c>
      <c r="W269" s="3">
        <f ca="1">IFERROR(__xludf.DUMMYFUNCTION("""COMPUTED_VALUE"""),66.32)</f>
        <v>66.319999999999993</v>
      </c>
      <c r="X269" s="3">
        <f ca="1">IFERROR(__xludf.DUMMYFUNCTION("""COMPUTED_VALUE"""),11302905)</f>
        <v>11302905</v>
      </c>
      <c r="Y269" s="4">
        <f ca="1">IFERROR(__xludf.DUMMYFUNCTION("""COMPUTED_VALUE"""),42514.6666666666)</f>
        <v>42514.666666666599</v>
      </c>
      <c r="Z269" s="3">
        <f ca="1">IFERROR(__xludf.DUMMYFUNCTION("""COMPUTED_VALUE"""),18.96)</f>
        <v>18.96</v>
      </c>
      <c r="AA269" s="3">
        <f ca="1">IFERROR(__xludf.DUMMYFUNCTION("""COMPUTED_VALUE"""),19.16)</f>
        <v>19.16</v>
      </c>
      <c r="AB269" s="3">
        <f ca="1">IFERROR(__xludf.DUMMYFUNCTION("""COMPUTED_VALUE"""),18.94)</f>
        <v>18.940000000000001</v>
      </c>
      <c r="AC269" s="3">
        <f ca="1">IFERROR(__xludf.DUMMYFUNCTION("""COMPUTED_VALUE"""),19.12)</f>
        <v>19.12</v>
      </c>
      <c r="AD269" s="3">
        <f ca="1">IFERROR(__xludf.DUMMYFUNCTION("""COMPUTED_VALUE"""),38494347)</f>
        <v>38494347</v>
      </c>
      <c r="AE269" s="4">
        <f ca="1">IFERROR(__xludf.DUMMYFUNCTION("""COMPUTED_VALUE"""),42514.6666666666)</f>
        <v>42514.666666666599</v>
      </c>
      <c r="AF269" s="3">
        <f ca="1">IFERROR(__xludf.DUMMYFUNCTION("""COMPUTED_VALUE"""),69.76)</f>
        <v>69.760000000000005</v>
      </c>
      <c r="AG269" s="3">
        <f ca="1">IFERROR(__xludf.DUMMYFUNCTION("""COMPUTED_VALUE"""),70.52)</f>
        <v>70.52</v>
      </c>
      <c r="AH269" s="3">
        <f ca="1">IFERROR(__xludf.DUMMYFUNCTION("""COMPUTED_VALUE"""),69.67)</f>
        <v>69.67</v>
      </c>
      <c r="AI269" s="3">
        <f ca="1">IFERROR(__xludf.DUMMYFUNCTION("""COMPUTED_VALUE"""),70.41)</f>
        <v>70.41</v>
      </c>
      <c r="AJ269" s="3">
        <f ca="1">IFERROR(__xludf.DUMMYFUNCTION("""COMPUTED_VALUE"""),11936372)</f>
        <v>11936372</v>
      </c>
      <c r="AK269" s="4">
        <f ca="1">IFERROR(__xludf.DUMMYFUNCTION("""COMPUTED_VALUE"""),42514.6666666666)</f>
        <v>42514.666666666599</v>
      </c>
      <c r="AL269" s="3">
        <f ca="1">IFERROR(__xludf.DUMMYFUNCTION("""COMPUTED_VALUE"""),55.16)</f>
        <v>55.16</v>
      </c>
      <c r="AM269" s="3">
        <f ca="1">IFERROR(__xludf.DUMMYFUNCTION("""COMPUTED_VALUE"""),55.66)</f>
        <v>55.66</v>
      </c>
      <c r="AN269" s="3">
        <f ca="1">IFERROR(__xludf.DUMMYFUNCTION("""COMPUTED_VALUE"""),55.14)</f>
        <v>55.14</v>
      </c>
      <c r="AO269" s="3">
        <f ca="1">IFERROR(__xludf.DUMMYFUNCTION("""COMPUTED_VALUE"""),55.5)</f>
        <v>55.5</v>
      </c>
      <c r="AP269" s="3">
        <f ca="1">IFERROR(__xludf.DUMMYFUNCTION("""COMPUTED_VALUE"""),7274461)</f>
        <v>7274461</v>
      </c>
      <c r="AQ269" s="4">
        <f ca="1">IFERROR(__xludf.DUMMYFUNCTION("""COMPUTED_VALUE"""),42514.6666666666)</f>
        <v>42514.666666666599</v>
      </c>
      <c r="AR269" s="3">
        <f ca="1">IFERROR(__xludf.DUMMYFUNCTION("""COMPUTED_VALUE"""),46.97)</f>
        <v>46.97</v>
      </c>
      <c r="AS269" s="3">
        <f ca="1">IFERROR(__xludf.DUMMYFUNCTION("""COMPUTED_VALUE"""),47.24)</f>
        <v>47.24</v>
      </c>
      <c r="AT269" s="3">
        <f ca="1">IFERROR(__xludf.DUMMYFUNCTION("""COMPUTED_VALUE"""),46.89)</f>
        <v>46.89</v>
      </c>
      <c r="AU269" s="3">
        <f ca="1">IFERROR(__xludf.DUMMYFUNCTION("""COMPUTED_VALUE"""),47.13)</f>
        <v>47.13</v>
      </c>
      <c r="AV269" s="3">
        <f ca="1">IFERROR(__xludf.DUMMYFUNCTION("""COMPUTED_VALUE"""),4514671)</f>
        <v>4514671</v>
      </c>
      <c r="AW269" s="4">
        <f ca="1">IFERROR(__xludf.DUMMYFUNCTION("""COMPUTED_VALUE"""),42677.6666666666)</f>
        <v>42677.666666666599</v>
      </c>
      <c r="AX269" s="3">
        <f ca="1">IFERROR(__xludf.DUMMYFUNCTION("""COMPUTED_VALUE"""),29.82)</f>
        <v>29.82</v>
      </c>
      <c r="AY269" s="3">
        <f ca="1">IFERROR(__xludf.DUMMYFUNCTION("""COMPUTED_VALUE"""),29.92)</f>
        <v>29.92</v>
      </c>
      <c r="AZ269" s="3">
        <f ca="1">IFERROR(__xludf.DUMMYFUNCTION("""COMPUTED_VALUE"""),29.68)</f>
        <v>29.68</v>
      </c>
      <c r="BA269" s="3">
        <f ca="1">IFERROR(__xludf.DUMMYFUNCTION("""COMPUTED_VALUE"""),29.74)</f>
        <v>29.74</v>
      </c>
      <c r="BB269" s="3">
        <f ca="1">IFERROR(__xludf.DUMMYFUNCTION("""COMPUTED_VALUE"""),1922500)</f>
        <v>1922500</v>
      </c>
      <c r="BC269" s="4">
        <f ca="1">IFERROR(__xludf.DUMMYFUNCTION("""COMPUTED_VALUE"""),42514.6666666666)</f>
        <v>42514.666666666599</v>
      </c>
      <c r="BD269" s="3">
        <f ca="1">IFERROR(__xludf.DUMMYFUNCTION("""COMPUTED_VALUE"""),42.82)</f>
        <v>42.82</v>
      </c>
      <c r="BE269" s="3">
        <f ca="1">IFERROR(__xludf.DUMMYFUNCTION("""COMPUTED_VALUE"""),43.52)</f>
        <v>43.52</v>
      </c>
      <c r="BF269" s="3">
        <f ca="1">IFERROR(__xludf.DUMMYFUNCTION("""COMPUTED_VALUE"""),42.82)</f>
        <v>42.82</v>
      </c>
      <c r="BG269" s="3">
        <f ca="1">IFERROR(__xludf.DUMMYFUNCTION("""COMPUTED_VALUE"""),43.45)</f>
        <v>43.45</v>
      </c>
      <c r="BH269" s="3">
        <f ca="1">IFERROR(__xludf.DUMMYFUNCTION("""COMPUTED_VALUE"""),9461493)</f>
        <v>9461493</v>
      </c>
      <c r="BI269" s="4">
        <f ca="1">IFERROR(__xludf.DUMMYFUNCTION("""COMPUTED_VALUE"""),42514.6666666666)</f>
        <v>42514.666666666599</v>
      </c>
      <c r="BJ269" s="3">
        <f ca="1">IFERROR(__xludf.DUMMYFUNCTION("""COMPUTED_VALUE"""),47.94)</f>
        <v>47.94</v>
      </c>
      <c r="BK269" s="3">
        <f ca="1">IFERROR(__xludf.DUMMYFUNCTION("""COMPUTED_VALUE"""),48.4)</f>
        <v>48.4</v>
      </c>
      <c r="BL269" s="3">
        <f ca="1">IFERROR(__xludf.DUMMYFUNCTION("""COMPUTED_VALUE"""),47.87)</f>
        <v>47.87</v>
      </c>
      <c r="BM269" s="3">
        <f ca="1">IFERROR(__xludf.DUMMYFUNCTION("""COMPUTED_VALUE"""),48.34)</f>
        <v>48.34</v>
      </c>
      <c r="BN269" s="3">
        <f ca="1">IFERROR(__xludf.DUMMYFUNCTION("""COMPUTED_VALUE"""),13383311)</f>
        <v>13383311</v>
      </c>
    </row>
    <row r="270" spans="7:66" ht="13" x14ac:dyDescent="0.15">
      <c r="G270" s="4">
        <f ca="1">IFERROR(__xludf.DUMMYFUNCTION("""COMPUTED_VALUE"""),42515.6666666666)</f>
        <v>42515.666666666599</v>
      </c>
      <c r="H270" s="3">
        <f ca="1">IFERROR(__xludf.DUMMYFUNCTION("""COMPUTED_VALUE"""),78.42)</f>
        <v>78.42</v>
      </c>
      <c r="I270" s="3">
        <f ca="1">IFERROR(__xludf.DUMMYFUNCTION("""COMPUTED_VALUE"""),78.96)</f>
        <v>78.959999999999994</v>
      </c>
      <c r="J270" s="3">
        <f ca="1">IFERROR(__xludf.DUMMYFUNCTION("""COMPUTED_VALUE"""),78.42)</f>
        <v>78.42</v>
      </c>
      <c r="K270" s="3">
        <f ca="1">IFERROR(__xludf.DUMMYFUNCTION("""COMPUTED_VALUE"""),78.79)</f>
        <v>78.790000000000006</v>
      </c>
      <c r="L270" s="3">
        <f ca="1">IFERROR(__xludf.DUMMYFUNCTION("""COMPUTED_VALUE"""),4353909)</f>
        <v>4353909</v>
      </c>
      <c r="M270" s="4">
        <f ca="1">IFERROR(__xludf.DUMMYFUNCTION("""COMPUTED_VALUE"""),42515.6666666666)</f>
        <v>42515.666666666599</v>
      </c>
      <c r="N270" s="3">
        <f ca="1">IFERROR(__xludf.DUMMYFUNCTION("""COMPUTED_VALUE"""),52.75)</f>
        <v>52.75</v>
      </c>
      <c r="O270" s="3">
        <f ca="1">IFERROR(__xludf.DUMMYFUNCTION("""COMPUTED_VALUE"""),52.95)</f>
        <v>52.95</v>
      </c>
      <c r="P270" s="3">
        <f ca="1">IFERROR(__xludf.DUMMYFUNCTION("""COMPUTED_VALUE"""),52.63)</f>
        <v>52.63</v>
      </c>
      <c r="Q270" s="3">
        <f ca="1">IFERROR(__xludf.DUMMYFUNCTION("""COMPUTED_VALUE"""),52.73)</f>
        <v>52.73</v>
      </c>
      <c r="R270" s="3">
        <f ca="1">IFERROR(__xludf.DUMMYFUNCTION("""COMPUTED_VALUE"""),9815277)</f>
        <v>9815277</v>
      </c>
      <c r="S270" s="4">
        <f ca="1">IFERROR(__xludf.DUMMYFUNCTION("""COMPUTED_VALUE"""),42515.6666666666)</f>
        <v>42515.666666666599</v>
      </c>
      <c r="T270" s="3">
        <f ca="1">IFERROR(__xludf.DUMMYFUNCTION("""COMPUTED_VALUE"""),66.72)</f>
        <v>66.72</v>
      </c>
      <c r="U270" s="3">
        <f ca="1">IFERROR(__xludf.DUMMYFUNCTION("""COMPUTED_VALUE"""),67.47)</f>
        <v>67.47</v>
      </c>
      <c r="V270" s="3">
        <f ca="1">IFERROR(__xludf.DUMMYFUNCTION("""COMPUTED_VALUE"""),66.66)</f>
        <v>66.66</v>
      </c>
      <c r="W270" s="3">
        <f ca="1">IFERROR(__xludf.DUMMYFUNCTION("""COMPUTED_VALUE"""),67.37)</f>
        <v>67.37</v>
      </c>
      <c r="X270" s="3">
        <f ca="1">IFERROR(__xludf.DUMMYFUNCTION("""COMPUTED_VALUE"""),14268102)</f>
        <v>14268102</v>
      </c>
      <c r="Y270" s="4">
        <f ca="1">IFERROR(__xludf.DUMMYFUNCTION("""COMPUTED_VALUE"""),42515.6666666666)</f>
        <v>42515.666666666599</v>
      </c>
      <c r="Z270" s="3">
        <f ca="1">IFERROR(__xludf.DUMMYFUNCTION("""COMPUTED_VALUE"""),19.2)</f>
        <v>19.2</v>
      </c>
      <c r="AA270" s="3">
        <f ca="1">IFERROR(__xludf.DUMMYFUNCTION("""COMPUTED_VALUE"""),19.41)</f>
        <v>19.41</v>
      </c>
      <c r="AB270" s="3">
        <f ca="1">IFERROR(__xludf.DUMMYFUNCTION("""COMPUTED_VALUE"""),19.19)</f>
        <v>19.190000000000001</v>
      </c>
      <c r="AC270" s="3">
        <f ca="1">IFERROR(__xludf.DUMMYFUNCTION("""COMPUTED_VALUE"""),19.32)</f>
        <v>19.32</v>
      </c>
      <c r="AD270" s="3">
        <f ca="1">IFERROR(__xludf.DUMMYFUNCTION("""COMPUTED_VALUE"""),41976207)</f>
        <v>41976207</v>
      </c>
      <c r="AE270" s="4">
        <f ca="1">IFERROR(__xludf.DUMMYFUNCTION("""COMPUTED_VALUE"""),42515.6666666666)</f>
        <v>42515.666666666599</v>
      </c>
      <c r="AF270" s="3">
        <f ca="1">IFERROR(__xludf.DUMMYFUNCTION("""COMPUTED_VALUE"""),70.6)</f>
        <v>70.599999999999994</v>
      </c>
      <c r="AG270" s="3">
        <f ca="1">IFERROR(__xludf.DUMMYFUNCTION("""COMPUTED_VALUE"""),70.99)</f>
        <v>70.989999999999995</v>
      </c>
      <c r="AH270" s="3">
        <f ca="1">IFERROR(__xludf.DUMMYFUNCTION("""COMPUTED_VALUE"""),70.59)</f>
        <v>70.59</v>
      </c>
      <c r="AI270" s="3">
        <f ca="1">IFERROR(__xludf.DUMMYFUNCTION("""COMPUTED_VALUE"""),70.85)</f>
        <v>70.849999999999994</v>
      </c>
      <c r="AJ270" s="3">
        <f ca="1">IFERROR(__xludf.DUMMYFUNCTION("""COMPUTED_VALUE"""),8953615)</f>
        <v>8953615</v>
      </c>
      <c r="AK270" s="4">
        <f ca="1">IFERROR(__xludf.DUMMYFUNCTION("""COMPUTED_VALUE"""),42515.6666666666)</f>
        <v>42515.666666666599</v>
      </c>
      <c r="AL270" s="3">
        <f ca="1">IFERROR(__xludf.DUMMYFUNCTION("""COMPUTED_VALUE"""),55.6)</f>
        <v>55.6</v>
      </c>
      <c r="AM270" s="3">
        <f ca="1">IFERROR(__xludf.DUMMYFUNCTION("""COMPUTED_VALUE"""),56.03)</f>
        <v>56.03</v>
      </c>
      <c r="AN270" s="3">
        <f ca="1">IFERROR(__xludf.DUMMYFUNCTION("""COMPUTED_VALUE"""),55.6)</f>
        <v>55.6</v>
      </c>
      <c r="AO270" s="3">
        <f ca="1">IFERROR(__xludf.DUMMYFUNCTION("""COMPUTED_VALUE"""),55.88)</f>
        <v>55.88</v>
      </c>
      <c r="AP270" s="3">
        <f ca="1">IFERROR(__xludf.DUMMYFUNCTION("""COMPUTED_VALUE"""),11183819)</f>
        <v>11183819</v>
      </c>
      <c r="AQ270" s="4">
        <f ca="1">IFERROR(__xludf.DUMMYFUNCTION("""COMPUTED_VALUE"""),42515.6666666666)</f>
        <v>42515.666666666599</v>
      </c>
      <c r="AR270" s="3">
        <f ca="1">IFERROR(__xludf.DUMMYFUNCTION("""COMPUTED_VALUE"""),48.02)</f>
        <v>48.02</v>
      </c>
      <c r="AS270" s="3">
        <f ca="1">IFERROR(__xludf.DUMMYFUNCTION("""COMPUTED_VALUE"""),48.02)</f>
        <v>48.02</v>
      </c>
      <c r="AT270" s="3">
        <f ca="1">IFERROR(__xludf.DUMMYFUNCTION("""COMPUTED_VALUE"""),47.4)</f>
        <v>47.4</v>
      </c>
      <c r="AU270" s="3">
        <f ca="1">IFERROR(__xludf.DUMMYFUNCTION("""COMPUTED_VALUE"""),47.71)</f>
        <v>47.71</v>
      </c>
      <c r="AV270" s="3">
        <f ca="1">IFERROR(__xludf.DUMMYFUNCTION("""COMPUTED_VALUE"""),5624039)</f>
        <v>5624039</v>
      </c>
      <c r="AW270" s="4">
        <f ca="1">IFERROR(__xludf.DUMMYFUNCTION("""COMPUTED_VALUE"""),42678.6666666666)</f>
        <v>42678.666666666599</v>
      </c>
      <c r="AX270" s="3">
        <f ca="1">IFERROR(__xludf.DUMMYFUNCTION("""COMPUTED_VALUE"""),29.77)</f>
        <v>29.77</v>
      </c>
      <c r="AY270" s="3">
        <f ca="1">IFERROR(__xludf.DUMMYFUNCTION("""COMPUTED_VALUE"""),30.05)</f>
        <v>30.05</v>
      </c>
      <c r="AZ270" s="3">
        <f ca="1">IFERROR(__xludf.DUMMYFUNCTION("""COMPUTED_VALUE"""),29.67)</f>
        <v>29.67</v>
      </c>
      <c r="BA270" s="3">
        <f ca="1">IFERROR(__xludf.DUMMYFUNCTION("""COMPUTED_VALUE"""),29.94)</f>
        <v>29.94</v>
      </c>
      <c r="BB270" s="3">
        <f ca="1">IFERROR(__xludf.DUMMYFUNCTION("""COMPUTED_VALUE"""),1757687)</f>
        <v>1757687</v>
      </c>
      <c r="BC270" s="4">
        <f ca="1">IFERROR(__xludf.DUMMYFUNCTION("""COMPUTED_VALUE"""),42515.6666666666)</f>
        <v>42515.666666666599</v>
      </c>
      <c r="BD270" s="3">
        <f ca="1">IFERROR(__xludf.DUMMYFUNCTION("""COMPUTED_VALUE"""),43.63)</f>
        <v>43.63</v>
      </c>
      <c r="BE270" s="3">
        <f ca="1">IFERROR(__xludf.DUMMYFUNCTION("""COMPUTED_VALUE"""),43.89)</f>
        <v>43.89</v>
      </c>
      <c r="BF270" s="3">
        <f ca="1">IFERROR(__xludf.DUMMYFUNCTION("""COMPUTED_VALUE"""),43.57)</f>
        <v>43.57</v>
      </c>
      <c r="BG270" s="3">
        <f ca="1">IFERROR(__xludf.DUMMYFUNCTION("""COMPUTED_VALUE"""),43.75)</f>
        <v>43.75</v>
      </c>
      <c r="BH270" s="3">
        <f ca="1">IFERROR(__xludf.DUMMYFUNCTION("""COMPUTED_VALUE"""),9841925)</f>
        <v>9841925</v>
      </c>
      <c r="BI270" s="4">
        <f ca="1">IFERROR(__xludf.DUMMYFUNCTION("""COMPUTED_VALUE"""),42515.6666666666)</f>
        <v>42515.666666666599</v>
      </c>
      <c r="BJ270" s="3">
        <f ca="1">IFERROR(__xludf.DUMMYFUNCTION("""COMPUTED_VALUE"""),48.08)</f>
        <v>48.08</v>
      </c>
      <c r="BK270" s="3">
        <f ca="1">IFERROR(__xludf.DUMMYFUNCTION("""COMPUTED_VALUE"""),48.35)</f>
        <v>48.35</v>
      </c>
      <c r="BL270" s="3">
        <f ca="1">IFERROR(__xludf.DUMMYFUNCTION("""COMPUTED_VALUE"""),47.86)</f>
        <v>47.86</v>
      </c>
      <c r="BM270" s="3">
        <f ca="1">IFERROR(__xludf.DUMMYFUNCTION("""COMPUTED_VALUE"""),48.2)</f>
        <v>48.2</v>
      </c>
      <c r="BN270" s="3">
        <f ca="1">IFERROR(__xludf.DUMMYFUNCTION("""COMPUTED_VALUE"""),14350595)</f>
        <v>14350595</v>
      </c>
    </row>
    <row r="271" spans="7:66" ht="13" x14ac:dyDescent="0.15">
      <c r="G271" s="4">
        <f ca="1">IFERROR(__xludf.DUMMYFUNCTION("""COMPUTED_VALUE"""),42516.6666666666)</f>
        <v>42516.666666666599</v>
      </c>
      <c r="H271" s="3">
        <f ca="1">IFERROR(__xludf.DUMMYFUNCTION("""COMPUTED_VALUE"""),79.01)</f>
        <v>79.010000000000005</v>
      </c>
      <c r="I271" s="3">
        <f ca="1">IFERROR(__xludf.DUMMYFUNCTION("""COMPUTED_VALUE"""),79.29)</f>
        <v>79.290000000000006</v>
      </c>
      <c r="J271" s="3">
        <f ca="1">IFERROR(__xludf.DUMMYFUNCTION("""COMPUTED_VALUE"""),78.83)</f>
        <v>78.83</v>
      </c>
      <c r="K271" s="3">
        <f ca="1">IFERROR(__xludf.DUMMYFUNCTION("""COMPUTED_VALUE"""),78.95)</f>
        <v>78.95</v>
      </c>
      <c r="L271" s="3">
        <f ca="1">IFERROR(__xludf.DUMMYFUNCTION("""COMPUTED_VALUE"""),3503953)</f>
        <v>3503953</v>
      </c>
      <c r="M271" s="4">
        <f ca="1">IFERROR(__xludf.DUMMYFUNCTION("""COMPUTED_VALUE"""),42516.6666666666)</f>
        <v>42516.666666666599</v>
      </c>
      <c r="N271" s="3">
        <f ca="1">IFERROR(__xludf.DUMMYFUNCTION("""COMPUTED_VALUE"""),52.79)</f>
        <v>52.79</v>
      </c>
      <c r="O271" s="3">
        <f ca="1">IFERROR(__xludf.DUMMYFUNCTION("""COMPUTED_VALUE"""),53.06)</f>
        <v>53.06</v>
      </c>
      <c r="P271" s="3">
        <f ca="1">IFERROR(__xludf.DUMMYFUNCTION("""COMPUTED_VALUE"""),52.79)</f>
        <v>52.79</v>
      </c>
      <c r="Q271" s="3">
        <f ca="1">IFERROR(__xludf.DUMMYFUNCTION("""COMPUTED_VALUE"""),52.94)</f>
        <v>52.94</v>
      </c>
      <c r="R271" s="3">
        <f ca="1">IFERROR(__xludf.DUMMYFUNCTION("""COMPUTED_VALUE"""),7956961)</f>
        <v>7956961</v>
      </c>
      <c r="S271" s="4">
        <f ca="1">IFERROR(__xludf.DUMMYFUNCTION("""COMPUTED_VALUE"""),42516.6666666666)</f>
        <v>42516.666666666599</v>
      </c>
      <c r="T271" s="3">
        <f ca="1">IFERROR(__xludf.DUMMYFUNCTION("""COMPUTED_VALUE"""),67.63)</f>
        <v>67.63</v>
      </c>
      <c r="U271" s="3">
        <f ca="1">IFERROR(__xludf.DUMMYFUNCTION("""COMPUTED_VALUE"""),67.92)</f>
        <v>67.92</v>
      </c>
      <c r="V271" s="3">
        <f ca="1">IFERROR(__xludf.DUMMYFUNCTION("""COMPUTED_VALUE"""),66.88)</f>
        <v>66.88</v>
      </c>
      <c r="W271" s="3">
        <f ca="1">IFERROR(__xludf.DUMMYFUNCTION("""COMPUTED_VALUE"""),67.09)</f>
        <v>67.09</v>
      </c>
      <c r="X271" s="3">
        <f ca="1">IFERROR(__xludf.DUMMYFUNCTION("""COMPUTED_VALUE"""),10716801)</f>
        <v>10716801</v>
      </c>
      <c r="Y271" s="4">
        <f ca="1">IFERROR(__xludf.DUMMYFUNCTION("""COMPUTED_VALUE"""),42516.6666666666)</f>
        <v>42516.666666666599</v>
      </c>
      <c r="Z271" s="3">
        <f ca="1">IFERROR(__xludf.DUMMYFUNCTION("""COMPUTED_VALUE"""),19.33)</f>
        <v>19.329999999999998</v>
      </c>
      <c r="AA271" s="3">
        <f ca="1">IFERROR(__xludf.DUMMYFUNCTION("""COMPUTED_VALUE"""),19.35)</f>
        <v>19.350000000000001</v>
      </c>
      <c r="AB271" s="3">
        <f ca="1">IFERROR(__xludf.DUMMYFUNCTION("""COMPUTED_VALUE"""),19.18)</f>
        <v>19.18</v>
      </c>
      <c r="AC271" s="3">
        <f ca="1">IFERROR(__xludf.DUMMYFUNCTION("""COMPUTED_VALUE"""),19.21)</f>
        <v>19.21</v>
      </c>
      <c r="AD271" s="3">
        <f ca="1">IFERROR(__xludf.DUMMYFUNCTION("""COMPUTED_VALUE"""),29405661)</f>
        <v>29405661</v>
      </c>
      <c r="AE271" s="4">
        <f ca="1">IFERROR(__xludf.DUMMYFUNCTION("""COMPUTED_VALUE"""),42516.6666666666)</f>
        <v>42516.666666666599</v>
      </c>
      <c r="AF271" s="3">
        <f ca="1">IFERROR(__xludf.DUMMYFUNCTION("""COMPUTED_VALUE"""),70.88)</f>
        <v>70.88</v>
      </c>
      <c r="AG271" s="3">
        <f ca="1">IFERROR(__xludf.DUMMYFUNCTION("""COMPUTED_VALUE"""),71)</f>
        <v>71</v>
      </c>
      <c r="AH271" s="3">
        <f ca="1">IFERROR(__xludf.DUMMYFUNCTION("""COMPUTED_VALUE"""),70.63)</f>
        <v>70.63</v>
      </c>
      <c r="AI271" s="3">
        <f ca="1">IFERROR(__xludf.DUMMYFUNCTION("""COMPUTED_VALUE"""),70.86)</f>
        <v>70.86</v>
      </c>
      <c r="AJ271" s="3">
        <f ca="1">IFERROR(__xludf.DUMMYFUNCTION("""COMPUTED_VALUE"""),5257683)</f>
        <v>5257683</v>
      </c>
      <c r="AK271" s="4">
        <f ca="1">IFERROR(__xludf.DUMMYFUNCTION("""COMPUTED_VALUE"""),42516.6666666666)</f>
        <v>42516.666666666599</v>
      </c>
      <c r="AL271" s="3">
        <f ca="1">IFERROR(__xludf.DUMMYFUNCTION("""COMPUTED_VALUE"""),55.91)</f>
        <v>55.91</v>
      </c>
      <c r="AM271" s="3">
        <f ca="1">IFERROR(__xludf.DUMMYFUNCTION("""COMPUTED_VALUE"""),56.11)</f>
        <v>56.11</v>
      </c>
      <c r="AN271" s="3">
        <f ca="1">IFERROR(__xludf.DUMMYFUNCTION("""COMPUTED_VALUE"""),55.72)</f>
        <v>55.72</v>
      </c>
      <c r="AO271" s="3">
        <f ca="1">IFERROR(__xludf.DUMMYFUNCTION("""COMPUTED_VALUE"""),55.72)</f>
        <v>55.72</v>
      </c>
      <c r="AP271" s="3">
        <f ca="1">IFERROR(__xludf.DUMMYFUNCTION("""COMPUTED_VALUE"""),6108372)</f>
        <v>6108372</v>
      </c>
      <c r="AQ271" s="4">
        <f ca="1">IFERROR(__xludf.DUMMYFUNCTION("""COMPUTED_VALUE"""),42516.6666666666)</f>
        <v>42516.666666666599</v>
      </c>
      <c r="AR271" s="3">
        <f ca="1">IFERROR(__xludf.DUMMYFUNCTION("""COMPUTED_VALUE"""),47.86)</f>
        <v>47.86</v>
      </c>
      <c r="AS271" s="3">
        <f ca="1">IFERROR(__xludf.DUMMYFUNCTION("""COMPUTED_VALUE"""),48.18)</f>
        <v>48.18</v>
      </c>
      <c r="AT271" s="3">
        <f ca="1">IFERROR(__xludf.DUMMYFUNCTION("""COMPUTED_VALUE"""),47.17)</f>
        <v>47.17</v>
      </c>
      <c r="AU271" s="3">
        <f ca="1">IFERROR(__xludf.DUMMYFUNCTION("""COMPUTED_VALUE"""),47.2)</f>
        <v>47.2</v>
      </c>
      <c r="AV271" s="3">
        <f ca="1">IFERROR(__xludf.DUMMYFUNCTION("""COMPUTED_VALUE"""),3333631)</f>
        <v>3333631</v>
      </c>
      <c r="AW271" s="4">
        <f ca="1">IFERROR(__xludf.DUMMYFUNCTION("""COMPUTED_VALUE"""),42681.6666666666)</f>
        <v>42681.666666666599</v>
      </c>
      <c r="AX271" s="3">
        <f ca="1">IFERROR(__xludf.DUMMYFUNCTION("""COMPUTED_VALUE"""),30.14)</f>
        <v>30.14</v>
      </c>
      <c r="AY271" s="3">
        <f ca="1">IFERROR(__xludf.DUMMYFUNCTION("""COMPUTED_VALUE"""),30.51)</f>
        <v>30.51</v>
      </c>
      <c r="AZ271" s="3">
        <f ca="1">IFERROR(__xludf.DUMMYFUNCTION("""COMPUTED_VALUE"""),30.13)</f>
        <v>30.13</v>
      </c>
      <c r="BA271" s="3">
        <f ca="1">IFERROR(__xludf.DUMMYFUNCTION("""COMPUTED_VALUE"""),30.49)</f>
        <v>30.49</v>
      </c>
      <c r="BB271" s="3">
        <f ca="1">IFERROR(__xludf.DUMMYFUNCTION("""COMPUTED_VALUE"""),2997634)</f>
        <v>2997634</v>
      </c>
      <c r="BC271" s="4">
        <f ca="1">IFERROR(__xludf.DUMMYFUNCTION("""COMPUTED_VALUE"""),42516.6666666666)</f>
        <v>42516.666666666599</v>
      </c>
      <c r="BD271" s="3">
        <f ca="1">IFERROR(__xludf.DUMMYFUNCTION("""COMPUTED_VALUE"""),43.75)</f>
        <v>43.75</v>
      </c>
      <c r="BE271" s="3">
        <f ca="1">IFERROR(__xludf.DUMMYFUNCTION("""COMPUTED_VALUE"""),43.96)</f>
        <v>43.96</v>
      </c>
      <c r="BF271" s="3">
        <f ca="1">IFERROR(__xludf.DUMMYFUNCTION("""COMPUTED_VALUE"""),43.66)</f>
        <v>43.66</v>
      </c>
      <c r="BG271" s="3">
        <f ca="1">IFERROR(__xludf.DUMMYFUNCTION("""COMPUTED_VALUE"""),43.89)</f>
        <v>43.89</v>
      </c>
      <c r="BH271" s="3">
        <f ca="1">IFERROR(__xludf.DUMMYFUNCTION("""COMPUTED_VALUE"""),6517143)</f>
        <v>6517143</v>
      </c>
      <c r="BI271" s="4">
        <f ca="1">IFERROR(__xludf.DUMMYFUNCTION("""COMPUTED_VALUE"""),42516.6666666666)</f>
        <v>42516.666666666599</v>
      </c>
      <c r="BJ271" s="3">
        <f ca="1">IFERROR(__xludf.DUMMYFUNCTION("""COMPUTED_VALUE"""),48.14)</f>
        <v>48.14</v>
      </c>
      <c r="BK271" s="3">
        <f ca="1">IFERROR(__xludf.DUMMYFUNCTION("""COMPUTED_VALUE"""),48.81)</f>
        <v>48.81</v>
      </c>
      <c r="BL271" s="3">
        <f ca="1">IFERROR(__xludf.DUMMYFUNCTION("""COMPUTED_VALUE"""),48.14)</f>
        <v>48.14</v>
      </c>
      <c r="BM271" s="3">
        <f ca="1">IFERROR(__xludf.DUMMYFUNCTION("""COMPUTED_VALUE"""),48.75)</f>
        <v>48.75</v>
      </c>
      <c r="BN271" s="3">
        <f ca="1">IFERROR(__xludf.DUMMYFUNCTION("""COMPUTED_VALUE"""),13154450)</f>
        <v>13154450</v>
      </c>
    </row>
    <row r="272" spans="7:66" ht="13" x14ac:dyDescent="0.15">
      <c r="G272" s="4">
        <f ca="1">IFERROR(__xludf.DUMMYFUNCTION("""COMPUTED_VALUE"""),42517.6666666666)</f>
        <v>42517.666666666599</v>
      </c>
      <c r="H272" s="3">
        <f ca="1">IFERROR(__xludf.DUMMYFUNCTION("""COMPUTED_VALUE"""),79.07)</f>
        <v>79.069999999999993</v>
      </c>
      <c r="I272" s="3">
        <f ca="1">IFERROR(__xludf.DUMMYFUNCTION("""COMPUTED_VALUE"""),79.44)</f>
        <v>79.44</v>
      </c>
      <c r="J272" s="3">
        <f ca="1">IFERROR(__xludf.DUMMYFUNCTION("""COMPUTED_VALUE"""),79.07)</f>
        <v>79.069999999999993</v>
      </c>
      <c r="K272" s="3">
        <f ca="1">IFERROR(__xludf.DUMMYFUNCTION("""COMPUTED_VALUE"""),79.32)</f>
        <v>79.319999999999993</v>
      </c>
      <c r="L272" s="3">
        <f ca="1">IFERROR(__xludf.DUMMYFUNCTION("""COMPUTED_VALUE"""),3212112)</f>
        <v>3212112</v>
      </c>
      <c r="M272" s="4">
        <f ca="1">IFERROR(__xludf.DUMMYFUNCTION("""COMPUTED_VALUE"""),42517.6666666666)</f>
        <v>42517.666666666599</v>
      </c>
      <c r="N272" s="3">
        <f ca="1">IFERROR(__xludf.DUMMYFUNCTION("""COMPUTED_VALUE"""),53)</f>
        <v>53</v>
      </c>
      <c r="O272" s="3">
        <f ca="1">IFERROR(__xludf.DUMMYFUNCTION("""COMPUTED_VALUE"""),53.09)</f>
        <v>53.09</v>
      </c>
      <c r="P272" s="3">
        <f ca="1">IFERROR(__xludf.DUMMYFUNCTION("""COMPUTED_VALUE"""),52.83)</f>
        <v>52.83</v>
      </c>
      <c r="Q272" s="3">
        <f ca="1">IFERROR(__xludf.DUMMYFUNCTION("""COMPUTED_VALUE"""),53)</f>
        <v>53</v>
      </c>
      <c r="R272" s="3">
        <f ca="1">IFERROR(__xludf.DUMMYFUNCTION("""COMPUTED_VALUE"""),7873341)</f>
        <v>7873341</v>
      </c>
      <c r="S272" s="4">
        <f ca="1">IFERROR(__xludf.DUMMYFUNCTION("""COMPUTED_VALUE"""),42517.6666666666)</f>
        <v>42517.666666666599</v>
      </c>
      <c r="T272" s="3">
        <f ca="1">IFERROR(__xludf.DUMMYFUNCTION("""COMPUTED_VALUE"""),66.85)</f>
        <v>66.849999999999994</v>
      </c>
      <c r="U272" s="3">
        <f ca="1">IFERROR(__xludf.DUMMYFUNCTION("""COMPUTED_VALUE"""),67.18)</f>
        <v>67.180000000000007</v>
      </c>
      <c r="V272" s="3">
        <f ca="1">IFERROR(__xludf.DUMMYFUNCTION("""COMPUTED_VALUE"""),66.48)</f>
        <v>66.48</v>
      </c>
      <c r="W272" s="3">
        <f ca="1">IFERROR(__xludf.DUMMYFUNCTION("""COMPUTED_VALUE"""),67.13)</f>
        <v>67.13</v>
      </c>
      <c r="X272" s="3">
        <f ca="1">IFERROR(__xludf.DUMMYFUNCTION("""COMPUTED_VALUE"""),9258701)</f>
        <v>9258701</v>
      </c>
      <c r="Y272" s="4">
        <f ca="1">IFERROR(__xludf.DUMMYFUNCTION("""COMPUTED_VALUE"""),42517.6666666666)</f>
        <v>42517.666666666599</v>
      </c>
      <c r="Z272" s="3">
        <f ca="1">IFERROR(__xludf.DUMMYFUNCTION("""COMPUTED_VALUE"""),19.24)</f>
        <v>19.239999999999998</v>
      </c>
      <c r="AA272" s="3">
        <f ca="1">IFERROR(__xludf.DUMMYFUNCTION("""COMPUTED_VALUE"""),19.34)</f>
        <v>19.34</v>
      </c>
      <c r="AB272" s="3">
        <f ca="1">IFERROR(__xludf.DUMMYFUNCTION("""COMPUTED_VALUE"""),19.21)</f>
        <v>19.21</v>
      </c>
      <c r="AC272" s="3">
        <f ca="1">IFERROR(__xludf.DUMMYFUNCTION("""COMPUTED_VALUE"""),19.33)</f>
        <v>19.329999999999998</v>
      </c>
      <c r="AD272" s="3">
        <f ca="1">IFERROR(__xludf.DUMMYFUNCTION("""COMPUTED_VALUE"""),30078244)</f>
        <v>30078244</v>
      </c>
      <c r="AE272" s="4">
        <f ca="1">IFERROR(__xludf.DUMMYFUNCTION("""COMPUTED_VALUE"""),42517.6666666666)</f>
        <v>42517.666666666599</v>
      </c>
      <c r="AF272" s="3">
        <f ca="1">IFERROR(__xludf.DUMMYFUNCTION("""COMPUTED_VALUE"""),70.81)</f>
        <v>70.81</v>
      </c>
      <c r="AG272" s="3">
        <f ca="1">IFERROR(__xludf.DUMMYFUNCTION("""COMPUTED_VALUE"""),71.34)</f>
        <v>71.34</v>
      </c>
      <c r="AH272" s="3">
        <f ca="1">IFERROR(__xludf.DUMMYFUNCTION("""COMPUTED_VALUE"""),70.81)</f>
        <v>70.81</v>
      </c>
      <c r="AI272" s="3">
        <f ca="1">IFERROR(__xludf.DUMMYFUNCTION("""COMPUTED_VALUE"""),71.18)</f>
        <v>71.180000000000007</v>
      </c>
      <c r="AJ272" s="3">
        <f ca="1">IFERROR(__xludf.DUMMYFUNCTION("""COMPUTED_VALUE"""),9641321)</f>
        <v>9641321</v>
      </c>
      <c r="AK272" s="4">
        <f ca="1">IFERROR(__xludf.DUMMYFUNCTION("""COMPUTED_VALUE"""),42517.6666666666)</f>
        <v>42517.666666666599</v>
      </c>
      <c r="AL272" s="3">
        <f ca="1">IFERROR(__xludf.DUMMYFUNCTION("""COMPUTED_VALUE"""),55.84)</f>
        <v>55.84</v>
      </c>
      <c r="AM272" s="3">
        <f ca="1">IFERROR(__xludf.DUMMYFUNCTION("""COMPUTED_VALUE"""),55.95)</f>
        <v>55.95</v>
      </c>
      <c r="AN272" s="3">
        <f ca="1">IFERROR(__xludf.DUMMYFUNCTION("""COMPUTED_VALUE"""),55.78)</f>
        <v>55.78</v>
      </c>
      <c r="AO272" s="3">
        <f ca="1">IFERROR(__xludf.DUMMYFUNCTION("""COMPUTED_VALUE"""),55.93)</f>
        <v>55.93</v>
      </c>
      <c r="AP272" s="3">
        <f ca="1">IFERROR(__xludf.DUMMYFUNCTION("""COMPUTED_VALUE"""),6250015)</f>
        <v>6250015</v>
      </c>
      <c r="AQ272" s="4">
        <f ca="1">IFERROR(__xludf.DUMMYFUNCTION("""COMPUTED_VALUE"""),42517.6666666666)</f>
        <v>42517.666666666599</v>
      </c>
      <c r="AR272" s="3">
        <f ca="1">IFERROR(__xludf.DUMMYFUNCTION("""COMPUTED_VALUE"""),47)</f>
        <v>47</v>
      </c>
      <c r="AS272" s="3">
        <f ca="1">IFERROR(__xludf.DUMMYFUNCTION("""COMPUTED_VALUE"""),47.35)</f>
        <v>47.35</v>
      </c>
      <c r="AT272" s="3">
        <f ca="1">IFERROR(__xludf.DUMMYFUNCTION("""COMPUTED_VALUE"""),47)</f>
        <v>47</v>
      </c>
      <c r="AU272" s="3">
        <f ca="1">IFERROR(__xludf.DUMMYFUNCTION("""COMPUTED_VALUE"""),47.18)</f>
        <v>47.18</v>
      </c>
      <c r="AV272" s="3">
        <f ca="1">IFERROR(__xludf.DUMMYFUNCTION("""COMPUTED_VALUE"""),4312805)</f>
        <v>4312805</v>
      </c>
      <c r="AW272" s="4">
        <f ca="1">IFERROR(__xludf.DUMMYFUNCTION("""COMPUTED_VALUE"""),42682.6666666666)</f>
        <v>42682.666666666599</v>
      </c>
      <c r="AX272" s="3">
        <f ca="1">IFERROR(__xludf.DUMMYFUNCTION("""COMPUTED_VALUE"""),30.38)</f>
        <v>30.38</v>
      </c>
      <c r="AY272" s="3">
        <f ca="1">IFERROR(__xludf.DUMMYFUNCTION("""COMPUTED_VALUE"""),30.77)</f>
        <v>30.77</v>
      </c>
      <c r="AZ272" s="3">
        <f ca="1">IFERROR(__xludf.DUMMYFUNCTION("""COMPUTED_VALUE"""),30.36)</f>
        <v>30.36</v>
      </c>
      <c r="BA272" s="3">
        <f ca="1">IFERROR(__xludf.DUMMYFUNCTION("""COMPUTED_VALUE"""),30.68)</f>
        <v>30.68</v>
      </c>
      <c r="BB272" s="3">
        <f ca="1">IFERROR(__xludf.DUMMYFUNCTION("""COMPUTED_VALUE"""),1513363)</f>
        <v>1513363</v>
      </c>
      <c r="BC272" s="4">
        <f ca="1">IFERROR(__xludf.DUMMYFUNCTION("""COMPUTED_VALUE"""),42517.6666666666)</f>
        <v>42517.666666666599</v>
      </c>
      <c r="BD272" s="3">
        <f ca="1">IFERROR(__xludf.DUMMYFUNCTION("""COMPUTED_VALUE"""),43.88)</f>
        <v>43.88</v>
      </c>
      <c r="BE272" s="3">
        <f ca="1">IFERROR(__xludf.DUMMYFUNCTION("""COMPUTED_VALUE"""),44.16)</f>
        <v>44.16</v>
      </c>
      <c r="BF272" s="3">
        <f ca="1">IFERROR(__xludf.DUMMYFUNCTION("""COMPUTED_VALUE"""),43.83)</f>
        <v>43.83</v>
      </c>
      <c r="BG272" s="3">
        <f ca="1">IFERROR(__xludf.DUMMYFUNCTION("""COMPUTED_VALUE"""),44.1)</f>
        <v>44.1</v>
      </c>
      <c r="BH272" s="3">
        <f ca="1">IFERROR(__xludf.DUMMYFUNCTION("""COMPUTED_VALUE"""),7788018)</f>
        <v>7788018</v>
      </c>
      <c r="BI272" s="4">
        <f ca="1">IFERROR(__xludf.DUMMYFUNCTION("""COMPUTED_VALUE"""),42517.6666666666)</f>
        <v>42517.666666666599</v>
      </c>
      <c r="BJ272" s="3">
        <f ca="1">IFERROR(__xludf.DUMMYFUNCTION("""COMPUTED_VALUE"""),48.74)</f>
        <v>48.74</v>
      </c>
      <c r="BK272" s="3">
        <f ca="1">IFERROR(__xludf.DUMMYFUNCTION("""COMPUTED_VALUE"""),48.92)</f>
        <v>48.92</v>
      </c>
      <c r="BL272" s="3">
        <f ca="1">IFERROR(__xludf.DUMMYFUNCTION("""COMPUTED_VALUE"""),48.58)</f>
        <v>48.58</v>
      </c>
      <c r="BM272" s="3">
        <f ca="1">IFERROR(__xludf.DUMMYFUNCTION("""COMPUTED_VALUE"""),48.83)</f>
        <v>48.83</v>
      </c>
      <c r="BN272" s="3">
        <f ca="1">IFERROR(__xludf.DUMMYFUNCTION("""COMPUTED_VALUE"""),15105465)</f>
        <v>15105465</v>
      </c>
    </row>
    <row r="273" spans="7:66" ht="13" x14ac:dyDescent="0.15">
      <c r="G273" s="4">
        <f ca="1">IFERROR(__xludf.DUMMYFUNCTION("""COMPUTED_VALUE"""),42521.6666666666)</f>
        <v>42521.666666666599</v>
      </c>
      <c r="H273" s="3">
        <f ca="1">IFERROR(__xludf.DUMMYFUNCTION("""COMPUTED_VALUE"""),79.44)</f>
        <v>79.44</v>
      </c>
      <c r="I273" s="3">
        <f ca="1">IFERROR(__xludf.DUMMYFUNCTION("""COMPUTED_VALUE"""),79.49)</f>
        <v>79.489999999999995</v>
      </c>
      <c r="J273" s="3">
        <f ca="1">IFERROR(__xludf.DUMMYFUNCTION("""COMPUTED_VALUE"""),78.93)</f>
        <v>78.930000000000007</v>
      </c>
      <c r="K273" s="3">
        <f ca="1">IFERROR(__xludf.DUMMYFUNCTION("""COMPUTED_VALUE"""),79.24)</f>
        <v>79.239999999999995</v>
      </c>
      <c r="L273" s="3">
        <f ca="1">IFERROR(__xludf.DUMMYFUNCTION("""COMPUTED_VALUE"""),4162968)</f>
        <v>4162968</v>
      </c>
      <c r="M273" s="4">
        <f ca="1">IFERROR(__xludf.DUMMYFUNCTION("""COMPUTED_VALUE"""),42521.6666666666)</f>
        <v>42521.666666666599</v>
      </c>
      <c r="N273" s="3">
        <f ca="1">IFERROR(__xludf.DUMMYFUNCTION("""COMPUTED_VALUE"""),53.08)</f>
        <v>53.08</v>
      </c>
      <c r="O273" s="3">
        <f ca="1">IFERROR(__xludf.DUMMYFUNCTION("""COMPUTED_VALUE"""),53.16)</f>
        <v>53.16</v>
      </c>
      <c r="P273" s="3">
        <f ca="1">IFERROR(__xludf.DUMMYFUNCTION("""COMPUTED_VALUE"""),52.54)</f>
        <v>52.54</v>
      </c>
      <c r="Q273" s="3">
        <f ca="1">IFERROR(__xludf.DUMMYFUNCTION("""COMPUTED_VALUE"""),52.66)</f>
        <v>52.66</v>
      </c>
      <c r="R273" s="3">
        <f ca="1">IFERROR(__xludf.DUMMYFUNCTION("""COMPUTED_VALUE"""),8766367)</f>
        <v>8766367</v>
      </c>
      <c r="S273" s="4">
        <f ca="1">IFERROR(__xludf.DUMMYFUNCTION("""COMPUTED_VALUE"""),42521.6666666666)</f>
        <v>42521.666666666599</v>
      </c>
      <c r="T273" s="3">
        <f ca="1">IFERROR(__xludf.DUMMYFUNCTION("""COMPUTED_VALUE"""),67.29)</f>
        <v>67.290000000000006</v>
      </c>
      <c r="U273" s="3">
        <f ca="1">IFERROR(__xludf.DUMMYFUNCTION("""COMPUTED_VALUE"""),67.82)</f>
        <v>67.819999999999993</v>
      </c>
      <c r="V273" s="3">
        <f ca="1">IFERROR(__xludf.DUMMYFUNCTION("""COMPUTED_VALUE"""),66.57)</f>
        <v>66.569999999999993</v>
      </c>
      <c r="W273" s="3">
        <f ca="1">IFERROR(__xludf.DUMMYFUNCTION("""COMPUTED_VALUE"""),66.87)</f>
        <v>66.87</v>
      </c>
      <c r="X273" s="3">
        <f ca="1">IFERROR(__xludf.DUMMYFUNCTION("""COMPUTED_VALUE"""),15406124)</f>
        <v>15406124</v>
      </c>
      <c r="Y273" s="4">
        <f ca="1">IFERROR(__xludf.DUMMYFUNCTION("""COMPUTED_VALUE"""),42521.6666666666)</f>
        <v>42521.666666666599</v>
      </c>
      <c r="Z273" s="3">
        <f ca="1">IFERROR(__xludf.DUMMYFUNCTION("""COMPUTED_VALUE"""),19.43)</f>
        <v>19.43</v>
      </c>
      <c r="AA273" s="3">
        <f ca="1">IFERROR(__xludf.DUMMYFUNCTION("""COMPUTED_VALUE"""),19.43)</f>
        <v>19.43</v>
      </c>
      <c r="AB273" s="3">
        <f ca="1">IFERROR(__xludf.DUMMYFUNCTION("""COMPUTED_VALUE"""),19.22)</f>
        <v>19.22</v>
      </c>
      <c r="AC273" s="3">
        <f ca="1">IFERROR(__xludf.DUMMYFUNCTION("""COMPUTED_VALUE"""),19.29)</f>
        <v>19.29</v>
      </c>
      <c r="AD273" s="3">
        <f ca="1">IFERROR(__xludf.DUMMYFUNCTION("""COMPUTED_VALUE"""),33212742)</f>
        <v>33212742</v>
      </c>
      <c r="AE273" s="4">
        <f ca="1">IFERROR(__xludf.DUMMYFUNCTION("""COMPUTED_VALUE"""),42521.6666666666)</f>
        <v>42521.666666666599</v>
      </c>
      <c r="AF273" s="3">
        <f ca="1">IFERROR(__xludf.DUMMYFUNCTION("""COMPUTED_VALUE"""),71.4)</f>
        <v>71.400000000000006</v>
      </c>
      <c r="AG273" s="3">
        <f ca="1">IFERROR(__xludf.DUMMYFUNCTION("""COMPUTED_VALUE"""),71.52)</f>
        <v>71.52</v>
      </c>
      <c r="AH273" s="3">
        <f ca="1">IFERROR(__xludf.DUMMYFUNCTION("""COMPUTED_VALUE"""),71.04)</f>
        <v>71.040000000000006</v>
      </c>
      <c r="AI273" s="3">
        <f ca="1">IFERROR(__xludf.DUMMYFUNCTION("""COMPUTED_VALUE"""),71.35)</f>
        <v>71.349999999999994</v>
      </c>
      <c r="AJ273" s="3">
        <f ca="1">IFERROR(__xludf.DUMMYFUNCTION("""COMPUTED_VALUE"""),7669813)</f>
        <v>7669813</v>
      </c>
      <c r="AK273" s="4">
        <f ca="1">IFERROR(__xludf.DUMMYFUNCTION("""COMPUTED_VALUE"""),42521.6666666666)</f>
        <v>42521.666666666599</v>
      </c>
      <c r="AL273" s="3">
        <f ca="1">IFERROR(__xludf.DUMMYFUNCTION("""COMPUTED_VALUE"""),56)</f>
        <v>56</v>
      </c>
      <c r="AM273" s="3">
        <f ca="1">IFERROR(__xludf.DUMMYFUNCTION("""COMPUTED_VALUE"""),56.16)</f>
        <v>56.16</v>
      </c>
      <c r="AN273" s="3">
        <f ca="1">IFERROR(__xludf.DUMMYFUNCTION("""COMPUTED_VALUE"""),55.71)</f>
        <v>55.71</v>
      </c>
      <c r="AO273" s="3">
        <f ca="1">IFERROR(__xludf.DUMMYFUNCTION("""COMPUTED_VALUE"""),55.92)</f>
        <v>55.92</v>
      </c>
      <c r="AP273" s="3">
        <f ca="1">IFERROR(__xludf.DUMMYFUNCTION("""COMPUTED_VALUE"""),11290310)</f>
        <v>11290310</v>
      </c>
      <c r="AQ273" s="4">
        <f ca="1">IFERROR(__xludf.DUMMYFUNCTION("""COMPUTED_VALUE"""),42521.6666666666)</f>
        <v>42521.666666666599</v>
      </c>
      <c r="AR273" s="3">
        <f ca="1">IFERROR(__xludf.DUMMYFUNCTION("""COMPUTED_VALUE"""),47.4)</f>
        <v>47.4</v>
      </c>
      <c r="AS273" s="3">
        <f ca="1">IFERROR(__xludf.DUMMYFUNCTION("""COMPUTED_VALUE"""),47.4)</f>
        <v>47.4</v>
      </c>
      <c r="AT273" s="3">
        <f ca="1">IFERROR(__xludf.DUMMYFUNCTION("""COMPUTED_VALUE"""),46.87)</f>
        <v>46.87</v>
      </c>
      <c r="AU273" s="3">
        <f ca="1">IFERROR(__xludf.DUMMYFUNCTION("""COMPUTED_VALUE"""),46.94)</f>
        <v>46.94</v>
      </c>
      <c r="AV273" s="3">
        <f ca="1">IFERROR(__xludf.DUMMYFUNCTION("""COMPUTED_VALUE"""),4451886)</f>
        <v>4451886</v>
      </c>
      <c r="AW273" s="4">
        <f ca="1">IFERROR(__xludf.DUMMYFUNCTION("""COMPUTED_VALUE"""),42683.6666666666)</f>
        <v>42683.666666666599</v>
      </c>
      <c r="AX273" s="3">
        <f ca="1">IFERROR(__xludf.DUMMYFUNCTION("""COMPUTED_VALUE"""),29.68)</f>
        <v>29.68</v>
      </c>
      <c r="AY273" s="3">
        <f ca="1">IFERROR(__xludf.DUMMYFUNCTION("""COMPUTED_VALUE"""),30.24)</f>
        <v>30.24</v>
      </c>
      <c r="AZ273" s="3">
        <f ca="1">IFERROR(__xludf.DUMMYFUNCTION("""COMPUTED_VALUE"""),29.48)</f>
        <v>29.48</v>
      </c>
      <c r="BA273" s="3">
        <f ca="1">IFERROR(__xludf.DUMMYFUNCTION("""COMPUTED_VALUE"""),29.99)</f>
        <v>29.99</v>
      </c>
      <c r="BB273" s="3">
        <f ca="1">IFERROR(__xludf.DUMMYFUNCTION("""COMPUTED_VALUE"""),4760945)</f>
        <v>4760945</v>
      </c>
      <c r="BC273" s="4">
        <f ca="1">IFERROR(__xludf.DUMMYFUNCTION("""COMPUTED_VALUE"""),42521.6666666666)</f>
        <v>42521.666666666599</v>
      </c>
      <c r="BD273" s="3">
        <f ca="1">IFERROR(__xludf.DUMMYFUNCTION("""COMPUTED_VALUE"""),44.14)</f>
        <v>44.14</v>
      </c>
      <c r="BE273" s="3">
        <f ca="1">IFERROR(__xludf.DUMMYFUNCTION("""COMPUTED_VALUE"""),44.25)</f>
        <v>44.25</v>
      </c>
      <c r="BF273" s="3">
        <f ca="1">IFERROR(__xludf.DUMMYFUNCTION("""COMPUTED_VALUE"""),43.93)</f>
        <v>43.93</v>
      </c>
      <c r="BG273" s="3">
        <f ca="1">IFERROR(__xludf.DUMMYFUNCTION("""COMPUTED_VALUE"""),44.19)</f>
        <v>44.19</v>
      </c>
      <c r="BH273" s="3">
        <f ca="1">IFERROR(__xludf.DUMMYFUNCTION("""COMPUTED_VALUE"""),12371423)</f>
        <v>12371423</v>
      </c>
      <c r="BI273" s="4">
        <f ca="1">IFERROR(__xludf.DUMMYFUNCTION("""COMPUTED_VALUE"""),42521.6666666666)</f>
        <v>42521.666666666599</v>
      </c>
      <c r="BJ273" s="3">
        <f ca="1">IFERROR(__xludf.DUMMYFUNCTION("""COMPUTED_VALUE"""),48.75)</f>
        <v>48.75</v>
      </c>
      <c r="BK273" s="3">
        <f ca="1">IFERROR(__xludf.DUMMYFUNCTION("""COMPUTED_VALUE"""),49.19)</f>
        <v>49.19</v>
      </c>
      <c r="BL273" s="3">
        <f ca="1">IFERROR(__xludf.DUMMYFUNCTION("""COMPUTED_VALUE"""),48.74)</f>
        <v>48.74</v>
      </c>
      <c r="BM273" s="3">
        <f ca="1">IFERROR(__xludf.DUMMYFUNCTION("""COMPUTED_VALUE"""),49.15)</f>
        <v>49.15</v>
      </c>
      <c r="BN273" s="3">
        <f ca="1">IFERROR(__xludf.DUMMYFUNCTION("""COMPUTED_VALUE"""),15586188)</f>
        <v>15586188</v>
      </c>
    </row>
    <row r="274" spans="7:66" ht="13" x14ac:dyDescent="0.15">
      <c r="G274" s="4">
        <f ca="1">IFERROR(__xludf.DUMMYFUNCTION("""COMPUTED_VALUE"""),42522.6666666666)</f>
        <v>42522.666666666599</v>
      </c>
      <c r="H274" s="3">
        <f ca="1">IFERROR(__xludf.DUMMYFUNCTION("""COMPUTED_VALUE"""),78.87)</f>
        <v>78.87</v>
      </c>
      <c r="I274" s="3">
        <f ca="1">IFERROR(__xludf.DUMMYFUNCTION("""COMPUTED_VALUE"""),79.24)</f>
        <v>79.239999999999995</v>
      </c>
      <c r="J274" s="3">
        <f ca="1">IFERROR(__xludf.DUMMYFUNCTION("""COMPUTED_VALUE"""),78.69)</f>
        <v>78.69</v>
      </c>
      <c r="K274" s="3">
        <f ca="1">IFERROR(__xludf.DUMMYFUNCTION("""COMPUTED_VALUE"""),79.19)</f>
        <v>79.19</v>
      </c>
      <c r="L274" s="3">
        <f ca="1">IFERROR(__xludf.DUMMYFUNCTION("""COMPUTED_VALUE"""),3767765)</f>
        <v>3767765</v>
      </c>
      <c r="M274" s="4">
        <f ca="1">IFERROR(__xludf.DUMMYFUNCTION("""COMPUTED_VALUE"""),42522.6666666666)</f>
        <v>42522.666666666599</v>
      </c>
      <c r="N274" s="3">
        <f ca="1">IFERROR(__xludf.DUMMYFUNCTION("""COMPUTED_VALUE"""),52.7)</f>
        <v>52.7</v>
      </c>
      <c r="O274" s="3">
        <f ca="1">IFERROR(__xludf.DUMMYFUNCTION("""COMPUTED_VALUE"""),53.2)</f>
        <v>53.2</v>
      </c>
      <c r="P274" s="3">
        <f ca="1">IFERROR(__xludf.DUMMYFUNCTION("""COMPUTED_VALUE"""),52.7)</f>
        <v>52.7</v>
      </c>
      <c r="Q274" s="3">
        <f ca="1">IFERROR(__xludf.DUMMYFUNCTION("""COMPUTED_VALUE"""),53.2)</f>
        <v>53.2</v>
      </c>
      <c r="R274" s="3">
        <f ca="1">IFERROR(__xludf.DUMMYFUNCTION("""COMPUTED_VALUE"""),10175759)</f>
        <v>10175759</v>
      </c>
      <c r="S274" s="4">
        <f ca="1">IFERROR(__xludf.DUMMYFUNCTION("""COMPUTED_VALUE"""),42522.6666666666)</f>
        <v>42522.666666666599</v>
      </c>
      <c r="T274" s="3">
        <f ca="1">IFERROR(__xludf.DUMMYFUNCTION("""COMPUTED_VALUE"""),66.22)</f>
        <v>66.22</v>
      </c>
      <c r="U274" s="3">
        <f ca="1">IFERROR(__xludf.DUMMYFUNCTION("""COMPUTED_VALUE"""),67.09)</f>
        <v>67.09</v>
      </c>
      <c r="V274" s="3">
        <f ca="1">IFERROR(__xludf.DUMMYFUNCTION("""COMPUTED_VALUE"""),66.05)</f>
        <v>66.05</v>
      </c>
      <c r="W274" s="3">
        <f ca="1">IFERROR(__xludf.DUMMYFUNCTION("""COMPUTED_VALUE"""),66.89)</f>
        <v>66.89</v>
      </c>
      <c r="X274" s="3">
        <f ca="1">IFERROR(__xludf.DUMMYFUNCTION("""COMPUTED_VALUE"""),16695658)</f>
        <v>16695658</v>
      </c>
      <c r="Y274" s="4">
        <f ca="1">IFERROR(__xludf.DUMMYFUNCTION("""COMPUTED_VALUE"""),42522.6666666666)</f>
        <v>42522.666666666599</v>
      </c>
      <c r="Z274" s="3">
        <f ca="1">IFERROR(__xludf.DUMMYFUNCTION("""COMPUTED_VALUE"""),19.15)</f>
        <v>19.149999999999999</v>
      </c>
      <c r="AA274" s="3">
        <f ca="1">IFERROR(__xludf.DUMMYFUNCTION("""COMPUTED_VALUE"""),19.35)</f>
        <v>19.350000000000001</v>
      </c>
      <c r="AB274" s="3">
        <f ca="1">IFERROR(__xludf.DUMMYFUNCTION("""COMPUTED_VALUE"""),19.07)</f>
        <v>19.07</v>
      </c>
      <c r="AC274" s="3">
        <f ca="1">IFERROR(__xludf.DUMMYFUNCTION("""COMPUTED_VALUE"""),19.33)</f>
        <v>19.329999999999998</v>
      </c>
      <c r="AD274" s="3">
        <f ca="1">IFERROR(__xludf.DUMMYFUNCTION("""COMPUTED_VALUE"""),31236729)</f>
        <v>31236729</v>
      </c>
      <c r="AE274" s="4">
        <f ca="1">IFERROR(__xludf.DUMMYFUNCTION("""COMPUTED_VALUE"""),42522.6666666666)</f>
        <v>42522.666666666599</v>
      </c>
      <c r="AF274" s="3">
        <f ca="1">IFERROR(__xludf.DUMMYFUNCTION("""COMPUTED_VALUE"""),71.13)</f>
        <v>71.13</v>
      </c>
      <c r="AG274" s="3">
        <f ca="1">IFERROR(__xludf.DUMMYFUNCTION("""COMPUTED_VALUE"""),71.77)</f>
        <v>71.77</v>
      </c>
      <c r="AH274" s="3">
        <f ca="1">IFERROR(__xludf.DUMMYFUNCTION("""COMPUTED_VALUE"""),71.07)</f>
        <v>71.069999999999993</v>
      </c>
      <c r="AI274" s="3">
        <f ca="1">IFERROR(__xludf.DUMMYFUNCTION("""COMPUTED_VALUE"""),71.61)</f>
        <v>71.61</v>
      </c>
      <c r="AJ274" s="3">
        <f ca="1">IFERROR(__xludf.DUMMYFUNCTION("""COMPUTED_VALUE"""),9301692)</f>
        <v>9301692</v>
      </c>
      <c r="AK274" s="4">
        <f ca="1">IFERROR(__xludf.DUMMYFUNCTION("""COMPUTED_VALUE"""),42522.6666666666)</f>
        <v>42522.666666666599</v>
      </c>
      <c r="AL274" s="3">
        <f ca="1">IFERROR(__xludf.DUMMYFUNCTION("""COMPUTED_VALUE"""),55.63)</f>
        <v>55.63</v>
      </c>
      <c r="AM274" s="3">
        <f ca="1">IFERROR(__xludf.DUMMYFUNCTION("""COMPUTED_VALUE"""),56)</f>
        <v>56</v>
      </c>
      <c r="AN274" s="3">
        <f ca="1">IFERROR(__xludf.DUMMYFUNCTION("""COMPUTED_VALUE"""),55.41)</f>
        <v>55.41</v>
      </c>
      <c r="AO274" s="3">
        <f ca="1">IFERROR(__xludf.DUMMYFUNCTION("""COMPUTED_VALUE"""),55.97)</f>
        <v>55.97</v>
      </c>
      <c r="AP274" s="3">
        <f ca="1">IFERROR(__xludf.DUMMYFUNCTION("""COMPUTED_VALUE"""),11013018)</f>
        <v>11013018</v>
      </c>
      <c r="AQ274" s="4">
        <f ca="1">IFERROR(__xludf.DUMMYFUNCTION("""COMPUTED_VALUE"""),42522.6666666666)</f>
        <v>42522.666666666599</v>
      </c>
      <c r="AR274" s="3">
        <f ca="1">IFERROR(__xludf.DUMMYFUNCTION("""COMPUTED_VALUE"""),46.85)</f>
        <v>46.85</v>
      </c>
      <c r="AS274" s="3">
        <f ca="1">IFERROR(__xludf.DUMMYFUNCTION("""COMPUTED_VALUE"""),47.09)</f>
        <v>47.09</v>
      </c>
      <c r="AT274" s="3">
        <f ca="1">IFERROR(__xludf.DUMMYFUNCTION("""COMPUTED_VALUE"""),46.37)</f>
        <v>46.37</v>
      </c>
      <c r="AU274" s="3">
        <f ca="1">IFERROR(__xludf.DUMMYFUNCTION("""COMPUTED_VALUE"""),47)</f>
        <v>47</v>
      </c>
      <c r="AV274" s="3">
        <f ca="1">IFERROR(__xludf.DUMMYFUNCTION("""COMPUTED_VALUE"""),4911813)</f>
        <v>4911813</v>
      </c>
      <c r="AW274" s="4">
        <f ca="1">IFERROR(__xludf.DUMMYFUNCTION("""COMPUTED_VALUE"""),42684.6666666666)</f>
        <v>42684.666666666599</v>
      </c>
      <c r="AX274" s="3">
        <f ca="1">IFERROR(__xludf.DUMMYFUNCTION("""COMPUTED_VALUE"""),29.85)</f>
        <v>29.85</v>
      </c>
      <c r="AY274" s="3">
        <f ca="1">IFERROR(__xludf.DUMMYFUNCTION("""COMPUTED_VALUE"""),29.87)</f>
        <v>29.87</v>
      </c>
      <c r="AZ274" s="3">
        <f ca="1">IFERROR(__xludf.DUMMYFUNCTION("""COMPUTED_VALUE"""),29.07)</f>
        <v>29.07</v>
      </c>
      <c r="BA274" s="3">
        <f ca="1">IFERROR(__xludf.DUMMYFUNCTION("""COMPUTED_VALUE"""),29.54)</f>
        <v>29.54</v>
      </c>
      <c r="BB274" s="3">
        <f ca="1">IFERROR(__xludf.DUMMYFUNCTION("""COMPUTED_VALUE"""),5345003)</f>
        <v>5345003</v>
      </c>
      <c r="BC274" s="4">
        <f ca="1">IFERROR(__xludf.DUMMYFUNCTION("""COMPUTED_VALUE"""),42522.6666666666)</f>
        <v>42522.666666666599</v>
      </c>
      <c r="BD274" s="3">
        <f ca="1">IFERROR(__xludf.DUMMYFUNCTION("""COMPUTED_VALUE"""),44.04)</f>
        <v>44.04</v>
      </c>
      <c r="BE274" s="3">
        <f ca="1">IFERROR(__xludf.DUMMYFUNCTION("""COMPUTED_VALUE"""),44.2)</f>
        <v>44.2</v>
      </c>
      <c r="BF274" s="3">
        <f ca="1">IFERROR(__xludf.DUMMYFUNCTION("""COMPUTED_VALUE"""),43.97)</f>
        <v>43.97</v>
      </c>
      <c r="BG274" s="3">
        <f ca="1">IFERROR(__xludf.DUMMYFUNCTION("""COMPUTED_VALUE"""),44.08)</f>
        <v>44.08</v>
      </c>
      <c r="BH274" s="3">
        <f ca="1">IFERROR(__xludf.DUMMYFUNCTION("""COMPUTED_VALUE"""),6885457)</f>
        <v>6885457</v>
      </c>
      <c r="BI274" s="4">
        <f ca="1">IFERROR(__xludf.DUMMYFUNCTION("""COMPUTED_VALUE"""),42522.6666666666)</f>
        <v>42522.666666666599</v>
      </c>
      <c r="BJ274" s="3">
        <f ca="1">IFERROR(__xludf.DUMMYFUNCTION("""COMPUTED_VALUE"""),49.14)</f>
        <v>49.14</v>
      </c>
      <c r="BK274" s="3">
        <f ca="1">IFERROR(__xludf.DUMMYFUNCTION("""COMPUTED_VALUE"""),49.34)</f>
        <v>49.34</v>
      </c>
      <c r="BL274" s="3">
        <f ca="1">IFERROR(__xludf.DUMMYFUNCTION("""COMPUTED_VALUE"""),49.04)</f>
        <v>49.04</v>
      </c>
      <c r="BM274" s="3">
        <f ca="1">IFERROR(__xludf.DUMMYFUNCTION("""COMPUTED_VALUE"""),49.28)</f>
        <v>49.28</v>
      </c>
      <c r="BN274" s="3">
        <f ca="1">IFERROR(__xludf.DUMMYFUNCTION("""COMPUTED_VALUE"""),11283102)</f>
        <v>11283102</v>
      </c>
    </row>
    <row r="275" spans="7:66" ht="13" x14ac:dyDescent="0.15">
      <c r="G275" s="4">
        <f ca="1">IFERROR(__xludf.DUMMYFUNCTION("""COMPUTED_VALUE"""),42523.6666666666)</f>
        <v>42523.666666666599</v>
      </c>
      <c r="H275" s="3">
        <f ca="1">IFERROR(__xludf.DUMMYFUNCTION("""COMPUTED_VALUE"""),78.97)</f>
        <v>78.97</v>
      </c>
      <c r="I275" s="3">
        <f ca="1">IFERROR(__xludf.DUMMYFUNCTION("""COMPUTED_VALUE"""),79.65)</f>
        <v>79.650000000000006</v>
      </c>
      <c r="J275" s="3">
        <f ca="1">IFERROR(__xludf.DUMMYFUNCTION("""COMPUTED_VALUE"""),78.95)</f>
        <v>78.95</v>
      </c>
      <c r="K275" s="3">
        <f ca="1">IFERROR(__xludf.DUMMYFUNCTION("""COMPUTED_VALUE"""),79.63)</f>
        <v>79.63</v>
      </c>
      <c r="L275" s="3">
        <f ca="1">IFERROR(__xludf.DUMMYFUNCTION("""COMPUTED_VALUE"""),4057889)</f>
        <v>4057889</v>
      </c>
      <c r="M275" s="4">
        <f ca="1">IFERROR(__xludf.DUMMYFUNCTION("""COMPUTED_VALUE"""),42523.6666666666)</f>
        <v>42523.666666666599</v>
      </c>
      <c r="N275" s="3">
        <f ca="1">IFERROR(__xludf.DUMMYFUNCTION("""COMPUTED_VALUE"""),53.09)</f>
        <v>53.09</v>
      </c>
      <c r="O275" s="3">
        <f ca="1">IFERROR(__xludf.DUMMYFUNCTION("""COMPUTED_VALUE"""),53.22)</f>
        <v>53.22</v>
      </c>
      <c r="P275" s="3">
        <f ca="1">IFERROR(__xludf.DUMMYFUNCTION("""COMPUTED_VALUE"""),52.91)</f>
        <v>52.91</v>
      </c>
      <c r="Q275" s="3">
        <f ca="1">IFERROR(__xludf.DUMMYFUNCTION("""COMPUTED_VALUE"""),53.22)</f>
        <v>53.22</v>
      </c>
      <c r="R275" s="3">
        <f ca="1">IFERROR(__xludf.DUMMYFUNCTION("""COMPUTED_VALUE"""),6309847)</f>
        <v>6309847</v>
      </c>
      <c r="S275" s="4">
        <f ca="1">IFERROR(__xludf.DUMMYFUNCTION("""COMPUTED_VALUE"""),42523.6666666666)</f>
        <v>42523.666666666599</v>
      </c>
      <c r="T275" s="3">
        <f ca="1">IFERROR(__xludf.DUMMYFUNCTION("""COMPUTED_VALUE"""),66.38)</f>
        <v>66.38</v>
      </c>
      <c r="U275" s="3">
        <f ca="1">IFERROR(__xludf.DUMMYFUNCTION("""COMPUTED_VALUE"""),66.84)</f>
        <v>66.84</v>
      </c>
      <c r="V275" s="3">
        <f ca="1">IFERROR(__xludf.DUMMYFUNCTION("""COMPUTED_VALUE"""),66.13)</f>
        <v>66.13</v>
      </c>
      <c r="W275" s="3">
        <f ca="1">IFERROR(__xludf.DUMMYFUNCTION("""COMPUTED_VALUE"""),66.8)</f>
        <v>66.8</v>
      </c>
      <c r="X275" s="3">
        <f ca="1">IFERROR(__xludf.DUMMYFUNCTION("""COMPUTED_VALUE"""),12849991)</f>
        <v>12849991</v>
      </c>
      <c r="Y275" s="4">
        <f ca="1">IFERROR(__xludf.DUMMYFUNCTION("""COMPUTED_VALUE"""),42523.6666666666)</f>
        <v>42523.666666666599</v>
      </c>
      <c r="Z275" s="3">
        <f ca="1">IFERROR(__xludf.DUMMYFUNCTION("""COMPUTED_VALUE"""),19.28)</f>
        <v>19.28</v>
      </c>
      <c r="AA275" s="3">
        <f ca="1">IFERROR(__xludf.DUMMYFUNCTION("""COMPUTED_VALUE"""),19.37)</f>
        <v>19.37</v>
      </c>
      <c r="AB275" s="3">
        <f ca="1">IFERROR(__xludf.DUMMYFUNCTION("""COMPUTED_VALUE"""),19.21)</f>
        <v>19.21</v>
      </c>
      <c r="AC275" s="3">
        <f ca="1">IFERROR(__xludf.DUMMYFUNCTION("""COMPUTED_VALUE"""),19.37)</f>
        <v>19.37</v>
      </c>
      <c r="AD275" s="3">
        <f ca="1">IFERROR(__xludf.DUMMYFUNCTION("""COMPUTED_VALUE"""),22930157)</f>
        <v>22930157</v>
      </c>
      <c r="AE275" s="4">
        <f ca="1">IFERROR(__xludf.DUMMYFUNCTION("""COMPUTED_VALUE"""),42523.6666666666)</f>
        <v>42523.666666666599</v>
      </c>
      <c r="AF275" s="3">
        <f ca="1">IFERROR(__xludf.DUMMYFUNCTION("""COMPUTED_VALUE"""),71.55)</f>
        <v>71.55</v>
      </c>
      <c r="AG275" s="3">
        <f ca="1">IFERROR(__xludf.DUMMYFUNCTION("""COMPUTED_VALUE"""),72.53)</f>
        <v>72.53</v>
      </c>
      <c r="AH275" s="3">
        <f ca="1">IFERROR(__xludf.DUMMYFUNCTION("""COMPUTED_VALUE"""),71.46)</f>
        <v>71.459999999999994</v>
      </c>
      <c r="AI275" s="3">
        <f ca="1">IFERROR(__xludf.DUMMYFUNCTION("""COMPUTED_VALUE"""),72.53)</f>
        <v>72.53</v>
      </c>
      <c r="AJ275" s="3">
        <f ca="1">IFERROR(__xludf.DUMMYFUNCTION("""COMPUTED_VALUE"""),12473090)</f>
        <v>12473090</v>
      </c>
      <c r="AK275" s="4">
        <f ca="1">IFERROR(__xludf.DUMMYFUNCTION("""COMPUTED_VALUE"""),42523.6666666666)</f>
        <v>42523.666666666599</v>
      </c>
      <c r="AL275" s="3">
        <f ca="1">IFERROR(__xludf.DUMMYFUNCTION("""COMPUTED_VALUE"""),55.85)</f>
        <v>55.85</v>
      </c>
      <c r="AM275" s="3">
        <f ca="1">IFERROR(__xludf.DUMMYFUNCTION("""COMPUTED_VALUE"""),56.07)</f>
        <v>56.07</v>
      </c>
      <c r="AN275" s="3">
        <f ca="1">IFERROR(__xludf.DUMMYFUNCTION("""COMPUTED_VALUE"""),55.72)</f>
        <v>55.72</v>
      </c>
      <c r="AO275" s="3">
        <f ca="1">IFERROR(__xludf.DUMMYFUNCTION("""COMPUTED_VALUE"""),56.04)</f>
        <v>56.04</v>
      </c>
      <c r="AP275" s="3">
        <f ca="1">IFERROR(__xludf.DUMMYFUNCTION("""COMPUTED_VALUE"""),6113502)</f>
        <v>6113502</v>
      </c>
      <c r="AQ275" s="4">
        <f ca="1">IFERROR(__xludf.DUMMYFUNCTION("""COMPUTED_VALUE"""),42523.6666666666)</f>
        <v>42523.666666666599</v>
      </c>
      <c r="AR275" s="3">
        <f ca="1">IFERROR(__xludf.DUMMYFUNCTION("""COMPUTED_VALUE"""),46.95)</f>
        <v>46.95</v>
      </c>
      <c r="AS275" s="3">
        <f ca="1">IFERROR(__xludf.DUMMYFUNCTION("""COMPUTED_VALUE"""),47.29)</f>
        <v>47.29</v>
      </c>
      <c r="AT275" s="3">
        <f ca="1">IFERROR(__xludf.DUMMYFUNCTION("""COMPUTED_VALUE"""),46.74)</f>
        <v>46.74</v>
      </c>
      <c r="AU275" s="3">
        <f ca="1">IFERROR(__xludf.DUMMYFUNCTION("""COMPUTED_VALUE"""),47.26)</f>
        <v>47.26</v>
      </c>
      <c r="AV275" s="3">
        <f ca="1">IFERROR(__xludf.DUMMYFUNCTION("""COMPUTED_VALUE"""),3382047)</f>
        <v>3382047</v>
      </c>
      <c r="AW275" s="4">
        <f ca="1">IFERROR(__xludf.DUMMYFUNCTION("""COMPUTED_VALUE"""),42685.6666666666)</f>
        <v>42685.666666666599</v>
      </c>
      <c r="AX275" s="3">
        <f ca="1">IFERROR(__xludf.DUMMYFUNCTION("""COMPUTED_VALUE"""),29.47)</f>
        <v>29.47</v>
      </c>
      <c r="AY275" s="3">
        <f ca="1">IFERROR(__xludf.DUMMYFUNCTION("""COMPUTED_VALUE"""),29.91)</f>
        <v>29.91</v>
      </c>
      <c r="AZ275" s="3">
        <f ca="1">IFERROR(__xludf.DUMMYFUNCTION("""COMPUTED_VALUE"""),29.47)</f>
        <v>29.47</v>
      </c>
      <c r="BA275" s="3">
        <f ca="1">IFERROR(__xludf.DUMMYFUNCTION("""COMPUTED_VALUE"""),29.57)</f>
        <v>29.57</v>
      </c>
      <c r="BB275" s="3">
        <f ca="1">IFERROR(__xludf.DUMMYFUNCTION("""COMPUTED_VALUE"""),3702644)</f>
        <v>3702644</v>
      </c>
      <c r="BC275" s="4">
        <f ca="1">IFERROR(__xludf.DUMMYFUNCTION("""COMPUTED_VALUE"""),42523.6666666666)</f>
        <v>42523.666666666599</v>
      </c>
      <c r="BD275" s="3">
        <f ca="1">IFERROR(__xludf.DUMMYFUNCTION("""COMPUTED_VALUE"""),43.9)</f>
        <v>43.9</v>
      </c>
      <c r="BE275" s="3">
        <f ca="1">IFERROR(__xludf.DUMMYFUNCTION("""COMPUTED_VALUE"""),44.04)</f>
        <v>44.04</v>
      </c>
      <c r="BF275" s="3">
        <f ca="1">IFERROR(__xludf.DUMMYFUNCTION("""COMPUTED_VALUE"""),43.68)</f>
        <v>43.68</v>
      </c>
      <c r="BG275" s="3">
        <f ca="1">IFERROR(__xludf.DUMMYFUNCTION("""COMPUTED_VALUE"""),44.04)</f>
        <v>44.04</v>
      </c>
      <c r="BH275" s="3">
        <f ca="1">IFERROR(__xludf.DUMMYFUNCTION("""COMPUTED_VALUE"""),7764500)</f>
        <v>7764500</v>
      </c>
      <c r="BI275" s="4">
        <f ca="1">IFERROR(__xludf.DUMMYFUNCTION("""COMPUTED_VALUE"""),42523.6666666666)</f>
        <v>42523.666666666599</v>
      </c>
      <c r="BJ275" s="3">
        <f ca="1">IFERROR(__xludf.DUMMYFUNCTION("""COMPUTED_VALUE"""),49.24)</f>
        <v>49.24</v>
      </c>
      <c r="BK275" s="3">
        <f ca="1">IFERROR(__xludf.DUMMYFUNCTION("""COMPUTED_VALUE"""),49.3)</f>
        <v>49.3</v>
      </c>
      <c r="BL275" s="3">
        <f ca="1">IFERROR(__xludf.DUMMYFUNCTION("""COMPUTED_VALUE"""),48.81)</f>
        <v>48.81</v>
      </c>
      <c r="BM275" s="3">
        <f ca="1">IFERROR(__xludf.DUMMYFUNCTION("""COMPUTED_VALUE"""),49.3)</f>
        <v>49.3</v>
      </c>
      <c r="BN275" s="3">
        <f ca="1">IFERROR(__xludf.DUMMYFUNCTION("""COMPUTED_VALUE"""),7703686)</f>
        <v>7703686</v>
      </c>
    </row>
    <row r="276" spans="7:66" ht="13" x14ac:dyDescent="0.15">
      <c r="G276" s="4">
        <f ca="1">IFERROR(__xludf.DUMMYFUNCTION("""COMPUTED_VALUE"""),42524.6666666666)</f>
        <v>42524.666666666599</v>
      </c>
      <c r="H276" s="3">
        <f ca="1">IFERROR(__xludf.DUMMYFUNCTION("""COMPUTED_VALUE"""),79.34)</f>
        <v>79.34</v>
      </c>
      <c r="I276" s="3">
        <f ca="1">IFERROR(__xludf.DUMMYFUNCTION("""COMPUTED_VALUE"""),79.42)</f>
        <v>79.42</v>
      </c>
      <c r="J276" s="3">
        <f ca="1">IFERROR(__xludf.DUMMYFUNCTION("""COMPUTED_VALUE"""),78.57)</f>
        <v>78.569999999999993</v>
      </c>
      <c r="K276" s="3">
        <f ca="1">IFERROR(__xludf.DUMMYFUNCTION("""COMPUTED_VALUE"""),79.11)</f>
        <v>79.11</v>
      </c>
      <c r="L276" s="3">
        <f ca="1">IFERROR(__xludf.DUMMYFUNCTION("""COMPUTED_VALUE"""),5655451)</f>
        <v>5655451</v>
      </c>
      <c r="M276" s="4">
        <f ca="1">IFERROR(__xludf.DUMMYFUNCTION("""COMPUTED_VALUE"""),42524.6666666666)</f>
        <v>42524.666666666599</v>
      </c>
      <c r="N276" s="3">
        <f ca="1">IFERROR(__xludf.DUMMYFUNCTION("""COMPUTED_VALUE"""),53.32)</f>
        <v>53.32</v>
      </c>
      <c r="O276" s="3">
        <f ca="1">IFERROR(__xludf.DUMMYFUNCTION("""COMPUTED_VALUE"""),53.58)</f>
        <v>53.58</v>
      </c>
      <c r="P276" s="3">
        <f ca="1">IFERROR(__xludf.DUMMYFUNCTION("""COMPUTED_VALUE"""),53.11)</f>
        <v>53.11</v>
      </c>
      <c r="Q276" s="3">
        <f ca="1">IFERROR(__xludf.DUMMYFUNCTION("""COMPUTED_VALUE"""),53.56)</f>
        <v>53.56</v>
      </c>
      <c r="R276" s="3">
        <f ca="1">IFERROR(__xludf.DUMMYFUNCTION("""COMPUTED_VALUE"""),13362517)</f>
        <v>13362517</v>
      </c>
      <c r="S276" s="4">
        <f ca="1">IFERROR(__xludf.DUMMYFUNCTION("""COMPUTED_VALUE"""),42524.6666666666)</f>
        <v>42524.666666666599</v>
      </c>
      <c r="T276" s="3">
        <f ca="1">IFERROR(__xludf.DUMMYFUNCTION("""COMPUTED_VALUE"""),66.8)</f>
        <v>66.8</v>
      </c>
      <c r="U276" s="3">
        <f ca="1">IFERROR(__xludf.DUMMYFUNCTION("""COMPUTED_VALUE"""),67.15)</f>
        <v>67.150000000000006</v>
      </c>
      <c r="V276" s="3">
        <f ca="1">IFERROR(__xludf.DUMMYFUNCTION("""COMPUTED_VALUE"""),66.15)</f>
        <v>66.150000000000006</v>
      </c>
      <c r="W276" s="3">
        <f ca="1">IFERROR(__xludf.DUMMYFUNCTION("""COMPUTED_VALUE"""),66.54)</f>
        <v>66.540000000000006</v>
      </c>
      <c r="X276" s="3">
        <f ca="1">IFERROR(__xludf.DUMMYFUNCTION("""COMPUTED_VALUE"""),12157730)</f>
        <v>12157730</v>
      </c>
      <c r="Y276" s="4">
        <f ca="1">IFERROR(__xludf.DUMMYFUNCTION("""COMPUTED_VALUE"""),42524.6666666666)</f>
        <v>42524.666666666599</v>
      </c>
      <c r="Z276" s="3">
        <f ca="1">IFERROR(__xludf.DUMMYFUNCTION("""COMPUTED_VALUE"""),19.13)</f>
        <v>19.13</v>
      </c>
      <c r="AA276" s="3">
        <f ca="1">IFERROR(__xludf.DUMMYFUNCTION("""COMPUTED_VALUE"""),19.14)</f>
        <v>19.14</v>
      </c>
      <c r="AB276" s="3">
        <f ca="1">IFERROR(__xludf.DUMMYFUNCTION("""COMPUTED_VALUE"""),18.89)</f>
        <v>18.89</v>
      </c>
      <c r="AC276" s="3">
        <f ca="1">IFERROR(__xludf.DUMMYFUNCTION("""COMPUTED_VALUE"""),19.09)</f>
        <v>19.09</v>
      </c>
      <c r="AD276" s="3">
        <f ca="1">IFERROR(__xludf.DUMMYFUNCTION("""COMPUTED_VALUE"""),69929525)</f>
        <v>69929525</v>
      </c>
      <c r="AE276" s="4">
        <f ca="1">IFERROR(__xludf.DUMMYFUNCTION("""COMPUTED_VALUE"""),42524.6666666666)</f>
        <v>42524.666666666599</v>
      </c>
      <c r="AF276" s="3">
        <f ca="1">IFERROR(__xludf.DUMMYFUNCTION("""COMPUTED_VALUE"""),72.31)</f>
        <v>72.31</v>
      </c>
      <c r="AG276" s="3">
        <f ca="1">IFERROR(__xludf.DUMMYFUNCTION("""COMPUTED_VALUE"""),72.55)</f>
        <v>72.55</v>
      </c>
      <c r="AH276" s="3">
        <f ca="1">IFERROR(__xludf.DUMMYFUNCTION("""COMPUTED_VALUE"""),71.71)</f>
        <v>71.709999999999994</v>
      </c>
      <c r="AI276" s="3">
        <f ca="1">IFERROR(__xludf.DUMMYFUNCTION("""COMPUTED_VALUE"""),72.29)</f>
        <v>72.290000000000006</v>
      </c>
      <c r="AJ276" s="3">
        <f ca="1">IFERROR(__xludf.DUMMYFUNCTION("""COMPUTED_VALUE"""),13895958)</f>
        <v>13895958</v>
      </c>
      <c r="AK276" s="4">
        <f ca="1">IFERROR(__xludf.DUMMYFUNCTION("""COMPUTED_VALUE"""),42524.6666666666)</f>
        <v>42524.666666666599</v>
      </c>
      <c r="AL276" s="3">
        <f ca="1">IFERROR(__xludf.DUMMYFUNCTION("""COMPUTED_VALUE"""),55.92)</f>
        <v>55.92</v>
      </c>
      <c r="AM276" s="3">
        <f ca="1">IFERROR(__xludf.DUMMYFUNCTION("""COMPUTED_VALUE"""),56.13)</f>
        <v>56.13</v>
      </c>
      <c r="AN276" s="3">
        <f ca="1">IFERROR(__xludf.DUMMYFUNCTION("""COMPUTED_VALUE"""),55.55)</f>
        <v>55.55</v>
      </c>
      <c r="AO276" s="3">
        <f ca="1">IFERROR(__xludf.DUMMYFUNCTION("""COMPUTED_VALUE"""),55.99)</f>
        <v>55.99</v>
      </c>
      <c r="AP276" s="3">
        <f ca="1">IFERROR(__xludf.DUMMYFUNCTION("""COMPUTED_VALUE"""),11948796)</f>
        <v>11948796</v>
      </c>
      <c r="AQ276" s="4">
        <f ca="1">IFERROR(__xludf.DUMMYFUNCTION("""COMPUTED_VALUE"""),42524.6666666666)</f>
        <v>42524.666666666599</v>
      </c>
      <c r="AR276" s="3">
        <f ca="1">IFERROR(__xludf.DUMMYFUNCTION("""COMPUTED_VALUE"""),47.47)</f>
        <v>47.47</v>
      </c>
      <c r="AS276" s="3">
        <f ca="1">IFERROR(__xludf.DUMMYFUNCTION("""COMPUTED_VALUE"""),47.77)</f>
        <v>47.77</v>
      </c>
      <c r="AT276" s="3">
        <f ca="1">IFERROR(__xludf.DUMMYFUNCTION("""COMPUTED_VALUE"""),47.17)</f>
        <v>47.17</v>
      </c>
      <c r="AU276" s="3">
        <f ca="1">IFERROR(__xludf.DUMMYFUNCTION("""COMPUTED_VALUE"""),47.66)</f>
        <v>47.66</v>
      </c>
      <c r="AV276" s="3">
        <f ca="1">IFERROR(__xludf.DUMMYFUNCTION("""COMPUTED_VALUE"""),4974177)</f>
        <v>4974177</v>
      </c>
      <c r="AW276" s="4">
        <f ca="1">IFERROR(__xludf.DUMMYFUNCTION("""COMPUTED_VALUE"""),42688.6666666666)</f>
        <v>42688.666666666599</v>
      </c>
      <c r="AX276" s="3">
        <f ca="1">IFERROR(__xludf.DUMMYFUNCTION("""COMPUTED_VALUE"""),29.41)</f>
        <v>29.41</v>
      </c>
      <c r="AY276" s="3">
        <f ca="1">IFERROR(__xludf.DUMMYFUNCTION("""COMPUTED_VALUE"""),30.27)</f>
        <v>30.27</v>
      </c>
      <c r="AZ276" s="3">
        <f ca="1">IFERROR(__xludf.DUMMYFUNCTION("""COMPUTED_VALUE"""),29.2)</f>
        <v>29.2</v>
      </c>
      <c r="BA276" s="3">
        <f ca="1">IFERROR(__xludf.DUMMYFUNCTION("""COMPUTED_VALUE"""),30.15)</f>
        <v>30.15</v>
      </c>
      <c r="BB276" s="3">
        <f ca="1">IFERROR(__xludf.DUMMYFUNCTION("""COMPUTED_VALUE"""),4315165)</f>
        <v>4315165</v>
      </c>
      <c r="BC276" s="4">
        <f ca="1">IFERROR(__xludf.DUMMYFUNCTION("""COMPUTED_VALUE"""),42524.6666666666)</f>
        <v>42524.666666666599</v>
      </c>
      <c r="BD276" s="3">
        <f ca="1">IFERROR(__xludf.DUMMYFUNCTION("""COMPUTED_VALUE"""),43.98)</f>
        <v>43.98</v>
      </c>
      <c r="BE276" s="3">
        <f ca="1">IFERROR(__xludf.DUMMYFUNCTION("""COMPUTED_VALUE"""),44.04)</f>
        <v>44.04</v>
      </c>
      <c r="BF276" s="3">
        <f ca="1">IFERROR(__xludf.DUMMYFUNCTION("""COMPUTED_VALUE"""),43.7)</f>
        <v>43.7</v>
      </c>
      <c r="BG276" s="3">
        <f ca="1">IFERROR(__xludf.DUMMYFUNCTION("""COMPUTED_VALUE"""),43.94)</f>
        <v>43.94</v>
      </c>
      <c r="BH276" s="3">
        <f ca="1">IFERROR(__xludf.DUMMYFUNCTION("""COMPUTED_VALUE"""),8304713)</f>
        <v>8304713</v>
      </c>
      <c r="BI276" s="4">
        <f ca="1">IFERROR(__xludf.DUMMYFUNCTION("""COMPUTED_VALUE"""),42524.6666666666)</f>
        <v>42524.666666666599</v>
      </c>
      <c r="BJ276" s="3">
        <f ca="1">IFERROR(__xludf.DUMMYFUNCTION("""COMPUTED_VALUE"""),49.95)</f>
        <v>49.95</v>
      </c>
      <c r="BK276" s="3">
        <f ca="1">IFERROR(__xludf.DUMMYFUNCTION("""COMPUTED_VALUE"""),50.35)</f>
        <v>50.35</v>
      </c>
      <c r="BL276" s="3">
        <f ca="1">IFERROR(__xludf.DUMMYFUNCTION("""COMPUTED_VALUE"""),49.71)</f>
        <v>49.71</v>
      </c>
      <c r="BM276" s="3">
        <f ca="1">IFERROR(__xludf.DUMMYFUNCTION("""COMPUTED_VALUE"""),50.08)</f>
        <v>50.08</v>
      </c>
      <c r="BN276" s="3">
        <f ca="1">IFERROR(__xludf.DUMMYFUNCTION("""COMPUTED_VALUE"""),18718896)</f>
        <v>18718896</v>
      </c>
    </row>
    <row r="277" spans="7:66" ht="13" x14ac:dyDescent="0.15">
      <c r="G277" s="4">
        <f ca="1">IFERROR(__xludf.DUMMYFUNCTION("""COMPUTED_VALUE"""),42527.6666666666)</f>
        <v>42527.666666666599</v>
      </c>
      <c r="H277" s="3">
        <f ca="1">IFERROR(__xludf.DUMMYFUNCTION("""COMPUTED_VALUE"""),79.2)</f>
        <v>79.2</v>
      </c>
      <c r="I277" s="3">
        <f ca="1">IFERROR(__xludf.DUMMYFUNCTION("""COMPUTED_VALUE"""),79.46)</f>
        <v>79.459999999999994</v>
      </c>
      <c r="J277" s="3">
        <f ca="1">IFERROR(__xludf.DUMMYFUNCTION("""COMPUTED_VALUE"""),78.91)</f>
        <v>78.91</v>
      </c>
      <c r="K277" s="3">
        <f ca="1">IFERROR(__xludf.DUMMYFUNCTION("""COMPUTED_VALUE"""),79.31)</f>
        <v>79.31</v>
      </c>
      <c r="L277" s="3">
        <f ca="1">IFERROR(__xludf.DUMMYFUNCTION("""COMPUTED_VALUE"""),4099973)</f>
        <v>4099973</v>
      </c>
      <c r="M277" s="4">
        <f ca="1">IFERROR(__xludf.DUMMYFUNCTION("""COMPUTED_VALUE"""),42527.6666666666)</f>
        <v>42527.666666666599</v>
      </c>
      <c r="N277" s="3">
        <f ca="1">IFERROR(__xludf.DUMMYFUNCTION("""COMPUTED_VALUE"""),53.65)</f>
        <v>53.65</v>
      </c>
      <c r="O277" s="3">
        <f ca="1">IFERROR(__xludf.DUMMYFUNCTION("""COMPUTED_VALUE"""),53.76)</f>
        <v>53.76</v>
      </c>
      <c r="P277" s="3">
        <f ca="1">IFERROR(__xludf.DUMMYFUNCTION("""COMPUTED_VALUE"""),53.36)</f>
        <v>53.36</v>
      </c>
      <c r="Q277" s="3">
        <f ca="1">IFERROR(__xludf.DUMMYFUNCTION("""COMPUTED_VALUE"""),53.62)</f>
        <v>53.62</v>
      </c>
      <c r="R277" s="3">
        <f ca="1">IFERROR(__xludf.DUMMYFUNCTION("""COMPUTED_VALUE"""),10778063)</f>
        <v>10778063</v>
      </c>
      <c r="S277" s="4">
        <f ca="1">IFERROR(__xludf.DUMMYFUNCTION("""COMPUTED_VALUE"""),42527.6666666666)</f>
        <v>42527.666666666599</v>
      </c>
      <c r="T277" s="3">
        <f ca="1">IFERROR(__xludf.DUMMYFUNCTION("""COMPUTED_VALUE"""),67.19)</f>
        <v>67.19</v>
      </c>
      <c r="U277" s="3">
        <f ca="1">IFERROR(__xludf.DUMMYFUNCTION("""COMPUTED_VALUE"""),68.07)</f>
        <v>68.069999999999993</v>
      </c>
      <c r="V277" s="3">
        <f ca="1">IFERROR(__xludf.DUMMYFUNCTION("""COMPUTED_VALUE"""),67.07)</f>
        <v>67.069999999999993</v>
      </c>
      <c r="W277" s="3">
        <f ca="1">IFERROR(__xludf.DUMMYFUNCTION("""COMPUTED_VALUE"""),68.01)</f>
        <v>68.010000000000005</v>
      </c>
      <c r="X277" s="3">
        <f ca="1">IFERROR(__xludf.DUMMYFUNCTION("""COMPUTED_VALUE"""),18223802)</f>
        <v>18223802</v>
      </c>
      <c r="Y277" s="4">
        <f ca="1">IFERROR(__xludf.DUMMYFUNCTION("""COMPUTED_VALUE"""),42527.6666666666)</f>
        <v>42527.666666666599</v>
      </c>
      <c r="Z277" s="3">
        <f ca="1">IFERROR(__xludf.DUMMYFUNCTION("""COMPUTED_VALUE"""),19.1)</f>
        <v>19.100000000000001</v>
      </c>
      <c r="AA277" s="3">
        <f ca="1">IFERROR(__xludf.DUMMYFUNCTION("""COMPUTED_VALUE"""),19.29)</f>
        <v>19.29</v>
      </c>
      <c r="AB277" s="3">
        <f ca="1">IFERROR(__xludf.DUMMYFUNCTION("""COMPUTED_VALUE"""),19.08)</f>
        <v>19.079999999999998</v>
      </c>
      <c r="AC277" s="3">
        <f ca="1">IFERROR(__xludf.DUMMYFUNCTION("""COMPUTED_VALUE"""),19.21)</f>
        <v>19.21</v>
      </c>
      <c r="AD277" s="3">
        <f ca="1">IFERROR(__xludf.DUMMYFUNCTION("""COMPUTED_VALUE"""),38119809)</f>
        <v>38119809</v>
      </c>
      <c r="AE277" s="4">
        <f ca="1">IFERROR(__xludf.DUMMYFUNCTION("""COMPUTED_VALUE"""),42527.6666666666)</f>
        <v>42527.666666666599</v>
      </c>
      <c r="AF277" s="3">
        <f ca="1">IFERROR(__xludf.DUMMYFUNCTION("""COMPUTED_VALUE"""),72.3)</f>
        <v>72.3</v>
      </c>
      <c r="AG277" s="3">
        <f ca="1">IFERROR(__xludf.DUMMYFUNCTION("""COMPUTED_VALUE"""),72.81)</f>
        <v>72.81</v>
      </c>
      <c r="AH277" s="3">
        <f ca="1">IFERROR(__xludf.DUMMYFUNCTION("""COMPUTED_VALUE"""),72.12)</f>
        <v>72.12</v>
      </c>
      <c r="AI277" s="3">
        <f ca="1">IFERROR(__xludf.DUMMYFUNCTION("""COMPUTED_VALUE"""),72.68)</f>
        <v>72.680000000000007</v>
      </c>
      <c r="AJ277" s="3">
        <f ca="1">IFERROR(__xludf.DUMMYFUNCTION("""COMPUTED_VALUE"""),9117597)</f>
        <v>9117597</v>
      </c>
      <c r="AK277" s="4">
        <f ca="1">IFERROR(__xludf.DUMMYFUNCTION("""COMPUTED_VALUE"""),42527.6666666666)</f>
        <v>42527.666666666599</v>
      </c>
      <c r="AL277" s="3">
        <f ca="1">IFERROR(__xludf.DUMMYFUNCTION("""COMPUTED_VALUE"""),56.12)</f>
        <v>56.12</v>
      </c>
      <c r="AM277" s="3">
        <f ca="1">IFERROR(__xludf.DUMMYFUNCTION("""COMPUTED_VALUE"""),56.57)</f>
        <v>56.57</v>
      </c>
      <c r="AN277" s="3">
        <f ca="1">IFERROR(__xludf.DUMMYFUNCTION("""COMPUTED_VALUE"""),56.08)</f>
        <v>56.08</v>
      </c>
      <c r="AO277" s="3">
        <f ca="1">IFERROR(__xludf.DUMMYFUNCTION("""COMPUTED_VALUE"""),56.52)</f>
        <v>56.52</v>
      </c>
      <c r="AP277" s="3">
        <f ca="1">IFERROR(__xludf.DUMMYFUNCTION("""COMPUTED_VALUE"""),8888057)</f>
        <v>8888057</v>
      </c>
      <c r="AQ277" s="4">
        <f ca="1">IFERROR(__xludf.DUMMYFUNCTION("""COMPUTED_VALUE"""),42527.6666666666)</f>
        <v>42527.666666666599</v>
      </c>
      <c r="AR277" s="3">
        <f ca="1">IFERROR(__xludf.DUMMYFUNCTION("""COMPUTED_VALUE"""),47.87)</f>
        <v>47.87</v>
      </c>
      <c r="AS277" s="3">
        <f ca="1">IFERROR(__xludf.DUMMYFUNCTION("""COMPUTED_VALUE"""),48.2)</f>
        <v>48.2</v>
      </c>
      <c r="AT277" s="3">
        <f ca="1">IFERROR(__xludf.DUMMYFUNCTION("""COMPUTED_VALUE"""),47.79)</f>
        <v>47.79</v>
      </c>
      <c r="AU277" s="3">
        <f ca="1">IFERROR(__xludf.DUMMYFUNCTION("""COMPUTED_VALUE"""),48.15)</f>
        <v>48.15</v>
      </c>
      <c r="AV277" s="3">
        <f ca="1">IFERROR(__xludf.DUMMYFUNCTION("""COMPUTED_VALUE"""),6934737)</f>
        <v>6934737</v>
      </c>
      <c r="AW277" s="4">
        <f ca="1">IFERROR(__xludf.DUMMYFUNCTION("""COMPUTED_VALUE"""),42689.6666666666)</f>
        <v>42689.666666666599</v>
      </c>
      <c r="AX277" s="3">
        <f ca="1">IFERROR(__xludf.DUMMYFUNCTION("""COMPUTED_VALUE"""),30.17)</f>
        <v>30.17</v>
      </c>
      <c r="AY277" s="3">
        <f ca="1">IFERROR(__xludf.DUMMYFUNCTION("""COMPUTED_VALUE"""),30.52)</f>
        <v>30.52</v>
      </c>
      <c r="AZ277" s="3">
        <f ca="1">IFERROR(__xludf.DUMMYFUNCTION("""COMPUTED_VALUE"""),29.79)</f>
        <v>29.79</v>
      </c>
      <c r="BA277" s="3">
        <f ca="1">IFERROR(__xludf.DUMMYFUNCTION("""COMPUTED_VALUE"""),29.95)</f>
        <v>29.95</v>
      </c>
      <c r="BB277" s="3">
        <f ca="1">IFERROR(__xludf.DUMMYFUNCTION("""COMPUTED_VALUE"""),3161108)</f>
        <v>3161108</v>
      </c>
      <c r="BC277" s="4">
        <f ca="1">IFERROR(__xludf.DUMMYFUNCTION("""COMPUTED_VALUE"""),42527.6666666666)</f>
        <v>42527.666666666599</v>
      </c>
      <c r="BD277" s="3">
        <f ca="1">IFERROR(__xludf.DUMMYFUNCTION("""COMPUTED_VALUE"""),43.97)</f>
        <v>43.97</v>
      </c>
      <c r="BE277" s="3">
        <f ca="1">IFERROR(__xludf.DUMMYFUNCTION("""COMPUTED_VALUE"""),44.18)</f>
        <v>44.18</v>
      </c>
      <c r="BF277" s="3">
        <f ca="1">IFERROR(__xludf.DUMMYFUNCTION("""COMPUTED_VALUE"""),43.93)</f>
        <v>43.93</v>
      </c>
      <c r="BG277" s="3">
        <f ca="1">IFERROR(__xludf.DUMMYFUNCTION("""COMPUTED_VALUE"""),44.02)</f>
        <v>44.02</v>
      </c>
      <c r="BH277" s="3">
        <f ca="1">IFERROR(__xludf.DUMMYFUNCTION("""COMPUTED_VALUE"""),8635585)</f>
        <v>8635585</v>
      </c>
      <c r="BI277" s="4">
        <f ca="1">IFERROR(__xludf.DUMMYFUNCTION("""COMPUTED_VALUE"""),42527.6666666666)</f>
        <v>42527.666666666599</v>
      </c>
      <c r="BJ277" s="3">
        <f ca="1">IFERROR(__xludf.DUMMYFUNCTION("""COMPUTED_VALUE"""),50.1)</f>
        <v>50.1</v>
      </c>
      <c r="BK277" s="3">
        <f ca="1">IFERROR(__xludf.DUMMYFUNCTION("""COMPUTED_VALUE"""),50.27)</f>
        <v>50.27</v>
      </c>
      <c r="BL277" s="3">
        <f ca="1">IFERROR(__xludf.DUMMYFUNCTION("""COMPUTED_VALUE"""),49.8)</f>
        <v>49.8</v>
      </c>
      <c r="BM277" s="3">
        <f ca="1">IFERROR(__xludf.DUMMYFUNCTION("""COMPUTED_VALUE"""),50.01)</f>
        <v>50.01</v>
      </c>
      <c r="BN277" s="3">
        <f ca="1">IFERROR(__xludf.DUMMYFUNCTION("""COMPUTED_VALUE"""),10842755)</f>
        <v>10842755</v>
      </c>
    </row>
    <row r="278" spans="7:66" ht="13" x14ac:dyDescent="0.15">
      <c r="G278" s="4">
        <f ca="1">IFERROR(__xludf.DUMMYFUNCTION("""COMPUTED_VALUE"""),42528.6666666666)</f>
        <v>42528.666666666599</v>
      </c>
      <c r="H278" s="3">
        <f ca="1">IFERROR(__xludf.DUMMYFUNCTION("""COMPUTED_VALUE"""),79.31)</f>
        <v>79.31</v>
      </c>
      <c r="I278" s="3">
        <f ca="1">IFERROR(__xludf.DUMMYFUNCTION("""COMPUTED_VALUE"""),79.75)</f>
        <v>79.75</v>
      </c>
      <c r="J278" s="3">
        <f ca="1">IFERROR(__xludf.DUMMYFUNCTION("""COMPUTED_VALUE"""),79.3)</f>
        <v>79.3</v>
      </c>
      <c r="K278" s="3">
        <f ca="1">IFERROR(__xludf.DUMMYFUNCTION("""COMPUTED_VALUE"""),79.41)</f>
        <v>79.41</v>
      </c>
      <c r="L278" s="3">
        <f ca="1">IFERROR(__xludf.DUMMYFUNCTION("""COMPUTED_VALUE"""),4325668)</f>
        <v>4325668</v>
      </c>
      <c r="M278" s="4">
        <f ca="1">IFERROR(__xludf.DUMMYFUNCTION("""COMPUTED_VALUE"""),42528.6666666666)</f>
        <v>42528.666666666599</v>
      </c>
      <c r="N278" s="3">
        <f ca="1">IFERROR(__xludf.DUMMYFUNCTION("""COMPUTED_VALUE"""),53.66)</f>
        <v>53.66</v>
      </c>
      <c r="O278" s="3">
        <f ca="1">IFERROR(__xludf.DUMMYFUNCTION("""COMPUTED_VALUE"""),53.77)</f>
        <v>53.77</v>
      </c>
      <c r="P278" s="3">
        <f ca="1">IFERROR(__xludf.DUMMYFUNCTION("""COMPUTED_VALUE"""),53.47)</f>
        <v>53.47</v>
      </c>
      <c r="Q278" s="3">
        <f ca="1">IFERROR(__xludf.DUMMYFUNCTION("""COMPUTED_VALUE"""),53.56)</f>
        <v>53.56</v>
      </c>
      <c r="R278" s="3">
        <f ca="1">IFERROR(__xludf.DUMMYFUNCTION("""COMPUTED_VALUE"""),5572792)</f>
        <v>5572792</v>
      </c>
      <c r="S278" s="4">
        <f ca="1">IFERROR(__xludf.DUMMYFUNCTION("""COMPUTED_VALUE"""),42528.6666666666)</f>
        <v>42528.666666666599</v>
      </c>
      <c r="T278" s="3">
        <f ca="1">IFERROR(__xludf.DUMMYFUNCTION("""COMPUTED_VALUE"""),68.23)</f>
        <v>68.23</v>
      </c>
      <c r="U278" s="3">
        <f ca="1">IFERROR(__xludf.DUMMYFUNCTION("""COMPUTED_VALUE"""),69.73)</f>
        <v>69.73</v>
      </c>
      <c r="V278" s="3">
        <f ca="1">IFERROR(__xludf.DUMMYFUNCTION("""COMPUTED_VALUE"""),68.21)</f>
        <v>68.209999999999994</v>
      </c>
      <c r="W278" s="3">
        <f ca="1">IFERROR(__xludf.DUMMYFUNCTION("""COMPUTED_VALUE"""),69.55)</f>
        <v>69.55</v>
      </c>
      <c r="X278" s="3">
        <f ca="1">IFERROR(__xludf.DUMMYFUNCTION("""COMPUTED_VALUE"""),15618287)</f>
        <v>15618287</v>
      </c>
      <c r="Y278" s="4">
        <f ca="1">IFERROR(__xludf.DUMMYFUNCTION("""COMPUTED_VALUE"""),42528.6666666666)</f>
        <v>42528.666666666599</v>
      </c>
      <c r="Z278" s="3">
        <f ca="1">IFERROR(__xludf.DUMMYFUNCTION("""COMPUTED_VALUE"""),19.22)</f>
        <v>19.22</v>
      </c>
      <c r="AA278" s="3">
        <f ca="1">IFERROR(__xludf.DUMMYFUNCTION("""COMPUTED_VALUE"""),19.28)</f>
        <v>19.28</v>
      </c>
      <c r="AB278" s="3">
        <f ca="1">IFERROR(__xludf.DUMMYFUNCTION("""COMPUTED_VALUE"""),19.15)</f>
        <v>19.149999999999999</v>
      </c>
      <c r="AC278" s="3">
        <f ca="1">IFERROR(__xludf.DUMMYFUNCTION("""COMPUTED_VALUE"""),19.16)</f>
        <v>19.16</v>
      </c>
      <c r="AD278" s="3">
        <f ca="1">IFERROR(__xludf.DUMMYFUNCTION("""COMPUTED_VALUE"""),21530316)</f>
        <v>21530316</v>
      </c>
      <c r="AE278" s="4">
        <f ca="1">IFERROR(__xludf.DUMMYFUNCTION("""COMPUTED_VALUE"""),42528.6666666666)</f>
        <v>42528.666666666599</v>
      </c>
      <c r="AF278" s="3">
        <f ca="1">IFERROR(__xludf.DUMMYFUNCTION("""COMPUTED_VALUE"""),72.38)</f>
        <v>72.38</v>
      </c>
      <c r="AG278" s="3">
        <f ca="1">IFERROR(__xludf.DUMMYFUNCTION("""COMPUTED_VALUE"""),72.45)</f>
        <v>72.45</v>
      </c>
      <c r="AH278" s="3">
        <f ca="1">IFERROR(__xludf.DUMMYFUNCTION("""COMPUTED_VALUE"""),72.05)</f>
        <v>72.05</v>
      </c>
      <c r="AI278" s="3">
        <f ca="1">IFERROR(__xludf.DUMMYFUNCTION("""COMPUTED_VALUE"""),72.23)</f>
        <v>72.23</v>
      </c>
      <c r="AJ278" s="3">
        <f ca="1">IFERROR(__xludf.DUMMYFUNCTION("""COMPUTED_VALUE"""),6439115)</f>
        <v>6439115</v>
      </c>
      <c r="AK278" s="4">
        <f ca="1">IFERROR(__xludf.DUMMYFUNCTION("""COMPUTED_VALUE"""),42528.6666666666)</f>
        <v>42528.666666666599</v>
      </c>
      <c r="AL278" s="3">
        <f ca="1">IFERROR(__xludf.DUMMYFUNCTION("""COMPUTED_VALUE"""),56.63)</f>
        <v>56.63</v>
      </c>
      <c r="AM278" s="3">
        <f ca="1">IFERROR(__xludf.DUMMYFUNCTION("""COMPUTED_VALUE"""),56.96)</f>
        <v>56.96</v>
      </c>
      <c r="AN278" s="3">
        <f ca="1">IFERROR(__xludf.DUMMYFUNCTION("""COMPUTED_VALUE"""),56.53)</f>
        <v>56.53</v>
      </c>
      <c r="AO278" s="3">
        <f ca="1">IFERROR(__xludf.DUMMYFUNCTION("""COMPUTED_VALUE"""),56.79)</f>
        <v>56.79</v>
      </c>
      <c r="AP278" s="3">
        <f ca="1">IFERROR(__xludf.DUMMYFUNCTION("""COMPUTED_VALUE"""),8372740)</f>
        <v>8372740</v>
      </c>
      <c r="AQ278" s="4">
        <f ca="1">IFERROR(__xludf.DUMMYFUNCTION("""COMPUTED_VALUE"""),42528.6666666666)</f>
        <v>42528.666666666599</v>
      </c>
      <c r="AR278" s="3">
        <f ca="1">IFERROR(__xludf.DUMMYFUNCTION("""COMPUTED_VALUE"""),48.19)</f>
        <v>48.19</v>
      </c>
      <c r="AS278" s="3">
        <f ca="1">IFERROR(__xludf.DUMMYFUNCTION("""COMPUTED_VALUE"""),48.33)</f>
        <v>48.33</v>
      </c>
      <c r="AT278" s="3">
        <f ca="1">IFERROR(__xludf.DUMMYFUNCTION("""COMPUTED_VALUE"""),47.96)</f>
        <v>47.96</v>
      </c>
      <c r="AU278" s="3">
        <f ca="1">IFERROR(__xludf.DUMMYFUNCTION("""COMPUTED_VALUE"""),48.17)</f>
        <v>48.17</v>
      </c>
      <c r="AV278" s="3">
        <f ca="1">IFERROR(__xludf.DUMMYFUNCTION("""COMPUTED_VALUE"""),3640672)</f>
        <v>3640672</v>
      </c>
      <c r="AW278" s="4">
        <f ca="1">IFERROR(__xludf.DUMMYFUNCTION("""COMPUTED_VALUE"""),42690.6666666666)</f>
        <v>42690.666666666599</v>
      </c>
      <c r="AX278" s="3">
        <f ca="1">IFERROR(__xludf.DUMMYFUNCTION("""COMPUTED_VALUE"""),29.82)</f>
        <v>29.82</v>
      </c>
      <c r="AY278" s="3">
        <f ca="1">IFERROR(__xludf.DUMMYFUNCTION("""COMPUTED_VALUE"""),30.09)</f>
        <v>30.09</v>
      </c>
      <c r="AZ278" s="3">
        <f ca="1">IFERROR(__xludf.DUMMYFUNCTION("""COMPUTED_VALUE"""),29.7)</f>
        <v>29.7</v>
      </c>
      <c r="BA278" s="3">
        <f ca="1">IFERROR(__xludf.DUMMYFUNCTION("""COMPUTED_VALUE"""),29.93)</f>
        <v>29.93</v>
      </c>
      <c r="BB278" s="3">
        <f ca="1">IFERROR(__xludf.DUMMYFUNCTION("""COMPUTED_VALUE"""),2058960)</f>
        <v>2058960</v>
      </c>
      <c r="BC278" s="4">
        <f ca="1">IFERROR(__xludf.DUMMYFUNCTION("""COMPUTED_VALUE"""),42528.6666666666)</f>
        <v>42528.666666666599</v>
      </c>
      <c r="BD278" s="3">
        <f ca="1">IFERROR(__xludf.DUMMYFUNCTION("""COMPUTED_VALUE"""),44.16)</f>
        <v>44.16</v>
      </c>
      <c r="BE278" s="3">
        <f ca="1">IFERROR(__xludf.DUMMYFUNCTION("""COMPUTED_VALUE"""),44.3)</f>
        <v>44.3</v>
      </c>
      <c r="BF278" s="3">
        <f ca="1">IFERROR(__xludf.DUMMYFUNCTION("""COMPUTED_VALUE"""),44.15)</f>
        <v>44.15</v>
      </c>
      <c r="BG278" s="3">
        <f ca="1">IFERROR(__xludf.DUMMYFUNCTION("""COMPUTED_VALUE"""),44.2)</f>
        <v>44.2</v>
      </c>
      <c r="BH278" s="3">
        <f ca="1">IFERROR(__xludf.DUMMYFUNCTION("""COMPUTED_VALUE"""),4409439)</f>
        <v>4409439</v>
      </c>
      <c r="BI278" s="4">
        <f ca="1">IFERROR(__xludf.DUMMYFUNCTION("""COMPUTED_VALUE"""),42528.6666666666)</f>
        <v>42528.666666666599</v>
      </c>
      <c r="BJ278" s="3">
        <f ca="1">IFERROR(__xludf.DUMMYFUNCTION("""COMPUTED_VALUE"""),50.05)</f>
        <v>50.05</v>
      </c>
      <c r="BK278" s="3">
        <f ca="1">IFERROR(__xludf.DUMMYFUNCTION("""COMPUTED_VALUE"""),50.31)</f>
        <v>50.31</v>
      </c>
      <c r="BL278" s="3">
        <f ca="1">IFERROR(__xludf.DUMMYFUNCTION("""COMPUTED_VALUE"""),49.87)</f>
        <v>49.87</v>
      </c>
      <c r="BM278" s="3">
        <f ca="1">IFERROR(__xludf.DUMMYFUNCTION("""COMPUTED_VALUE"""),49.97)</f>
        <v>49.97</v>
      </c>
      <c r="BN278" s="3">
        <f ca="1">IFERROR(__xludf.DUMMYFUNCTION("""COMPUTED_VALUE"""),7904117)</f>
        <v>7904117</v>
      </c>
    </row>
    <row r="279" spans="7:66" ht="13" x14ac:dyDescent="0.15">
      <c r="G279" s="4">
        <f ca="1">IFERROR(__xludf.DUMMYFUNCTION("""COMPUTED_VALUE"""),42529.6666666666)</f>
        <v>42529.666666666599</v>
      </c>
      <c r="H279" s="3">
        <f ca="1">IFERROR(__xludf.DUMMYFUNCTION("""COMPUTED_VALUE"""),79.44)</f>
        <v>79.44</v>
      </c>
      <c r="I279" s="3">
        <f ca="1">IFERROR(__xludf.DUMMYFUNCTION("""COMPUTED_VALUE"""),79.63)</f>
        <v>79.63</v>
      </c>
      <c r="J279" s="3">
        <f ca="1">IFERROR(__xludf.DUMMYFUNCTION("""COMPUTED_VALUE"""),79.19)</f>
        <v>79.19</v>
      </c>
      <c r="K279" s="3">
        <f ca="1">IFERROR(__xludf.DUMMYFUNCTION("""COMPUTED_VALUE"""),79.5)</f>
        <v>79.5</v>
      </c>
      <c r="L279" s="3">
        <f ca="1">IFERROR(__xludf.DUMMYFUNCTION("""COMPUTED_VALUE"""),3951598)</f>
        <v>3951598</v>
      </c>
      <c r="M279" s="4">
        <f ca="1">IFERROR(__xludf.DUMMYFUNCTION("""COMPUTED_VALUE"""),42529.6666666666)</f>
        <v>42529.666666666599</v>
      </c>
      <c r="N279" s="3">
        <f ca="1">IFERROR(__xludf.DUMMYFUNCTION("""COMPUTED_VALUE"""),53.55)</f>
        <v>53.55</v>
      </c>
      <c r="O279" s="3">
        <f ca="1">IFERROR(__xludf.DUMMYFUNCTION("""COMPUTED_VALUE"""),53.9)</f>
        <v>53.9</v>
      </c>
      <c r="P279" s="3">
        <f ca="1">IFERROR(__xludf.DUMMYFUNCTION("""COMPUTED_VALUE"""),53.44)</f>
        <v>53.44</v>
      </c>
      <c r="Q279" s="3">
        <f ca="1">IFERROR(__xludf.DUMMYFUNCTION("""COMPUTED_VALUE"""),53.88)</f>
        <v>53.88</v>
      </c>
      <c r="R279" s="3">
        <f ca="1">IFERROR(__xludf.DUMMYFUNCTION("""COMPUTED_VALUE"""),6024492)</f>
        <v>6024492</v>
      </c>
      <c r="S279" s="4">
        <f ca="1">IFERROR(__xludf.DUMMYFUNCTION("""COMPUTED_VALUE"""),42529.6666666666)</f>
        <v>42529.666666666599</v>
      </c>
      <c r="T279" s="3">
        <f ca="1">IFERROR(__xludf.DUMMYFUNCTION("""COMPUTED_VALUE"""),69.97)</f>
        <v>69.97</v>
      </c>
      <c r="U279" s="3">
        <f ca="1">IFERROR(__xludf.DUMMYFUNCTION("""COMPUTED_VALUE"""),70.26)</f>
        <v>70.260000000000005</v>
      </c>
      <c r="V279" s="3">
        <f ca="1">IFERROR(__xludf.DUMMYFUNCTION("""COMPUTED_VALUE"""),69.2)</f>
        <v>69.2</v>
      </c>
      <c r="W279" s="3">
        <f ca="1">IFERROR(__xludf.DUMMYFUNCTION("""COMPUTED_VALUE"""),69.39)</f>
        <v>69.39</v>
      </c>
      <c r="X279" s="3">
        <f ca="1">IFERROR(__xludf.DUMMYFUNCTION("""COMPUTED_VALUE"""),18129711)</f>
        <v>18129711</v>
      </c>
      <c r="Y279" s="4">
        <f ca="1">IFERROR(__xludf.DUMMYFUNCTION("""COMPUTED_VALUE"""),42529.6666666666)</f>
        <v>42529.666666666599</v>
      </c>
      <c r="Z279" s="3">
        <f ca="1">IFERROR(__xludf.DUMMYFUNCTION("""COMPUTED_VALUE"""),19.13)</f>
        <v>19.13</v>
      </c>
      <c r="AA279" s="3">
        <f ca="1">IFERROR(__xludf.DUMMYFUNCTION("""COMPUTED_VALUE"""),19.23)</f>
        <v>19.23</v>
      </c>
      <c r="AB279" s="3">
        <f ca="1">IFERROR(__xludf.DUMMYFUNCTION("""COMPUTED_VALUE"""),19.13)</f>
        <v>19.13</v>
      </c>
      <c r="AC279" s="3">
        <f ca="1">IFERROR(__xludf.DUMMYFUNCTION("""COMPUTED_VALUE"""),19.18)</f>
        <v>19.18</v>
      </c>
      <c r="AD279" s="3">
        <f ca="1">IFERROR(__xludf.DUMMYFUNCTION("""COMPUTED_VALUE"""),24752189)</f>
        <v>24752189</v>
      </c>
      <c r="AE279" s="4">
        <f ca="1">IFERROR(__xludf.DUMMYFUNCTION("""COMPUTED_VALUE"""),42529.6666666666)</f>
        <v>42529.666666666599</v>
      </c>
      <c r="AF279" s="3">
        <f ca="1">IFERROR(__xludf.DUMMYFUNCTION("""COMPUTED_VALUE"""),72.17)</f>
        <v>72.17</v>
      </c>
      <c r="AG279" s="3">
        <f ca="1">IFERROR(__xludf.DUMMYFUNCTION("""COMPUTED_VALUE"""),72.61)</f>
        <v>72.61</v>
      </c>
      <c r="AH279" s="3">
        <f ca="1">IFERROR(__xludf.DUMMYFUNCTION("""COMPUTED_VALUE"""),72.01)</f>
        <v>72.010000000000005</v>
      </c>
      <c r="AI279" s="3">
        <f ca="1">IFERROR(__xludf.DUMMYFUNCTION("""COMPUTED_VALUE"""),72.48)</f>
        <v>72.48</v>
      </c>
      <c r="AJ279" s="3">
        <f ca="1">IFERROR(__xludf.DUMMYFUNCTION("""COMPUTED_VALUE"""),4621255)</f>
        <v>4621255</v>
      </c>
      <c r="AK279" s="4">
        <f ca="1">IFERROR(__xludf.DUMMYFUNCTION("""COMPUTED_VALUE"""),42529.6666666666)</f>
        <v>42529.666666666599</v>
      </c>
      <c r="AL279" s="3">
        <f ca="1">IFERROR(__xludf.DUMMYFUNCTION("""COMPUTED_VALUE"""),56.97)</f>
        <v>56.97</v>
      </c>
      <c r="AM279" s="3">
        <f ca="1">IFERROR(__xludf.DUMMYFUNCTION("""COMPUTED_VALUE"""),57.22)</f>
        <v>57.22</v>
      </c>
      <c r="AN279" s="3">
        <f ca="1">IFERROR(__xludf.DUMMYFUNCTION("""COMPUTED_VALUE"""),56.86)</f>
        <v>56.86</v>
      </c>
      <c r="AO279" s="3">
        <f ca="1">IFERROR(__xludf.DUMMYFUNCTION("""COMPUTED_VALUE"""),57.15)</f>
        <v>57.15</v>
      </c>
      <c r="AP279" s="3">
        <f ca="1">IFERROR(__xludf.DUMMYFUNCTION("""COMPUTED_VALUE"""),9201770)</f>
        <v>9201770</v>
      </c>
      <c r="AQ279" s="4">
        <f ca="1">IFERROR(__xludf.DUMMYFUNCTION("""COMPUTED_VALUE"""),42529.6666666666)</f>
        <v>42529.666666666599</v>
      </c>
      <c r="AR279" s="3">
        <f ca="1">IFERROR(__xludf.DUMMYFUNCTION("""COMPUTED_VALUE"""),48.48)</f>
        <v>48.48</v>
      </c>
      <c r="AS279" s="3">
        <f ca="1">IFERROR(__xludf.DUMMYFUNCTION("""COMPUTED_VALUE"""),48.6)</f>
        <v>48.6</v>
      </c>
      <c r="AT279" s="3">
        <f ca="1">IFERROR(__xludf.DUMMYFUNCTION("""COMPUTED_VALUE"""),48.28)</f>
        <v>48.28</v>
      </c>
      <c r="AU279" s="3">
        <f ca="1">IFERROR(__xludf.DUMMYFUNCTION("""COMPUTED_VALUE"""),48.45)</f>
        <v>48.45</v>
      </c>
      <c r="AV279" s="3">
        <f ca="1">IFERROR(__xludf.DUMMYFUNCTION("""COMPUTED_VALUE"""),3942223)</f>
        <v>3942223</v>
      </c>
      <c r="AW279" s="4">
        <f ca="1">IFERROR(__xludf.DUMMYFUNCTION("""COMPUTED_VALUE"""),42691.6666666666)</f>
        <v>42691.666666666599</v>
      </c>
      <c r="AX279" s="3">
        <f ca="1">IFERROR(__xludf.DUMMYFUNCTION("""COMPUTED_VALUE"""),29.86)</f>
        <v>29.86</v>
      </c>
      <c r="AY279" s="3">
        <f ca="1">IFERROR(__xludf.DUMMYFUNCTION("""COMPUTED_VALUE"""),30.09)</f>
        <v>30.09</v>
      </c>
      <c r="AZ279" s="3">
        <f ca="1">IFERROR(__xludf.DUMMYFUNCTION("""COMPUTED_VALUE"""),29.6)</f>
        <v>29.6</v>
      </c>
      <c r="BA279" s="3">
        <f ca="1">IFERROR(__xludf.DUMMYFUNCTION("""COMPUTED_VALUE"""),29.65)</f>
        <v>29.65</v>
      </c>
      <c r="BB279" s="3">
        <f ca="1">IFERROR(__xludf.DUMMYFUNCTION("""COMPUTED_VALUE"""),1573611)</f>
        <v>1573611</v>
      </c>
      <c r="BC279" s="4">
        <f ca="1">IFERROR(__xludf.DUMMYFUNCTION("""COMPUTED_VALUE"""),42529.6666666666)</f>
        <v>42529.666666666599</v>
      </c>
      <c r="BD279" s="3">
        <f ca="1">IFERROR(__xludf.DUMMYFUNCTION("""COMPUTED_VALUE"""),44.19)</f>
        <v>44.19</v>
      </c>
      <c r="BE279" s="3">
        <f ca="1">IFERROR(__xludf.DUMMYFUNCTION("""COMPUTED_VALUE"""),44.36)</f>
        <v>44.36</v>
      </c>
      <c r="BF279" s="3">
        <f ca="1">IFERROR(__xludf.DUMMYFUNCTION("""COMPUTED_VALUE"""),44.12)</f>
        <v>44.12</v>
      </c>
      <c r="BG279" s="3">
        <f ca="1">IFERROR(__xludf.DUMMYFUNCTION("""COMPUTED_VALUE"""),44.29)</f>
        <v>44.29</v>
      </c>
      <c r="BH279" s="3">
        <f ca="1">IFERROR(__xludf.DUMMYFUNCTION("""COMPUTED_VALUE"""),8158477)</f>
        <v>8158477</v>
      </c>
      <c r="BI279" s="4">
        <f ca="1">IFERROR(__xludf.DUMMYFUNCTION("""COMPUTED_VALUE"""),42529.6666666666)</f>
        <v>42529.666666666599</v>
      </c>
      <c r="BJ279" s="3">
        <f ca="1">IFERROR(__xludf.DUMMYFUNCTION("""COMPUTED_VALUE"""),49.96)</f>
        <v>49.96</v>
      </c>
      <c r="BK279" s="3">
        <f ca="1">IFERROR(__xludf.DUMMYFUNCTION("""COMPUTED_VALUE"""),50.31)</f>
        <v>50.31</v>
      </c>
      <c r="BL279" s="3">
        <f ca="1">IFERROR(__xludf.DUMMYFUNCTION("""COMPUTED_VALUE"""),49.89)</f>
        <v>49.89</v>
      </c>
      <c r="BM279" s="3">
        <f ca="1">IFERROR(__xludf.DUMMYFUNCTION("""COMPUTED_VALUE"""),50.27)</f>
        <v>50.27</v>
      </c>
      <c r="BN279" s="3">
        <f ca="1">IFERROR(__xludf.DUMMYFUNCTION("""COMPUTED_VALUE"""),6765142)</f>
        <v>6765142</v>
      </c>
    </row>
    <row r="280" spans="7:66" ht="13" x14ac:dyDescent="0.15">
      <c r="G280" s="4">
        <f ca="1">IFERROR(__xludf.DUMMYFUNCTION("""COMPUTED_VALUE"""),42530.6666666666)</f>
        <v>42530.666666666599</v>
      </c>
      <c r="H280" s="3">
        <f ca="1">IFERROR(__xludf.DUMMYFUNCTION("""COMPUTED_VALUE"""),79.09)</f>
        <v>79.09</v>
      </c>
      <c r="I280" s="3">
        <f ca="1">IFERROR(__xludf.DUMMYFUNCTION("""COMPUTED_VALUE"""),79.41)</f>
        <v>79.41</v>
      </c>
      <c r="J280" s="3">
        <f ca="1">IFERROR(__xludf.DUMMYFUNCTION("""COMPUTED_VALUE"""),79.01)</f>
        <v>79.010000000000005</v>
      </c>
      <c r="K280" s="3">
        <f ca="1">IFERROR(__xludf.DUMMYFUNCTION("""COMPUTED_VALUE"""),79.32)</f>
        <v>79.319999999999993</v>
      </c>
      <c r="L280" s="3">
        <f ca="1">IFERROR(__xludf.DUMMYFUNCTION("""COMPUTED_VALUE"""),6581099)</f>
        <v>6581099</v>
      </c>
      <c r="M280" s="4">
        <f ca="1">IFERROR(__xludf.DUMMYFUNCTION("""COMPUTED_VALUE"""),42530.6666666666)</f>
        <v>42530.666666666599</v>
      </c>
      <c r="N280" s="3">
        <f ca="1">IFERROR(__xludf.DUMMYFUNCTION("""COMPUTED_VALUE"""),53.78)</f>
        <v>53.78</v>
      </c>
      <c r="O280" s="3">
        <f ca="1">IFERROR(__xludf.DUMMYFUNCTION("""COMPUTED_VALUE"""),54.12)</f>
        <v>54.12</v>
      </c>
      <c r="P280" s="3">
        <f ca="1">IFERROR(__xludf.DUMMYFUNCTION("""COMPUTED_VALUE"""),53.77)</f>
        <v>53.77</v>
      </c>
      <c r="Q280" s="3">
        <f ca="1">IFERROR(__xludf.DUMMYFUNCTION("""COMPUTED_VALUE"""),54.09)</f>
        <v>54.09</v>
      </c>
      <c r="R280" s="3">
        <f ca="1">IFERROR(__xludf.DUMMYFUNCTION("""COMPUTED_VALUE"""),5946840)</f>
        <v>5946840</v>
      </c>
      <c r="S280" s="4">
        <f ca="1">IFERROR(__xludf.DUMMYFUNCTION("""COMPUTED_VALUE"""),42530.6666666666)</f>
        <v>42530.666666666599</v>
      </c>
      <c r="T280" s="3">
        <f ca="1">IFERROR(__xludf.DUMMYFUNCTION("""COMPUTED_VALUE"""),68.59)</f>
        <v>68.59</v>
      </c>
      <c r="U280" s="3">
        <f ca="1">IFERROR(__xludf.DUMMYFUNCTION("""COMPUTED_VALUE"""),69.21)</f>
        <v>69.209999999999994</v>
      </c>
      <c r="V280" s="3">
        <f ca="1">IFERROR(__xludf.DUMMYFUNCTION("""COMPUTED_VALUE"""),68.52)</f>
        <v>68.52</v>
      </c>
      <c r="W280" s="3">
        <f ca="1">IFERROR(__xludf.DUMMYFUNCTION("""COMPUTED_VALUE"""),68.86)</f>
        <v>68.86</v>
      </c>
      <c r="X280" s="3">
        <f ca="1">IFERROR(__xludf.DUMMYFUNCTION("""COMPUTED_VALUE"""),12340597)</f>
        <v>12340597</v>
      </c>
      <c r="Y280" s="4">
        <f ca="1">IFERROR(__xludf.DUMMYFUNCTION("""COMPUTED_VALUE"""),42530.6666666666)</f>
        <v>42530.666666666599</v>
      </c>
      <c r="Z280" s="3">
        <f ca="1">IFERROR(__xludf.DUMMYFUNCTION("""COMPUTED_VALUE"""),19.07)</f>
        <v>19.07</v>
      </c>
      <c r="AA280" s="3">
        <f ca="1">IFERROR(__xludf.DUMMYFUNCTION("""COMPUTED_VALUE"""),19.1)</f>
        <v>19.100000000000001</v>
      </c>
      <c r="AB280" s="3">
        <f ca="1">IFERROR(__xludf.DUMMYFUNCTION("""COMPUTED_VALUE"""),18.95)</f>
        <v>18.95</v>
      </c>
      <c r="AC280" s="3">
        <f ca="1">IFERROR(__xludf.DUMMYFUNCTION("""COMPUTED_VALUE"""),19.04)</f>
        <v>19.04</v>
      </c>
      <c r="AD280" s="3">
        <f ca="1">IFERROR(__xludf.DUMMYFUNCTION("""COMPUTED_VALUE"""),32145569)</f>
        <v>32145569</v>
      </c>
      <c r="AE280" s="4">
        <f ca="1">IFERROR(__xludf.DUMMYFUNCTION("""COMPUTED_VALUE"""),42530.6666666666)</f>
        <v>42530.666666666599</v>
      </c>
      <c r="AF280" s="3">
        <f ca="1">IFERROR(__xludf.DUMMYFUNCTION("""COMPUTED_VALUE"""),72.32)</f>
        <v>72.319999999999993</v>
      </c>
      <c r="AG280" s="3">
        <f ca="1">IFERROR(__xludf.DUMMYFUNCTION("""COMPUTED_VALUE"""),72.83)</f>
        <v>72.83</v>
      </c>
      <c r="AH280" s="3">
        <f ca="1">IFERROR(__xludf.DUMMYFUNCTION("""COMPUTED_VALUE"""),72.15)</f>
        <v>72.150000000000006</v>
      </c>
      <c r="AI280" s="3">
        <f ca="1">IFERROR(__xludf.DUMMYFUNCTION("""COMPUTED_VALUE"""),72.36)</f>
        <v>72.36</v>
      </c>
      <c r="AJ280" s="3">
        <f ca="1">IFERROR(__xludf.DUMMYFUNCTION("""COMPUTED_VALUE"""),9608545)</f>
        <v>9608545</v>
      </c>
      <c r="AK280" s="4">
        <f ca="1">IFERROR(__xludf.DUMMYFUNCTION("""COMPUTED_VALUE"""),42530.6666666666)</f>
        <v>42530.666666666599</v>
      </c>
      <c r="AL280" s="3">
        <f ca="1">IFERROR(__xludf.DUMMYFUNCTION("""COMPUTED_VALUE"""),56.84)</f>
        <v>56.84</v>
      </c>
      <c r="AM280" s="3">
        <f ca="1">IFERROR(__xludf.DUMMYFUNCTION("""COMPUTED_VALUE"""),57.17)</f>
        <v>57.17</v>
      </c>
      <c r="AN280" s="3">
        <f ca="1">IFERROR(__xludf.DUMMYFUNCTION("""COMPUTED_VALUE"""),56.78)</f>
        <v>56.78</v>
      </c>
      <c r="AO280" s="3">
        <f ca="1">IFERROR(__xludf.DUMMYFUNCTION("""COMPUTED_VALUE"""),57.14)</f>
        <v>57.14</v>
      </c>
      <c r="AP280" s="3">
        <f ca="1">IFERROR(__xludf.DUMMYFUNCTION("""COMPUTED_VALUE"""),9984738)</f>
        <v>9984738</v>
      </c>
      <c r="AQ280" s="4">
        <f ca="1">IFERROR(__xludf.DUMMYFUNCTION("""COMPUTED_VALUE"""),42530.6666666666)</f>
        <v>42530.666666666599</v>
      </c>
      <c r="AR280" s="3">
        <f ca="1">IFERROR(__xludf.DUMMYFUNCTION("""COMPUTED_VALUE"""),48.2)</f>
        <v>48.2</v>
      </c>
      <c r="AS280" s="3">
        <f ca="1">IFERROR(__xludf.DUMMYFUNCTION("""COMPUTED_VALUE"""),48.22)</f>
        <v>48.22</v>
      </c>
      <c r="AT280" s="3">
        <f ca="1">IFERROR(__xludf.DUMMYFUNCTION("""COMPUTED_VALUE"""),47.88)</f>
        <v>47.88</v>
      </c>
      <c r="AU280" s="3">
        <f ca="1">IFERROR(__xludf.DUMMYFUNCTION("""COMPUTED_VALUE"""),48.1)</f>
        <v>48.1</v>
      </c>
      <c r="AV280" s="3">
        <f ca="1">IFERROR(__xludf.DUMMYFUNCTION("""COMPUTED_VALUE"""),3965573)</f>
        <v>3965573</v>
      </c>
      <c r="AW280" s="4">
        <f ca="1">IFERROR(__xludf.DUMMYFUNCTION("""COMPUTED_VALUE"""),42692.6666666666)</f>
        <v>42692.666666666599</v>
      </c>
      <c r="AX280" s="3">
        <f ca="1">IFERROR(__xludf.DUMMYFUNCTION("""COMPUTED_VALUE"""),29.6)</f>
        <v>29.6</v>
      </c>
      <c r="AY280" s="3">
        <f ca="1">IFERROR(__xludf.DUMMYFUNCTION("""COMPUTED_VALUE"""),29.81)</f>
        <v>29.81</v>
      </c>
      <c r="AZ280" s="3">
        <f ca="1">IFERROR(__xludf.DUMMYFUNCTION("""COMPUTED_VALUE"""),29.5)</f>
        <v>29.5</v>
      </c>
      <c r="BA280" s="3">
        <f ca="1">IFERROR(__xludf.DUMMYFUNCTION("""COMPUTED_VALUE"""),29.71)</f>
        <v>29.71</v>
      </c>
      <c r="BB280" s="3">
        <f ca="1">IFERROR(__xludf.DUMMYFUNCTION("""COMPUTED_VALUE"""),1276875)</f>
        <v>1276875</v>
      </c>
      <c r="BC280" s="4">
        <f ca="1">IFERROR(__xludf.DUMMYFUNCTION("""COMPUTED_VALUE"""),42530.6666666666)</f>
        <v>42530.666666666599</v>
      </c>
      <c r="BD280" s="3">
        <f ca="1">IFERROR(__xludf.DUMMYFUNCTION("""COMPUTED_VALUE"""),44.11)</f>
        <v>44.11</v>
      </c>
      <c r="BE280" s="3">
        <f ca="1">IFERROR(__xludf.DUMMYFUNCTION("""COMPUTED_VALUE"""),44.35)</f>
        <v>44.35</v>
      </c>
      <c r="BF280" s="3">
        <f ca="1">IFERROR(__xludf.DUMMYFUNCTION("""COMPUTED_VALUE"""),44.08)</f>
        <v>44.08</v>
      </c>
      <c r="BG280" s="3">
        <f ca="1">IFERROR(__xludf.DUMMYFUNCTION("""COMPUTED_VALUE"""),44.3)</f>
        <v>44.3</v>
      </c>
      <c r="BH280" s="3">
        <f ca="1">IFERROR(__xludf.DUMMYFUNCTION("""COMPUTED_VALUE"""),12919521)</f>
        <v>12919521</v>
      </c>
      <c r="BI280" s="4">
        <f ca="1">IFERROR(__xludf.DUMMYFUNCTION("""COMPUTED_VALUE"""),42530.6666666666)</f>
        <v>42530.666666666599</v>
      </c>
      <c r="BJ280" s="3">
        <f ca="1">IFERROR(__xludf.DUMMYFUNCTION("""COMPUTED_VALUE"""),50.3)</f>
        <v>50.3</v>
      </c>
      <c r="BK280" s="3">
        <f ca="1">IFERROR(__xludf.DUMMYFUNCTION("""COMPUTED_VALUE"""),50.79)</f>
        <v>50.79</v>
      </c>
      <c r="BL280" s="3">
        <f ca="1">IFERROR(__xludf.DUMMYFUNCTION("""COMPUTED_VALUE"""),50.23)</f>
        <v>50.23</v>
      </c>
      <c r="BM280" s="3">
        <f ca="1">IFERROR(__xludf.DUMMYFUNCTION("""COMPUTED_VALUE"""),50.7)</f>
        <v>50.7</v>
      </c>
      <c r="BN280" s="3">
        <f ca="1">IFERROR(__xludf.DUMMYFUNCTION("""COMPUTED_VALUE"""),9702772)</f>
        <v>9702772</v>
      </c>
    </row>
    <row r="281" spans="7:66" ht="13" x14ac:dyDescent="0.15">
      <c r="G281" s="4">
        <f ca="1">IFERROR(__xludf.DUMMYFUNCTION("""COMPUTED_VALUE"""),42531.6666666666)</f>
        <v>42531.666666666599</v>
      </c>
      <c r="H281" s="3">
        <f ca="1">IFERROR(__xludf.DUMMYFUNCTION("""COMPUTED_VALUE"""),78.69)</f>
        <v>78.69</v>
      </c>
      <c r="I281" s="3">
        <f ca="1">IFERROR(__xludf.DUMMYFUNCTION("""COMPUTED_VALUE"""),78.81)</f>
        <v>78.81</v>
      </c>
      <c r="J281" s="3">
        <f ca="1">IFERROR(__xludf.DUMMYFUNCTION("""COMPUTED_VALUE"""),78.27)</f>
        <v>78.27</v>
      </c>
      <c r="K281" s="3">
        <f ca="1">IFERROR(__xludf.DUMMYFUNCTION("""COMPUTED_VALUE"""),78.49)</f>
        <v>78.489999999999995</v>
      </c>
      <c r="L281" s="3">
        <f ca="1">IFERROR(__xludf.DUMMYFUNCTION("""COMPUTED_VALUE"""),4813543)</f>
        <v>4813543</v>
      </c>
      <c r="M281" s="4">
        <f ca="1">IFERROR(__xludf.DUMMYFUNCTION("""COMPUTED_VALUE"""),42531.6666666666)</f>
        <v>42531.666666666599</v>
      </c>
      <c r="N281" s="3">
        <f ca="1">IFERROR(__xludf.DUMMYFUNCTION("""COMPUTED_VALUE"""),53.82)</f>
        <v>53.82</v>
      </c>
      <c r="O281" s="3">
        <f ca="1">IFERROR(__xludf.DUMMYFUNCTION("""COMPUTED_VALUE"""),54.22)</f>
        <v>54.22</v>
      </c>
      <c r="P281" s="3">
        <f ca="1">IFERROR(__xludf.DUMMYFUNCTION("""COMPUTED_VALUE"""),53.76)</f>
        <v>53.76</v>
      </c>
      <c r="Q281" s="3">
        <f ca="1">IFERROR(__xludf.DUMMYFUNCTION("""COMPUTED_VALUE"""),54.13)</f>
        <v>54.13</v>
      </c>
      <c r="R281" s="3">
        <f ca="1">IFERROR(__xludf.DUMMYFUNCTION("""COMPUTED_VALUE"""),10563935)</f>
        <v>10563935</v>
      </c>
      <c r="S281" s="4">
        <f ca="1">IFERROR(__xludf.DUMMYFUNCTION("""COMPUTED_VALUE"""),42531.6666666666)</f>
        <v>42531.666666666599</v>
      </c>
      <c r="T281" s="3">
        <f ca="1">IFERROR(__xludf.DUMMYFUNCTION("""COMPUTED_VALUE"""),68.15)</f>
        <v>68.150000000000006</v>
      </c>
      <c r="U281" s="3">
        <f ca="1">IFERROR(__xludf.DUMMYFUNCTION("""COMPUTED_VALUE"""),68.59)</f>
        <v>68.59</v>
      </c>
      <c r="V281" s="3">
        <f ca="1">IFERROR(__xludf.DUMMYFUNCTION("""COMPUTED_VALUE"""),67.28)</f>
        <v>67.28</v>
      </c>
      <c r="W281" s="3">
        <f ca="1">IFERROR(__xludf.DUMMYFUNCTION("""COMPUTED_VALUE"""),67.37)</f>
        <v>67.37</v>
      </c>
      <c r="X281" s="3">
        <f ca="1">IFERROR(__xludf.DUMMYFUNCTION("""COMPUTED_VALUE"""),14490191)</f>
        <v>14490191</v>
      </c>
      <c r="Y281" s="4">
        <f ca="1">IFERROR(__xludf.DUMMYFUNCTION("""COMPUTED_VALUE"""),42531.6666666666)</f>
        <v>42531.666666666599</v>
      </c>
      <c r="Z281" s="3">
        <f ca="1">IFERROR(__xludf.DUMMYFUNCTION("""COMPUTED_VALUE"""),18.82)</f>
        <v>18.82</v>
      </c>
      <c r="AA281" s="3">
        <f ca="1">IFERROR(__xludf.DUMMYFUNCTION("""COMPUTED_VALUE"""),18.89)</f>
        <v>18.89</v>
      </c>
      <c r="AB281" s="3">
        <f ca="1">IFERROR(__xludf.DUMMYFUNCTION("""COMPUTED_VALUE"""),18.75)</f>
        <v>18.75</v>
      </c>
      <c r="AC281" s="3">
        <f ca="1">IFERROR(__xludf.DUMMYFUNCTION("""COMPUTED_VALUE"""),18.81)</f>
        <v>18.809999999999999</v>
      </c>
      <c r="AD281" s="3">
        <f ca="1">IFERROR(__xludf.DUMMYFUNCTION("""COMPUTED_VALUE"""),38464405)</f>
        <v>38464405</v>
      </c>
      <c r="AE281" s="4">
        <f ca="1">IFERROR(__xludf.DUMMYFUNCTION("""COMPUTED_VALUE"""),42531.6666666666)</f>
        <v>42531.666666666599</v>
      </c>
      <c r="AF281" s="3">
        <f ca="1">IFERROR(__xludf.DUMMYFUNCTION("""COMPUTED_VALUE"""),71.94)</f>
        <v>71.94</v>
      </c>
      <c r="AG281" s="3">
        <f ca="1">IFERROR(__xludf.DUMMYFUNCTION("""COMPUTED_VALUE"""),71.98)</f>
        <v>71.98</v>
      </c>
      <c r="AH281" s="3">
        <f ca="1">IFERROR(__xludf.DUMMYFUNCTION("""COMPUTED_VALUE"""),71.45)</f>
        <v>71.45</v>
      </c>
      <c r="AI281" s="3">
        <f ca="1">IFERROR(__xludf.DUMMYFUNCTION("""COMPUTED_VALUE"""),71.78)</f>
        <v>71.78</v>
      </c>
      <c r="AJ281" s="3">
        <f ca="1">IFERROR(__xludf.DUMMYFUNCTION("""COMPUTED_VALUE"""),10270936)</f>
        <v>10270936</v>
      </c>
      <c r="AK281" s="4">
        <f ca="1">IFERROR(__xludf.DUMMYFUNCTION("""COMPUTED_VALUE"""),42531.6666666666)</f>
        <v>42531.666666666599</v>
      </c>
      <c r="AL281" s="3">
        <f ca="1">IFERROR(__xludf.DUMMYFUNCTION("""COMPUTED_VALUE"""),56.68)</f>
        <v>56.68</v>
      </c>
      <c r="AM281" s="3">
        <f ca="1">IFERROR(__xludf.DUMMYFUNCTION("""COMPUTED_VALUE"""),56.81)</f>
        <v>56.81</v>
      </c>
      <c r="AN281" s="3">
        <f ca="1">IFERROR(__xludf.DUMMYFUNCTION("""COMPUTED_VALUE"""),56.32)</f>
        <v>56.32</v>
      </c>
      <c r="AO281" s="3">
        <f ca="1">IFERROR(__xludf.DUMMYFUNCTION("""COMPUTED_VALUE"""),56.47)</f>
        <v>56.47</v>
      </c>
      <c r="AP281" s="3">
        <f ca="1">IFERROR(__xludf.DUMMYFUNCTION("""COMPUTED_VALUE"""),13734253)</f>
        <v>13734253</v>
      </c>
      <c r="AQ281" s="4">
        <f ca="1">IFERROR(__xludf.DUMMYFUNCTION("""COMPUTED_VALUE"""),42531.6666666666)</f>
        <v>42531.666666666599</v>
      </c>
      <c r="AR281" s="3">
        <f ca="1">IFERROR(__xludf.DUMMYFUNCTION("""COMPUTED_VALUE"""),47.8)</f>
        <v>47.8</v>
      </c>
      <c r="AS281" s="3">
        <f ca="1">IFERROR(__xludf.DUMMYFUNCTION("""COMPUTED_VALUE"""),48.02)</f>
        <v>48.02</v>
      </c>
      <c r="AT281" s="3">
        <f ca="1">IFERROR(__xludf.DUMMYFUNCTION("""COMPUTED_VALUE"""),47.62)</f>
        <v>47.62</v>
      </c>
      <c r="AU281" s="3">
        <f ca="1">IFERROR(__xludf.DUMMYFUNCTION("""COMPUTED_VALUE"""),47.74)</f>
        <v>47.74</v>
      </c>
      <c r="AV281" s="3">
        <f ca="1">IFERROR(__xludf.DUMMYFUNCTION("""COMPUTED_VALUE"""),4808883)</f>
        <v>4808883</v>
      </c>
      <c r="AW281" s="4">
        <f ca="1">IFERROR(__xludf.DUMMYFUNCTION("""COMPUTED_VALUE"""),42695.6666666666)</f>
        <v>42695.666666666599</v>
      </c>
      <c r="AX281" s="3">
        <f ca="1">IFERROR(__xludf.DUMMYFUNCTION("""COMPUTED_VALUE"""),29.75)</f>
        <v>29.75</v>
      </c>
      <c r="AY281" s="3">
        <f ca="1">IFERROR(__xludf.DUMMYFUNCTION("""COMPUTED_VALUE"""),29.98)</f>
        <v>29.98</v>
      </c>
      <c r="AZ281" s="3">
        <f ca="1">IFERROR(__xludf.DUMMYFUNCTION("""COMPUTED_VALUE"""),29.61)</f>
        <v>29.61</v>
      </c>
      <c r="BA281" s="3">
        <f ca="1">IFERROR(__xludf.DUMMYFUNCTION("""COMPUTED_VALUE"""),29.63)</f>
        <v>29.63</v>
      </c>
      <c r="BB281" s="3">
        <f ca="1">IFERROR(__xludf.DUMMYFUNCTION("""COMPUTED_VALUE"""),1584938)</f>
        <v>1584938</v>
      </c>
      <c r="BC281" s="4">
        <f ca="1">IFERROR(__xludf.DUMMYFUNCTION("""COMPUTED_VALUE"""),42531.6666666666)</f>
        <v>42531.666666666599</v>
      </c>
      <c r="BD281" s="3">
        <f ca="1">IFERROR(__xludf.DUMMYFUNCTION("""COMPUTED_VALUE"""),43.96)</f>
        <v>43.96</v>
      </c>
      <c r="BE281" s="3">
        <f ca="1">IFERROR(__xludf.DUMMYFUNCTION("""COMPUTED_VALUE"""),44.11)</f>
        <v>44.11</v>
      </c>
      <c r="BF281" s="3">
        <f ca="1">IFERROR(__xludf.DUMMYFUNCTION("""COMPUTED_VALUE"""),43.81)</f>
        <v>43.81</v>
      </c>
      <c r="BG281" s="3">
        <f ca="1">IFERROR(__xludf.DUMMYFUNCTION("""COMPUTED_VALUE"""),43.96)</f>
        <v>43.96</v>
      </c>
      <c r="BH281" s="3">
        <f ca="1">IFERROR(__xludf.DUMMYFUNCTION("""COMPUTED_VALUE"""),8282597)</f>
        <v>8282597</v>
      </c>
      <c r="BI281" s="4">
        <f ca="1">IFERROR(__xludf.DUMMYFUNCTION("""COMPUTED_VALUE"""),42531.6666666666)</f>
        <v>42531.666666666599</v>
      </c>
      <c r="BJ281" s="3">
        <f ca="1">IFERROR(__xludf.DUMMYFUNCTION("""COMPUTED_VALUE"""),50.65)</f>
        <v>50.65</v>
      </c>
      <c r="BK281" s="3">
        <f ca="1">IFERROR(__xludf.DUMMYFUNCTION("""COMPUTED_VALUE"""),50.91)</f>
        <v>50.91</v>
      </c>
      <c r="BL281" s="3">
        <f ca="1">IFERROR(__xludf.DUMMYFUNCTION("""COMPUTED_VALUE"""),50.37)</f>
        <v>50.37</v>
      </c>
      <c r="BM281" s="3">
        <f ca="1">IFERROR(__xludf.DUMMYFUNCTION("""COMPUTED_VALUE"""),50.57)</f>
        <v>50.57</v>
      </c>
      <c r="BN281" s="3">
        <f ca="1">IFERROR(__xludf.DUMMYFUNCTION("""COMPUTED_VALUE"""),12911292)</f>
        <v>12911292</v>
      </c>
    </row>
    <row r="282" spans="7:66" ht="13" x14ac:dyDescent="0.15">
      <c r="G282" s="4">
        <f ca="1">IFERROR(__xludf.DUMMYFUNCTION("""COMPUTED_VALUE"""),42534.6666666666)</f>
        <v>42534.666666666599</v>
      </c>
      <c r="H282" s="3">
        <f ca="1">IFERROR(__xludf.DUMMYFUNCTION("""COMPUTED_VALUE"""),78.35)</f>
        <v>78.349999999999994</v>
      </c>
      <c r="I282" s="3">
        <f ca="1">IFERROR(__xludf.DUMMYFUNCTION("""COMPUTED_VALUE"""),78.92)</f>
        <v>78.92</v>
      </c>
      <c r="J282" s="3">
        <f ca="1">IFERROR(__xludf.DUMMYFUNCTION("""COMPUTED_VALUE"""),78)</f>
        <v>78</v>
      </c>
      <c r="K282" s="3">
        <f ca="1">IFERROR(__xludf.DUMMYFUNCTION("""COMPUTED_VALUE"""),78.06)</f>
        <v>78.06</v>
      </c>
      <c r="L282" s="3">
        <f ca="1">IFERROR(__xludf.DUMMYFUNCTION("""COMPUTED_VALUE"""),6033405)</f>
        <v>6033405</v>
      </c>
      <c r="M282" s="4">
        <f ca="1">IFERROR(__xludf.DUMMYFUNCTION("""COMPUTED_VALUE"""),42534.6666666666)</f>
        <v>42534.666666666599</v>
      </c>
      <c r="N282" s="3">
        <f ca="1">IFERROR(__xludf.DUMMYFUNCTION("""COMPUTED_VALUE"""),54.13)</f>
        <v>54.13</v>
      </c>
      <c r="O282" s="3">
        <f ca="1">IFERROR(__xludf.DUMMYFUNCTION("""COMPUTED_VALUE"""),54.22)</f>
        <v>54.22</v>
      </c>
      <c r="P282" s="3">
        <f ca="1">IFERROR(__xludf.DUMMYFUNCTION("""COMPUTED_VALUE"""),53.68)</f>
        <v>53.68</v>
      </c>
      <c r="Q282" s="3">
        <f ca="1">IFERROR(__xludf.DUMMYFUNCTION("""COMPUTED_VALUE"""),53.68)</f>
        <v>53.68</v>
      </c>
      <c r="R282" s="3">
        <f ca="1">IFERROR(__xludf.DUMMYFUNCTION("""COMPUTED_VALUE"""),9118622)</f>
        <v>9118622</v>
      </c>
      <c r="S282" s="4">
        <f ca="1">IFERROR(__xludf.DUMMYFUNCTION("""COMPUTED_VALUE"""),42534.6666666666)</f>
        <v>42534.666666666599</v>
      </c>
      <c r="T282" s="3">
        <f ca="1">IFERROR(__xludf.DUMMYFUNCTION("""COMPUTED_VALUE"""),67.04)</f>
        <v>67.040000000000006</v>
      </c>
      <c r="U282" s="3">
        <f ca="1">IFERROR(__xludf.DUMMYFUNCTION("""COMPUTED_VALUE"""),68.08)</f>
        <v>68.08</v>
      </c>
      <c r="V282" s="3">
        <f ca="1">IFERROR(__xludf.DUMMYFUNCTION("""COMPUTED_VALUE"""),66.97)</f>
        <v>66.97</v>
      </c>
      <c r="W282" s="3">
        <f ca="1">IFERROR(__xludf.DUMMYFUNCTION("""COMPUTED_VALUE"""),67.17)</f>
        <v>67.17</v>
      </c>
      <c r="X282" s="3">
        <f ca="1">IFERROR(__xludf.DUMMYFUNCTION("""COMPUTED_VALUE"""),11587863)</f>
        <v>11587863</v>
      </c>
      <c r="Y282" s="4">
        <f ca="1">IFERROR(__xludf.DUMMYFUNCTION("""COMPUTED_VALUE"""),42534.6666666666)</f>
        <v>42534.666666666599</v>
      </c>
      <c r="Z282" s="3">
        <f ca="1">IFERROR(__xludf.DUMMYFUNCTION("""COMPUTED_VALUE"""),18.7)</f>
        <v>18.7</v>
      </c>
      <c r="AA282" s="3">
        <f ca="1">IFERROR(__xludf.DUMMYFUNCTION("""COMPUTED_VALUE"""),18.92)</f>
        <v>18.920000000000002</v>
      </c>
      <c r="AB282" s="3">
        <f ca="1">IFERROR(__xludf.DUMMYFUNCTION("""COMPUTED_VALUE"""),18.67)</f>
        <v>18.670000000000002</v>
      </c>
      <c r="AC282" s="3">
        <f ca="1">IFERROR(__xludf.DUMMYFUNCTION("""COMPUTED_VALUE"""),18.68)</f>
        <v>18.68</v>
      </c>
      <c r="AD282" s="3">
        <f ca="1">IFERROR(__xludf.DUMMYFUNCTION("""COMPUTED_VALUE"""),45700963)</f>
        <v>45700963</v>
      </c>
      <c r="AE282" s="4">
        <f ca="1">IFERROR(__xludf.DUMMYFUNCTION("""COMPUTED_VALUE"""),42534.6666666666)</f>
        <v>42534.666666666599</v>
      </c>
      <c r="AF282" s="3">
        <f ca="1">IFERROR(__xludf.DUMMYFUNCTION("""COMPUTED_VALUE"""),71.52)</f>
        <v>71.52</v>
      </c>
      <c r="AG282" s="3">
        <f ca="1">IFERROR(__xludf.DUMMYFUNCTION("""COMPUTED_VALUE"""),72.06)</f>
        <v>72.06</v>
      </c>
      <c r="AH282" s="3">
        <f ca="1">IFERROR(__xludf.DUMMYFUNCTION("""COMPUTED_VALUE"""),71.19)</f>
        <v>71.19</v>
      </c>
      <c r="AI282" s="3">
        <f ca="1">IFERROR(__xludf.DUMMYFUNCTION("""COMPUTED_VALUE"""),71.21)</f>
        <v>71.209999999999994</v>
      </c>
      <c r="AJ282" s="3">
        <f ca="1">IFERROR(__xludf.DUMMYFUNCTION("""COMPUTED_VALUE"""),8724591)</f>
        <v>8724591</v>
      </c>
      <c r="AK282" s="4">
        <f ca="1">IFERROR(__xludf.DUMMYFUNCTION("""COMPUTED_VALUE"""),42534.6666666666)</f>
        <v>42534.666666666599</v>
      </c>
      <c r="AL282" s="3">
        <f ca="1">IFERROR(__xludf.DUMMYFUNCTION("""COMPUTED_VALUE"""),56.45)</f>
        <v>56.45</v>
      </c>
      <c r="AM282" s="3">
        <f ca="1">IFERROR(__xludf.DUMMYFUNCTION("""COMPUTED_VALUE"""),56.52)</f>
        <v>56.52</v>
      </c>
      <c r="AN282" s="3">
        <f ca="1">IFERROR(__xludf.DUMMYFUNCTION("""COMPUTED_VALUE"""),55.86)</f>
        <v>55.86</v>
      </c>
      <c r="AO282" s="3">
        <f ca="1">IFERROR(__xludf.DUMMYFUNCTION("""COMPUTED_VALUE"""),55.86)</f>
        <v>55.86</v>
      </c>
      <c r="AP282" s="3">
        <f ca="1">IFERROR(__xludf.DUMMYFUNCTION("""COMPUTED_VALUE"""),18830446)</f>
        <v>18830446</v>
      </c>
      <c r="AQ282" s="4">
        <f ca="1">IFERROR(__xludf.DUMMYFUNCTION("""COMPUTED_VALUE"""),42534.6666666666)</f>
        <v>42534.666666666599</v>
      </c>
      <c r="AR282" s="3">
        <f ca="1">IFERROR(__xludf.DUMMYFUNCTION("""COMPUTED_VALUE"""),47.76)</f>
        <v>47.76</v>
      </c>
      <c r="AS282" s="3">
        <f ca="1">IFERROR(__xludf.DUMMYFUNCTION("""COMPUTED_VALUE"""),47.93)</f>
        <v>47.93</v>
      </c>
      <c r="AT282" s="3">
        <f ca="1">IFERROR(__xludf.DUMMYFUNCTION("""COMPUTED_VALUE"""),47.2)</f>
        <v>47.2</v>
      </c>
      <c r="AU282" s="3">
        <f ca="1">IFERROR(__xludf.DUMMYFUNCTION("""COMPUTED_VALUE"""),47.21)</f>
        <v>47.21</v>
      </c>
      <c r="AV282" s="3">
        <f ca="1">IFERROR(__xludf.DUMMYFUNCTION("""COMPUTED_VALUE"""),5318868)</f>
        <v>5318868</v>
      </c>
      <c r="AW282" s="4">
        <f ca="1">IFERROR(__xludf.DUMMYFUNCTION("""COMPUTED_VALUE"""),42696.6666666666)</f>
        <v>42696.666666666599</v>
      </c>
      <c r="AX282" s="3">
        <f ca="1">IFERROR(__xludf.DUMMYFUNCTION("""COMPUTED_VALUE"""),29.71)</f>
        <v>29.71</v>
      </c>
      <c r="AY282" s="3">
        <f ca="1">IFERROR(__xludf.DUMMYFUNCTION("""COMPUTED_VALUE"""),30.19)</f>
        <v>30.19</v>
      </c>
      <c r="AZ282" s="3">
        <f ca="1">IFERROR(__xludf.DUMMYFUNCTION("""COMPUTED_VALUE"""),29.67)</f>
        <v>29.67</v>
      </c>
      <c r="BA282" s="3">
        <f ca="1">IFERROR(__xludf.DUMMYFUNCTION("""COMPUTED_VALUE"""),30.14)</f>
        <v>30.14</v>
      </c>
      <c r="BB282" s="3">
        <f ca="1">IFERROR(__xludf.DUMMYFUNCTION("""COMPUTED_VALUE"""),2567156)</f>
        <v>2567156</v>
      </c>
      <c r="BC282" s="4">
        <f ca="1">IFERROR(__xludf.DUMMYFUNCTION("""COMPUTED_VALUE"""),42534.6666666666)</f>
        <v>42534.666666666599</v>
      </c>
      <c r="BD282" s="3">
        <f ca="1">IFERROR(__xludf.DUMMYFUNCTION("""COMPUTED_VALUE"""),43.57)</f>
        <v>43.57</v>
      </c>
      <c r="BE282" s="3">
        <f ca="1">IFERROR(__xludf.DUMMYFUNCTION("""COMPUTED_VALUE"""),43.83)</f>
        <v>43.83</v>
      </c>
      <c r="BF282" s="3">
        <f ca="1">IFERROR(__xludf.DUMMYFUNCTION("""COMPUTED_VALUE"""),43.46)</f>
        <v>43.46</v>
      </c>
      <c r="BG282" s="3">
        <f ca="1">IFERROR(__xludf.DUMMYFUNCTION("""COMPUTED_VALUE"""),43.47)</f>
        <v>43.47</v>
      </c>
      <c r="BH282" s="3">
        <f ca="1">IFERROR(__xludf.DUMMYFUNCTION("""COMPUTED_VALUE"""),11852077)</f>
        <v>11852077</v>
      </c>
      <c r="BI282" s="4">
        <f ca="1">IFERROR(__xludf.DUMMYFUNCTION("""COMPUTED_VALUE"""),42534.6666666666)</f>
        <v>42534.666666666599</v>
      </c>
      <c r="BJ282" s="3">
        <f ca="1">IFERROR(__xludf.DUMMYFUNCTION("""COMPUTED_VALUE"""),50.65)</f>
        <v>50.65</v>
      </c>
      <c r="BK282" s="3">
        <f ca="1">IFERROR(__xludf.DUMMYFUNCTION("""COMPUTED_VALUE"""),50.84)</f>
        <v>50.84</v>
      </c>
      <c r="BL282" s="3">
        <f ca="1">IFERROR(__xludf.DUMMYFUNCTION("""COMPUTED_VALUE"""),50.47)</f>
        <v>50.47</v>
      </c>
      <c r="BM282" s="3">
        <f ca="1">IFERROR(__xludf.DUMMYFUNCTION("""COMPUTED_VALUE"""),50.51)</f>
        <v>50.51</v>
      </c>
      <c r="BN282" s="3">
        <f ca="1">IFERROR(__xludf.DUMMYFUNCTION("""COMPUTED_VALUE"""),13149692)</f>
        <v>13149692</v>
      </c>
    </row>
    <row r="283" spans="7:66" ht="13" x14ac:dyDescent="0.15">
      <c r="G283" s="4">
        <f ca="1">IFERROR(__xludf.DUMMYFUNCTION("""COMPUTED_VALUE"""),42535.6666666666)</f>
        <v>42535.666666666599</v>
      </c>
      <c r="H283" s="3">
        <f ca="1">IFERROR(__xludf.DUMMYFUNCTION("""COMPUTED_VALUE"""),77.87)</f>
        <v>77.87</v>
      </c>
      <c r="I283" s="3">
        <f ca="1">IFERROR(__xludf.DUMMYFUNCTION("""COMPUTED_VALUE"""),78.16)</f>
        <v>78.16</v>
      </c>
      <c r="J283" s="3">
        <f ca="1">IFERROR(__xludf.DUMMYFUNCTION("""COMPUTED_VALUE"""),77.36)</f>
        <v>77.36</v>
      </c>
      <c r="K283" s="3">
        <f ca="1">IFERROR(__xludf.DUMMYFUNCTION("""COMPUTED_VALUE"""),77.86)</f>
        <v>77.86</v>
      </c>
      <c r="L283" s="3">
        <f ca="1">IFERROR(__xludf.DUMMYFUNCTION("""COMPUTED_VALUE"""),8097665)</f>
        <v>8097665</v>
      </c>
      <c r="M283" s="4">
        <f ca="1">IFERROR(__xludf.DUMMYFUNCTION("""COMPUTED_VALUE"""),42535.6666666666)</f>
        <v>42535.666666666599</v>
      </c>
      <c r="N283" s="3">
        <f ca="1">IFERROR(__xludf.DUMMYFUNCTION("""COMPUTED_VALUE"""),53.66)</f>
        <v>53.66</v>
      </c>
      <c r="O283" s="3">
        <f ca="1">IFERROR(__xludf.DUMMYFUNCTION("""COMPUTED_VALUE"""),53.91)</f>
        <v>53.91</v>
      </c>
      <c r="P283" s="3">
        <f ca="1">IFERROR(__xludf.DUMMYFUNCTION("""COMPUTED_VALUE"""),53.34)</f>
        <v>53.34</v>
      </c>
      <c r="Q283" s="3">
        <f ca="1">IFERROR(__xludf.DUMMYFUNCTION("""COMPUTED_VALUE"""),53.89)</f>
        <v>53.89</v>
      </c>
      <c r="R283" s="3">
        <f ca="1">IFERROR(__xludf.DUMMYFUNCTION("""COMPUTED_VALUE"""),9530933)</f>
        <v>9530933</v>
      </c>
      <c r="S283" s="4">
        <f ca="1">IFERROR(__xludf.DUMMYFUNCTION("""COMPUTED_VALUE"""),42535.6666666666)</f>
        <v>42535.666666666599</v>
      </c>
      <c r="T283" s="3">
        <f ca="1">IFERROR(__xludf.DUMMYFUNCTION("""COMPUTED_VALUE"""),66.89)</f>
        <v>66.89</v>
      </c>
      <c r="U283" s="3">
        <f ca="1">IFERROR(__xludf.DUMMYFUNCTION("""COMPUTED_VALUE"""),67.47)</f>
        <v>67.47</v>
      </c>
      <c r="V283" s="3">
        <f ca="1">IFERROR(__xludf.DUMMYFUNCTION("""COMPUTED_VALUE"""),66.37)</f>
        <v>66.37</v>
      </c>
      <c r="W283" s="3">
        <f ca="1">IFERROR(__xludf.DUMMYFUNCTION("""COMPUTED_VALUE"""),67.13)</f>
        <v>67.13</v>
      </c>
      <c r="X283" s="3">
        <f ca="1">IFERROR(__xludf.DUMMYFUNCTION("""COMPUTED_VALUE"""),12202474)</f>
        <v>12202474</v>
      </c>
      <c r="Y283" s="4">
        <f ca="1">IFERROR(__xludf.DUMMYFUNCTION("""COMPUTED_VALUE"""),42535.6666666666)</f>
        <v>42535.666666666599</v>
      </c>
      <c r="Z283" s="3">
        <f ca="1">IFERROR(__xludf.DUMMYFUNCTION("""COMPUTED_VALUE"""),18.6)</f>
        <v>18.600000000000001</v>
      </c>
      <c r="AA283" s="3">
        <f ca="1">IFERROR(__xludf.DUMMYFUNCTION("""COMPUTED_VALUE"""),18.7)</f>
        <v>18.7</v>
      </c>
      <c r="AB283" s="3">
        <f ca="1">IFERROR(__xludf.DUMMYFUNCTION("""COMPUTED_VALUE"""),18.3)</f>
        <v>18.3</v>
      </c>
      <c r="AC283" s="3">
        <f ca="1">IFERROR(__xludf.DUMMYFUNCTION("""COMPUTED_VALUE"""),18.4)</f>
        <v>18.399999999999999</v>
      </c>
      <c r="AD283" s="3">
        <f ca="1">IFERROR(__xludf.DUMMYFUNCTION("""COMPUTED_VALUE"""),54336538)</f>
        <v>54336538</v>
      </c>
      <c r="AE283" s="4">
        <f ca="1">IFERROR(__xludf.DUMMYFUNCTION("""COMPUTED_VALUE"""),42535.6666666666)</f>
        <v>42535.666666666599</v>
      </c>
      <c r="AF283" s="3">
        <f ca="1">IFERROR(__xludf.DUMMYFUNCTION("""COMPUTED_VALUE"""),71.04)</f>
        <v>71.040000000000006</v>
      </c>
      <c r="AG283" s="3">
        <f ca="1">IFERROR(__xludf.DUMMYFUNCTION("""COMPUTED_VALUE"""),71.35)</f>
        <v>71.349999999999994</v>
      </c>
      <c r="AH283" s="3">
        <f ca="1">IFERROR(__xludf.DUMMYFUNCTION("""COMPUTED_VALUE"""),70.74)</f>
        <v>70.739999999999995</v>
      </c>
      <c r="AI283" s="3">
        <f ca="1">IFERROR(__xludf.DUMMYFUNCTION("""COMPUTED_VALUE"""),71.32)</f>
        <v>71.319999999999993</v>
      </c>
      <c r="AJ283" s="3">
        <f ca="1">IFERROR(__xludf.DUMMYFUNCTION("""COMPUTED_VALUE"""),8000477)</f>
        <v>8000477</v>
      </c>
      <c r="AK283" s="4">
        <f ca="1">IFERROR(__xludf.DUMMYFUNCTION("""COMPUTED_VALUE"""),42535.6666666666)</f>
        <v>42535.666666666599</v>
      </c>
      <c r="AL283" s="3">
        <f ca="1">IFERROR(__xludf.DUMMYFUNCTION("""COMPUTED_VALUE"""),55.79)</f>
        <v>55.79</v>
      </c>
      <c r="AM283" s="3">
        <f ca="1">IFERROR(__xludf.DUMMYFUNCTION("""COMPUTED_VALUE"""),56.04)</f>
        <v>56.04</v>
      </c>
      <c r="AN283" s="3">
        <f ca="1">IFERROR(__xludf.DUMMYFUNCTION("""COMPUTED_VALUE"""),55.54)</f>
        <v>55.54</v>
      </c>
      <c r="AO283" s="3">
        <f ca="1">IFERROR(__xludf.DUMMYFUNCTION("""COMPUTED_VALUE"""),55.87)</f>
        <v>55.87</v>
      </c>
      <c r="AP283" s="3">
        <f ca="1">IFERROR(__xludf.DUMMYFUNCTION("""COMPUTED_VALUE"""),12839024)</f>
        <v>12839024</v>
      </c>
      <c r="AQ283" s="4">
        <f ca="1">IFERROR(__xludf.DUMMYFUNCTION("""COMPUTED_VALUE"""),42535.6666666666)</f>
        <v>42535.666666666599</v>
      </c>
      <c r="AR283" s="3">
        <f ca="1">IFERROR(__xludf.DUMMYFUNCTION("""COMPUTED_VALUE"""),47.07)</f>
        <v>47.07</v>
      </c>
      <c r="AS283" s="3">
        <f ca="1">IFERROR(__xludf.DUMMYFUNCTION("""COMPUTED_VALUE"""),47.22)</f>
        <v>47.22</v>
      </c>
      <c r="AT283" s="3">
        <f ca="1">IFERROR(__xludf.DUMMYFUNCTION("""COMPUTED_VALUE"""),46.55)</f>
        <v>46.55</v>
      </c>
      <c r="AU283" s="3">
        <f ca="1">IFERROR(__xludf.DUMMYFUNCTION("""COMPUTED_VALUE"""),46.86)</f>
        <v>46.86</v>
      </c>
      <c r="AV283" s="3">
        <f ca="1">IFERROR(__xludf.DUMMYFUNCTION("""COMPUTED_VALUE"""),7562520)</f>
        <v>7562520</v>
      </c>
      <c r="AW283" s="4">
        <f ca="1">IFERROR(__xludf.DUMMYFUNCTION("""COMPUTED_VALUE"""),42697.6666666666)</f>
        <v>42697.666666666599</v>
      </c>
      <c r="AX283" s="3">
        <f ca="1">IFERROR(__xludf.DUMMYFUNCTION("""COMPUTED_VALUE"""),29.87)</f>
        <v>29.87</v>
      </c>
      <c r="AY283" s="3">
        <f ca="1">IFERROR(__xludf.DUMMYFUNCTION("""COMPUTED_VALUE"""),30.02)</f>
        <v>30.02</v>
      </c>
      <c r="AZ283" s="3">
        <f ca="1">IFERROR(__xludf.DUMMYFUNCTION("""COMPUTED_VALUE"""),29.71)</f>
        <v>29.71</v>
      </c>
      <c r="BA283" s="3">
        <f ca="1">IFERROR(__xludf.DUMMYFUNCTION("""COMPUTED_VALUE"""),29.93)</f>
        <v>29.93</v>
      </c>
      <c r="BB283" s="3">
        <f ca="1">IFERROR(__xludf.DUMMYFUNCTION("""COMPUTED_VALUE"""),1666247)</f>
        <v>1666247</v>
      </c>
      <c r="BC283" s="4">
        <f ca="1">IFERROR(__xludf.DUMMYFUNCTION("""COMPUTED_VALUE"""),42535.6666666666)</f>
        <v>42535.666666666599</v>
      </c>
      <c r="BD283" s="3">
        <f ca="1">IFERROR(__xludf.DUMMYFUNCTION("""COMPUTED_VALUE"""),43.37)</f>
        <v>43.37</v>
      </c>
      <c r="BE283" s="3">
        <f ca="1">IFERROR(__xludf.DUMMYFUNCTION("""COMPUTED_VALUE"""),43.64)</f>
        <v>43.64</v>
      </c>
      <c r="BF283" s="3">
        <f ca="1">IFERROR(__xludf.DUMMYFUNCTION("""COMPUTED_VALUE"""),43.26)</f>
        <v>43.26</v>
      </c>
      <c r="BG283" s="3">
        <f ca="1">IFERROR(__xludf.DUMMYFUNCTION("""COMPUTED_VALUE"""),43.57)</f>
        <v>43.57</v>
      </c>
      <c r="BH283" s="3">
        <f ca="1">IFERROR(__xludf.DUMMYFUNCTION("""COMPUTED_VALUE"""),8420593)</f>
        <v>8420593</v>
      </c>
      <c r="BI283" s="4">
        <f ca="1">IFERROR(__xludf.DUMMYFUNCTION("""COMPUTED_VALUE"""),42535.6666666666)</f>
        <v>42535.666666666599</v>
      </c>
      <c r="BJ283" s="3">
        <f ca="1">IFERROR(__xludf.DUMMYFUNCTION("""COMPUTED_VALUE"""),50.53)</f>
        <v>50.53</v>
      </c>
      <c r="BK283" s="3">
        <f ca="1">IFERROR(__xludf.DUMMYFUNCTION("""COMPUTED_VALUE"""),50.81)</f>
        <v>50.81</v>
      </c>
      <c r="BL283" s="3">
        <f ca="1">IFERROR(__xludf.DUMMYFUNCTION("""COMPUTED_VALUE"""),50.26)</f>
        <v>50.26</v>
      </c>
      <c r="BM283" s="3">
        <f ca="1">IFERROR(__xludf.DUMMYFUNCTION("""COMPUTED_VALUE"""),50.78)</f>
        <v>50.78</v>
      </c>
      <c r="BN283" s="3">
        <f ca="1">IFERROR(__xludf.DUMMYFUNCTION("""COMPUTED_VALUE"""),11606446)</f>
        <v>11606446</v>
      </c>
    </row>
    <row r="284" spans="7:66" ht="13" x14ac:dyDescent="0.15">
      <c r="G284" s="4">
        <f ca="1">IFERROR(__xludf.DUMMYFUNCTION("""COMPUTED_VALUE"""),42536.6666666666)</f>
        <v>42536.666666666599</v>
      </c>
      <c r="H284" s="3">
        <f ca="1">IFERROR(__xludf.DUMMYFUNCTION("""COMPUTED_VALUE"""),77.92)</f>
        <v>77.92</v>
      </c>
      <c r="I284" s="3">
        <f ca="1">IFERROR(__xludf.DUMMYFUNCTION("""COMPUTED_VALUE"""),78.72)</f>
        <v>78.72</v>
      </c>
      <c r="J284" s="3">
        <f ca="1">IFERROR(__xludf.DUMMYFUNCTION("""COMPUTED_VALUE"""),77.92)</f>
        <v>77.92</v>
      </c>
      <c r="K284" s="3">
        <f ca="1">IFERROR(__xludf.DUMMYFUNCTION("""COMPUTED_VALUE"""),78.08)</f>
        <v>78.08</v>
      </c>
      <c r="L284" s="3">
        <f ca="1">IFERROR(__xludf.DUMMYFUNCTION("""COMPUTED_VALUE"""),5635881)</f>
        <v>5635881</v>
      </c>
      <c r="M284" s="4">
        <f ca="1">IFERROR(__xludf.DUMMYFUNCTION("""COMPUTED_VALUE"""),42536.6666666666)</f>
        <v>42536.666666666599</v>
      </c>
      <c r="N284" s="3">
        <f ca="1">IFERROR(__xludf.DUMMYFUNCTION("""COMPUTED_VALUE"""),53.88)</f>
        <v>53.88</v>
      </c>
      <c r="O284" s="3">
        <f ca="1">IFERROR(__xludf.DUMMYFUNCTION("""COMPUTED_VALUE"""),54.03)</f>
        <v>54.03</v>
      </c>
      <c r="P284" s="3">
        <f ca="1">IFERROR(__xludf.DUMMYFUNCTION("""COMPUTED_VALUE"""),53.66)</f>
        <v>53.66</v>
      </c>
      <c r="Q284" s="3">
        <f ca="1">IFERROR(__xludf.DUMMYFUNCTION("""COMPUTED_VALUE"""),53.73)</f>
        <v>53.73</v>
      </c>
      <c r="R284" s="3">
        <f ca="1">IFERROR(__xludf.DUMMYFUNCTION("""COMPUTED_VALUE"""),9347642)</f>
        <v>9347642</v>
      </c>
      <c r="S284" s="4">
        <f ca="1">IFERROR(__xludf.DUMMYFUNCTION("""COMPUTED_VALUE"""),42536.6666666666)</f>
        <v>42536.666666666599</v>
      </c>
      <c r="T284" s="3">
        <f ca="1">IFERROR(__xludf.DUMMYFUNCTION("""COMPUTED_VALUE"""),66.88)</f>
        <v>66.88</v>
      </c>
      <c r="U284" s="3">
        <f ca="1">IFERROR(__xludf.DUMMYFUNCTION("""COMPUTED_VALUE"""),67.78)</f>
        <v>67.78</v>
      </c>
      <c r="V284" s="3">
        <f ca="1">IFERROR(__xludf.DUMMYFUNCTION("""COMPUTED_VALUE"""),66.5)</f>
        <v>66.5</v>
      </c>
      <c r="W284" s="3">
        <f ca="1">IFERROR(__xludf.DUMMYFUNCTION("""COMPUTED_VALUE"""),66.97)</f>
        <v>66.97</v>
      </c>
      <c r="X284" s="3">
        <f ca="1">IFERROR(__xludf.DUMMYFUNCTION("""COMPUTED_VALUE"""),16829530)</f>
        <v>16829530</v>
      </c>
      <c r="Y284" s="4">
        <f ca="1">IFERROR(__xludf.DUMMYFUNCTION("""COMPUTED_VALUE"""),42536.6666666666)</f>
        <v>42536.666666666599</v>
      </c>
      <c r="Z284" s="3">
        <f ca="1">IFERROR(__xludf.DUMMYFUNCTION("""COMPUTED_VALUE"""),18.45)</f>
        <v>18.45</v>
      </c>
      <c r="AA284" s="3">
        <f ca="1">IFERROR(__xludf.DUMMYFUNCTION("""COMPUTED_VALUE"""),18.63)</f>
        <v>18.63</v>
      </c>
      <c r="AB284" s="3">
        <f ca="1">IFERROR(__xludf.DUMMYFUNCTION("""COMPUTED_VALUE"""),18.41)</f>
        <v>18.41</v>
      </c>
      <c r="AC284" s="3">
        <f ca="1">IFERROR(__xludf.DUMMYFUNCTION("""COMPUTED_VALUE"""),18.43)</f>
        <v>18.43</v>
      </c>
      <c r="AD284" s="3">
        <f ca="1">IFERROR(__xludf.DUMMYFUNCTION("""COMPUTED_VALUE"""),47144329)</f>
        <v>47144329</v>
      </c>
      <c r="AE284" s="4">
        <f ca="1">IFERROR(__xludf.DUMMYFUNCTION("""COMPUTED_VALUE"""),42536.6666666666)</f>
        <v>42536.666666666599</v>
      </c>
      <c r="AF284" s="3">
        <f ca="1">IFERROR(__xludf.DUMMYFUNCTION("""COMPUTED_VALUE"""),71.51)</f>
        <v>71.510000000000005</v>
      </c>
      <c r="AG284" s="3">
        <f ca="1">IFERROR(__xludf.DUMMYFUNCTION("""COMPUTED_VALUE"""),71.66)</f>
        <v>71.66</v>
      </c>
      <c r="AH284" s="3">
        <f ca="1">IFERROR(__xludf.DUMMYFUNCTION("""COMPUTED_VALUE"""),70.77)</f>
        <v>70.77</v>
      </c>
      <c r="AI284" s="3">
        <f ca="1">IFERROR(__xludf.DUMMYFUNCTION("""COMPUTED_VALUE"""),70.83)</f>
        <v>70.83</v>
      </c>
      <c r="AJ284" s="3">
        <f ca="1">IFERROR(__xludf.DUMMYFUNCTION("""COMPUTED_VALUE"""),7861117)</f>
        <v>7861117</v>
      </c>
      <c r="AK284" s="4">
        <f ca="1">IFERROR(__xludf.DUMMYFUNCTION("""COMPUTED_VALUE"""),42536.6666666666)</f>
        <v>42536.666666666599</v>
      </c>
      <c r="AL284" s="3">
        <f ca="1">IFERROR(__xludf.DUMMYFUNCTION("""COMPUTED_VALUE"""),56.03)</f>
        <v>56.03</v>
      </c>
      <c r="AM284" s="3">
        <f ca="1">IFERROR(__xludf.DUMMYFUNCTION("""COMPUTED_VALUE"""),56.33)</f>
        <v>56.33</v>
      </c>
      <c r="AN284" s="3">
        <f ca="1">IFERROR(__xludf.DUMMYFUNCTION("""COMPUTED_VALUE"""),55.84)</f>
        <v>55.84</v>
      </c>
      <c r="AO284" s="3">
        <f ca="1">IFERROR(__xludf.DUMMYFUNCTION("""COMPUTED_VALUE"""),55.89)</f>
        <v>55.89</v>
      </c>
      <c r="AP284" s="3">
        <f ca="1">IFERROR(__xludf.DUMMYFUNCTION("""COMPUTED_VALUE"""),10429620)</f>
        <v>10429620</v>
      </c>
      <c r="AQ284" s="4">
        <f ca="1">IFERROR(__xludf.DUMMYFUNCTION("""COMPUTED_VALUE"""),42536.6666666666)</f>
        <v>42536.666666666599</v>
      </c>
      <c r="AR284" s="3">
        <f ca="1">IFERROR(__xludf.DUMMYFUNCTION("""COMPUTED_VALUE"""),47.04)</f>
        <v>47.04</v>
      </c>
      <c r="AS284" s="3">
        <f ca="1">IFERROR(__xludf.DUMMYFUNCTION("""COMPUTED_VALUE"""),47.4)</f>
        <v>47.4</v>
      </c>
      <c r="AT284" s="3">
        <f ca="1">IFERROR(__xludf.DUMMYFUNCTION("""COMPUTED_VALUE"""),46.96)</f>
        <v>46.96</v>
      </c>
      <c r="AU284" s="3">
        <f ca="1">IFERROR(__xludf.DUMMYFUNCTION("""COMPUTED_VALUE"""),47.07)</f>
        <v>47.07</v>
      </c>
      <c r="AV284" s="3">
        <f ca="1">IFERROR(__xludf.DUMMYFUNCTION("""COMPUTED_VALUE"""),4167893)</f>
        <v>4167893</v>
      </c>
      <c r="AW284" s="4">
        <f ca="1">IFERROR(__xludf.DUMMYFUNCTION("""COMPUTED_VALUE"""),42699.6666666666)</f>
        <v>42699.666666666599</v>
      </c>
      <c r="AX284" s="3">
        <f ca="1">IFERROR(__xludf.DUMMYFUNCTION("""COMPUTED_VALUE"""),29.94)</f>
        <v>29.94</v>
      </c>
      <c r="AY284" s="3">
        <f ca="1">IFERROR(__xludf.DUMMYFUNCTION("""COMPUTED_VALUE"""),30.23)</f>
        <v>30.23</v>
      </c>
      <c r="AZ284" s="3">
        <f ca="1">IFERROR(__xludf.DUMMYFUNCTION("""COMPUTED_VALUE"""),29.94)</f>
        <v>29.94</v>
      </c>
      <c r="BA284" s="3">
        <f ca="1">IFERROR(__xludf.DUMMYFUNCTION("""COMPUTED_VALUE"""),30.06)</f>
        <v>30.06</v>
      </c>
      <c r="BB284" s="3">
        <f ca="1">IFERROR(__xludf.DUMMYFUNCTION("""COMPUTED_VALUE"""),789980)</f>
        <v>789980</v>
      </c>
      <c r="BC284" s="4">
        <f ca="1">IFERROR(__xludf.DUMMYFUNCTION("""COMPUTED_VALUE"""),42536.6666666666)</f>
        <v>42536.666666666599</v>
      </c>
      <c r="BD284" s="3">
        <f ca="1">IFERROR(__xludf.DUMMYFUNCTION("""COMPUTED_VALUE"""),43.64)</f>
        <v>43.64</v>
      </c>
      <c r="BE284" s="3">
        <f ca="1">IFERROR(__xludf.DUMMYFUNCTION("""COMPUTED_VALUE"""),43.73)</f>
        <v>43.73</v>
      </c>
      <c r="BF284" s="3">
        <f ca="1">IFERROR(__xludf.DUMMYFUNCTION("""COMPUTED_VALUE"""),43.41)</f>
        <v>43.41</v>
      </c>
      <c r="BG284" s="3">
        <f ca="1">IFERROR(__xludf.DUMMYFUNCTION("""COMPUTED_VALUE"""),43.46)</f>
        <v>43.46</v>
      </c>
      <c r="BH284" s="3">
        <f ca="1">IFERROR(__xludf.DUMMYFUNCTION("""COMPUTED_VALUE"""),7078108)</f>
        <v>7078108</v>
      </c>
      <c r="BI284" s="4">
        <f ca="1">IFERROR(__xludf.DUMMYFUNCTION("""COMPUTED_VALUE"""),42536.6666666666)</f>
        <v>42536.666666666599</v>
      </c>
      <c r="BJ284" s="3">
        <f ca="1">IFERROR(__xludf.DUMMYFUNCTION("""COMPUTED_VALUE"""),50.76)</f>
        <v>50.76</v>
      </c>
      <c r="BK284" s="3">
        <f ca="1">IFERROR(__xludf.DUMMYFUNCTION("""COMPUTED_VALUE"""),50.86)</f>
        <v>50.86</v>
      </c>
      <c r="BL284" s="3">
        <f ca="1">IFERROR(__xludf.DUMMYFUNCTION("""COMPUTED_VALUE"""),50.28)</f>
        <v>50.28</v>
      </c>
      <c r="BM284" s="3">
        <f ca="1">IFERROR(__xludf.DUMMYFUNCTION("""COMPUTED_VALUE"""),50.46)</f>
        <v>50.46</v>
      </c>
      <c r="BN284" s="3">
        <f ca="1">IFERROR(__xludf.DUMMYFUNCTION("""COMPUTED_VALUE"""),10891343)</f>
        <v>10891343</v>
      </c>
    </row>
    <row r="285" spans="7:66" ht="13" x14ac:dyDescent="0.15">
      <c r="G285" s="4">
        <f ca="1">IFERROR(__xludf.DUMMYFUNCTION("""COMPUTED_VALUE"""),42537.6666666666)</f>
        <v>42537.666666666599</v>
      </c>
      <c r="H285" s="3">
        <f ca="1">IFERROR(__xludf.DUMMYFUNCTION("""COMPUTED_VALUE"""),77.71)</f>
        <v>77.709999999999994</v>
      </c>
      <c r="I285" s="3">
        <f ca="1">IFERROR(__xludf.DUMMYFUNCTION("""COMPUTED_VALUE"""),78.43)</f>
        <v>78.430000000000007</v>
      </c>
      <c r="J285" s="3">
        <f ca="1">IFERROR(__xludf.DUMMYFUNCTION("""COMPUTED_VALUE"""),77.24)</f>
        <v>77.239999999999995</v>
      </c>
      <c r="K285" s="3">
        <f ca="1">IFERROR(__xludf.DUMMYFUNCTION("""COMPUTED_VALUE"""),78.33)</f>
        <v>78.33</v>
      </c>
      <c r="L285" s="3">
        <f ca="1">IFERROR(__xludf.DUMMYFUNCTION("""COMPUTED_VALUE"""),6382312)</f>
        <v>6382312</v>
      </c>
      <c r="M285" s="4">
        <f ca="1">IFERROR(__xludf.DUMMYFUNCTION("""COMPUTED_VALUE"""),42537.6666666666)</f>
        <v>42537.666666666599</v>
      </c>
      <c r="N285" s="3">
        <f ca="1">IFERROR(__xludf.DUMMYFUNCTION("""COMPUTED_VALUE"""),53.56)</f>
        <v>53.56</v>
      </c>
      <c r="O285" s="3">
        <f ca="1">IFERROR(__xludf.DUMMYFUNCTION("""COMPUTED_VALUE"""),54.04)</f>
        <v>54.04</v>
      </c>
      <c r="P285" s="3">
        <f ca="1">IFERROR(__xludf.DUMMYFUNCTION("""COMPUTED_VALUE"""),53.48)</f>
        <v>53.48</v>
      </c>
      <c r="Q285" s="3">
        <f ca="1">IFERROR(__xludf.DUMMYFUNCTION("""COMPUTED_VALUE"""),54.01)</f>
        <v>54.01</v>
      </c>
      <c r="R285" s="3">
        <f ca="1">IFERROR(__xludf.DUMMYFUNCTION("""COMPUTED_VALUE"""),12205722)</f>
        <v>12205722</v>
      </c>
      <c r="S285" s="4">
        <f ca="1">IFERROR(__xludf.DUMMYFUNCTION("""COMPUTED_VALUE"""),42537.6666666666)</f>
        <v>42537.666666666599</v>
      </c>
      <c r="T285" s="3">
        <f ca="1">IFERROR(__xludf.DUMMYFUNCTION("""COMPUTED_VALUE"""),66.25)</f>
        <v>66.25</v>
      </c>
      <c r="U285" s="3">
        <f ca="1">IFERROR(__xludf.DUMMYFUNCTION("""COMPUTED_VALUE"""),66.75)</f>
        <v>66.75</v>
      </c>
      <c r="V285" s="3">
        <f ca="1">IFERROR(__xludf.DUMMYFUNCTION("""COMPUTED_VALUE"""),65.34)</f>
        <v>65.34</v>
      </c>
      <c r="W285" s="3">
        <f ca="1">IFERROR(__xludf.DUMMYFUNCTION("""COMPUTED_VALUE"""),66.65)</f>
        <v>66.650000000000006</v>
      </c>
      <c r="X285" s="3">
        <f ca="1">IFERROR(__xludf.DUMMYFUNCTION("""COMPUTED_VALUE"""),19993692)</f>
        <v>19993692</v>
      </c>
      <c r="Y285" s="4">
        <f ca="1">IFERROR(__xludf.DUMMYFUNCTION("""COMPUTED_VALUE"""),42537.6666666666)</f>
        <v>42537.666666666599</v>
      </c>
      <c r="Z285" s="3">
        <f ca="1">IFERROR(__xludf.DUMMYFUNCTION("""COMPUTED_VALUE"""),18.28)</f>
        <v>18.28</v>
      </c>
      <c r="AA285" s="3">
        <f ca="1">IFERROR(__xludf.DUMMYFUNCTION("""COMPUTED_VALUE"""),18.49)</f>
        <v>18.489999999999998</v>
      </c>
      <c r="AB285" s="3">
        <f ca="1">IFERROR(__xludf.DUMMYFUNCTION("""COMPUTED_VALUE"""),18.17)</f>
        <v>18.170000000000002</v>
      </c>
      <c r="AC285" s="3">
        <f ca="1">IFERROR(__xludf.DUMMYFUNCTION("""COMPUTED_VALUE"""),18.47)</f>
        <v>18.47</v>
      </c>
      <c r="AD285" s="3">
        <f ca="1">IFERROR(__xludf.DUMMYFUNCTION("""COMPUTED_VALUE"""),58073231)</f>
        <v>58073231</v>
      </c>
      <c r="AE285" s="4">
        <f ca="1">IFERROR(__xludf.DUMMYFUNCTION("""COMPUTED_VALUE"""),42537.6666666666)</f>
        <v>42537.666666666599</v>
      </c>
      <c r="AF285" s="3">
        <f ca="1">IFERROR(__xludf.DUMMYFUNCTION("""COMPUTED_VALUE"""),70.62)</f>
        <v>70.62</v>
      </c>
      <c r="AG285" s="3">
        <f ca="1">IFERROR(__xludf.DUMMYFUNCTION("""COMPUTED_VALUE"""),71.2)</f>
        <v>71.2</v>
      </c>
      <c r="AH285" s="3">
        <f ca="1">IFERROR(__xludf.DUMMYFUNCTION("""COMPUTED_VALUE"""),70.27)</f>
        <v>70.27</v>
      </c>
      <c r="AI285" s="3">
        <f ca="1">IFERROR(__xludf.DUMMYFUNCTION("""COMPUTED_VALUE"""),71.08)</f>
        <v>71.08</v>
      </c>
      <c r="AJ285" s="3">
        <f ca="1">IFERROR(__xludf.DUMMYFUNCTION("""COMPUTED_VALUE"""),9341198)</f>
        <v>9341198</v>
      </c>
      <c r="AK285" s="4">
        <f ca="1">IFERROR(__xludf.DUMMYFUNCTION("""COMPUTED_VALUE"""),42537.6666666666)</f>
        <v>42537.666666666599</v>
      </c>
      <c r="AL285" s="3">
        <f ca="1">IFERROR(__xludf.DUMMYFUNCTION("""COMPUTED_VALUE"""),55.63)</f>
        <v>55.63</v>
      </c>
      <c r="AM285" s="3">
        <f ca="1">IFERROR(__xludf.DUMMYFUNCTION("""COMPUTED_VALUE"""),56.13)</f>
        <v>56.13</v>
      </c>
      <c r="AN285" s="3">
        <f ca="1">IFERROR(__xludf.DUMMYFUNCTION("""COMPUTED_VALUE"""),55.21)</f>
        <v>55.21</v>
      </c>
      <c r="AO285" s="3">
        <f ca="1">IFERROR(__xludf.DUMMYFUNCTION("""COMPUTED_VALUE"""),55.99)</f>
        <v>55.99</v>
      </c>
      <c r="AP285" s="3">
        <f ca="1">IFERROR(__xludf.DUMMYFUNCTION("""COMPUTED_VALUE"""),15040356)</f>
        <v>15040356</v>
      </c>
      <c r="AQ285" s="4">
        <f ca="1">IFERROR(__xludf.DUMMYFUNCTION("""COMPUTED_VALUE"""),42537.6666666666)</f>
        <v>42537.666666666599</v>
      </c>
      <c r="AR285" s="3">
        <f ca="1">IFERROR(__xludf.DUMMYFUNCTION("""COMPUTED_VALUE"""),46.87)</f>
        <v>46.87</v>
      </c>
      <c r="AS285" s="3">
        <f ca="1">IFERROR(__xludf.DUMMYFUNCTION("""COMPUTED_VALUE"""),47.25)</f>
        <v>47.25</v>
      </c>
      <c r="AT285" s="3">
        <f ca="1">IFERROR(__xludf.DUMMYFUNCTION("""COMPUTED_VALUE"""),46.46)</f>
        <v>46.46</v>
      </c>
      <c r="AU285" s="3">
        <f ca="1">IFERROR(__xludf.DUMMYFUNCTION("""COMPUTED_VALUE"""),47.23)</f>
        <v>47.23</v>
      </c>
      <c r="AV285" s="3">
        <f ca="1">IFERROR(__xludf.DUMMYFUNCTION("""COMPUTED_VALUE"""),5872664)</f>
        <v>5872664</v>
      </c>
      <c r="AW285" s="4">
        <f ca="1">IFERROR(__xludf.DUMMYFUNCTION("""COMPUTED_VALUE"""),42702.6666666666)</f>
        <v>42702.666666666599</v>
      </c>
      <c r="AX285" s="3">
        <f ca="1">IFERROR(__xludf.DUMMYFUNCTION("""COMPUTED_VALUE"""),30)</f>
        <v>30</v>
      </c>
      <c r="AY285" s="3">
        <f ca="1">IFERROR(__xludf.DUMMYFUNCTION("""COMPUTED_VALUE"""),30.39)</f>
        <v>30.39</v>
      </c>
      <c r="AZ285" s="3">
        <f ca="1">IFERROR(__xludf.DUMMYFUNCTION("""COMPUTED_VALUE"""),30)</f>
        <v>30</v>
      </c>
      <c r="BA285" s="3">
        <f ca="1">IFERROR(__xludf.DUMMYFUNCTION("""COMPUTED_VALUE"""),30.17)</f>
        <v>30.17</v>
      </c>
      <c r="BB285" s="3">
        <f ca="1">IFERROR(__xludf.DUMMYFUNCTION("""COMPUTED_VALUE"""),1957301)</f>
        <v>1957301</v>
      </c>
      <c r="BC285" s="4">
        <f ca="1">IFERROR(__xludf.DUMMYFUNCTION("""COMPUTED_VALUE"""),42537.6666666666)</f>
        <v>42537.666666666599</v>
      </c>
      <c r="BD285" s="3">
        <f ca="1">IFERROR(__xludf.DUMMYFUNCTION("""COMPUTED_VALUE"""),43.24)</f>
        <v>43.24</v>
      </c>
      <c r="BE285" s="3">
        <f ca="1">IFERROR(__xludf.DUMMYFUNCTION("""COMPUTED_VALUE"""),43.62)</f>
        <v>43.62</v>
      </c>
      <c r="BF285" s="3">
        <f ca="1">IFERROR(__xludf.DUMMYFUNCTION("""COMPUTED_VALUE"""),43)</f>
        <v>43</v>
      </c>
      <c r="BG285" s="3">
        <f ca="1">IFERROR(__xludf.DUMMYFUNCTION("""COMPUTED_VALUE"""),43.55)</f>
        <v>43.55</v>
      </c>
      <c r="BH285" s="3">
        <f ca="1">IFERROR(__xludf.DUMMYFUNCTION("""COMPUTED_VALUE"""),9596270)</f>
        <v>9596270</v>
      </c>
      <c r="BI285" s="4">
        <f ca="1">IFERROR(__xludf.DUMMYFUNCTION("""COMPUTED_VALUE"""),42537.6666666666)</f>
        <v>42537.666666666599</v>
      </c>
      <c r="BJ285" s="3">
        <f ca="1">IFERROR(__xludf.DUMMYFUNCTION("""COMPUTED_VALUE"""),50.4)</f>
        <v>50.4</v>
      </c>
      <c r="BK285" s="3">
        <f ca="1">IFERROR(__xludf.DUMMYFUNCTION("""COMPUTED_VALUE"""),50.89)</f>
        <v>50.89</v>
      </c>
      <c r="BL285" s="3">
        <f ca="1">IFERROR(__xludf.DUMMYFUNCTION("""COMPUTED_VALUE"""),50.36)</f>
        <v>50.36</v>
      </c>
      <c r="BM285" s="3">
        <f ca="1">IFERROR(__xludf.DUMMYFUNCTION("""COMPUTED_VALUE"""),50.78)</f>
        <v>50.78</v>
      </c>
      <c r="BN285" s="3">
        <f ca="1">IFERROR(__xludf.DUMMYFUNCTION("""COMPUTED_VALUE"""),10027115)</f>
        <v>10027115</v>
      </c>
    </row>
    <row r="286" spans="7:66" ht="13" x14ac:dyDescent="0.15">
      <c r="G286" s="4">
        <f ca="1">IFERROR(__xludf.DUMMYFUNCTION("""COMPUTED_VALUE"""),42538.6666666666)</f>
        <v>42538.666666666599</v>
      </c>
      <c r="H286" s="3">
        <f ca="1">IFERROR(__xludf.DUMMYFUNCTION("""COMPUTED_VALUE"""),78.15)</f>
        <v>78.150000000000006</v>
      </c>
      <c r="I286" s="3">
        <f ca="1">IFERROR(__xludf.DUMMYFUNCTION("""COMPUTED_VALUE"""),78.21)</f>
        <v>78.209999999999994</v>
      </c>
      <c r="J286" s="3">
        <f ca="1">IFERROR(__xludf.DUMMYFUNCTION("""COMPUTED_VALUE"""),77.79)</f>
        <v>77.790000000000006</v>
      </c>
      <c r="K286" s="3">
        <f ca="1">IFERROR(__xludf.DUMMYFUNCTION("""COMPUTED_VALUE"""),77.93)</f>
        <v>77.930000000000007</v>
      </c>
      <c r="L286" s="3">
        <f ca="1">IFERROR(__xludf.DUMMYFUNCTION("""COMPUTED_VALUE"""),8559745)</f>
        <v>8559745</v>
      </c>
      <c r="M286" s="4">
        <f ca="1">IFERROR(__xludf.DUMMYFUNCTION("""COMPUTED_VALUE"""),42538.6666666666)</f>
        <v>42538.666666666599</v>
      </c>
      <c r="N286" s="3">
        <f ca="1">IFERROR(__xludf.DUMMYFUNCTION("""COMPUTED_VALUE"""),53.61)</f>
        <v>53.61</v>
      </c>
      <c r="O286" s="3">
        <f ca="1">IFERROR(__xludf.DUMMYFUNCTION("""COMPUTED_VALUE"""),53.69)</f>
        <v>53.69</v>
      </c>
      <c r="P286" s="3">
        <f ca="1">IFERROR(__xludf.DUMMYFUNCTION("""COMPUTED_VALUE"""),53.12)</f>
        <v>53.12</v>
      </c>
      <c r="Q286" s="3">
        <f ca="1">IFERROR(__xludf.DUMMYFUNCTION("""COMPUTED_VALUE"""),53.47)</f>
        <v>53.47</v>
      </c>
      <c r="R286" s="3">
        <f ca="1">IFERROR(__xludf.DUMMYFUNCTION("""COMPUTED_VALUE"""),10077549)</f>
        <v>10077549</v>
      </c>
      <c r="S286" s="4">
        <f ca="1">IFERROR(__xludf.DUMMYFUNCTION("""COMPUTED_VALUE"""),42538.6666666666)</f>
        <v>42538.666666666599</v>
      </c>
      <c r="T286" s="3">
        <f ca="1">IFERROR(__xludf.DUMMYFUNCTION("""COMPUTED_VALUE"""),66.9)</f>
        <v>66.900000000000006</v>
      </c>
      <c r="U286" s="3">
        <f ca="1">IFERROR(__xludf.DUMMYFUNCTION("""COMPUTED_VALUE"""),67.02)</f>
        <v>67.02</v>
      </c>
      <c r="V286" s="3">
        <f ca="1">IFERROR(__xludf.DUMMYFUNCTION("""COMPUTED_VALUE"""),66.5)</f>
        <v>66.5</v>
      </c>
      <c r="W286" s="3">
        <f ca="1">IFERROR(__xludf.DUMMYFUNCTION("""COMPUTED_VALUE"""),66.89)</f>
        <v>66.89</v>
      </c>
      <c r="X286" s="3">
        <f ca="1">IFERROR(__xludf.DUMMYFUNCTION("""COMPUTED_VALUE"""),17435936)</f>
        <v>17435936</v>
      </c>
      <c r="Y286" s="4">
        <f ca="1">IFERROR(__xludf.DUMMYFUNCTION("""COMPUTED_VALUE"""),42538.6666666666)</f>
        <v>42538.666666666599</v>
      </c>
      <c r="Z286" s="3">
        <f ca="1">IFERROR(__xludf.DUMMYFUNCTION("""COMPUTED_VALUE"""),18.4)</f>
        <v>18.399999999999999</v>
      </c>
      <c r="AA286" s="3">
        <f ca="1">IFERROR(__xludf.DUMMYFUNCTION("""COMPUTED_VALUE"""),18.45)</f>
        <v>18.45</v>
      </c>
      <c r="AB286" s="3">
        <f ca="1">IFERROR(__xludf.DUMMYFUNCTION("""COMPUTED_VALUE"""),18.28)</f>
        <v>18.28</v>
      </c>
      <c r="AC286" s="3">
        <f ca="1">IFERROR(__xludf.DUMMYFUNCTION("""COMPUTED_VALUE"""),18.36)</f>
        <v>18.36</v>
      </c>
      <c r="AD286" s="3">
        <f ca="1">IFERROR(__xludf.DUMMYFUNCTION("""COMPUTED_VALUE"""),37794080)</f>
        <v>37794080</v>
      </c>
      <c r="AE286" s="4">
        <f ca="1">IFERROR(__xludf.DUMMYFUNCTION("""COMPUTED_VALUE"""),42538.6666666666)</f>
        <v>42538.666666666599</v>
      </c>
      <c r="AF286" s="3">
        <f ca="1">IFERROR(__xludf.DUMMYFUNCTION("""COMPUTED_VALUE"""),70.9)</f>
        <v>70.900000000000006</v>
      </c>
      <c r="AG286" s="3">
        <f ca="1">IFERROR(__xludf.DUMMYFUNCTION("""COMPUTED_VALUE"""),70.93)</f>
        <v>70.930000000000007</v>
      </c>
      <c r="AH286" s="3">
        <f ca="1">IFERROR(__xludf.DUMMYFUNCTION("""COMPUTED_VALUE"""),69.8)</f>
        <v>69.8</v>
      </c>
      <c r="AI286" s="3">
        <f ca="1">IFERROR(__xludf.DUMMYFUNCTION("""COMPUTED_VALUE"""),70.06)</f>
        <v>70.06</v>
      </c>
      <c r="AJ286" s="3">
        <f ca="1">IFERROR(__xludf.DUMMYFUNCTION("""COMPUTED_VALUE"""),10799114)</f>
        <v>10799114</v>
      </c>
      <c r="AK286" s="4">
        <f ca="1">IFERROR(__xludf.DUMMYFUNCTION("""COMPUTED_VALUE"""),42538.6666666666)</f>
        <v>42538.666666666599</v>
      </c>
      <c r="AL286" s="3">
        <f ca="1">IFERROR(__xludf.DUMMYFUNCTION("""COMPUTED_VALUE"""),55.57)</f>
        <v>55.57</v>
      </c>
      <c r="AM286" s="3">
        <f ca="1">IFERROR(__xludf.DUMMYFUNCTION("""COMPUTED_VALUE"""),55.92)</f>
        <v>55.92</v>
      </c>
      <c r="AN286" s="3">
        <f ca="1">IFERROR(__xludf.DUMMYFUNCTION("""COMPUTED_VALUE"""),55.46)</f>
        <v>55.46</v>
      </c>
      <c r="AO286" s="3">
        <f ca="1">IFERROR(__xludf.DUMMYFUNCTION("""COMPUTED_VALUE"""),55.73)</f>
        <v>55.73</v>
      </c>
      <c r="AP286" s="3">
        <f ca="1">IFERROR(__xludf.DUMMYFUNCTION("""COMPUTED_VALUE"""),15947789)</f>
        <v>15947789</v>
      </c>
      <c r="AQ286" s="4">
        <f ca="1">IFERROR(__xludf.DUMMYFUNCTION("""COMPUTED_VALUE"""),42538.6666666666)</f>
        <v>42538.666666666599</v>
      </c>
      <c r="AR286" s="3">
        <f ca="1">IFERROR(__xludf.DUMMYFUNCTION("""COMPUTED_VALUE"""),46.9)</f>
        <v>46.9</v>
      </c>
      <c r="AS286" s="3">
        <f ca="1">IFERROR(__xludf.DUMMYFUNCTION("""COMPUTED_VALUE"""),47.3)</f>
        <v>47.3</v>
      </c>
      <c r="AT286" s="3">
        <f ca="1">IFERROR(__xludf.DUMMYFUNCTION("""COMPUTED_VALUE"""),46.79)</f>
        <v>46.79</v>
      </c>
      <c r="AU286" s="3">
        <f ca="1">IFERROR(__xludf.DUMMYFUNCTION("""COMPUTED_VALUE"""),47.2)</f>
        <v>47.2</v>
      </c>
      <c r="AV286" s="3">
        <f ca="1">IFERROR(__xludf.DUMMYFUNCTION("""COMPUTED_VALUE"""),5927089)</f>
        <v>5927089</v>
      </c>
      <c r="AW286" s="4">
        <f ca="1">IFERROR(__xludf.DUMMYFUNCTION("""COMPUTED_VALUE"""),42703.6666666666)</f>
        <v>42703.666666666599</v>
      </c>
      <c r="AX286" s="3">
        <f ca="1">IFERROR(__xludf.DUMMYFUNCTION("""COMPUTED_VALUE"""),30.11)</f>
        <v>30.11</v>
      </c>
      <c r="AY286" s="3">
        <f ca="1">IFERROR(__xludf.DUMMYFUNCTION("""COMPUTED_VALUE"""),30.55)</f>
        <v>30.55</v>
      </c>
      <c r="AZ286" s="3">
        <f ca="1">IFERROR(__xludf.DUMMYFUNCTION("""COMPUTED_VALUE"""),30.11)</f>
        <v>30.11</v>
      </c>
      <c r="BA286" s="3">
        <f ca="1">IFERROR(__xludf.DUMMYFUNCTION("""COMPUTED_VALUE"""),30.38)</f>
        <v>30.38</v>
      </c>
      <c r="BB286" s="3">
        <f ca="1">IFERROR(__xludf.DUMMYFUNCTION("""COMPUTED_VALUE"""),1769153)</f>
        <v>1769153</v>
      </c>
      <c r="BC286" s="4">
        <f ca="1">IFERROR(__xludf.DUMMYFUNCTION("""COMPUTED_VALUE"""),42538.6666666666)</f>
        <v>42538.666666666599</v>
      </c>
      <c r="BD286" s="3">
        <f ca="1">IFERROR(__xludf.DUMMYFUNCTION("""COMPUTED_VALUE"""),43.25)</f>
        <v>43.25</v>
      </c>
      <c r="BE286" s="3">
        <f ca="1">IFERROR(__xludf.DUMMYFUNCTION("""COMPUTED_VALUE"""),43.35)</f>
        <v>43.35</v>
      </c>
      <c r="BF286" s="3">
        <f ca="1">IFERROR(__xludf.DUMMYFUNCTION("""COMPUTED_VALUE"""),42.86)</f>
        <v>42.86</v>
      </c>
      <c r="BG286" s="3">
        <f ca="1">IFERROR(__xludf.DUMMYFUNCTION("""COMPUTED_VALUE"""),43.05)</f>
        <v>43.05</v>
      </c>
      <c r="BH286" s="3">
        <f ca="1">IFERROR(__xludf.DUMMYFUNCTION("""COMPUTED_VALUE"""),11465214)</f>
        <v>11465214</v>
      </c>
      <c r="BI286" s="4">
        <f ca="1">IFERROR(__xludf.DUMMYFUNCTION("""COMPUTED_VALUE"""),42538.6666666666)</f>
        <v>42538.666666666599</v>
      </c>
      <c r="BJ286" s="3">
        <f ca="1">IFERROR(__xludf.DUMMYFUNCTION("""COMPUTED_VALUE"""),50.32)</f>
        <v>50.32</v>
      </c>
      <c r="BK286" s="3">
        <f ca="1">IFERROR(__xludf.DUMMYFUNCTION("""COMPUTED_VALUE"""),50.56)</f>
        <v>50.56</v>
      </c>
      <c r="BL286" s="3">
        <f ca="1">IFERROR(__xludf.DUMMYFUNCTION("""COMPUTED_VALUE"""),50.04)</f>
        <v>50.04</v>
      </c>
      <c r="BM286" s="3">
        <f ca="1">IFERROR(__xludf.DUMMYFUNCTION("""COMPUTED_VALUE"""),50.55)</f>
        <v>50.55</v>
      </c>
      <c r="BN286" s="3">
        <f ca="1">IFERROR(__xludf.DUMMYFUNCTION("""COMPUTED_VALUE"""),19211334)</f>
        <v>19211334</v>
      </c>
    </row>
    <row r="287" spans="7:66" ht="13" x14ac:dyDescent="0.15">
      <c r="G287" s="4">
        <f ca="1">IFERROR(__xludf.DUMMYFUNCTION("""COMPUTED_VALUE"""),42541.6666666666)</f>
        <v>42541.666666666599</v>
      </c>
      <c r="H287" s="3">
        <f ca="1">IFERROR(__xludf.DUMMYFUNCTION("""COMPUTED_VALUE"""),78.53)</f>
        <v>78.53</v>
      </c>
      <c r="I287" s="3">
        <f ca="1">IFERROR(__xludf.DUMMYFUNCTION("""COMPUTED_VALUE"""),79.35)</f>
        <v>79.349999999999994</v>
      </c>
      <c r="J287" s="3">
        <f ca="1">IFERROR(__xludf.DUMMYFUNCTION("""COMPUTED_VALUE"""),78.53)</f>
        <v>78.53</v>
      </c>
      <c r="K287" s="3">
        <f ca="1">IFERROR(__xludf.DUMMYFUNCTION("""COMPUTED_VALUE"""),78.63)</f>
        <v>78.63</v>
      </c>
      <c r="L287" s="3">
        <f ca="1">IFERROR(__xludf.DUMMYFUNCTION("""COMPUTED_VALUE"""),3972196)</f>
        <v>3972196</v>
      </c>
      <c r="M287" s="4">
        <f ca="1">IFERROR(__xludf.DUMMYFUNCTION("""COMPUTED_VALUE"""),42541.6666666666)</f>
        <v>42541.666666666599</v>
      </c>
      <c r="N287" s="3">
        <f ca="1">IFERROR(__xludf.DUMMYFUNCTION("""COMPUTED_VALUE"""),53.81)</f>
        <v>53.81</v>
      </c>
      <c r="O287" s="3">
        <f ca="1">IFERROR(__xludf.DUMMYFUNCTION("""COMPUTED_VALUE"""),53.98)</f>
        <v>53.98</v>
      </c>
      <c r="P287" s="3">
        <f ca="1">IFERROR(__xludf.DUMMYFUNCTION("""COMPUTED_VALUE"""),53.57)</f>
        <v>53.57</v>
      </c>
      <c r="Q287" s="3">
        <f ca="1">IFERROR(__xludf.DUMMYFUNCTION("""COMPUTED_VALUE"""),53.64)</f>
        <v>53.64</v>
      </c>
      <c r="R287" s="3">
        <f ca="1">IFERROR(__xludf.DUMMYFUNCTION("""COMPUTED_VALUE"""),6497515)</f>
        <v>6497515</v>
      </c>
      <c r="S287" s="4">
        <f ca="1">IFERROR(__xludf.DUMMYFUNCTION("""COMPUTED_VALUE"""),42541.6666666666)</f>
        <v>42541.666666666599</v>
      </c>
      <c r="T287" s="3">
        <f ca="1">IFERROR(__xludf.DUMMYFUNCTION("""COMPUTED_VALUE"""),67.85)</f>
        <v>67.849999999999994</v>
      </c>
      <c r="U287" s="3">
        <f ca="1">IFERROR(__xludf.DUMMYFUNCTION("""COMPUTED_VALUE"""),68)</f>
        <v>68</v>
      </c>
      <c r="V287" s="3">
        <f ca="1">IFERROR(__xludf.DUMMYFUNCTION("""COMPUTED_VALUE"""),67.41)</f>
        <v>67.41</v>
      </c>
      <c r="W287" s="3">
        <f ca="1">IFERROR(__xludf.DUMMYFUNCTION("""COMPUTED_VALUE"""),67.47)</f>
        <v>67.47</v>
      </c>
      <c r="X287" s="3">
        <f ca="1">IFERROR(__xludf.DUMMYFUNCTION("""COMPUTED_VALUE"""),10913235)</f>
        <v>10913235</v>
      </c>
      <c r="Y287" s="4">
        <f ca="1">IFERROR(__xludf.DUMMYFUNCTION("""COMPUTED_VALUE"""),42541.6666666666)</f>
        <v>42541.666666666599</v>
      </c>
      <c r="Z287" s="3">
        <f ca="1">IFERROR(__xludf.DUMMYFUNCTION("""COMPUTED_VALUE"""),18.65)</f>
        <v>18.649999999999999</v>
      </c>
      <c r="AA287" s="3">
        <f ca="1">IFERROR(__xludf.DUMMYFUNCTION("""COMPUTED_VALUE"""),18.75)</f>
        <v>18.75</v>
      </c>
      <c r="AB287" s="3">
        <f ca="1">IFERROR(__xludf.DUMMYFUNCTION("""COMPUTED_VALUE"""),18.46)</f>
        <v>18.46</v>
      </c>
      <c r="AC287" s="3">
        <f ca="1">IFERROR(__xludf.DUMMYFUNCTION("""COMPUTED_VALUE"""),18.47)</f>
        <v>18.47</v>
      </c>
      <c r="AD287" s="3">
        <f ca="1">IFERROR(__xludf.DUMMYFUNCTION("""COMPUTED_VALUE"""),57324821)</f>
        <v>57324821</v>
      </c>
      <c r="AE287" s="4">
        <f ca="1">IFERROR(__xludf.DUMMYFUNCTION("""COMPUTED_VALUE"""),42541.6666666666)</f>
        <v>42541.666666666599</v>
      </c>
      <c r="AF287" s="3">
        <f ca="1">IFERROR(__xludf.DUMMYFUNCTION("""COMPUTED_VALUE"""),70.66)</f>
        <v>70.66</v>
      </c>
      <c r="AG287" s="3">
        <f ca="1">IFERROR(__xludf.DUMMYFUNCTION("""COMPUTED_VALUE"""),71)</f>
        <v>71</v>
      </c>
      <c r="AH287" s="3">
        <f ca="1">IFERROR(__xludf.DUMMYFUNCTION("""COMPUTED_VALUE"""),70.41)</f>
        <v>70.41</v>
      </c>
      <c r="AI287" s="3">
        <f ca="1">IFERROR(__xludf.DUMMYFUNCTION("""COMPUTED_VALUE"""),70.5)</f>
        <v>70.5</v>
      </c>
      <c r="AJ287" s="3">
        <f ca="1">IFERROR(__xludf.DUMMYFUNCTION("""COMPUTED_VALUE"""),7983661)</f>
        <v>7983661</v>
      </c>
      <c r="AK287" s="4">
        <f ca="1">IFERROR(__xludf.DUMMYFUNCTION("""COMPUTED_VALUE"""),42541.6666666666)</f>
        <v>42541.666666666599</v>
      </c>
      <c r="AL287" s="3">
        <f ca="1">IFERROR(__xludf.DUMMYFUNCTION("""COMPUTED_VALUE"""),56.15)</f>
        <v>56.15</v>
      </c>
      <c r="AM287" s="3">
        <f ca="1">IFERROR(__xludf.DUMMYFUNCTION("""COMPUTED_VALUE"""),56.76)</f>
        <v>56.76</v>
      </c>
      <c r="AN287" s="3">
        <f ca="1">IFERROR(__xludf.DUMMYFUNCTION("""COMPUTED_VALUE"""),56.15)</f>
        <v>56.15</v>
      </c>
      <c r="AO287" s="3">
        <f ca="1">IFERROR(__xludf.DUMMYFUNCTION("""COMPUTED_VALUE"""),56.24)</f>
        <v>56.24</v>
      </c>
      <c r="AP287" s="3">
        <f ca="1">IFERROR(__xludf.DUMMYFUNCTION("""COMPUTED_VALUE"""),11778736)</f>
        <v>11778736</v>
      </c>
      <c r="AQ287" s="4">
        <f ca="1">IFERROR(__xludf.DUMMYFUNCTION("""COMPUTED_VALUE"""),42541.6666666666)</f>
        <v>42541.666666666599</v>
      </c>
      <c r="AR287" s="3">
        <f ca="1">IFERROR(__xludf.DUMMYFUNCTION("""COMPUTED_VALUE"""),47.65)</f>
        <v>47.65</v>
      </c>
      <c r="AS287" s="3">
        <f ca="1">IFERROR(__xludf.DUMMYFUNCTION("""COMPUTED_VALUE"""),48.06)</f>
        <v>48.06</v>
      </c>
      <c r="AT287" s="3">
        <f ca="1">IFERROR(__xludf.DUMMYFUNCTION("""COMPUTED_VALUE"""),47.44)</f>
        <v>47.44</v>
      </c>
      <c r="AU287" s="3">
        <f ca="1">IFERROR(__xludf.DUMMYFUNCTION("""COMPUTED_VALUE"""),47.47)</f>
        <v>47.47</v>
      </c>
      <c r="AV287" s="3">
        <f ca="1">IFERROR(__xludf.DUMMYFUNCTION("""COMPUTED_VALUE"""),5965972)</f>
        <v>5965972</v>
      </c>
      <c r="AW287" s="4">
        <f ca="1">IFERROR(__xludf.DUMMYFUNCTION("""COMPUTED_VALUE"""),42704.6666666666)</f>
        <v>42704.666666666599</v>
      </c>
      <c r="AX287" s="3">
        <f ca="1">IFERROR(__xludf.DUMMYFUNCTION("""COMPUTED_VALUE"""),30.1)</f>
        <v>30.1</v>
      </c>
      <c r="AY287" s="3">
        <f ca="1">IFERROR(__xludf.DUMMYFUNCTION("""COMPUTED_VALUE"""),30.26)</f>
        <v>30.26</v>
      </c>
      <c r="AZ287" s="3">
        <f ca="1">IFERROR(__xludf.DUMMYFUNCTION("""COMPUTED_VALUE"""),29.9)</f>
        <v>29.9</v>
      </c>
      <c r="BA287" s="3">
        <f ca="1">IFERROR(__xludf.DUMMYFUNCTION("""COMPUTED_VALUE"""),30.01)</f>
        <v>30.01</v>
      </c>
      <c r="BB287" s="3">
        <f ca="1">IFERROR(__xludf.DUMMYFUNCTION("""COMPUTED_VALUE"""),2233892)</f>
        <v>2233892</v>
      </c>
      <c r="BC287" s="4">
        <f ca="1">IFERROR(__xludf.DUMMYFUNCTION("""COMPUTED_VALUE"""),42541.6666666666)</f>
        <v>42541.666666666599</v>
      </c>
      <c r="BD287" s="3">
        <f ca="1">IFERROR(__xludf.DUMMYFUNCTION("""COMPUTED_VALUE"""),43.43)</f>
        <v>43.43</v>
      </c>
      <c r="BE287" s="3">
        <f ca="1">IFERROR(__xludf.DUMMYFUNCTION("""COMPUTED_VALUE"""),43.61)</f>
        <v>43.61</v>
      </c>
      <c r="BF287" s="3">
        <f ca="1">IFERROR(__xludf.DUMMYFUNCTION("""COMPUTED_VALUE"""),43.22)</f>
        <v>43.22</v>
      </c>
      <c r="BG287" s="3">
        <f ca="1">IFERROR(__xludf.DUMMYFUNCTION("""COMPUTED_VALUE"""),43.23)</f>
        <v>43.23</v>
      </c>
      <c r="BH287" s="3">
        <f ca="1">IFERROR(__xludf.DUMMYFUNCTION("""COMPUTED_VALUE"""),6855969)</f>
        <v>6855969</v>
      </c>
      <c r="BI287" s="4">
        <f ca="1">IFERROR(__xludf.DUMMYFUNCTION("""COMPUTED_VALUE"""),42541.6666666666)</f>
        <v>42541.666666666599</v>
      </c>
      <c r="BJ287" s="3">
        <f ca="1">IFERROR(__xludf.DUMMYFUNCTION("""COMPUTED_VALUE"""),50.47)</f>
        <v>50.47</v>
      </c>
      <c r="BK287" s="3">
        <f ca="1">IFERROR(__xludf.DUMMYFUNCTION("""COMPUTED_VALUE"""),50.62)</f>
        <v>50.62</v>
      </c>
      <c r="BL287" s="3">
        <f ca="1">IFERROR(__xludf.DUMMYFUNCTION("""COMPUTED_VALUE"""),49.98)</f>
        <v>49.98</v>
      </c>
      <c r="BM287" s="3">
        <f ca="1">IFERROR(__xludf.DUMMYFUNCTION("""COMPUTED_VALUE"""),50.36)</f>
        <v>50.36</v>
      </c>
      <c r="BN287" s="3">
        <f ca="1">IFERROR(__xludf.DUMMYFUNCTION("""COMPUTED_VALUE"""),15937898)</f>
        <v>15937898</v>
      </c>
    </row>
    <row r="288" spans="7:66" ht="13" x14ac:dyDescent="0.15">
      <c r="G288" s="4">
        <f ca="1">IFERROR(__xludf.DUMMYFUNCTION("""COMPUTED_VALUE"""),42542.6666666666)</f>
        <v>42542.666666666599</v>
      </c>
      <c r="H288" s="3">
        <f ca="1">IFERROR(__xludf.DUMMYFUNCTION("""COMPUTED_VALUE"""),78.86)</f>
        <v>78.86</v>
      </c>
      <c r="I288" s="3">
        <f ca="1">IFERROR(__xludf.DUMMYFUNCTION("""COMPUTED_VALUE"""),78.86)</f>
        <v>78.86</v>
      </c>
      <c r="J288" s="3">
        <f ca="1">IFERROR(__xludf.DUMMYFUNCTION("""COMPUTED_VALUE"""),78.3)</f>
        <v>78.3</v>
      </c>
      <c r="K288" s="3">
        <f ca="1">IFERROR(__xludf.DUMMYFUNCTION("""COMPUTED_VALUE"""),78.45)</f>
        <v>78.45</v>
      </c>
      <c r="L288" s="3">
        <f ca="1">IFERROR(__xludf.DUMMYFUNCTION("""COMPUTED_VALUE"""),2899280)</f>
        <v>2899280</v>
      </c>
      <c r="M288" s="4">
        <f ca="1">IFERROR(__xludf.DUMMYFUNCTION("""COMPUTED_VALUE"""),42542.6666666666)</f>
        <v>42542.666666666599</v>
      </c>
      <c r="N288" s="3">
        <f ca="1">IFERROR(__xludf.DUMMYFUNCTION("""COMPUTED_VALUE"""),53.71)</f>
        <v>53.71</v>
      </c>
      <c r="O288" s="3">
        <f ca="1">IFERROR(__xludf.DUMMYFUNCTION("""COMPUTED_VALUE"""),53.92)</f>
        <v>53.92</v>
      </c>
      <c r="P288" s="3">
        <f ca="1">IFERROR(__xludf.DUMMYFUNCTION("""COMPUTED_VALUE"""),53.69)</f>
        <v>53.69</v>
      </c>
      <c r="Q288" s="3">
        <f ca="1">IFERROR(__xludf.DUMMYFUNCTION("""COMPUTED_VALUE"""),53.78)</f>
        <v>53.78</v>
      </c>
      <c r="R288" s="3">
        <f ca="1">IFERROR(__xludf.DUMMYFUNCTION("""COMPUTED_VALUE"""),6879071)</f>
        <v>6879071</v>
      </c>
      <c r="S288" s="4">
        <f ca="1">IFERROR(__xludf.DUMMYFUNCTION("""COMPUTED_VALUE"""),42542.6666666666)</f>
        <v>42542.666666666599</v>
      </c>
      <c r="T288" s="3">
        <f ca="1">IFERROR(__xludf.DUMMYFUNCTION("""COMPUTED_VALUE"""),67.32)</f>
        <v>67.319999999999993</v>
      </c>
      <c r="U288" s="3">
        <f ca="1">IFERROR(__xludf.DUMMYFUNCTION("""COMPUTED_VALUE"""),68.41)</f>
        <v>68.41</v>
      </c>
      <c r="V288" s="3">
        <f ca="1">IFERROR(__xludf.DUMMYFUNCTION("""COMPUTED_VALUE"""),67.12)</f>
        <v>67.12</v>
      </c>
      <c r="W288" s="3">
        <f ca="1">IFERROR(__xludf.DUMMYFUNCTION("""COMPUTED_VALUE"""),68.27)</f>
        <v>68.27</v>
      </c>
      <c r="X288" s="3">
        <f ca="1">IFERROR(__xludf.DUMMYFUNCTION("""COMPUTED_VALUE"""),11222301)</f>
        <v>11222301</v>
      </c>
      <c r="Y288" s="4">
        <f ca="1">IFERROR(__xludf.DUMMYFUNCTION("""COMPUTED_VALUE"""),42542.6666666666)</f>
        <v>42542.666666666599</v>
      </c>
      <c r="Z288" s="3">
        <f ca="1">IFERROR(__xludf.DUMMYFUNCTION("""COMPUTED_VALUE"""),18.54)</f>
        <v>18.54</v>
      </c>
      <c r="AA288" s="3">
        <f ca="1">IFERROR(__xludf.DUMMYFUNCTION("""COMPUTED_VALUE"""),18.61)</f>
        <v>18.61</v>
      </c>
      <c r="AB288" s="3">
        <f ca="1">IFERROR(__xludf.DUMMYFUNCTION("""COMPUTED_VALUE"""),18.46)</f>
        <v>18.46</v>
      </c>
      <c r="AC288" s="3">
        <f ca="1">IFERROR(__xludf.DUMMYFUNCTION("""COMPUTED_VALUE"""),18.57)</f>
        <v>18.57</v>
      </c>
      <c r="AD288" s="3">
        <f ca="1">IFERROR(__xludf.DUMMYFUNCTION("""COMPUTED_VALUE"""),32744213)</f>
        <v>32744213</v>
      </c>
      <c r="AE288" s="4">
        <f ca="1">IFERROR(__xludf.DUMMYFUNCTION("""COMPUTED_VALUE"""),42542.6666666666)</f>
        <v>42542.666666666599</v>
      </c>
      <c r="AF288" s="3">
        <f ca="1">IFERROR(__xludf.DUMMYFUNCTION("""COMPUTED_VALUE"""),70.74)</f>
        <v>70.739999999999995</v>
      </c>
      <c r="AG288" s="3">
        <f ca="1">IFERROR(__xludf.DUMMYFUNCTION("""COMPUTED_VALUE"""),70.81)</f>
        <v>70.81</v>
      </c>
      <c r="AH288" s="3">
        <f ca="1">IFERROR(__xludf.DUMMYFUNCTION("""COMPUTED_VALUE"""),70.1)</f>
        <v>70.099999999999994</v>
      </c>
      <c r="AI288" s="3">
        <f ca="1">IFERROR(__xludf.DUMMYFUNCTION("""COMPUTED_VALUE"""),70.26)</f>
        <v>70.260000000000005</v>
      </c>
      <c r="AJ288" s="3">
        <f ca="1">IFERROR(__xludf.DUMMYFUNCTION("""COMPUTED_VALUE"""),7014947)</f>
        <v>7014947</v>
      </c>
      <c r="AK288" s="4">
        <f ca="1">IFERROR(__xludf.DUMMYFUNCTION("""COMPUTED_VALUE"""),42542.6666666666)</f>
        <v>42542.666666666599</v>
      </c>
      <c r="AL288" s="3">
        <f ca="1">IFERROR(__xludf.DUMMYFUNCTION("""COMPUTED_VALUE"""),56.28)</f>
        <v>56.28</v>
      </c>
      <c r="AM288" s="3">
        <f ca="1">IFERROR(__xludf.DUMMYFUNCTION("""COMPUTED_VALUE"""),56.39)</f>
        <v>56.39</v>
      </c>
      <c r="AN288" s="3">
        <f ca="1">IFERROR(__xludf.DUMMYFUNCTION("""COMPUTED_VALUE"""),56.1)</f>
        <v>56.1</v>
      </c>
      <c r="AO288" s="3">
        <f ca="1">IFERROR(__xludf.DUMMYFUNCTION("""COMPUTED_VALUE"""),56.2)</f>
        <v>56.2</v>
      </c>
      <c r="AP288" s="3">
        <f ca="1">IFERROR(__xludf.DUMMYFUNCTION("""COMPUTED_VALUE"""),8451422)</f>
        <v>8451422</v>
      </c>
      <c r="AQ288" s="4">
        <f ca="1">IFERROR(__xludf.DUMMYFUNCTION("""COMPUTED_VALUE"""),42542.6666666666)</f>
        <v>42542.666666666599</v>
      </c>
      <c r="AR288" s="3">
        <f ca="1">IFERROR(__xludf.DUMMYFUNCTION("""COMPUTED_VALUE"""),47.51)</f>
        <v>47.51</v>
      </c>
      <c r="AS288" s="3">
        <f ca="1">IFERROR(__xludf.DUMMYFUNCTION("""COMPUTED_VALUE"""),47.58)</f>
        <v>47.58</v>
      </c>
      <c r="AT288" s="3">
        <f ca="1">IFERROR(__xludf.DUMMYFUNCTION("""COMPUTED_VALUE"""),47.17)</f>
        <v>47.17</v>
      </c>
      <c r="AU288" s="3">
        <f ca="1">IFERROR(__xludf.DUMMYFUNCTION("""COMPUTED_VALUE"""),47.34)</f>
        <v>47.34</v>
      </c>
      <c r="AV288" s="3">
        <f ca="1">IFERROR(__xludf.DUMMYFUNCTION("""COMPUTED_VALUE"""),3063382)</f>
        <v>3063382</v>
      </c>
      <c r="AW288" s="4">
        <f ca="1">IFERROR(__xludf.DUMMYFUNCTION("""COMPUTED_VALUE"""),42705.6666666666)</f>
        <v>42705.666666666599</v>
      </c>
      <c r="AX288" s="3">
        <f ca="1">IFERROR(__xludf.DUMMYFUNCTION("""COMPUTED_VALUE"""),29.82)</f>
        <v>29.82</v>
      </c>
      <c r="AY288" s="3">
        <f ca="1">IFERROR(__xludf.DUMMYFUNCTION("""COMPUTED_VALUE"""),29.91)</f>
        <v>29.91</v>
      </c>
      <c r="AZ288" s="3">
        <f ca="1">IFERROR(__xludf.DUMMYFUNCTION("""COMPUTED_VALUE"""),29.41)</f>
        <v>29.41</v>
      </c>
      <c r="BA288" s="3">
        <f ca="1">IFERROR(__xludf.DUMMYFUNCTION("""COMPUTED_VALUE"""),29.55)</f>
        <v>29.55</v>
      </c>
      <c r="BB288" s="3">
        <f ca="1">IFERROR(__xludf.DUMMYFUNCTION("""COMPUTED_VALUE"""),2486750)</f>
        <v>2486750</v>
      </c>
      <c r="BC288" s="4">
        <f ca="1">IFERROR(__xludf.DUMMYFUNCTION("""COMPUTED_VALUE"""),42542.6666666666)</f>
        <v>42542.666666666599</v>
      </c>
      <c r="BD288" s="3">
        <f ca="1">IFERROR(__xludf.DUMMYFUNCTION("""COMPUTED_VALUE"""),43.36)</f>
        <v>43.36</v>
      </c>
      <c r="BE288" s="3">
        <f ca="1">IFERROR(__xludf.DUMMYFUNCTION("""COMPUTED_VALUE"""),43.63)</f>
        <v>43.63</v>
      </c>
      <c r="BF288" s="3">
        <f ca="1">IFERROR(__xludf.DUMMYFUNCTION("""COMPUTED_VALUE"""),43.32)</f>
        <v>43.32</v>
      </c>
      <c r="BG288" s="3">
        <f ca="1">IFERROR(__xludf.DUMMYFUNCTION("""COMPUTED_VALUE"""),43.53)</f>
        <v>43.53</v>
      </c>
      <c r="BH288" s="3">
        <f ca="1">IFERROR(__xludf.DUMMYFUNCTION("""COMPUTED_VALUE"""),5743865)</f>
        <v>5743865</v>
      </c>
      <c r="BI288" s="4">
        <f ca="1">IFERROR(__xludf.DUMMYFUNCTION("""COMPUTED_VALUE"""),42542.6666666666)</f>
        <v>42542.666666666599</v>
      </c>
      <c r="BJ288" s="3">
        <f ca="1">IFERROR(__xludf.DUMMYFUNCTION("""COMPUTED_VALUE"""),50.39)</f>
        <v>50.39</v>
      </c>
      <c r="BK288" s="3">
        <f ca="1">IFERROR(__xludf.DUMMYFUNCTION("""COMPUTED_VALUE"""),50.67)</f>
        <v>50.67</v>
      </c>
      <c r="BL288" s="3">
        <f ca="1">IFERROR(__xludf.DUMMYFUNCTION("""COMPUTED_VALUE"""),50.07)</f>
        <v>50.07</v>
      </c>
      <c r="BM288" s="3">
        <f ca="1">IFERROR(__xludf.DUMMYFUNCTION("""COMPUTED_VALUE"""),50.43)</f>
        <v>50.43</v>
      </c>
      <c r="BN288" s="3">
        <f ca="1">IFERROR(__xludf.DUMMYFUNCTION("""COMPUTED_VALUE"""),8669142)</f>
        <v>8669142</v>
      </c>
    </row>
    <row r="289" spans="7:66" ht="13" x14ac:dyDescent="0.15">
      <c r="G289" s="4">
        <f ca="1">IFERROR(__xludf.DUMMYFUNCTION("""COMPUTED_VALUE"""),42543.6666666666)</f>
        <v>42543.666666666599</v>
      </c>
      <c r="H289" s="3">
        <f ca="1">IFERROR(__xludf.DUMMYFUNCTION("""COMPUTED_VALUE"""),78.51)</f>
        <v>78.510000000000005</v>
      </c>
      <c r="I289" s="3">
        <f ca="1">IFERROR(__xludf.DUMMYFUNCTION("""COMPUTED_VALUE"""),78.95)</f>
        <v>78.95</v>
      </c>
      <c r="J289" s="3">
        <f ca="1">IFERROR(__xludf.DUMMYFUNCTION("""COMPUTED_VALUE"""),78.28)</f>
        <v>78.28</v>
      </c>
      <c r="K289" s="3">
        <f ca="1">IFERROR(__xludf.DUMMYFUNCTION("""COMPUTED_VALUE"""),78.34)</f>
        <v>78.34</v>
      </c>
      <c r="L289" s="3">
        <f ca="1">IFERROR(__xludf.DUMMYFUNCTION("""COMPUTED_VALUE"""),4103718)</f>
        <v>4103718</v>
      </c>
      <c r="M289" s="4">
        <f ca="1">IFERROR(__xludf.DUMMYFUNCTION("""COMPUTED_VALUE"""),42543.6666666666)</f>
        <v>42543.666666666599</v>
      </c>
      <c r="N289" s="3">
        <f ca="1">IFERROR(__xludf.DUMMYFUNCTION("""COMPUTED_VALUE"""),53.85)</f>
        <v>53.85</v>
      </c>
      <c r="O289" s="3">
        <f ca="1">IFERROR(__xludf.DUMMYFUNCTION("""COMPUTED_VALUE"""),54)</f>
        <v>54</v>
      </c>
      <c r="P289" s="3">
        <f ca="1">IFERROR(__xludf.DUMMYFUNCTION("""COMPUTED_VALUE"""),53.75)</f>
        <v>53.75</v>
      </c>
      <c r="Q289" s="3">
        <f ca="1">IFERROR(__xludf.DUMMYFUNCTION("""COMPUTED_VALUE"""),53.81)</f>
        <v>53.81</v>
      </c>
      <c r="R289" s="3">
        <f ca="1">IFERROR(__xludf.DUMMYFUNCTION("""COMPUTED_VALUE"""),5408273)</f>
        <v>5408273</v>
      </c>
      <c r="S289" s="4">
        <f ca="1">IFERROR(__xludf.DUMMYFUNCTION("""COMPUTED_VALUE"""),42543.6666666666)</f>
        <v>42543.666666666599</v>
      </c>
      <c r="T289" s="3">
        <f ca="1">IFERROR(__xludf.DUMMYFUNCTION("""COMPUTED_VALUE"""),68.57)</f>
        <v>68.569999999999993</v>
      </c>
      <c r="U289" s="3">
        <f ca="1">IFERROR(__xludf.DUMMYFUNCTION("""COMPUTED_VALUE"""),68.57)</f>
        <v>68.569999999999993</v>
      </c>
      <c r="V289" s="3">
        <f ca="1">IFERROR(__xludf.DUMMYFUNCTION("""COMPUTED_VALUE"""),67.83)</f>
        <v>67.83</v>
      </c>
      <c r="W289" s="3">
        <f ca="1">IFERROR(__xludf.DUMMYFUNCTION("""COMPUTED_VALUE"""),67.89)</f>
        <v>67.89</v>
      </c>
      <c r="X289" s="3">
        <f ca="1">IFERROR(__xludf.DUMMYFUNCTION("""COMPUTED_VALUE"""),10258224)</f>
        <v>10258224</v>
      </c>
      <c r="Y289" s="4">
        <f ca="1">IFERROR(__xludf.DUMMYFUNCTION("""COMPUTED_VALUE"""),42543.6666666666)</f>
        <v>42543.666666666599</v>
      </c>
      <c r="Z289" s="3">
        <f ca="1">IFERROR(__xludf.DUMMYFUNCTION("""COMPUTED_VALUE"""),18.57)</f>
        <v>18.57</v>
      </c>
      <c r="AA289" s="3">
        <f ca="1">IFERROR(__xludf.DUMMYFUNCTION("""COMPUTED_VALUE"""),18.71)</f>
        <v>18.71</v>
      </c>
      <c r="AB289" s="3">
        <f ca="1">IFERROR(__xludf.DUMMYFUNCTION("""COMPUTED_VALUE"""),18.51)</f>
        <v>18.510000000000002</v>
      </c>
      <c r="AC289" s="3">
        <f ca="1">IFERROR(__xludf.DUMMYFUNCTION("""COMPUTED_VALUE"""),18.56)</f>
        <v>18.559999999999999</v>
      </c>
      <c r="AD289" s="3">
        <f ca="1">IFERROR(__xludf.DUMMYFUNCTION("""COMPUTED_VALUE"""),43871006)</f>
        <v>43871006</v>
      </c>
      <c r="AE289" s="4">
        <f ca="1">IFERROR(__xludf.DUMMYFUNCTION("""COMPUTED_VALUE"""),42543.6666666666)</f>
        <v>42543.666666666599</v>
      </c>
      <c r="AF289" s="3">
        <f ca="1">IFERROR(__xludf.DUMMYFUNCTION("""COMPUTED_VALUE"""),70.26)</f>
        <v>70.260000000000005</v>
      </c>
      <c r="AG289" s="3">
        <f ca="1">IFERROR(__xludf.DUMMYFUNCTION("""COMPUTED_VALUE"""),71.25)</f>
        <v>71.25</v>
      </c>
      <c r="AH289" s="3">
        <f ca="1">IFERROR(__xludf.DUMMYFUNCTION("""COMPUTED_VALUE"""),70.2)</f>
        <v>70.2</v>
      </c>
      <c r="AI289" s="3">
        <f ca="1">IFERROR(__xludf.DUMMYFUNCTION("""COMPUTED_VALUE"""),70.46)</f>
        <v>70.459999999999994</v>
      </c>
      <c r="AJ289" s="3">
        <f ca="1">IFERROR(__xludf.DUMMYFUNCTION("""COMPUTED_VALUE"""),11207552)</f>
        <v>11207552</v>
      </c>
      <c r="AK289" s="4">
        <f ca="1">IFERROR(__xludf.DUMMYFUNCTION("""COMPUTED_VALUE"""),42543.6666666666)</f>
        <v>42543.666666666599</v>
      </c>
      <c r="AL289" s="3">
        <f ca="1">IFERROR(__xludf.DUMMYFUNCTION("""COMPUTED_VALUE"""),56.18)</f>
        <v>56.18</v>
      </c>
      <c r="AM289" s="3">
        <f ca="1">IFERROR(__xludf.DUMMYFUNCTION("""COMPUTED_VALUE"""),56.41)</f>
        <v>56.41</v>
      </c>
      <c r="AN289" s="3">
        <f ca="1">IFERROR(__xludf.DUMMYFUNCTION("""COMPUTED_VALUE"""),56)</f>
        <v>56</v>
      </c>
      <c r="AO289" s="3">
        <f ca="1">IFERROR(__xludf.DUMMYFUNCTION("""COMPUTED_VALUE"""),56.04)</f>
        <v>56.04</v>
      </c>
      <c r="AP289" s="3">
        <f ca="1">IFERROR(__xludf.DUMMYFUNCTION("""COMPUTED_VALUE"""),10509050)</f>
        <v>10509050</v>
      </c>
      <c r="AQ289" s="4">
        <f ca="1">IFERROR(__xludf.DUMMYFUNCTION("""COMPUTED_VALUE"""),42543.6666666666)</f>
        <v>42543.666666666599</v>
      </c>
      <c r="AR289" s="3">
        <f ca="1">IFERROR(__xludf.DUMMYFUNCTION("""COMPUTED_VALUE"""),47.38)</f>
        <v>47.38</v>
      </c>
      <c r="AS289" s="3">
        <f ca="1">IFERROR(__xludf.DUMMYFUNCTION("""COMPUTED_VALUE"""),47.56)</f>
        <v>47.56</v>
      </c>
      <c r="AT289" s="3">
        <f ca="1">IFERROR(__xludf.DUMMYFUNCTION("""COMPUTED_VALUE"""),47.31)</f>
        <v>47.31</v>
      </c>
      <c r="AU289" s="3">
        <f ca="1">IFERROR(__xludf.DUMMYFUNCTION("""COMPUTED_VALUE"""),47.39)</f>
        <v>47.39</v>
      </c>
      <c r="AV289" s="3">
        <f ca="1">IFERROR(__xludf.DUMMYFUNCTION("""COMPUTED_VALUE"""),3041740)</f>
        <v>3041740</v>
      </c>
      <c r="AW289" s="4">
        <f ca="1">IFERROR(__xludf.DUMMYFUNCTION("""COMPUTED_VALUE"""),42706.6666666666)</f>
        <v>42706.666666666599</v>
      </c>
      <c r="AX289" s="3">
        <f ca="1">IFERROR(__xludf.DUMMYFUNCTION("""COMPUTED_VALUE"""),29.64)</f>
        <v>29.64</v>
      </c>
      <c r="AY289" s="3">
        <f ca="1">IFERROR(__xludf.DUMMYFUNCTION("""COMPUTED_VALUE"""),30.12)</f>
        <v>30.12</v>
      </c>
      <c r="AZ289" s="3">
        <f ca="1">IFERROR(__xludf.DUMMYFUNCTION("""COMPUTED_VALUE"""),29.55)</f>
        <v>29.55</v>
      </c>
      <c r="BA289" s="3">
        <f ca="1">IFERROR(__xludf.DUMMYFUNCTION("""COMPUTED_VALUE"""),29.83)</f>
        <v>29.83</v>
      </c>
      <c r="BB289" s="3">
        <f ca="1">IFERROR(__xludf.DUMMYFUNCTION("""COMPUTED_VALUE"""),2399152)</f>
        <v>2399152</v>
      </c>
      <c r="BC289" s="4">
        <f ca="1">IFERROR(__xludf.DUMMYFUNCTION("""COMPUTED_VALUE"""),42543.6666666666)</f>
        <v>42543.666666666599</v>
      </c>
      <c r="BD289" s="3">
        <f ca="1">IFERROR(__xludf.DUMMYFUNCTION("""COMPUTED_VALUE"""),43.54)</f>
        <v>43.54</v>
      </c>
      <c r="BE289" s="3">
        <f ca="1">IFERROR(__xludf.DUMMYFUNCTION("""COMPUTED_VALUE"""),43.7)</f>
        <v>43.7</v>
      </c>
      <c r="BF289" s="3">
        <f ca="1">IFERROR(__xludf.DUMMYFUNCTION("""COMPUTED_VALUE"""),43.33)</f>
        <v>43.33</v>
      </c>
      <c r="BG289" s="3">
        <f ca="1">IFERROR(__xludf.DUMMYFUNCTION("""COMPUTED_VALUE"""),43.38)</f>
        <v>43.38</v>
      </c>
      <c r="BH289" s="3">
        <f ca="1">IFERROR(__xludf.DUMMYFUNCTION("""COMPUTED_VALUE"""),6495250)</f>
        <v>6495250</v>
      </c>
      <c r="BI289" s="4">
        <f ca="1">IFERROR(__xludf.DUMMYFUNCTION("""COMPUTED_VALUE"""),42543.6666666666)</f>
        <v>42543.666666666599</v>
      </c>
      <c r="BJ289" s="3">
        <f ca="1">IFERROR(__xludf.DUMMYFUNCTION("""COMPUTED_VALUE"""),50.43)</f>
        <v>50.43</v>
      </c>
      <c r="BK289" s="3">
        <f ca="1">IFERROR(__xludf.DUMMYFUNCTION("""COMPUTED_VALUE"""),50.51)</f>
        <v>50.51</v>
      </c>
      <c r="BL289" s="3">
        <f ca="1">IFERROR(__xludf.DUMMYFUNCTION("""COMPUTED_VALUE"""),50.14)</f>
        <v>50.14</v>
      </c>
      <c r="BM289" s="3">
        <f ca="1">IFERROR(__xludf.DUMMYFUNCTION("""COMPUTED_VALUE"""),50.19)</f>
        <v>50.19</v>
      </c>
      <c r="BN289" s="3">
        <f ca="1">IFERROR(__xludf.DUMMYFUNCTION("""COMPUTED_VALUE"""),7980292)</f>
        <v>7980292</v>
      </c>
    </row>
    <row r="290" spans="7:66" ht="13" x14ac:dyDescent="0.15">
      <c r="G290" s="4">
        <f ca="1">IFERROR(__xludf.DUMMYFUNCTION("""COMPUTED_VALUE"""),42544.6666666666)</f>
        <v>42544.666666666599</v>
      </c>
      <c r="H290" s="3">
        <f ca="1">IFERROR(__xludf.DUMMYFUNCTION("""COMPUTED_VALUE"""),79.06)</f>
        <v>79.06</v>
      </c>
      <c r="I290" s="3">
        <f ca="1">IFERROR(__xludf.DUMMYFUNCTION("""COMPUTED_VALUE"""),79.12)</f>
        <v>79.12</v>
      </c>
      <c r="J290" s="3">
        <f ca="1">IFERROR(__xludf.DUMMYFUNCTION("""COMPUTED_VALUE"""),78.75)</f>
        <v>78.75</v>
      </c>
      <c r="K290" s="3">
        <f ca="1">IFERROR(__xludf.DUMMYFUNCTION("""COMPUTED_VALUE"""),79.11)</f>
        <v>79.11</v>
      </c>
      <c r="L290" s="3">
        <f ca="1">IFERROR(__xludf.DUMMYFUNCTION("""COMPUTED_VALUE"""),4441205)</f>
        <v>4441205</v>
      </c>
      <c r="M290" s="4">
        <f ca="1">IFERROR(__xludf.DUMMYFUNCTION("""COMPUTED_VALUE"""),42544.6666666666)</f>
        <v>42544.666666666599</v>
      </c>
      <c r="N290" s="3">
        <f ca="1">IFERROR(__xludf.DUMMYFUNCTION("""COMPUTED_VALUE"""),54.02)</f>
        <v>54.02</v>
      </c>
      <c r="O290" s="3">
        <f ca="1">IFERROR(__xludf.DUMMYFUNCTION("""COMPUTED_VALUE"""),54.14)</f>
        <v>54.14</v>
      </c>
      <c r="P290" s="3">
        <f ca="1">IFERROR(__xludf.DUMMYFUNCTION("""COMPUTED_VALUE"""),53.87)</f>
        <v>53.87</v>
      </c>
      <c r="Q290" s="3">
        <f ca="1">IFERROR(__xludf.DUMMYFUNCTION("""COMPUTED_VALUE"""),54.14)</f>
        <v>54.14</v>
      </c>
      <c r="R290" s="3">
        <f ca="1">IFERROR(__xludf.DUMMYFUNCTION("""COMPUTED_VALUE"""),5642533)</f>
        <v>5642533</v>
      </c>
      <c r="S290" s="4">
        <f ca="1">IFERROR(__xludf.DUMMYFUNCTION("""COMPUTED_VALUE"""),42544.6666666666)</f>
        <v>42544.666666666599</v>
      </c>
      <c r="T290" s="3">
        <f ca="1">IFERROR(__xludf.DUMMYFUNCTION("""COMPUTED_VALUE"""),68.6)</f>
        <v>68.599999999999994</v>
      </c>
      <c r="U290" s="3">
        <f ca="1">IFERROR(__xludf.DUMMYFUNCTION("""COMPUTED_VALUE"""),69.03)</f>
        <v>69.03</v>
      </c>
      <c r="V290" s="3">
        <f ca="1">IFERROR(__xludf.DUMMYFUNCTION("""COMPUTED_VALUE"""),68.34)</f>
        <v>68.34</v>
      </c>
      <c r="W290" s="3">
        <f ca="1">IFERROR(__xludf.DUMMYFUNCTION("""COMPUTED_VALUE"""),69.01)</f>
        <v>69.010000000000005</v>
      </c>
      <c r="X290" s="3">
        <f ca="1">IFERROR(__xludf.DUMMYFUNCTION("""COMPUTED_VALUE"""),9538468)</f>
        <v>9538468</v>
      </c>
      <c r="Y290" s="4">
        <f ca="1">IFERROR(__xludf.DUMMYFUNCTION("""COMPUTED_VALUE"""),42544.6666666666)</f>
        <v>42544.666666666599</v>
      </c>
      <c r="Z290" s="3">
        <f ca="1">IFERROR(__xludf.DUMMYFUNCTION("""COMPUTED_VALUE"""),18.77)</f>
        <v>18.77</v>
      </c>
      <c r="AA290" s="3">
        <f ca="1">IFERROR(__xludf.DUMMYFUNCTION("""COMPUTED_VALUE"""),18.95)</f>
        <v>18.95</v>
      </c>
      <c r="AB290" s="3">
        <f ca="1">IFERROR(__xludf.DUMMYFUNCTION("""COMPUTED_VALUE"""),18.77)</f>
        <v>18.77</v>
      </c>
      <c r="AC290" s="3">
        <f ca="1">IFERROR(__xludf.DUMMYFUNCTION("""COMPUTED_VALUE"""),18.95)</f>
        <v>18.95</v>
      </c>
      <c r="AD290" s="3">
        <f ca="1">IFERROR(__xludf.DUMMYFUNCTION("""COMPUTED_VALUE"""),59906962)</f>
        <v>59906962</v>
      </c>
      <c r="AE290" s="4">
        <f ca="1">IFERROR(__xludf.DUMMYFUNCTION("""COMPUTED_VALUE"""),42544.6666666666)</f>
        <v>42544.666666666599</v>
      </c>
      <c r="AF290" s="3">
        <f ca="1">IFERROR(__xludf.DUMMYFUNCTION("""COMPUTED_VALUE"""),71.08)</f>
        <v>71.08</v>
      </c>
      <c r="AG290" s="3">
        <f ca="1">IFERROR(__xludf.DUMMYFUNCTION("""COMPUTED_VALUE"""),71.39)</f>
        <v>71.39</v>
      </c>
      <c r="AH290" s="3">
        <f ca="1">IFERROR(__xludf.DUMMYFUNCTION("""COMPUTED_VALUE"""),70.75)</f>
        <v>70.75</v>
      </c>
      <c r="AI290" s="3">
        <f ca="1">IFERROR(__xludf.DUMMYFUNCTION("""COMPUTED_VALUE"""),71.38)</f>
        <v>71.38</v>
      </c>
      <c r="AJ290" s="3">
        <f ca="1">IFERROR(__xludf.DUMMYFUNCTION("""COMPUTED_VALUE"""),7626917)</f>
        <v>7626917</v>
      </c>
      <c r="AK290" s="4">
        <f ca="1">IFERROR(__xludf.DUMMYFUNCTION("""COMPUTED_VALUE"""),42544.6666666666)</f>
        <v>42544.666666666599</v>
      </c>
      <c r="AL290" s="3">
        <f ca="1">IFERROR(__xludf.DUMMYFUNCTION("""COMPUTED_VALUE"""),56.6)</f>
        <v>56.6</v>
      </c>
      <c r="AM290" s="3">
        <f ca="1">IFERROR(__xludf.DUMMYFUNCTION("""COMPUTED_VALUE"""),56.73)</f>
        <v>56.73</v>
      </c>
      <c r="AN290" s="3">
        <f ca="1">IFERROR(__xludf.DUMMYFUNCTION("""COMPUTED_VALUE"""),56.38)</f>
        <v>56.38</v>
      </c>
      <c r="AO290" s="3">
        <f ca="1">IFERROR(__xludf.DUMMYFUNCTION("""COMPUTED_VALUE"""),56.69)</f>
        <v>56.69</v>
      </c>
      <c r="AP290" s="3">
        <f ca="1">IFERROR(__xludf.DUMMYFUNCTION("""COMPUTED_VALUE"""),8840642)</f>
        <v>8840642</v>
      </c>
      <c r="AQ290" s="4">
        <f ca="1">IFERROR(__xludf.DUMMYFUNCTION("""COMPUTED_VALUE"""),42544.6666666666)</f>
        <v>42544.666666666599</v>
      </c>
      <c r="AR290" s="3">
        <f ca="1">IFERROR(__xludf.DUMMYFUNCTION("""COMPUTED_VALUE"""),47.86)</f>
        <v>47.86</v>
      </c>
      <c r="AS290" s="3">
        <f ca="1">IFERROR(__xludf.DUMMYFUNCTION("""COMPUTED_VALUE"""),48.14)</f>
        <v>48.14</v>
      </c>
      <c r="AT290" s="3">
        <f ca="1">IFERROR(__xludf.DUMMYFUNCTION("""COMPUTED_VALUE"""),47.8)</f>
        <v>47.8</v>
      </c>
      <c r="AU290" s="3">
        <f ca="1">IFERROR(__xludf.DUMMYFUNCTION("""COMPUTED_VALUE"""),48.12)</f>
        <v>48.12</v>
      </c>
      <c r="AV290" s="3">
        <f ca="1">IFERROR(__xludf.DUMMYFUNCTION("""COMPUTED_VALUE"""),3558230)</f>
        <v>3558230</v>
      </c>
      <c r="AW290" s="4">
        <f ca="1">IFERROR(__xludf.DUMMYFUNCTION("""COMPUTED_VALUE"""),42709.6666666666)</f>
        <v>42709.666666666599</v>
      </c>
      <c r="AX290" s="3">
        <f ca="1">IFERROR(__xludf.DUMMYFUNCTION("""COMPUTED_VALUE"""),29.83)</f>
        <v>29.83</v>
      </c>
      <c r="AY290" s="3">
        <f ca="1">IFERROR(__xludf.DUMMYFUNCTION("""COMPUTED_VALUE"""),30.11)</f>
        <v>30.11</v>
      </c>
      <c r="AZ290" s="3">
        <f ca="1">IFERROR(__xludf.DUMMYFUNCTION("""COMPUTED_VALUE"""),29.77)</f>
        <v>29.77</v>
      </c>
      <c r="BA290" s="3">
        <f ca="1">IFERROR(__xludf.DUMMYFUNCTION("""COMPUTED_VALUE"""),30.07)</f>
        <v>30.07</v>
      </c>
      <c r="BB290" s="3">
        <f ca="1">IFERROR(__xludf.DUMMYFUNCTION("""COMPUTED_VALUE"""),1608834)</f>
        <v>1608834</v>
      </c>
      <c r="BC290" s="4">
        <f ca="1">IFERROR(__xludf.DUMMYFUNCTION("""COMPUTED_VALUE"""),42544.6666666666)</f>
        <v>42544.666666666599</v>
      </c>
      <c r="BD290" s="3">
        <f ca="1">IFERROR(__xludf.DUMMYFUNCTION("""COMPUTED_VALUE"""),43.66)</f>
        <v>43.66</v>
      </c>
      <c r="BE290" s="3">
        <f ca="1">IFERROR(__xludf.DUMMYFUNCTION("""COMPUTED_VALUE"""),44.01)</f>
        <v>44.01</v>
      </c>
      <c r="BF290" s="3">
        <f ca="1">IFERROR(__xludf.DUMMYFUNCTION("""COMPUTED_VALUE"""),43.5)</f>
        <v>43.5</v>
      </c>
      <c r="BG290" s="3">
        <f ca="1">IFERROR(__xludf.DUMMYFUNCTION("""COMPUTED_VALUE"""),43.97)</f>
        <v>43.97</v>
      </c>
      <c r="BH290" s="3">
        <f ca="1">IFERROR(__xludf.DUMMYFUNCTION("""COMPUTED_VALUE"""),9763425)</f>
        <v>9763425</v>
      </c>
      <c r="BI290" s="4">
        <f ca="1">IFERROR(__xludf.DUMMYFUNCTION("""COMPUTED_VALUE"""),42544.6666666666)</f>
        <v>42544.666666666599</v>
      </c>
      <c r="BJ290" s="3">
        <f ca="1">IFERROR(__xludf.DUMMYFUNCTION("""COMPUTED_VALUE"""),50.1)</f>
        <v>50.1</v>
      </c>
      <c r="BK290" s="3">
        <f ca="1">IFERROR(__xludf.DUMMYFUNCTION("""COMPUTED_VALUE"""),50.35)</f>
        <v>50.35</v>
      </c>
      <c r="BL290" s="3">
        <f ca="1">IFERROR(__xludf.DUMMYFUNCTION("""COMPUTED_VALUE"""),49.99)</f>
        <v>49.99</v>
      </c>
      <c r="BM290" s="3">
        <f ca="1">IFERROR(__xludf.DUMMYFUNCTION("""COMPUTED_VALUE"""),50.33)</f>
        <v>50.33</v>
      </c>
      <c r="BN290" s="3">
        <f ca="1">IFERROR(__xludf.DUMMYFUNCTION("""COMPUTED_VALUE"""),8425192)</f>
        <v>8425192</v>
      </c>
    </row>
    <row r="291" spans="7:66" ht="13" x14ac:dyDescent="0.15">
      <c r="G291" s="4">
        <f ca="1">IFERROR(__xludf.DUMMYFUNCTION("""COMPUTED_VALUE"""),42545.6666666666)</f>
        <v>42545.666666666599</v>
      </c>
      <c r="H291" s="3">
        <f ca="1">IFERROR(__xludf.DUMMYFUNCTION("""COMPUTED_VALUE"""),76.33)</f>
        <v>76.33</v>
      </c>
      <c r="I291" s="3">
        <f ca="1">IFERROR(__xludf.DUMMYFUNCTION("""COMPUTED_VALUE"""),77.52)</f>
        <v>77.52</v>
      </c>
      <c r="J291" s="3">
        <f ca="1">IFERROR(__xludf.DUMMYFUNCTION("""COMPUTED_VALUE"""),75.98)</f>
        <v>75.98</v>
      </c>
      <c r="K291" s="3">
        <f ca="1">IFERROR(__xludf.DUMMYFUNCTION("""COMPUTED_VALUE"""),76.15)</f>
        <v>76.150000000000006</v>
      </c>
      <c r="L291" s="3">
        <f ca="1">IFERROR(__xludf.DUMMYFUNCTION("""COMPUTED_VALUE"""),15348156)</f>
        <v>15348156</v>
      </c>
      <c r="M291" s="4">
        <f ca="1">IFERROR(__xludf.DUMMYFUNCTION("""COMPUTED_VALUE"""),42545.6666666666)</f>
        <v>42545.666666666599</v>
      </c>
      <c r="N291" s="3">
        <f ca="1">IFERROR(__xludf.DUMMYFUNCTION("""COMPUTED_VALUE"""),53.15)</f>
        <v>53.15</v>
      </c>
      <c r="O291" s="3">
        <f ca="1">IFERROR(__xludf.DUMMYFUNCTION("""COMPUTED_VALUE"""),53.78)</f>
        <v>53.78</v>
      </c>
      <c r="P291" s="3">
        <f ca="1">IFERROR(__xludf.DUMMYFUNCTION("""COMPUTED_VALUE"""),52.88)</f>
        <v>52.88</v>
      </c>
      <c r="Q291" s="3">
        <f ca="1">IFERROR(__xludf.DUMMYFUNCTION("""COMPUTED_VALUE"""),53.1)</f>
        <v>53.1</v>
      </c>
      <c r="R291" s="3">
        <f ca="1">IFERROR(__xludf.DUMMYFUNCTION("""COMPUTED_VALUE"""),23775904)</f>
        <v>23775904</v>
      </c>
      <c r="S291" s="4">
        <f ca="1">IFERROR(__xludf.DUMMYFUNCTION("""COMPUTED_VALUE"""),42545.6666666666)</f>
        <v>42545.666666666599</v>
      </c>
      <c r="T291" s="3">
        <f ca="1">IFERROR(__xludf.DUMMYFUNCTION("""COMPUTED_VALUE"""),66.35)</f>
        <v>66.349999999999994</v>
      </c>
      <c r="U291" s="3">
        <f ca="1">IFERROR(__xludf.DUMMYFUNCTION("""COMPUTED_VALUE"""),67.55)</f>
        <v>67.55</v>
      </c>
      <c r="V291" s="3">
        <f ca="1">IFERROR(__xludf.DUMMYFUNCTION("""COMPUTED_VALUE"""),66.29)</f>
        <v>66.290000000000006</v>
      </c>
      <c r="W291" s="3">
        <f ca="1">IFERROR(__xludf.DUMMYFUNCTION("""COMPUTED_VALUE"""),66.78)</f>
        <v>66.78</v>
      </c>
      <c r="X291" s="3">
        <f ca="1">IFERROR(__xludf.DUMMYFUNCTION("""COMPUTED_VALUE"""),26879900)</f>
        <v>26879900</v>
      </c>
      <c r="Y291" s="4">
        <f ca="1">IFERROR(__xludf.DUMMYFUNCTION("""COMPUTED_VALUE"""),42545.6666666666)</f>
        <v>42545.666666666599</v>
      </c>
      <c r="Z291" s="3">
        <f ca="1">IFERROR(__xludf.DUMMYFUNCTION("""COMPUTED_VALUE"""),17.95)</f>
        <v>17.95</v>
      </c>
      <c r="AA291" s="3">
        <f ca="1">IFERROR(__xludf.DUMMYFUNCTION("""COMPUTED_VALUE"""),18.34)</f>
        <v>18.34</v>
      </c>
      <c r="AB291" s="3">
        <f ca="1">IFERROR(__xludf.DUMMYFUNCTION("""COMPUTED_VALUE"""),17.87)</f>
        <v>17.87</v>
      </c>
      <c r="AC291" s="3">
        <f ca="1">IFERROR(__xludf.DUMMYFUNCTION("""COMPUTED_VALUE"""),17.93)</f>
        <v>17.93</v>
      </c>
      <c r="AD291" s="3">
        <f ca="1">IFERROR(__xludf.DUMMYFUNCTION("""COMPUTED_VALUE"""),134780374)</f>
        <v>134780374</v>
      </c>
      <c r="AE291" s="4">
        <f ca="1">IFERROR(__xludf.DUMMYFUNCTION("""COMPUTED_VALUE"""),42545.6666666666)</f>
        <v>42545.666666666599</v>
      </c>
      <c r="AF291" s="3">
        <f ca="1">IFERROR(__xludf.DUMMYFUNCTION("""COMPUTED_VALUE"""),69.35)</f>
        <v>69.349999999999994</v>
      </c>
      <c r="AG291" s="3">
        <f ca="1">IFERROR(__xludf.DUMMYFUNCTION("""COMPUTED_VALUE"""),70.4)</f>
        <v>70.400000000000006</v>
      </c>
      <c r="AH291" s="3">
        <f ca="1">IFERROR(__xludf.DUMMYFUNCTION("""COMPUTED_VALUE"""),69.05)</f>
        <v>69.05</v>
      </c>
      <c r="AI291" s="3">
        <f ca="1">IFERROR(__xludf.DUMMYFUNCTION("""COMPUTED_VALUE"""),69.29)</f>
        <v>69.290000000000006</v>
      </c>
      <c r="AJ291" s="3">
        <f ca="1">IFERROR(__xludf.DUMMYFUNCTION("""COMPUTED_VALUE"""),22576537)</f>
        <v>22576537</v>
      </c>
      <c r="AK291" s="4">
        <f ca="1">IFERROR(__xludf.DUMMYFUNCTION("""COMPUTED_VALUE"""),42545.6666666666)</f>
        <v>42545.666666666599</v>
      </c>
      <c r="AL291" s="3">
        <f ca="1">IFERROR(__xludf.DUMMYFUNCTION("""COMPUTED_VALUE"""),54.72)</f>
        <v>54.72</v>
      </c>
      <c r="AM291" s="3">
        <f ca="1">IFERROR(__xludf.DUMMYFUNCTION("""COMPUTED_VALUE"""),55.48)</f>
        <v>55.48</v>
      </c>
      <c r="AN291" s="3">
        <f ca="1">IFERROR(__xludf.DUMMYFUNCTION("""COMPUTED_VALUE"""),54.23)</f>
        <v>54.23</v>
      </c>
      <c r="AO291" s="3">
        <f ca="1">IFERROR(__xludf.DUMMYFUNCTION("""COMPUTED_VALUE"""),54.38)</f>
        <v>54.38</v>
      </c>
      <c r="AP291" s="3">
        <f ca="1">IFERROR(__xludf.DUMMYFUNCTION("""COMPUTED_VALUE"""),34954049)</f>
        <v>34954049</v>
      </c>
      <c r="AQ291" s="4">
        <f ca="1">IFERROR(__xludf.DUMMYFUNCTION("""COMPUTED_VALUE"""),42545.6666666666)</f>
        <v>42545.666666666599</v>
      </c>
      <c r="AR291" s="3">
        <f ca="1">IFERROR(__xludf.DUMMYFUNCTION("""COMPUTED_VALUE"""),46.48)</f>
        <v>46.48</v>
      </c>
      <c r="AS291" s="3">
        <f ca="1">IFERROR(__xludf.DUMMYFUNCTION("""COMPUTED_VALUE"""),47.07)</f>
        <v>47.07</v>
      </c>
      <c r="AT291" s="3">
        <f ca="1">IFERROR(__xludf.DUMMYFUNCTION("""COMPUTED_VALUE"""),45.9)</f>
        <v>45.9</v>
      </c>
      <c r="AU291" s="3">
        <f ca="1">IFERROR(__xludf.DUMMYFUNCTION("""COMPUTED_VALUE"""),46.02)</f>
        <v>46.02</v>
      </c>
      <c r="AV291" s="3">
        <f ca="1">IFERROR(__xludf.DUMMYFUNCTION("""COMPUTED_VALUE"""),12447507)</f>
        <v>12447507</v>
      </c>
      <c r="AW291" s="4">
        <f ca="1">IFERROR(__xludf.DUMMYFUNCTION("""COMPUTED_VALUE"""),42710.6666666666)</f>
        <v>42710.666666666599</v>
      </c>
      <c r="AX291" s="3">
        <f ca="1">IFERROR(__xludf.DUMMYFUNCTION("""COMPUTED_VALUE"""),30.11)</f>
        <v>30.11</v>
      </c>
      <c r="AY291" s="3">
        <f ca="1">IFERROR(__xludf.DUMMYFUNCTION("""COMPUTED_VALUE"""),30.38)</f>
        <v>30.38</v>
      </c>
      <c r="AZ291" s="3">
        <f ca="1">IFERROR(__xludf.DUMMYFUNCTION("""COMPUTED_VALUE"""),30.06)</f>
        <v>30.06</v>
      </c>
      <c r="BA291" s="3">
        <f ca="1">IFERROR(__xludf.DUMMYFUNCTION("""COMPUTED_VALUE"""),30.2)</f>
        <v>30.2</v>
      </c>
      <c r="BB291" s="3">
        <f ca="1">IFERROR(__xludf.DUMMYFUNCTION("""COMPUTED_VALUE"""),1340990)</f>
        <v>1340990</v>
      </c>
      <c r="BC291" s="4">
        <f ca="1">IFERROR(__xludf.DUMMYFUNCTION("""COMPUTED_VALUE"""),42545.6666666666)</f>
        <v>42545.666666666599</v>
      </c>
      <c r="BD291" s="3">
        <f ca="1">IFERROR(__xludf.DUMMYFUNCTION("""COMPUTED_VALUE"""),42.42)</f>
        <v>42.42</v>
      </c>
      <c r="BE291" s="3">
        <f ca="1">IFERROR(__xludf.DUMMYFUNCTION("""COMPUTED_VALUE"""),43.14)</f>
        <v>43.14</v>
      </c>
      <c r="BF291" s="3">
        <f ca="1">IFERROR(__xludf.DUMMYFUNCTION("""COMPUTED_VALUE"""),42.19)</f>
        <v>42.19</v>
      </c>
      <c r="BG291" s="3">
        <f ca="1">IFERROR(__xludf.DUMMYFUNCTION("""COMPUTED_VALUE"""),42.28)</f>
        <v>42.28</v>
      </c>
      <c r="BH291" s="3">
        <f ca="1">IFERROR(__xludf.DUMMYFUNCTION("""COMPUTED_VALUE"""),23623029)</f>
        <v>23623029</v>
      </c>
      <c r="BI291" s="4">
        <f ca="1">IFERROR(__xludf.DUMMYFUNCTION("""COMPUTED_VALUE"""),42545.6666666666)</f>
        <v>42545.666666666599</v>
      </c>
      <c r="BJ291" s="3">
        <f ca="1">IFERROR(__xludf.DUMMYFUNCTION("""COMPUTED_VALUE"""),50.22)</f>
        <v>50.22</v>
      </c>
      <c r="BK291" s="3">
        <f ca="1">IFERROR(__xludf.DUMMYFUNCTION("""COMPUTED_VALUE"""),50.86)</f>
        <v>50.86</v>
      </c>
      <c r="BL291" s="3">
        <f ca="1">IFERROR(__xludf.DUMMYFUNCTION("""COMPUTED_VALUE"""),49.79)</f>
        <v>49.79</v>
      </c>
      <c r="BM291" s="3">
        <f ca="1">IFERROR(__xludf.DUMMYFUNCTION("""COMPUTED_VALUE"""),50.61)</f>
        <v>50.61</v>
      </c>
      <c r="BN291" s="3">
        <f ca="1">IFERROR(__xludf.DUMMYFUNCTION("""COMPUTED_VALUE"""),24190968)</f>
        <v>24190968</v>
      </c>
    </row>
    <row r="292" spans="7:66" ht="13" x14ac:dyDescent="0.15">
      <c r="G292" s="4">
        <f ca="1">IFERROR(__xludf.DUMMYFUNCTION("""COMPUTED_VALUE"""),42548.6666666666)</f>
        <v>42548.666666666599</v>
      </c>
      <c r="H292" s="3">
        <f ca="1">IFERROR(__xludf.DUMMYFUNCTION("""COMPUTED_VALUE"""),75.46)</f>
        <v>75.459999999999994</v>
      </c>
      <c r="I292" s="3">
        <f ca="1">IFERROR(__xludf.DUMMYFUNCTION("""COMPUTED_VALUE"""),75.58)</f>
        <v>75.58</v>
      </c>
      <c r="J292" s="3">
        <f ca="1">IFERROR(__xludf.DUMMYFUNCTION("""COMPUTED_VALUE"""),74.18)</f>
        <v>74.180000000000007</v>
      </c>
      <c r="K292" s="3">
        <f ca="1">IFERROR(__xludf.DUMMYFUNCTION("""COMPUTED_VALUE"""),74.77)</f>
        <v>74.77</v>
      </c>
      <c r="L292" s="3">
        <f ca="1">IFERROR(__xludf.DUMMYFUNCTION("""COMPUTED_VALUE"""),10861093)</f>
        <v>10861093</v>
      </c>
      <c r="M292" s="4">
        <f ca="1">IFERROR(__xludf.DUMMYFUNCTION("""COMPUTED_VALUE"""),42548.6666666666)</f>
        <v>42548.666666666599</v>
      </c>
      <c r="N292" s="3">
        <f ca="1">IFERROR(__xludf.DUMMYFUNCTION("""COMPUTED_VALUE"""),53.02)</f>
        <v>53.02</v>
      </c>
      <c r="O292" s="3">
        <f ca="1">IFERROR(__xludf.DUMMYFUNCTION("""COMPUTED_VALUE"""),53.11)</f>
        <v>53.11</v>
      </c>
      <c r="P292" s="3">
        <f ca="1">IFERROR(__xludf.DUMMYFUNCTION("""COMPUTED_VALUE"""),52.65)</f>
        <v>52.65</v>
      </c>
      <c r="Q292" s="3">
        <f ca="1">IFERROR(__xludf.DUMMYFUNCTION("""COMPUTED_VALUE"""),52.99)</f>
        <v>52.99</v>
      </c>
      <c r="R292" s="3">
        <f ca="1">IFERROR(__xludf.DUMMYFUNCTION("""COMPUTED_VALUE"""),19371970)</f>
        <v>19371970</v>
      </c>
      <c r="S292" s="4">
        <f ca="1">IFERROR(__xludf.DUMMYFUNCTION("""COMPUTED_VALUE"""),42548.6666666666)</f>
        <v>42548.666666666599</v>
      </c>
      <c r="T292" s="3">
        <f ca="1">IFERROR(__xludf.DUMMYFUNCTION("""COMPUTED_VALUE"""),65.87)</f>
        <v>65.87</v>
      </c>
      <c r="U292" s="3">
        <f ca="1">IFERROR(__xludf.DUMMYFUNCTION("""COMPUTED_VALUE"""),65.93)</f>
        <v>65.930000000000007</v>
      </c>
      <c r="V292" s="3">
        <f ca="1">IFERROR(__xludf.DUMMYFUNCTION("""COMPUTED_VALUE"""),64.11)</f>
        <v>64.11</v>
      </c>
      <c r="W292" s="3">
        <f ca="1">IFERROR(__xludf.DUMMYFUNCTION("""COMPUTED_VALUE"""),64.64)</f>
        <v>64.64</v>
      </c>
      <c r="X292" s="3">
        <f ca="1">IFERROR(__xludf.DUMMYFUNCTION("""COMPUTED_VALUE"""),21824749)</f>
        <v>21824749</v>
      </c>
      <c r="Y292" s="4">
        <f ca="1">IFERROR(__xludf.DUMMYFUNCTION("""COMPUTED_VALUE"""),42548.6666666666)</f>
        <v>42548.666666666599</v>
      </c>
      <c r="Z292" s="3">
        <f ca="1">IFERROR(__xludf.DUMMYFUNCTION("""COMPUTED_VALUE"""),17.66)</f>
        <v>17.66</v>
      </c>
      <c r="AA292" s="3">
        <f ca="1">IFERROR(__xludf.DUMMYFUNCTION("""COMPUTED_VALUE"""),17.69)</f>
        <v>17.690000000000001</v>
      </c>
      <c r="AB292" s="3">
        <f ca="1">IFERROR(__xludf.DUMMYFUNCTION("""COMPUTED_VALUE"""),17.31)</f>
        <v>17.309999999999999</v>
      </c>
      <c r="AC292" s="3">
        <f ca="1">IFERROR(__xludf.DUMMYFUNCTION("""COMPUTED_VALUE"""),17.42)</f>
        <v>17.420000000000002</v>
      </c>
      <c r="AD292" s="3">
        <f ca="1">IFERROR(__xludf.DUMMYFUNCTION("""COMPUTED_VALUE"""),118427883)</f>
        <v>118427883</v>
      </c>
      <c r="AE292" s="4">
        <f ca="1">IFERROR(__xludf.DUMMYFUNCTION("""COMPUTED_VALUE"""),42548.6666666666)</f>
        <v>42548.666666666599</v>
      </c>
      <c r="AF292" s="3">
        <f ca="1">IFERROR(__xludf.DUMMYFUNCTION("""COMPUTED_VALUE"""),68.84)</f>
        <v>68.84</v>
      </c>
      <c r="AG292" s="3">
        <f ca="1">IFERROR(__xludf.DUMMYFUNCTION("""COMPUTED_VALUE"""),69.08)</f>
        <v>69.08</v>
      </c>
      <c r="AH292" s="3">
        <f ca="1">IFERROR(__xludf.DUMMYFUNCTION("""COMPUTED_VALUE"""),68.09)</f>
        <v>68.09</v>
      </c>
      <c r="AI292" s="3">
        <f ca="1">IFERROR(__xludf.DUMMYFUNCTION("""COMPUTED_VALUE"""),68.38)</f>
        <v>68.38</v>
      </c>
      <c r="AJ292" s="3">
        <f ca="1">IFERROR(__xludf.DUMMYFUNCTION("""COMPUTED_VALUE"""),18634739)</f>
        <v>18634739</v>
      </c>
      <c r="AK292" s="4">
        <f ca="1">IFERROR(__xludf.DUMMYFUNCTION("""COMPUTED_VALUE"""),42548.6666666666)</f>
        <v>42548.666666666599</v>
      </c>
      <c r="AL292" s="3">
        <f ca="1">IFERROR(__xludf.DUMMYFUNCTION("""COMPUTED_VALUE"""),53.84)</f>
        <v>53.84</v>
      </c>
      <c r="AM292" s="3">
        <f ca="1">IFERROR(__xludf.DUMMYFUNCTION("""COMPUTED_VALUE"""),54.12)</f>
        <v>54.12</v>
      </c>
      <c r="AN292" s="3">
        <f ca="1">IFERROR(__xludf.DUMMYFUNCTION("""COMPUTED_VALUE"""),52.78)</f>
        <v>52.78</v>
      </c>
      <c r="AO292" s="3">
        <f ca="1">IFERROR(__xludf.DUMMYFUNCTION("""COMPUTED_VALUE"""),53.1)</f>
        <v>53.1</v>
      </c>
      <c r="AP292" s="3">
        <f ca="1">IFERROR(__xludf.DUMMYFUNCTION("""COMPUTED_VALUE"""),40314346)</f>
        <v>40314346</v>
      </c>
      <c r="AQ292" s="4">
        <f ca="1">IFERROR(__xludf.DUMMYFUNCTION("""COMPUTED_VALUE"""),42548.6666666666)</f>
        <v>42548.666666666599</v>
      </c>
      <c r="AR292" s="3">
        <f ca="1">IFERROR(__xludf.DUMMYFUNCTION("""COMPUTED_VALUE"""),45.67)</f>
        <v>45.67</v>
      </c>
      <c r="AS292" s="3">
        <f ca="1">IFERROR(__xludf.DUMMYFUNCTION("""COMPUTED_VALUE"""),45.67)</f>
        <v>45.67</v>
      </c>
      <c r="AT292" s="3">
        <f ca="1">IFERROR(__xludf.DUMMYFUNCTION("""COMPUTED_VALUE"""),44.22)</f>
        <v>44.22</v>
      </c>
      <c r="AU292" s="3">
        <f ca="1">IFERROR(__xludf.DUMMYFUNCTION("""COMPUTED_VALUE"""),44.47)</f>
        <v>44.47</v>
      </c>
      <c r="AV292" s="3">
        <f ca="1">IFERROR(__xludf.DUMMYFUNCTION("""COMPUTED_VALUE"""),9059325)</f>
        <v>9059325</v>
      </c>
      <c r="AW292" s="4">
        <f ca="1">IFERROR(__xludf.DUMMYFUNCTION("""COMPUTED_VALUE"""),42711.6666666666)</f>
        <v>42711.666666666599</v>
      </c>
      <c r="AX292" s="3">
        <f ca="1">IFERROR(__xludf.DUMMYFUNCTION("""COMPUTED_VALUE"""),30.23)</f>
        <v>30.23</v>
      </c>
      <c r="AY292" s="3">
        <f ca="1">IFERROR(__xludf.DUMMYFUNCTION("""COMPUTED_VALUE"""),30.88)</f>
        <v>30.88</v>
      </c>
      <c r="AZ292" s="3">
        <f ca="1">IFERROR(__xludf.DUMMYFUNCTION("""COMPUTED_VALUE"""),30.23)</f>
        <v>30.23</v>
      </c>
      <c r="BA292" s="3">
        <f ca="1">IFERROR(__xludf.DUMMYFUNCTION("""COMPUTED_VALUE"""),30.83)</f>
        <v>30.83</v>
      </c>
      <c r="BB292" s="3">
        <f ca="1">IFERROR(__xludf.DUMMYFUNCTION("""COMPUTED_VALUE"""),2068428)</f>
        <v>2068428</v>
      </c>
      <c r="BC292" s="4">
        <f ca="1">IFERROR(__xludf.DUMMYFUNCTION("""COMPUTED_VALUE"""),42548.6666666666)</f>
        <v>42548.666666666599</v>
      </c>
      <c r="BD292" s="3">
        <f ca="1">IFERROR(__xludf.DUMMYFUNCTION("""COMPUTED_VALUE"""),41.97)</f>
        <v>41.97</v>
      </c>
      <c r="BE292" s="3">
        <f ca="1">IFERROR(__xludf.DUMMYFUNCTION("""COMPUTED_VALUE"""),41.97)</f>
        <v>41.97</v>
      </c>
      <c r="BF292" s="3">
        <f ca="1">IFERROR(__xludf.DUMMYFUNCTION("""COMPUTED_VALUE"""),41.26)</f>
        <v>41.26</v>
      </c>
      <c r="BG292" s="3">
        <f ca="1">IFERROR(__xludf.DUMMYFUNCTION("""COMPUTED_VALUE"""),41.43)</f>
        <v>41.43</v>
      </c>
      <c r="BH292" s="3">
        <f ca="1">IFERROR(__xludf.DUMMYFUNCTION("""COMPUTED_VALUE"""),18516994)</f>
        <v>18516994</v>
      </c>
      <c r="BI292" s="4">
        <f ca="1">IFERROR(__xludf.DUMMYFUNCTION("""COMPUTED_VALUE"""),42548.6666666666)</f>
        <v>42548.666666666599</v>
      </c>
      <c r="BJ292" s="3">
        <f ca="1">IFERROR(__xludf.DUMMYFUNCTION("""COMPUTED_VALUE"""),50.35)</f>
        <v>50.35</v>
      </c>
      <c r="BK292" s="3">
        <f ca="1">IFERROR(__xludf.DUMMYFUNCTION("""COMPUTED_VALUE"""),51.17)</f>
        <v>51.17</v>
      </c>
      <c r="BL292" s="3">
        <f ca="1">IFERROR(__xludf.DUMMYFUNCTION("""COMPUTED_VALUE"""),50.28)</f>
        <v>50.28</v>
      </c>
      <c r="BM292" s="3">
        <f ca="1">IFERROR(__xludf.DUMMYFUNCTION("""COMPUTED_VALUE"""),51.03)</f>
        <v>51.03</v>
      </c>
      <c r="BN292" s="3">
        <f ca="1">IFERROR(__xludf.DUMMYFUNCTION("""COMPUTED_VALUE"""),17095697)</f>
        <v>17095697</v>
      </c>
    </row>
    <row r="293" spans="7:66" ht="13" x14ac:dyDescent="0.15">
      <c r="G293" s="4">
        <f ca="1">IFERROR(__xludf.DUMMYFUNCTION("""COMPUTED_VALUE"""),42549.6666666666)</f>
        <v>42549.666666666599</v>
      </c>
      <c r="H293" s="3">
        <f ca="1">IFERROR(__xludf.DUMMYFUNCTION("""COMPUTED_VALUE"""),75.64)</f>
        <v>75.64</v>
      </c>
      <c r="I293" s="3">
        <f ca="1">IFERROR(__xludf.DUMMYFUNCTION("""COMPUTED_VALUE"""),76.26)</f>
        <v>76.260000000000005</v>
      </c>
      <c r="J293" s="3">
        <f ca="1">IFERROR(__xludf.DUMMYFUNCTION("""COMPUTED_VALUE"""),75.42)</f>
        <v>75.42</v>
      </c>
      <c r="K293" s="3">
        <f ca="1">IFERROR(__xludf.DUMMYFUNCTION("""COMPUTED_VALUE"""),76.26)</f>
        <v>76.260000000000005</v>
      </c>
      <c r="L293" s="3">
        <f ca="1">IFERROR(__xludf.DUMMYFUNCTION("""COMPUTED_VALUE"""),7860635)</f>
        <v>7860635</v>
      </c>
      <c r="M293" s="4">
        <f ca="1">IFERROR(__xludf.DUMMYFUNCTION("""COMPUTED_VALUE"""),42549.6666666666)</f>
        <v>42549.666666666599</v>
      </c>
      <c r="N293" s="3">
        <f ca="1">IFERROR(__xludf.DUMMYFUNCTION("""COMPUTED_VALUE"""),53.44)</f>
        <v>53.44</v>
      </c>
      <c r="O293" s="3">
        <f ca="1">IFERROR(__xludf.DUMMYFUNCTION("""COMPUTED_VALUE"""),53.44)</f>
        <v>53.44</v>
      </c>
      <c r="P293" s="3">
        <f ca="1">IFERROR(__xludf.DUMMYFUNCTION("""COMPUTED_VALUE"""),52.84)</f>
        <v>52.84</v>
      </c>
      <c r="Q293" s="3">
        <f ca="1">IFERROR(__xludf.DUMMYFUNCTION("""COMPUTED_VALUE"""),53.32)</f>
        <v>53.32</v>
      </c>
      <c r="R293" s="3">
        <f ca="1">IFERROR(__xludf.DUMMYFUNCTION("""COMPUTED_VALUE"""),11868598)</f>
        <v>11868598</v>
      </c>
      <c r="S293" s="4">
        <f ca="1">IFERROR(__xludf.DUMMYFUNCTION("""COMPUTED_VALUE"""),42549.6666666666)</f>
        <v>42549.666666666599</v>
      </c>
      <c r="T293" s="3">
        <f ca="1">IFERROR(__xludf.DUMMYFUNCTION("""COMPUTED_VALUE"""),65.85)</f>
        <v>65.849999999999994</v>
      </c>
      <c r="U293" s="3">
        <f ca="1">IFERROR(__xludf.DUMMYFUNCTION("""COMPUTED_VALUE"""),66.45)</f>
        <v>66.45</v>
      </c>
      <c r="V293" s="3">
        <f ca="1">IFERROR(__xludf.DUMMYFUNCTION("""COMPUTED_VALUE"""),65.47)</f>
        <v>65.47</v>
      </c>
      <c r="W293" s="3">
        <f ca="1">IFERROR(__xludf.DUMMYFUNCTION("""COMPUTED_VALUE"""),66.44)</f>
        <v>66.44</v>
      </c>
      <c r="X293" s="3">
        <f ca="1">IFERROR(__xludf.DUMMYFUNCTION("""COMPUTED_VALUE"""),14550432)</f>
        <v>14550432</v>
      </c>
      <c r="Y293" s="4">
        <f ca="1">IFERROR(__xludf.DUMMYFUNCTION("""COMPUTED_VALUE"""),42549.6666666666)</f>
        <v>42549.666666666599</v>
      </c>
      <c r="Z293" s="3">
        <f ca="1">IFERROR(__xludf.DUMMYFUNCTION("""COMPUTED_VALUE"""),17.74)</f>
        <v>17.739999999999998</v>
      </c>
      <c r="AA293" s="3">
        <f ca="1">IFERROR(__xludf.DUMMYFUNCTION("""COMPUTED_VALUE"""),17.87)</f>
        <v>17.87</v>
      </c>
      <c r="AB293" s="3">
        <f ca="1">IFERROR(__xludf.DUMMYFUNCTION("""COMPUTED_VALUE"""),17.58)</f>
        <v>17.579999999999998</v>
      </c>
      <c r="AC293" s="3">
        <f ca="1">IFERROR(__xludf.DUMMYFUNCTION("""COMPUTED_VALUE"""),17.87)</f>
        <v>17.87</v>
      </c>
      <c r="AD293" s="3">
        <f ca="1">IFERROR(__xludf.DUMMYFUNCTION("""COMPUTED_VALUE"""),89132560)</f>
        <v>89132560</v>
      </c>
      <c r="AE293" s="4">
        <f ca="1">IFERROR(__xludf.DUMMYFUNCTION("""COMPUTED_VALUE"""),42549.6666666666)</f>
        <v>42549.666666666599</v>
      </c>
      <c r="AF293" s="3">
        <f ca="1">IFERROR(__xludf.DUMMYFUNCTION("""COMPUTED_VALUE"""),68.86)</f>
        <v>68.86</v>
      </c>
      <c r="AG293" s="3">
        <f ca="1">IFERROR(__xludf.DUMMYFUNCTION("""COMPUTED_VALUE"""),69.77)</f>
        <v>69.77</v>
      </c>
      <c r="AH293" s="3">
        <f ca="1">IFERROR(__xludf.DUMMYFUNCTION("""COMPUTED_VALUE"""),68.85)</f>
        <v>68.849999999999994</v>
      </c>
      <c r="AI293" s="3">
        <f ca="1">IFERROR(__xludf.DUMMYFUNCTION("""COMPUTED_VALUE"""),69.71)</f>
        <v>69.709999999999994</v>
      </c>
      <c r="AJ293" s="3">
        <f ca="1">IFERROR(__xludf.DUMMYFUNCTION("""COMPUTED_VALUE"""),13652372)</f>
        <v>13652372</v>
      </c>
      <c r="AK293" s="4">
        <f ca="1">IFERROR(__xludf.DUMMYFUNCTION("""COMPUTED_VALUE"""),42549.6666666666)</f>
        <v>42549.666666666599</v>
      </c>
      <c r="AL293" s="3">
        <f ca="1">IFERROR(__xludf.DUMMYFUNCTION("""COMPUTED_VALUE"""),53.77)</f>
        <v>53.77</v>
      </c>
      <c r="AM293" s="3">
        <f ca="1">IFERROR(__xludf.DUMMYFUNCTION("""COMPUTED_VALUE"""),54)</f>
        <v>54</v>
      </c>
      <c r="AN293" s="3">
        <f ca="1">IFERROR(__xludf.DUMMYFUNCTION("""COMPUTED_VALUE"""),53.39)</f>
        <v>53.39</v>
      </c>
      <c r="AO293" s="3">
        <f ca="1">IFERROR(__xludf.DUMMYFUNCTION("""COMPUTED_VALUE"""),54)</f>
        <v>54</v>
      </c>
      <c r="AP293" s="3">
        <f ca="1">IFERROR(__xludf.DUMMYFUNCTION("""COMPUTED_VALUE"""),18523896)</f>
        <v>18523896</v>
      </c>
      <c r="AQ293" s="4">
        <f ca="1">IFERROR(__xludf.DUMMYFUNCTION("""COMPUTED_VALUE"""),42549.6666666666)</f>
        <v>42549.666666666599</v>
      </c>
      <c r="AR293" s="3">
        <f ca="1">IFERROR(__xludf.DUMMYFUNCTION("""COMPUTED_VALUE"""),44.83)</f>
        <v>44.83</v>
      </c>
      <c r="AS293" s="3">
        <f ca="1">IFERROR(__xludf.DUMMYFUNCTION("""COMPUTED_VALUE"""),45.12)</f>
        <v>45.12</v>
      </c>
      <c r="AT293" s="3">
        <f ca="1">IFERROR(__xludf.DUMMYFUNCTION("""COMPUTED_VALUE"""),44.38)</f>
        <v>44.38</v>
      </c>
      <c r="AU293" s="3">
        <f ca="1">IFERROR(__xludf.DUMMYFUNCTION("""COMPUTED_VALUE"""),44.85)</f>
        <v>44.85</v>
      </c>
      <c r="AV293" s="3">
        <f ca="1">IFERROR(__xludf.DUMMYFUNCTION("""COMPUTED_VALUE"""),10370561)</f>
        <v>10370561</v>
      </c>
      <c r="AW293" s="4">
        <f ca="1">IFERROR(__xludf.DUMMYFUNCTION("""COMPUTED_VALUE"""),42712.6666666666)</f>
        <v>42712.666666666599</v>
      </c>
      <c r="AX293" s="3">
        <f ca="1">IFERROR(__xludf.DUMMYFUNCTION("""COMPUTED_VALUE"""),30.51)</f>
        <v>30.51</v>
      </c>
      <c r="AY293" s="3">
        <f ca="1">IFERROR(__xludf.DUMMYFUNCTION("""COMPUTED_VALUE"""),31.12)</f>
        <v>31.12</v>
      </c>
      <c r="AZ293" s="3">
        <f ca="1">IFERROR(__xludf.DUMMYFUNCTION("""COMPUTED_VALUE"""),30.51)</f>
        <v>30.51</v>
      </c>
      <c r="BA293" s="3">
        <f ca="1">IFERROR(__xludf.DUMMYFUNCTION("""COMPUTED_VALUE"""),30.99)</f>
        <v>30.99</v>
      </c>
      <c r="BB293" s="3">
        <f ca="1">IFERROR(__xludf.DUMMYFUNCTION("""COMPUTED_VALUE"""),1703922)</f>
        <v>1703922</v>
      </c>
      <c r="BC293" s="4">
        <f ca="1">IFERROR(__xludf.DUMMYFUNCTION("""COMPUTED_VALUE"""),42549.6666666666)</f>
        <v>42549.666666666599</v>
      </c>
      <c r="BD293" s="3">
        <f ca="1">IFERROR(__xludf.DUMMYFUNCTION("""COMPUTED_VALUE"""),41.89)</f>
        <v>41.89</v>
      </c>
      <c r="BE293" s="3">
        <f ca="1">IFERROR(__xludf.DUMMYFUNCTION("""COMPUTED_VALUE"""),42.25)</f>
        <v>42.25</v>
      </c>
      <c r="BF293" s="3">
        <f ca="1">IFERROR(__xludf.DUMMYFUNCTION("""COMPUTED_VALUE"""),41.82)</f>
        <v>41.82</v>
      </c>
      <c r="BG293" s="3">
        <f ca="1">IFERROR(__xludf.DUMMYFUNCTION("""COMPUTED_VALUE"""),42.25)</f>
        <v>42.25</v>
      </c>
      <c r="BH293" s="3">
        <f ca="1">IFERROR(__xludf.DUMMYFUNCTION("""COMPUTED_VALUE"""),13244697)</f>
        <v>13244697</v>
      </c>
      <c r="BI293" s="4">
        <f ca="1">IFERROR(__xludf.DUMMYFUNCTION("""COMPUTED_VALUE"""),42549.6666666666)</f>
        <v>42549.666666666599</v>
      </c>
      <c r="BJ293" s="3">
        <f ca="1">IFERROR(__xludf.DUMMYFUNCTION("""COMPUTED_VALUE"""),51.05)</f>
        <v>51.05</v>
      </c>
      <c r="BK293" s="3">
        <f ca="1">IFERROR(__xludf.DUMMYFUNCTION("""COMPUTED_VALUE"""),51.25)</f>
        <v>51.25</v>
      </c>
      <c r="BL293" s="3">
        <f ca="1">IFERROR(__xludf.DUMMYFUNCTION("""COMPUTED_VALUE"""),50.63)</f>
        <v>50.63</v>
      </c>
      <c r="BM293" s="3">
        <f ca="1">IFERROR(__xludf.DUMMYFUNCTION("""COMPUTED_VALUE"""),51.22)</f>
        <v>51.22</v>
      </c>
      <c r="BN293" s="3">
        <f ca="1">IFERROR(__xludf.DUMMYFUNCTION("""COMPUTED_VALUE"""),13207265)</f>
        <v>13207265</v>
      </c>
    </row>
    <row r="294" spans="7:66" ht="13" x14ac:dyDescent="0.15">
      <c r="G294" s="4">
        <f ca="1">IFERROR(__xludf.DUMMYFUNCTION("""COMPUTED_VALUE"""),42550.6666666666)</f>
        <v>42550.666666666599</v>
      </c>
      <c r="H294" s="3">
        <f ca="1">IFERROR(__xludf.DUMMYFUNCTION("""COMPUTED_VALUE"""),77.17)</f>
        <v>77.17</v>
      </c>
      <c r="I294" s="3">
        <f ca="1">IFERROR(__xludf.DUMMYFUNCTION("""COMPUTED_VALUE"""),77.62)</f>
        <v>77.62</v>
      </c>
      <c r="J294" s="3">
        <f ca="1">IFERROR(__xludf.DUMMYFUNCTION("""COMPUTED_VALUE"""),76.74)</f>
        <v>76.739999999999995</v>
      </c>
      <c r="K294" s="3">
        <f ca="1">IFERROR(__xludf.DUMMYFUNCTION("""COMPUTED_VALUE"""),77.49)</f>
        <v>77.489999999999995</v>
      </c>
      <c r="L294" s="3">
        <f ca="1">IFERROR(__xludf.DUMMYFUNCTION("""COMPUTED_VALUE"""),7053766)</f>
        <v>7053766</v>
      </c>
      <c r="M294" s="4">
        <f ca="1">IFERROR(__xludf.DUMMYFUNCTION("""COMPUTED_VALUE"""),42550.6666666666)</f>
        <v>42550.666666666599</v>
      </c>
      <c r="N294" s="3">
        <f ca="1">IFERROR(__xludf.DUMMYFUNCTION("""COMPUTED_VALUE"""),53.6)</f>
        <v>53.6</v>
      </c>
      <c r="O294" s="3">
        <f ca="1">IFERROR(__xludf.DUMMYFUNCTION("""COMPUTED_VALUE"""),53.97)</f>
        <v>53.97</v>
      </c>
      <c r="P294" s="3">
        <f ca="1">IFERROR(__xludf.DUMMYFUNCTION("""COMPUTED_VALUE"""),53.43)</f>
        <v>53.43</v>
      </c>
      <c r="Q294" s="3">
        <f ca="1">IFERROR(__xludf.DUMMYFUNCTION("""COMPUTED_VALUE"""),53.94)</f>
        <v>53.94</v>
      </c>
      <c r="R294" s="3">
        <f ca="1">IFERROR(__xludf.DUMMYFUNCTION("""COMPUTED_VALUE"""),10820963)</f>
        <v>10820963</v>
      </c>
      <c r="S294" s="4">
        <f ca="1">IFERROR(__xludf.DUMMYFUNCTION("""COMPUTED_VALUE"""),42550.6666666666)</f>
        <v>42550.666666666599</v>
      </c>
      <c r="T294" s="3">
        <f ca="1">IFERROR(__xludf.DUMMYFUNCTION("""COMPUTED_VALUE"""),66.85)</f>
        <v>66.849999999999994</v>
      </c>
      <c r="U294" s="3">
        <f ca="1">IFERROR(__xludf.DUMMYFUNCTION("""COMPUTED_VALUE"""),68.1)</f>
        <v>68.099999999999994</v>
      </c>
      <c r="V294" s="3">
        <f ca="1">IFERROR(__xludf.DUMMYFUNCTION("""COMPUTED_VALUE"""),66.85)</f>
        <v>66.849999999999994</v>
      </c>
      <c r="W294" s="3">
        <f ca="1">IFERROR(__xludf.DUMMYFUNCTION("""COMPUTED_VALUE"""),67.7)</f>
        <v>67.7</v>
      </c>
      <c r="X294" s="3">
        <f ca="1">IFERROR(__xludf.DUMMYFUNCTION("""COMPUTED_VALUE"""),16354428)</f>
        <v>16354428</v>
      </c>
      <c r="Y294" s="4">
        <f ca="1">IFERROR(__xludf.DUMMYFUNCTION("""COMPUTED_VALUE"""),42550.6666666666)</f>
        <v>42550.666666666599</v>
      </c>
      <c r="Z294" s="3">
        <f ca="1">IFERROR(__xludf.DUMMYFUNCTION("""COMPUTED_VALUE"""),18.02)</f>
        <v>18.02</v>
      </c>
      <c r="AA294" s="3">
        <f ca="1">IFERROR(__xludf.DUMMYFUNCTION("""COMPUTED_VALUE"""),18.27)</f>
        <v>18.27</v>
      </c>
      <c r="AB294" s="3">
        <f ca="1">IFERROR(__xludf.DUMMYFUNCTION("""COMPUTED_VALUE"""),17.98)</f>
        <v>17.98</v>
      </c>
      <c r="AC294" s="3">
        <f ca="1">IFERROR(__xludf.DUMMYFUNCTION("""COMPUTED_VALUE"""),18.27)</f>
        <v>18.27</v>
      </c>
      <c r="AD294" s="3">
        <f ca="1">IFERROR(__xludf.DUMMYFUNCTION("""COMPUTED_VALUE"""),81242054)</f>
        <v>81242054</v>
      </c>
      <c r="AE294" s="4">
        <f ca="1">IFERROR(__xludf.DUMMYFUNCTION("""COMPUTED_VALUE"""),42550.6666666666)</f>
        <v>42550.666666666599</v>
      </c>
      <c r="AF294" s="3">
        <f ca="1">IFERROR(__xludf.DUMMYFUNCTION("""COMPUTED_VALUE"""),70.2)</f>
        <v>70.2</v>
      </c>
      <c r="AG294" s="3">
        <f ca="1">IFERROR(__xludf.DUMMYFUNCTION("""COMPUTED_VALUE"""),71.24)</f>
        <v>71.239999999999995</v>
      </c>
      <c r="AH294" s="3">
        <f ca="1">IFERROR(__xludf.DUMMYFUNCTION("""COMPUTED_VALUE"""),70.2)</f>
        <v>70.2</v>
      </c>
      <c r="AI294" s="3">
        <f ca="1">IFERROR(__xludf.DUMMYFUNCTION("""COMPUTED_VALUE"""),71.04)</f>
        <v>71.040000000000006</v>
      </c>
      <c r="AJ294" s="3">
        <f ca="1">IFERROR(__xludf.DUMMYFUNCTION("""COMPUTED_VALUE"""),8968421)</f>
        <v>8968421</v>
      </c>
      <c r="AK294" s="4">
        <f ca="1">IFERROR(__xludf.DUMMYFUNCTION("""COMPUTED_VALUE"""),42550.6666666666)</f>
        <v>42550.666666666599</v>
      </c>
      <c r="AL294" s="3">
        <f ca="1">IFERROR(__xludf.DUMMYFUNCTION("""COMPUTED_VALUE"""),54.57)</f>
        <v>54.57</v>
      </c>
      <c r="AM294" s="3">
        <f ca="1">IFERROR(__xludf.DUMMYFUNCTION("""COMPUTED_VALUE"""),55.04)</f>
        <v>55.04</v>
      </c>
      <c r="AN294" s="3">
        <f ca="1">IFERROR(__xludf.DUMMYFUNCTION("""COMPUTED_VALUE"""),54.42)</f>
        <v>54.42</v>
      </c>
      <c r="AO294" s="3">
        <f ca="1">IFERROR(__xludf.DUMMYFUNCTION("""COMPUTED_VALUE"""),54.96)</f>
        <v>54.96</v>
      </c>
      <c r="AP294" s="3">
        <f ca="1">IFERROR(__xludf.DUMMYFUNCTION("""COMPUTED_VALUE"""),14316349)</f>
        <v>14316349</v>
      </c>
      <c r="AQ294" s="4">
        <f ca="1">IFERROR(__xludf.DUMMYFUNCTION("""COMPUTED_VALUE"""),42550.6666666666)</f>
        <v>42550.666666666599</v>
      </c>
      <c r="AR294" s="3">
        <f ca="1">IFERROR(__xludf.DUMMYFUNCTION("""COMPUTED_VALUE"""),45.4)</f>
        <v>45.4</v>
      </c>
      <c r="AS294" s="3">
        <f ca="1">IFERROR(__xludf.DUMMYFUNCTION("""COMPUTED_VALUE"""),45.76)</f>
        <v>45.76</v>
      </c>
      <c r="AT294" s="3">
        <f ca="1">IFERROR(__xludf.DUMMYFUNCTION("""COMPUTED_VALUE"""),45.29)</f>
        <v>45.29</v>
      </c>
      <c r="AU294" s="3">
        <f ca="1">IFERROR(__xludf.DUMMYFUNCTION("""COMPUTED_VALUE"""),45.61)</f>
        <v>45.61</v>
      </c>
      <c r="AV294" s="3">
        <f ca="1">IFERROR(__xludf.DUMMYFUNCTION("""COMPUTED_VALUE"""),6655461)</f>
        <v>6655461</v>
      </c>
      <c r="AW294" s="4">
        <f ca="1">IFERROR(__xludf.DUMMYFUNCTION("""COMPUTED_VALUE"""),42713.6666666666)</f>
        <v>42713.666666666599</v>
      </c>
      <c r="AX294" s="3">
        <f ca="1">IFERROR(__xludf.DUMMYFUNCTION("""COMPUTED_VALUE"""),30.94)</f>
        <v>30.94</v>
      </c>
      <c r="AY294" s="3">
        <f ca="1">IFERROR(__xludf.DUMMYFUNCTION("""COMPUTED_VALUE"""),31.26)</f>
        <v>31.26</v>
      </c>
      <c r="AZ294" s="3">
        <f ca="1">IFERROR(__xludf.DUMMYFUNCTION("""COMPUTED_VALUE"""),30.93)</f>
        <v>30.93</v>
      </c>
      <c r="BA294" s="3">
        <f ca="1">IFERROR(__xludf.DUMMYFUNCTION("""COMPUTED_VALUE"""),30.97)</f>
        <v>30.97</v>
      </c>
      <c r="BB294" s="3">
        <f ca="1">IFERROR(__xludf.DUMMYFUNCTION("""COMPUTED_VALUE"""),1664619)</f>
        <v>1664619</v>
      </c>
      <c r="BC294" s="4">
        <f ca="1">IFERROR(__xludf.DUMMYFUNCTION("""COMPUTED_VALUE"""),42550.6666666666)</f>
        <v>42550.666666666599</v>
      </c>
      <c r="BD294" s="3">
        <f ca="1">IFERROR(__xludf.DUMMYFUNCTION("""COMPUTED_VALUE"""),42.54)</f>
        <v>42.54</v>
      </c>
      <c r="BE294" s="3">
        <f ca="1">IFERROR(__xludf.DUMMYFUNCTION("""COMPUTED_VALUE"""),42.97)</f>
        <v>42.97</v>
      </c>
      <c r="BF294" s="3">
        <f ca="1">IFERROR(__xludf.DUMMYFUNCTION("""COMPUTED_VALUE"""),42.53)</f>
        <v>42.53</v>
      </c>
      <c r="BG294" s="3">
        <f ca="1">IFERROR(__xludf.DUMMYFUNCTION("""COMPUTED_VALUE"""),42.9)</f>
        <v>42.9</v>
      </c>
      <c r="BH294" s="3">
        <f ca="1">IFERROR(__xludf.DUMMYFUNCTION("""COMPUTED_VALUE"""),10504239)</f>
        <v>10504239</v>
      </c>
      <c r="BI294" s="4">
        <f ca="1">IFERROR(__xludf.DUMMYFUNCTION("""COMPUTED_VALUE"""),42550.6666666666)</f>
        <v>42550.666666666599</v>
      </c>
      <c r="BJ294" s="3">
        <f ca="1">IFERROR(__xludf.DUMMYFUNCTION("""COMPUTED_VALUE"""),51.46)</f>
        <v>51.46</v>
      </c>
      <c r="BK294" s="3">
        <f ca="1">IFERROR(__xludf.DUMMYFUNCTION("""COMPUTED_VALUE"""),51.6)</f>
        <v>51.6</v>
      </c>
      <c r="BL294" s="3">
        <f ca="1">IFERROR(__xludf.DUMMYFUNCTION("""COMPUTED_VALUE"""),51.18)</f>
        <v>51.18</v>
      </c>
      <c r="BM294" s="3">
        <f ca="1">IFERROR(__xludf.DUMMYFUNCTION("""COMPUTED_VALUE"""),51.36)</f>
        <v>51.36</v>
      </c>
      <c r="BN294" s="3">
        <f ca="1">IFERROR(__xludf.DUMMYFUNCTION("""COMPUTED_VALUE"""),14013443)</f>
        <v>14013443</v>
      </c>
    </row>
    <row r="295" spans="7:66" ht="13" x14ac:dyDescent="0.15">
      <c r="G295" s="4">
        <f ca="1">IFERROR(__xludf.DUMMYFUNCTION("""COMPUTED_VALUE"""),42551.6666666666)</f>
        <v>42551.666666666599</v>
      </c>
      <c r="H295" s="3">
        <f ca="1">IFERROR(__xludf.DUMMYFUNCTION("""COMPUTED_VALUE"""),77.73)</f>
        <v>77.73</v>
      </c>
      <c r="I295" s="3">
        <f ca="1">IFERROR(__xludf.DUMMYFUNCTION("""COMPUTED_VALUE"""),78.09)</f>
        <v>78.09</v>
      </c>
      <c r="J295" s="3">
        <f ca="1">IFERROR(__xludf.DUMMYFUNCTION("""COMPUTED_VALUE"""),77.23)</f>
        <v>77.23</v>
      </c>
      <c r="K295" s="3">
        <f ca="1">IFERROR(__xludf.DUMMYFUNCTION("""COMPUTED_VALUE"""),78.06)</f>
        <v>78.06</v>
      </c>
      <c r="L295" s="3">
        <f ca="1">IFERROR(__xludf.DUMMYFUNCTION("""COMPUTED_VALUE"""),6711840)</f>
        <v>6711840</v>
      </c>
      <c r="M295" s="4">
        <f ca="1">IFERROR(__xludf.DUMMYFUNCTION("""COMPUTED_VALUE"""),42551.6666666666)</f>
        <v>42551.666666666599</v>
      </c>
      <c r="N295" s="3">
        <f ca="1">IFERROR(__xludf.DUMMYFUNCTION("""COMPUTED_VALUE"""),54.01)</f>
        <v>54.01</v>
      </c>
      <c r="O295" s="3">
        <f ca="1">IFERROR(__xludf.DUMMYFUNCTION("""COMPUTED_VALUE"""),55.15)</f>
        <v>55.15</v>
      </c>
      <c r="P295" s="3">
        <f ca="1">IFERROR(__xludf.DUMMYFUNCTION("""COMPUTED_VALUE"""),54)</f>
        <v>54</v>
      </c>
      <c r="Q295" s="3">
        <f ca="1">IFERROR(__xludf.DUMMYFUNCTION("""COMPUTED_VALUE"""),55.15)</f>
        <v>55.15</v>
      </c>
      <c r="R295" s="3">
        <f ca="1">IFERROR(__xludf.DUMMYFUNCTION("""COMPUTED_VALUE"""),20984760)</f>
        <v>20984760</v>
      </c>
      <c r="S295" s="4">
        <f ca="1">IFERROR(__xludf.DUMMYFUNCTION("""COMPUTED_VALUE"""),42551.6666666666)</f>
        <v>42551.666666666599</v>
      </c>
      <c r="T295" s="3">
        <f ca="1">IFERROR(__xludf.DUMMYFUNCTION("""COMPUTED_VALUE"""),67.41)</f>
        <v>67.41</v>
      </c>
      <c r="U295" s="3">
        <f ca="1">IFERROR(__xludf.DUMMYFUNCTION("""COMPUTED_VALUE"""),68.28)</f>
        <v>68.28</v>
      </c>
      <c r="V295" s="3">
        <f ca="1">IFERROR(__xludf.DUMMYFUNCTION("""COMPUTED_VALUE"""),67.27)</f>
        <v>67.27</v>
      </c>
      <c r="W295" s="3">
        <f ca="1">IFERROR(__xludf.DUMMYFUNCTION("""COMPUTED_VALUE"""),68.24)</f>
        <v>68.239999999999995</v>
      </c>
      <c r="X295" s="3">
        <f ca="1">IFERROR(__xludf.DUMMYFUNCTION("""COMPUTED_VALUE"""),12132268)</f>
        <v>12132268</v>
      </c>
      <c r="Y295" s="4">
        <f ca="1">IFERROR(__xludf.DUMMYFUNCTION("""COMPUTED_VALUE"""),42551.6666666666)</f>
        <v>42551.666666666599</v>
      </c>
      <c r="Z295" s="3">
        <f ca="1">IFERROR(__xludf.DUMMYFUNCTION("""COMPUTED_VALUE"""),18.33)</f>
        <v>18.329999999999998</v>
      </c>
      <c r="AA295" s="3">
        <f ca="1">IFERROR(__xludf.DUMMYFUNCTION("""COMPUTED_VALUE"""),18.56)</f>
        <v>18.559999999999999</v>
      </c>
      <c r="AB295" s="3">
        <f ca="1">IFERROR(__xludf.DUMMYFUNCTION("""COMPUTED_VALUE"""),18.24)</f>
        <v>18.239999999999998</v>
      </c>
      <c r="AC295" s="3">
        <f ca="1">IFERROR(__xludf.DUMMYFUNCTION("""COMPUTED_VALUE"""),18.56)</f>
        <v>18.559999999999999</v>
      </c>
      <c r="AD295" s="3">
        <f ca="1">IFERROR(__xludf.DUMMYFUNCTION("""COMPUTED_VALUE"""),59063388)</f>
        <v>59063388</v>
      </c>
      <c r="AE295" s="4">
        <f ca="1">IFERROR(__xludf.DUMMYFUNCTION("""COMPUTED_VALUE"""),42551.6666666666)</f>
        <v>42551.666666666599</v>
      </c>
      <c r="AF295" s="3">
        <f ca="1">IFERROR(__xludf.DUMMYFUNCTION("""COMPUTED_VALUE"""),71.18)</f>
        <v>71.180000000000007</v>
      </c>
      <c r="AG295" s="3">
        <f ca="1">IFERROR(__xludf.DUMMYFUNCTION("""COMPUTED_VALUE"""),71.75)</f>
        <v>71.75</v>
      </c>
      <c r="AH295" s="3">
        <f ca="1">IFERROR(__xludf.DUMMYFUNCTION("""COMPUTED_VALUE"""),70.83)</f>
        <v>70.83</v>
      </c>
      <c r="AI295" s="3">
        <f ca="1">IFERROR(__xludf.DUMMYFUNCTION("""COMPUTED_VALUE"""),71.71)</f>
        <v>71.709999999999994</v>
      </c>
      <c r="AJ295" s="3">
        <f ca="1">IFERROR(__xludf.DUMMYFUNCTION("""COMPUTED_VALUE"""),9535175)</f>
        <v>9535175</v>
      </c>
      <c r="AK295" s="4">
        <f ca="1">IFERROR(__xludf.DUMMYFUNCTION("""COMPUTED_VALUE"""),42551.6666666666)</f>
        <v>42551.666666666599</v>
      </c>
      <c r="AL295" s="3">
        <f ca="1">IFERROR(__xludf.DUMMYFUNCTION("""COMPUTED_VALUE"""),54.87)</f>
        <v>54.87</v>
      </c>
      <c r="AM295" s="3">
        <f ca="1">IFERROR(__xludf.DUMMYFUNCTION("""COMPUTED_VALUE"""),56.03)</f>
        <v>56.03</v>
      </c>
      <c r="AN295" s="3">
        <f ca="1">IFERROR(__xludf.DUMMYFUNCTION("""COMPUTED_VALUE"""),54.86)</f>
        <v>54.86</v>
      </c>
      <c r="AO295" s="3">
        <f ca="1">IFERROR(__xludf.DUMMYFUNCTION("""COMPUTED_VALUE"""),56.01)</f>
        <v>56.01</v>
      </c>
      <c r="AP295" s="3">
        <f ca="1">IFERROR(__xludf.DUMMYFUNCTION("""COMPUTED_VALUE"""),19397757)</f>
        <v>19397757</v>
      </c>
      <c r="AQ295" s="4">
        <f ca="1">IFERROR(__xludf.DUMMYFUNCTION("""COMPUTED_VALUE"""),42551.6666666666)</f>
        <v>42551.666666666599</v>
      </c>
      <c r="AR295" s="3">
        <f ca="1">IFERROR(__xludf.DUMMYFUNCTION("""COMPUTED_VALUE"""),45.74)</f>
        <v>45.74</v>
      </c>
      <c r="AS295" s="3">
        <f ca="1">IFERROR(__xludf.DUMMYFUNCTION("""COMPUTED_VALUE"""),46.36)</f>
        <v>46.36</v>
      </c>
      <c r="AT295" s="3">
        <f ca="1">IFERROR(__xludf.DUMMYFUNCTION("""COMPUTED_VALUE"""),45.49)</f>
        <v>45.49</v>
      </c>
      <c r="AU295" s="3">
        <f ca="1">IFERROR(__xludf.DUMMYFUNCTION("""COMPUTED_VALUE"""),46.34)</f>
        <v>46.34</v>
      </c>
      <c r="AV295" s="3">
        <f ca="1">IFERROR(__xludf.DUMMYFUNCTION("""COMPUTED_VALUE"""),5977783)</f>
        <v>5977783</v>
      </c>
      <c r="AW295" s="4">
        <f ca="1">IFERROR(__xludf.DUMMYFUNCTION("""COMPUTED_VALUE"""),42716.6666666666)</f>
        <v>42716.666666666599</v>
      </c>
      <c r="AX295" s="3">
        <f ca="1">IFERROR(__xludf.DUMMYFUNCTION("""COMPUTED_VALUE"""),30.85)</f>
        <v>30.85</v>
      </c>
      <c r="AY295" s="3">
        <f ca="1">IFERROR(__xludf.DUMMYFUNCTION("""COMPUTED_VALUE"""),31.3)</f>
        <v>31.3</v>
      </c>
      <c r="AZ295" s="3">
        <f ca="1">IFERROR(__xludf.DUMMYFUNCTION("""COMPUTED_VALUE"""),30.79)</f>
        <v>30.79</v>
      </c>
      <c r="BA295" s="3">
        <f ca="1">IFERROR(__xludf.DUMMYFUNCTION("""COMPUTED_VALUE"""),31.29)</f>
        <v>31.29</v>
      </c>
      <c r="BB295" s="3">
        <f ca="1">IFERROR(__xludf.DUMMYFUNCTION("""COMPUTED_VALUE"""),2744787)</f>
        <v>2744787</v>
      </c>
      <c r="BC295" s="4">
        <f ca="1">IFERROR(__xludf.DUMMYFUNCTION("""COMPUTED_VALUE"""),42551.6666666666)</f>
        <v>42551.666666666599</v>
      </c>
      <c r="BD295" s="3">
        <f ca="1">IFERROR(__xludf.DUMMYFUNCTION("""COMPUTED_VALUE"""),43)</f>
        <v>43</v>
      </c>
      <c r="BE295" s="3">
        <f ca="1">IFERROR(__xludf.DUMMYFUNCTION("""COMPUTED_VALUE"""),43.39)</f>
        <v>43.39</v>
      </c>
      <c r="BF295" s="3">
        <f ca="1">IFERROR(__xludf.DUMMYFUNCTION("""COMPUTED_VALUE"""),42.9)</f>
        <v>42.9</v>
      </c>
      <c r="BG295" s="3">
        <f ca="1">IFERROR(__xludf.DUMMYFUNCTION("""COMPUTED_VALUE"""),43.37)</f>
        <v>43.37</v>
      </c>
      <c r="BH295" s="3">
        <f ca="1">IFERROR(__xludf.DUMMYFUNCTION("""COMPUTED_VALUE"""),13355324)</f>
        <v>13355324</v>
      </c>
      <c r="BI295" s="4">
        <f ca="1">IFERROR(__xludf.DUMMYFUNCTION("""COMPUTED_VALUE"""),42551.6666666666)</f>
        <v>42551.666666666599</v>
      </c>
      <c r="BJ295" s="3">
        <f ca="1">IFERROR(__xludf.DUMMYFUNCTION("""COMPUTED_VALUE"""),51.59)</f>
        <v>51.59</v>
      </c>
      <c r="BK295" s="3">
        <f ca="1">IFERROR(__xludf.DUMMYFUNCTION("""COMPUTED_VALUE"""),52.53)</f>
        <v>52.53</v>
      </c>
      <c r="BL295" s="3">
        <f ca="1">IFERROR(__xludf.DUMMYFUNCTION("""COMPUTED_VALUE"""),51.36)</f>
        <v>51.36</v>
      </c>
      <c r="BM295" s="3">
        <f ca="1">IFERROR(__xludf.DUMMYFUNCTION("""COMPUTED_VALUE"""),52.47)</f>
        <v>52.47</v>
      </c>
      <c r="BN295" s="3">
        <f ca="1">IFERROR(__xludf.DUMMYFUNCTION("""COMPUTED_VALUE"""),17372378)</f>
        <v>17372378</v>
      </c>
    </row>
    <row r="296" spans="7:66" ht="13" x14ac:dyDescent="0.15">
      <c r="G296" s="4">
        <f ca="1">IFERROR(__xludf.DUMMYFUNCTION("""COMPUTED_VALUE"""),42552.6666666666)</f>
        <v>42552.666666666599</v>
      </c>
      <c r="H296" s="3">
        <f ca="1">IFERROR(__xludf.DUMMYFUNCTION("""COMPUTED_VALUE"""),78.14)</f>
        <v>78.14</v>
      </c>
      <c r="I296" s="3">
        <f ca="1">IFERROR(__xludf.DUMMYFUNCTION("""COMPUTED_VALUE"""),79.05)</f>
        <v>79.05</v>
      </c>
      <c r="J296" s="3">
        <f ca="1">IFERROR(__xludf.DUMMYFUNCTION("""COMPUTED_VALUE"""),77.99)</f>
        <v>77.989999999999995</v>
      </c>
      <c r="K296" s="3">
        <f ca="1">IFERROR(__xludf.DUMMYFUNCTION("""COMPUTED_VALUE"""),78.87)</f>
        <v>78.87</v>
      </c>
      <c r="L296" s="3">
        <f ca="1">IFERROR(__xludf.DUMMYFUNCTION("""COMPUTED_VALUE"""),7130128)</f>
        <v>7130128</v>
      </c>
      <c r="M296" s="4">
        <f ca="1">IFERROR(__xludf.DUMMYFUNCTION("""COMPUTED_VALUE"""),42552.6666666666)</f>
        <v>42552.666666666599</v>
      </c>
      <c r="N296" s="3">
        <f ca="1">IFERROR(__xludf.DUMMYFUNCTION("""COMPUTED_VALUE"""),55.25)</f>
        <v>55.25</v>
      </c>
      <c r="O296" s="3">
        <f ca="1">IFERROR(__xludf.DUMMYFUNCTION("""COMPUTED_VALUE"""),55.27)</f>
        <v>55.27</v>
      </c>
      <c r="P296" s="3">
        <f ca="1">IFERROR(__xludf.DUMMYFUNCTION("""COMPUTED_VALUE"""),54.87)</f>
        <v>54.87</v>
      </c>
      <c r="Q296" s="3">
        <f ca="1">IFERROR(__xludf.DUMMYFUNCTION("""COMPUTED_VALUE"""),54.89)</f>
        <v>54.89</v>
      </c>
      <c r="R296" s="3">
        <f ca="1">IFERROR(__xludf.DUMMYFUNCTION("""COMPUTED_VALUE"""),14933906)</f>
        <v>14933906</v>
      </c>
      <c r="S296" s="4">
        <f ca="1">IFERROR(__xludf.DUMMYFUNCTION("""COMPUTED_VALUE"""),42552.6666666666)</f>
        <v>42552.666666666599</v>
      </c>
      <c r="T296" s="3">
        <f ca="1">IFERROR(__xludf.DUMMYFUNCTION("""COMPUTED_VALUE"""),68.16)</f>
        <v>68.16</v>
      </c>
      <c r="U296" s="3">
        <f ca="1">IFERROR(__xludf.DUMMYFUNCTION("""COMPUTED_VALUE"""),68.85)</f>
        <v>68.849999999999994</v>
      </c>
      <c r="V296" s="3">
        <f ca="1">IFERROR(__xludf.DUMMYFUNCTION("""COMPUTED_VALUE"""),68.11)</f>
        <v>68.11</v>
      </c>
      <c r="W296" s="3">
        <f ca="1">IFERROR(__xludf.DUMMYFUNCTION("""COMPUTED_VALUE"""),68.6)</f>
        <v>68.599999999999994</v>
      </c>
      <c r="X296" s="3">
        <f ca="1">IFERROR(__xludf.DUMMYFUNCTION("""COMPUTED_VALUE"""),12678827)</f>
        <v>12678827</v>
      </c>
      <c r="Y296" s="4">
        <f ca="1">IFERROR(__xludf.DUMMYFUNCTION("""COMPUTED_VALUE"""),42552.6666666666)</f>
        <v>42552.666666666599</v>
      </c>
      <c r="Z296" s="3">
        <f ca="1">IFERROR(__xludf.DUMMYFUNCTION("""COMPUTED_VALUE"""),18.49)</f>
        <v>18.489999999999998</v>
      </c>
      <c r="AA296" s="3">
        <f ca="1">IFERROR(__xludf.DUMMYFUNCTION("""COMPUTED_VALUE"""),18.6)</f>
        <v>18.600000000000001</v>
      </c>
      <c r="AB296" s="3">
        <f ca="1">IFERROR(__xludf.DUMMYFUNCTION("""COMPUTED_VALUE"""),18.43)</f>
        <v>18.43</v>
      </c>
      <c r="AC296" s="3">
        <f ca="1">IFERROR(__xludf.DUMMYFUNCTION("""COMPUTED_VALUE"""),18.47)</f>
        <v>18.47</v>
      </c>
      <c r="AD296" s="3">
        <f ca="1">IFERROR(__xludf.DUMMYFUNCTION("""COMPUTED_VALUE"""),36633114)</f>
        <v>36633114</v>
      </c>
      <c r="AE296" s="4">
        <f ca="1">IFERROR(__xludf.DUMMYFUNCTION("""COMPUTED_VALUE"""),42552.6666666666)</f>
        <v>42552.666666666599</v>
      </c>
      <c r="AF296" s="3">
        <f ca="1">IFERROR(__xludf.DUMMYFUNCTION("""COMPUTED_VALUE"""),71.87)</f>
        <v>71.87</v>
      </c>
      <c r="AG296" s="3">
        <f ca="1">IFERROR(__xludf.DUMMYFUNCTION("""COMPUTED_VALUE"""),72.33)</f>
        <v>72.33</v>
      </c>
      <c r="AH296" s="3">
        <f ca="1">IFERROR(__xludf.DUMMYFUNCTION("""COMPUTED_VALUE"""),71.64)</f>
        <v>71.64</v>
      </c>
      <c r="AI296" s="3">
        <f ca="1">IFERROR(__xludf.DUMMYFUNCTION("""COMPUTED_VALUE"""),72.16)</f>
        <v>72.16</v>
      </c>
      <c r="AJ296" s="3">
        <f ca="1">IFERROR(__xludf.DUMMYFUNCTION("""COMPUTED_VALUE"""),6793136)</f>
        <v>6793136</v>
      </c>
      <c r="AK296" s="4">
        <f ca="1">IFERROR(__xludf.DUMMYFUNCTION("""COMPUTED_VALUE"""),42552.6666666666)</f>
        <v>42552.666666666599</v>
      </c>
      <c r="AL296" s="3">
        <f ca="1">IFERROR(__xludf.DUMMYFUNCTION("""COMPUTED_VALUE"""),56.03)</f>
        <v>56.03</v>
      </c>
      <c r="AM296" s="3">
        <f ca="1">IFERROR(__xludf.DUMMYFUNCTION("""COMPUTED_VALUE"""),56.46)</f>
        <v>56.46</v>
      </c>
      <c r="AN296" s="3">
        <f ca="1">IFERROR(__xludf.DUMMYFUNCTION("""COMPUTED_VALUE"""),55.99)</f>
        <v>55.99</v>
      </c>
      <c r="AO296" s="3">
        <f ca="1">IFERROR(__xludf.DUMMYFUNCTION("""COMPUTED_VALUE"""),56.19)</f>
        <v>56.19</v>
      </c>
      <c r="AP296" s="3">
        <f ca="1">IFERROR(__xludf.DUMMYFUNCTION("""COMPUTED_VALUE"""),23322746)</f>
        <v>23322746</v>
      </c>
      <c r="AQ296" s="4">
        <f ca="1">IFERROR(__xludf.DUMMYFUNCTION("""COMPUTED_VALUE"""),42552.6666666666)</f>
        <v>42552.666666666599</v>
      </c>
      <c r="AR296" s="3">
        <f ca="1">IFERROR(__xludf.DUMMYFUNCTION("""COMPUTED_VALUE"""),46.34)</f>
        <v>46.34</v>
      </c>
      <c r="AS296" s="3">
        <f ca="1">IFERROR(__xludf.DUMMYFUNCTION("""COMPUTED_VALUE"""),46.66)</f>
        <v>46.66</v>
      </c>
      <c r="AT296" s="3">
        <f ca="1">IFERROR(__xludf.DUMMYFUNCTION("""COMPUTED_VALUE"""),46.21)</f>
        <v>46.21</v>
      </c>
      <c r="AU296" s="3">
        <f ca="1">IFERROR(__xludf.DUMMYFUNCTION("""COMPUTED_VALUE"""),46.36)</f>
        <v>46.36</v>
      </c>
      <c r="AV296" s="3">
        <f ca="1">IFERROR(__xludf.DUMMYFUNCTION("""COMPUTED_VALUE"""),4964119)</f>
        <v>4964119</v>
      </c>
      <c r="AW296" s="4">
        <f ca="1">IFERROR(__xludf.DUMMYFUNCTION("""COMPUTED_VALUE"""),42717.6666666666)</f>
        <v>42717.666666666599</v>
      </c>
      <c r="AX296" s="3">
        <f ca="1">IFERROR(__xludf.DUMMYFUNCTION("""COMPUTED_VALUE"""),31.41)</f>
        <v>31.41</v>
      </c>
      <c r="AY296" s="3">
        <f ca="1">IFERROR(__xludf.DUMMYFUNCTION("""COMPUTED_VALUE"""),31.48)</f>
        <v>31.48</v>
      </c>
      <c r="AZ296" s="3">
        <f ca="1">IFERROR(__xludf.DUMMYFUNCTION("""COMPUTED_VALUE"""),31.15)</f>
        <v>31.15</v>
      </c>
      <c r="BA296" s="3">
        <f ca="1">IFERROR(__xludf.DUMMYFUNCTION("""COMPUTED_VALUE"""),31.37)</f>
        <v>31.37</v>
      </c>
      <c r="BB296" s="3">
        <f ca="1">IFERROR(__xludf.DUMMYFUNCTION("""COMPUTED_VALUE"""),2182056)</f>
        <v>2182056</v>
      </c>
      <c r="BC296" s="4">
        <f ca="1">IFERROR(__xludf.DUMMYFUNCTION("""COMPUTED_VALUE"""),42552.6666666666)</f>
        <v>42552.666666666599</v>
      </c>
      <c r="BD296" s="3">
        <f ca="1">IFERROR(__xludf.DUMMYFUNCTION("""COMPUTED_VALUE"""),43.4)</f>
        <v>43.4</v>
      </c>
      <c r="BE296" s="3">
        <f ca="1">IFERROR(__xludf.DUMMYFUNCTION("""COMPUTED_VALUE"""),43.6)</f>
        <v>43.6</v>
      </c>
      <c r="BF296" s="3">
        <f ca="1">IFERROR(__xludf.DUMMYFUNCTION("""COMPUTED_VALUE"""),43.34)</f>
        <v>43.34</v>
      </c>
      <c r="BG296" s="3">
        <f ca="1">IFERROR(__xludf.DUMMYFUNCTION("""COMPUTED_VALUE"""),43.47)</f>
        <v>43.47</v>
      </c>
      <c r="BH296" s="3">
        <f ca="1">IFERROR(__xludf.DUMMYFUNCTION("""COMPUTED_VALUE"""),7474705)</f>
        <v>7474705</v>
      </c>
      <c r="BI296" s="4">
        <f ca="1">IFERROR(__xludf.DUMMYFUNCTION("""COMPUTED_VALUE"""),42552.6666666666)</f>
        <v>42552.666666666599</v>
      </c>
      <c r="BJ296" s="3">
        <f ca="1">IFERROR(__xludf.DUMMYFUNCTION("""COMPUTED_VALUE"""),52.76)</f>
        <v>52.76</v>
      </c>
      <c r="BK296" s="3">
        <f ca="1">IFERROR(__xludf.DUMMYFUNCTION("""COMPUTED_VALUE"""),52.76)</f>
        <v>52.76</v>
      </c>
      <c r="BL296" s="3">
        <f ca="1">IFERROR(__xludf.DUMMYFUNCTION("""COMPUTED_VALUE"""),51.94)</f>
        <v>51.94</v>
      </c>
      <c r="BM296" s="3">
        <f ca="1">IFERROR(__xludf.DUMMYFUNCTION("""COMPUTED_VALUE"""),52.48)</f>
        <v>52.48</v>
      </c>
      <c r="BN296" s="3">
        <f ca="1">IFERROR(__xludf.DUMMYFUNCTION("""COMPUTED_VALUE"""),17480829)</f>
        <v>17480829</v>
      </c>
    </row>
    <row r="297" spans="7:66" ht="13" x14ac:dyDescent="0.15">
      <c r="G297" s="4">
        <f ca="1">IFERROR(__xludf.DUMMYFUNCTION("""COMPUTED_VALUE"""),42556.6666666666)</f>
        <v>42556.666666666599</v>
      </c>
      <c r="H297" s="3">
        <f ca="1">IFERROR(__xludf.DUMMYFUNCTION("""COMPUTED_VALUE"""),78.38)</f>
        <v>78.38</v>
      </c>
      <c r="I297" s="3">
        <f ca="1">IFERROR(__xludf.DUMMYFUNCTION("""COMPUTED_VALUE"""),78.54)</f>
        <v>78.540000000000006</v>
      </c>
      <c r="J297" s="3">
        <f ca="1">IFERROR(__xludf.DUMMYFUNCTION("""COMPUTED_VALUE"""),77.74)</f>
        <v>77.739999999999995</v>
      </c>
      <c r="K297" s="3">
        <f ca="1">IFERROR(__xludf.DUMMYFUNCTION("""COMPUTED_VALUE"""),78.23)</f>
        <v>78.23</v>
      </c>
      <c r="L297" s="3">
        <f ca="1">IFERROR(__xludf.DUMMYFUNCTION("""COMPUTED_VALUE"""),7317558)</f>
        <v>7317558</v>
      </c>
      <c r="M297" s="4">
        <f ca="1">IFERROR(__xludf.DUMMYFUNCTION("""COMPUTED_VALUE"""),42556.6666666666)</f>
        <v>42556.666666666599</v>
      </c>
      <c r="N297" s="3">
        <f ca="1">IFERROR(__xludf.DUMMYFUNCTION("""COMPUTED_VALUE"""),54.82)</f>
        <v>54.82</v>
      </c>
      <c r="O297" s="3">
        <f ca="1">IFERROR(__xludf.DUMMYFUNCTION("""COMPUTED_VALUE"""),55.55)</f>
        <v>55.55</v>
      </c>
      <c r="P297" s="3">
        <f ca="1">IFERROR(__xludf.DUMMYFUNCTION("""COMPUTED_VALUE"""),54.82)</f>
        <v>54.82</v>
      </c>
      <c r="Q297" s="3">
        <f ca="1">IFERROR(__xludf.DUMMYFUNCTION("""COMPUTED_VALUE"""),55.2)</f>
        <v>55.2</v>
      </c>
      <c r="R297" s="3">
        <f ca="1">IFERROR(__xludf.DUMMYFUNCTION("""COMPUTED_VALUE"""),19917077)</f>
        <v>19917077</v>
      </c>
      <c r="S297" s="4">
        <f ca="1">IFERROR(__xludf.DUMMYFUNCTION("""COMPUTED_VALUE"""),42556.6666666666)</f>
        <v>42556.666666666599</v>
      </c>
      <c r="T297" s="3">
        <f ca="1">IFERROR(__xludf.DUMMYFUNCTION("""COMPUTED_VALUE"""),67.68)</f>
        <v>67.680000000000007</v>
      </c>
      <c r="U297" s="3">
        <f ca="1">IFERROR(__xludf.DUMMYFUNCTION("""COMPUTED_VALUE"""),67.92)</f>
        <v>67.92</v>
      </c>
      <c r="V297" s="3">
        <f ca="1">IFERROR(__xludf.DUMMYFUNCTION("""COMPUTED_VALUE"""),66.55)</f>
        <v>66.55</v>
      </c>
      <c r="W297" s="3">
        <f ca="1">IFERROR(__xludf.DUMMYFUNCTION("""COMPUTED_VALUE"""),67.22)</f>
        <v>67.22</v>
      </c>
      <c r="X297" s="3">
        <f ca="1">IFERROR(__xludf.DUMMYFUNCTION("""COMPUTED_VALUE"""),15069921)</f>
        <v>15069921</v>
      </c>
      <c r="Y297" s="4">
        <f ca="1">IFERROR(__xludf.DUMMYFUNCTION("""COMPUTED_VALUE"""),42556.6666666666)</f>
        <v>42556.666666666599</v>
      </c>
      <c r="Z297" s="3">
        <f ca="1">IFERROR(__xludf.DUMMYFUNCTION("""COMPUTED_VALUE"""),18.29)</f>
        <v>18.29</v>
      </c>
      <c r="AA297" s="3">
        <f ca="1">IFERROR(__xludf.DUMMYFUNCTION("""COMPUTED_VALUE"""),18.34)</f>
        <v>18.34</v>
      </c>
      <c r="AB297" s="3">
        <f ca="1">IFERROR(__xludf.DUMMYFUNCTION("""COMPUTED_VALUE"""),18.1)</f>
        <v>18.100000000000001</v>
      </c>
      <c r="AC297" s="3">
        <f ca="1">IFERROR(__xludf.DUMMYFUNCTION("""COMPUTED_VALUE"""),18.19)</f>
        <v>18.190000000000001</v>
      </c>
      <c r="AD297" s="3">
        <f ca="1">IFERROR(__xludf.DUMMYFUNCTION("""COMPUTED_VALUE"""),48380956)</f>
        <v>48380956</v>
      </c>
      <c r="AE297" s="4">
        <f ca="1">IFERROR(__xludf.DUMMYFUNCTION("""COMPUTED_VALUE"""),42556.6666666666)</f>
        <v>42556.666666666599</v>
      </c>
      <c r="AF297" s="3">
        <f ca="1">IFERROR(__xludf.DUMMYFUNCTION("""COMPUTED_VALUE"""),71.73)</f>
        <v>71.73</v>
      </c>
      <c r="AG297" s="3">
        <f ca="1">IFERROR(__xludf.DUMMYFUNCTION("""COMPUTED_VALUE"""),72.38)</f>
        <v>72.38</v>
      </c>
      <c r="AH297" s="3">
        <f ca="1">IFERROR(__xludf.DUMMYFUNCTION("""COMPUTED_VALUE"""),71.73)</f>
        <v>71.73</v>
      </c>
      <c r="AI297" s="3">
        <f ca="1">IFERROR(__xludf.DUMMYFUNCTION("""COMPUTED_VALUE"""),72.09)</f>
        <v>72.09</v>
      </c>
      <c r="AJ297" s="3">
        <f ca="1">IFERROR(__xludf.DUMMYFUNCTION("""COMPUTED_VALUE"""),8359777)</f>
        <v>8359777</v>
      </c>
      <c r="AK297" s="4">
        <f ca="1">IFERROR(__xludf.DUMMYFUNCTION("""COMPUTED_VALUE"""),42556.6666666666)</f>
        <v>42556.666666666599</v>
      </c>
      <c r="AL297" s="3">
        <f ca="1">IFERROR(__xludf.DUMMYFUNCTION("""COMPUTED_VALUE"""),55.88)</f>
        <v>55.88</v>
      </c>
      <c r="AM297" s="3">
        <f ca="1">IFERROR(__xludf.DUMMYFUNCTION("""COMPUTED_VALUE"""),56.27)</f>
        <v>56.27</v>
      </c>
      <c r="AN297" s="3">
        <f ca="1">IFERROR(__xludf.DUMMYFUNCTION("""COMPUTED_VALUE"""),55.42)</f>
        <v>55.42</v>
      </c>
      <c r="AO297" s="3">
        <f ca="1">IFERROR(__xludf.DUMMYFUNCTION("""COMPUTED_VALUE"""),55.68)</f>
        <v>55.68</v>
      </c>
      <c r="AP297" s="3">
        <f ca="1">IFERROR(__xludf.DUMMYFUNCTION("""COMPUTED_VALUE"""),14808577)</f>
        <v>14808577</v>
      </c>
      <c r="AQ297" s="4">
        <f ca="1">IFERROR(__xludf.DUMMYFUNCTION("""COMPUTED_VALUE"""),42556.6666666666)</f>
        <v>42556.666666666599</v>
      </c>
      <c r="AR297" s="3">
        <f ca="1">IFERROR(__xludf.DUMMYFUNCTION("""COMPUTED_VALUE"""),46.12)</f>
        <v>46.12</v>
      </c>
      <c r="AS297" s="3">
        <f ca="1">IFERROR(__xludf.DUMMYFUNCTION("""COMPUTED_VALUE"""),46.3)</f>
        <v>46.3</v>
      </c>
      <c r="AT297" s="3">
        <f ca="1">IFERROR(__xludf.DUMMYFUNCTION("""COMPUTED_VALUE"""),45.36)</f>
        <v>45.36</v>
      </c>
      <c r="AU297" s="3">
        <f ca="1">IFERROR(__xludf.DUMMYFUNCTION("""COMPUTED_VALUE"""),45.52)</f>
        <v>45.52</v>
      </c>
      <c r="AV297" s="3">
        <f ca="1">IFERROR(__xludf.DUMMYFUNCTION("""COMPUTED_VALUE"""),5570113)</f>
        <v>5570113</v>
      </c>
      <c r="AW297" s="4">
        <f ca="1">IFERROR(__xludf.DUMMYFUNCTION("""COMPUTED_VALUE"""),42718.6666666666)</f>
        <v>42718.666666666599</v>
      </c>
      <c r="AX297" s="3">
        <f ca="1">IFERROR(__xludf.DUMMYFUNCTION("""COMPUTED_VALUE"""),31.34)</f>
        <v>31.34</v>
      </c>
      <c r="AY297" s="3">
        <f ca="1">IFERROR(__xludf.DUMMYFUNCTION("""COMPUTED_VALUE"""),31.4)</f>
        <v>31.4</v>
      </c>
      <c r="AZ297" s="3">
        <f ca="1">IFERROR(__xludf.DUMMYFUNCTION("""COMPUTED_VALUE"""),30.73)</f>
        <v>30.73</v>
      </c>
      <c r="BA297" s="3">
        <f ca="1">IFERROR(__xludf.DUMMYFUNCTION("""COMPUTED_VALUE"""),30.82)</f>
        <v>30.82</v>
      </c>
      <c r="BB297" s="3">
        <f ca="1">IFERROR(__xludf.DUMMYFUNCTION("""COMPUTED_VALUE"""),3364030)</f>
        <v>3364030</v>
      </c>
      <c r="BC297" s="4">
        <f ca="1">IFERROR(__xludf.DUMMYFUNCTION("""COMPUTED_VALUE"""),42556.6666666666)</f>
        <v>42556.666666666599</v>
      </c>
      <c r="BD297" s="3">
        <f ca="1">IFERROR(__xludf.DUMMYFUNCTION("""COMPUTED_VALUE"""),43.24)</f>
        <v>43.24</v>
      </c>
      <c r="BE297" s="3">
        <f ca="1">IFERROR(__xludf.DUMMYFUNCTION("""COMPUTED_VALUE"""),43.3)</f>
        <v>43.3</v>
      </c>
      <c r="BF297" s="3">
        <f ca="1">IFERROR(__xludf.DUMMYFUNCTION("""COMPUTED_VALUE"""),43.02)</f>
        <v>43.02</v>
      </c>
      <c r="BG297" s="3">
        <f ca="1">IFERROR(__xludf.DUMMYFUNCTION("""COMPUTED_VALUE"""),43.15)</f>
        <v>43.15</v>
      </c>
      <c r="BH297" s="3">
        <f ca="1">IFERROR(__xludf.DUMMYFUNCTION("""COMPUTED_VALUE"""),8680740)</f>
        <v>8680740</v>
      </c>
      <c r="BI297" s="4">
        <f ca="1">IFERROR(__xludf.DUMMYFUNCTION("""COMPUTED_VALUE"""),42556.6666666666)</f>
        <v>42556.666666666599</v>
      </c>
      <c r="BJ297" s="3">
        <f ca="1">IFERROR(__xludf.DUMMYFUNCTION("""COMPUTED_VALUE"""),52.64)</f>
        <v>52.64</v>
      </c>
      <c r="BK297" s="3">
        <f ca="1">IFERROR(__xludf.DUMMYFUNCTION("""COMPUTED_VALUE"""),52.95)</f>
        <v>52.95</v>
      </c>
      <c r="BL297" s="3">
        <f ca="1">IFERROR(__xludf.DUMMYFUNCTION("""COMPUTED_VALUE"""),52.48)</f>
        <v>52.48</v>
      </c>
      <c r="BM297" s="3">
        <f ca="1">IFERROR(__xludf.DUMMYFUNCTION("""COMPUTED_VALUE"""),52.87)</f>
        <v>52.87</v>
      </c>
      <c r="BN297" s="3">
        <f ca="1">IFERROR(__xludf.DUMMYFUNCTION("""COMPUTED_VALUE"""),12553428)</f>
        <v>12553428</v>
      </c>
    </row>
    <row r="298" spans="7:66" ht="13" x14ac:dyDescent="0.15">
      <c r="G298" s="4">
        <f ca="1">IFERROR(__xludf.DUMMYFUNCTION("""COMPUTED_VALUE"""),42557.6666666666)</f>
        <v>42557.666666666599</v>
      </c>
      <c r="H298" s="3">
        <f ca="1">IFERROR(__xludf.DUMMYFUNCTION("""COMPUTED_VALUE"""),77.91)</f>
        <v>77.91</v>
      </c>
      <c r="I298" s="3">
        <f ca="1">IFERROR(__xludf.DUMMYFUNCTION("""COMPUTED_VALUE"""),78.9)</f>
        <v>78.900000000000006</v>
      </c>
      <c r="J298" s="3">
        <f ca="1">IFERROR(__xludf.DUMMYFUNCTION("""COMPUTED_VALUE"""),77.74)</f>
        <v>77.739999999999995</v>
      </c>
      <c r="K298" s="3">
        <f ca="1">IFERROR(__xludf.DUMMYFUNCTION("""COMPUTED_VALUE"""),78.9)</f>
        <v>78.900000000000006</v>
      </c>
      <c r="L298" s="3">
        <f ca="1">IFERROR(__xludf.DUMMYFUNCTION("""COMPUTED_VALUE"""),7780623)</f>
        <v>7780623</v>
      </c>
      <c r="M298" s="4">
        <f ca="1">IFERROR(__xludf.DUMMYFUNCTION("""COMPUTED_VALUE"""),42557.6666666666)</f>
        <v>42557.666666666599</v>
      </c>
      <c r="N298" s="3">
        <f ca="1">IFERROR(__xludf.DUMMYFUNCTION("""COMPUTED_VALUE"""),55.19)</f>
        <v>55.19</v>
      </c>
      <c r="O298" s="3">
        <f ca="1">IFERROR(__xludf.DUMMYFUNCTION("""COMPUTED_VALUE"""),55.34)</f>
        <v>55.34</v>
      </c>
      <c r="P298" s="3">
        <f ca="1">IFERROR(__xludf.DUMMYFUNCTION("""COMPUTED_VALUE"""),54.91)</f>
        <v>54.91</v>
      </c>
      <c r="Q298" s="3">
        <f ca="1">IFERROR(__xludf.DUMMYFUNCTION("""COMPUTED_VALUE"""),55.25)</f>
        <v>55.25</v>
      </c>
      <c r="R298" s="3">
        <f ca="1">IFERROR(__xludf.DUMMYFUNCTION("""COMPUTED_VALUE"""),19540038)</f>
        <v>19540038</v>
      </c>
      <c r="S298" s="4">
        <f ca="1">IFERROR(__xludf.DUMMYFUNCTION("""COMPUTED_VALUE"""),42557.6666666666)</f>
        <v>42557.666666666599</v>
      </c>
      <c r="T298" s="3">
        <f ca="1">IFERROR(__xludf.DUMMYFUNCTION("""COMPUTED_VALUE"""),66.83)</f>
        <v>66.83</v>
      </c>
      <c r="U298" s="3">
        <f ca="1">IFERROR(__xludf.DUMMYFUNCTION("""COMPUTED_VALUE"""),67.56)</f>
        <v>67.56</v>
      </c>
      <c r="V298" s="3">
        <f ca="1">IFERROR(__xludf.DUMMYFUNCTION("""COMPUTED_VALUE"""),66.37)</f>
        <v>66.37</v>
      </c>
      <c r="W298" s="3">
        <f ca="1">IFERROR(__xludf.DUMMYFUNCTION("""COMPUTED_VALUE"""),67.51)</f>
        <v>67.510000000000005</v>
      </c>
      <c r="X298" s="3">
        <f ca="1">IFERROR(__xludf.DUMMYFUNCTION("""COMPUTED_VALUE"""),15897473)</f>
        <v>15897473</v>
      </c>
      <c r="Y298" s="4">
        <f ca="1">IFERROR(__xludf.DUMMYFUNCTION("""COMPUTED_VALUE"""),42557.6666666666)</f>
        <v>42557.666666666599</v>
      </c>
      <c r="Z298" s="3">
        <f ca="1">IFERROR(__xludf.DUMMYFUNCTION("""COMPUTED_VALUE"""),18.04)</f>
        <v>18.04</v>
      </c>
      <c r="AA298" s="3">
        <f ca="1">IFERROR(__xludf.DUMMYFUNCTION("""COMPUTED_VALUE"""),18.26)</f>
        <v>18.260000000000002</v>
      </c>
      <c r="AB298" s="3">
        <f ca="1">IFERROR(__xludf.DUMMYFUNCTION("""COMPUTED_VALUE"""),18)</f>
        <v>18</v>
      </c>
      <c r="AC298" s="3">
        <f ca="1">IFERROR(__xludf.DUMMYFUNCTION("""COMPUTED_VALUE"""),18.24)</f>
        <v>18.239999999999998</v>
      </c>
      <c r="AD298" s="3">
        <f ca="1">IFERROR(__xludf.DUMMYFUNCTION("""COMPUTED_VALUE"""),47571990)</f>
        <v>47571990</v>
      </c>
      <c r="AE298" s="4">
        <f ca="1">IFERROR(__xludf.DUMMYFUNCTION("""COMPUTED_VALUE"""),42557.6666666666)</f>
        <v>42557.666666666599</v>
      </c>
      <c r="AF298" s="3">
        <f ca="1">IFERROR(__xludf.DUMMYFUNCTION("""COMPUTED_VALUE"""),71.98)</f>
        <v>71.98</v>
      </c>
      <c r="AG298" s="3">
        <f ca="1">IFERROR(__xludf.DUMMYFUNCTION("""COMPUTED_VALUE"""),73.05)</f>
        <v>73.05</v>
      </c>
      <c r="AH298" s="3">
        <f ca="1">IFERROR(__xludf.DUMMYFUNCTION("""COMPUTED_VALUE"""),71.9)</f>
        <v>71.900000000000006</v>
      </c>
      <c r="AI298" s="3">
        <f ca="1">IFERROR(__xludf.DUMMYFUNCTION("""COMPUTED_VALUE"""),72.9)</f>
        <v>72.900000000000006</v>
      </c>
      <c r="AJ298" s="3">
        <f ca="1">IFERROR(__xludf.DUMMYFUNCTION("""COMPUTED_VALUE"""),18791528)</f>
        <v>18791528</v>
      </c>
      <c r="AK298" s="4">
        <f ca="1">IFERROR(__xludf.DUMMYFUNCTION("""COMPUTED_VALUE"""),42557.6666666666)</f>
        <v>42557.666666666599</v>
      </c>
      <c r="AL298" s="3">
        <f ca="1">IFERROR(__xludf.DUMMYFUNCTION("""COMPUTED_VALUE"""),55.52)</f>
        <v>55.52</v>
      </c>
      <c r="AM298" s="3">
        <f ca="1">IFERROR(__xludf.DUMMYFUNCTION("""COMPUTED_VALUE"""),56)</f>
        <v>56</v>
      </c>
      <c r="AN298" s="3">
        <f ca="1">IFERROR(__xludf.DUMMYFUNCTION("""COMPUTED_VALUE"""),55.09)</f>
        <v>55.09</v>
      </c>
      <c r="AO298" s="3">
        <f ca="1">IFERROR(__xludf.DUMMYFUNCTION("""COMPUTED_VALUE"""),55.96)</f>
        <v>55.96</v>
      </c>
      <c r="AP298" s="3">
        <f ca="1">IFERROR(__xludf.DUMMYFUNCTION("""COMPUTED_VALUE"""),12776363)</f>
        <v>12776363</v>
      </c>
      <c r="AQ298" s="4">
        <f ca="1">IFERROR(__xludf.DUMMYFUNCTION("""COMPUTED_VALUE"""),42557.6666666666)</f>
        <v>42557.666666666599</v>
      </c>
      <c r="AR298" s="3">
        <f ca="1">IFERROR(__xludf.DUMMYFUNCTION("""COMPUTED_VALUE"""),45.36)</f>
        <v>45.36</v>
      </c>
      <c r="AS298" s="3">
        <f ca="1">IFERROR(__xludf.DUMMYFUNCTION("""COMPUTED_VALUE"""),45.76)</f>
        <v>45.76</v>
      </c>
      <c r="AT298" s="3">
        <f ca="1">IFERROR(__xludf.DUMMYFUNCTION("""COMPUTED_VALUE"""),45.01)</f>
        <v>45.01</v>
      </c>
      <c r="AU298" s="3">
        <f ca="1">IFERROR(__xludf.DUMMYFUNCTION("""COMPUTED_VALUE"""),45.7)</f>
        <v>45.7</v>
      </c>
      <c r="AV298" s="3">
        <f ca="1">IFERROR(__xludf.DUMMYFUNCTION("""COMPUTED_VALUE"""),5837925)</f>
        <v>5837925</v>
      </c>
      <c r="AW298" s="4">
        <f ca="1">IFERROR(__xludf.DUMMYFUNCTION("""COMPUTED_VALUE"""),42719.6666666666)</f>
        <v>42719.666666666599</v>
      </c>
      <c r="AX298" s="3">
        <f ca="1">IFERROR(__xludf.DUMMYFUNCTION("""COMPUTED_VALUE"""),30.73)</f>
        <v>30.73</v>
      </c>
      <c r="AY298" s="3">
        <f ca="1">IFERROR(__xludf.DUMMYFUNCTION("""COMPUTED_VALUE"""),30.93)</f>
        <v>30.93</v>
      </c>
      <c r="AZ298" s="3">
        <f ca="1">IFERROR(__xludf.DUMMYFUNCTION("""COMPUTED_VALUE"""),30.51)</f>
        <v>30.51</v>
      </c>
      <c r="BA298" s="3">
        <f ca="1">IFERROR(__xludf.DUMMYFUNCTION("""COMPUTED_VALUE"""),30.57)</f>
        <v>30.57</v>
      </c>
      <c r="BB298" s="3">
        <f ca="1">IFERROR(__xludf.DUMMYFUNCTION("""COMPUTED_VALUE"""),3224742)</f>
        <v>3224742</v>
      </c>
      <c r="BC298" s="4">
        <f ca="1">IFERROR(__xludf.DUMMYFUNCTION("""COMPUTED_VALUE"""),42557.6666666666)</f>
        <v>42557.666666666599</v>
      </c>
      <c r="BD298" s="3">
        <f ca="1">IFERROR(__xludf.DUMMYFUNCTION("""COMPUTED_VALUE"""),43.01)</f>
        <v>43.01</v>
      </c>
      <c r="BE298" s="3">
        <f ca="1">IFERROR(__xludf.DUMMYFUNCTION("""COMPUTED_VALUE"""),43.46)</f>
        <v>43.46</v>
      </c>
      <c r="BF298" s="3">
        <f ca="1">IFERROR(__xludf.DUMMYFUNCTION("""COMPUTED_VALUE"""),42.86)</f>
        <v>42.86</v>
      </c>
      <c r="BG298" s="3">
        <f ca="1">IFERROR(__xludf.DUMMYFUNCTION("""COMPUTED_VALUE"""),43.45)</f>
        <v>43.45</v>
      </c>
      <c r="BH298" s="3">
        <f ca="1">IFERROR(__xludf.DUMMYFUNCTION("""COMPUTED_VALUE"""),7850842)</f>
        <v>7850842</v>
      </c>
      <c r="BI298" s="4">
        <f ca="1">IFERROR(__xludf.DUMMYFUNCTION("""COMPUTED_VALUE"""),42557.6666666666)</f>
        <v>42557.666666666599</v>
      </c>
      <c r="BJ298" s="3">
        <f ca="1">IFERROR(__xludf.DUMMYFUNCTION("""COMPUTED_VALUE"""),52.81)</f>
        <v>52.81</v>
      </c>
      <c r="BK298" s="3">
        <f ca="1">IFERROR(__xludf.DUMMYFUNCTION("""COMPUTED_VALUE"""),53.02)</f>
        <v>53.02</v>
      </c>
      <c r="BL298" s="3">
        <f ca="1">IFERROR(__xludf.DUMMYFUNCTION("""COMPUTED_VALUE"""),52.5)</f>
        <v>52.5</v>
      </c>
      <c r="BM298" s="3">
        <f ca="1">IFERROR(__xludf.DUMMYFUNCTION("""COMPUTED_VALUE"""),52.98)</f>
        <v>52.98</v>
      </c>
      <c r="BN298" s="3">
        <f ca="1">IFERROR(__xludf.DUMMYFUNCTION("""COMPUTED_VALUE"""),15102661)</f>
        <v>15102661</v>
      </c>
    </row>
    <row r="299" spans="7:66" ht="13" x14ac:dyDescent="0.15">
      <c r="G299" s="4">
        <f ca="1">IFERROR(__xludf.DUMMYFUNCTION("""COMPUTED_VALUE"""),42558.6666666666)</f>
        <v>42558.666666666599</v>
      </c>
      <c r="H299" s="3">
        <f ca="1">IFERROR(__xludf.DUMMYFUNCTION("""COMPUTED_VALUE"""),78.78)</f>
        <v>78.78</v>
      </c>
      <c r="I299" s="3">
        <f ca="1">IFERROR(__xludf.DUMMYFUNCTION("""COMPUTED_VALUE"""),79.24)</f>
        <v>79.239999999999995</v>
      </c>
      <c r="J299" s="3">
        <f ca="1">IFERROR(__xludf.DUMMYFUNCTION("""COMPUTED_VALUE"""),78.71)</f>
        <v>78.709999999999994</v>
      </c>
      <c r="K299" s="3">
        <f ca="1">IFERROR(__xludf.DUMMYFUNCTION("""COMPUTED_VALUE"""),79.24)</f>
        <v>79.239999999999995</v>
      </c>
      <c r="L299" s="3">
        <f ca="1">IFERROR(__xludf.DUMMYFUNCTION("""COMPUTED_VALUE"""),9242827)</f>
        <v>9242827</v>
      </c>
      <c r="M299" s="4">
        <f ca="1">IFERROR(__xludf.DUMMYFUNCTION("""COMPUTED_VALUE"""),42558.6666666666)</f>
        <v>42558.666666666599</v>
      </c>
      <c r="N299" s="3">
        <f ca="1">IFERROR(__xludf.DUMMYFUNCTION("""COMPUTED_VALUE"""),55.39)</f>
        <v>55.39</v>
      </c>
      <c r="O299" s="3">
        <f ca="1">IFERROR(__xludf.DUMMYFUNCTION("""COMPUTED_VALUE"""),55.49)</f>
        <v>55.49</v>
      </c>
      <c r="P299" s="3">
        <f ca="1">IFERROR(__xludf.DUMMYFUNCTION("""COMPUTED_VALUE"""),55.03)</f>
        <v>55.03</v>
      </c>
      <c r="Q299" s="3">
        <f ca="1">IFERROR(__xludf.DUMMYFUNCTION("""COMPUTED_VALUE"""),55.14)</f>
        <v>55.14</v>
      </c>
      <c r="R299" s="3">
        <f ca="1">IFERROR(__xludf.DUMMYFUNCTION("""COMPUTED_VALUE"""),15618144)</f>
        <v>15618144</v>
      </c>
      <c r="S299" s="4">
        <f ca="1">IFERROR(__xludf.DUMMYFUNCTION("""COMPUTED_VALUE"""),42558.6666666666)</f>
        <v>42558.666666666599</v>
      </c>
      <c r="T299" s="3">
        <f ca="1">IFERROR(__xludf.DUMMYFUNCTION("""COMPUTED_VALUE"""),67.91)</f>
        <v>67.91</v>
      </c>
      <c r="U299" s="3">
        <f ca="1">IFERROR(__xludf.DUMMYFUNCTION("""COMPUTED_VALUE"""),68.34)</f>
        <v>68.34</v>
      </c>
      <c r="V299" s="3">
        <f ca="1">IFERROR(__xludf.DUMMYFUNCTION("""COMPUTED_VALUE"""),66.35)</f>
        <v>66.349999999999994</v>
      </c>
      <c r="W299" s="3">
        <f ca="1">IFERROR(__xludf.DUMMYFUNCTION("""COMPUTED_VALUE"""),66.82)</f>
        <v>66.819999999999993</v>
      </c>
      <c r="X299" s="3">
        <f ca="1">IFERROR(__xludf.DUMMYFUNCTION("""COMPUTED_VALUE"""),14097789)</f>
        <v>14097789</v>
      </c>
      <c r="Y299" s="4">
        <f ca="1">IFERROR(__xludf.DUMMYFUNCTION("""COMPUTED_VALUE"""),42558.6666666666)</f>
        <v>42558.666666666599</v>
      </c>
      <c r="Z299" s="3">
        <f ca="1">IFERROR(__xludf.DUMMYFUNCTION("""COMPUTED_VALUE"""),18.3)</f>
        <v>18.3</v>
      </c>
      <c r="AA299" s="3">
        <f ca="1">IFERROR(__xludf.DUMMYFUNCTION("""COMPUTED_VALUE"""),18.41)</f>
        <v>18.41</v>
      </c>
      <c r="AB299" s="3">
        <f ca="1">IFERROR(__xludf.DUMMYFUNCTION("""COMPUTED_VALUE"""),18.17)</f>
        <v>18.170000000000002</v>
      </c>
      <c r="AC299" s="3">
        <f ca="1">IFERROR(__xludf.DUMMYFUNCTION("""COMPUTED_VALUE"""),18.26)</f>
        <v>18.260000000000002</v>
      </c>
      <c r="AD299" s="3">
        <f ca="1">IFERROR(__xludf.DUMMYFUNCTION("""COMPUTED_VALUE"""),53396833)</f>
        <v>53396833</v>
      </c>
      <c r="AE299" s="4">
        <f ca="1">IFERROR(__xludf.DUMMYFUNCTION("""COMPUTED_VALUE"""),42558.6666666666)</f>
        <v>42558.666666666599</v>
      </c>
      <c r="AF299" s="3">
        <f ca="1">IFERROR(__xludf.DUMMYFUNCTION("""COMPUTED_VALUE"""),73.34)</f>
        <v>73.34</v>
      </c>
      <c r="AG299" s="3">
        <f ca="1">IFERROR(__xludf.DUMMYFUNCTION("""COMPUTED_VALUE"""),73.35)</f>
        <v>73.349999999999994</v>
      </c>
      <c r="AH299" s="3">
        <f ca="1">IFERROR(__xludf.DUMMYFUNCTION("""COMPUTED_VALUE"""),72.46)</f>
        <v>72.459999999999994</v>
      </c>
      <c r="AI299" s="3">
        <f ca="1">IFERROR(__xludf.DUMMYFUNCTION("""COMPUTED_VALUE"""),72.79)</f>
        <v>72.790000000000006</v>
      </c>
      <c r="AJ299" s="3">
        <f ca="1">IFERROR(__xludf.DUMMYFUNCTION("""COMPUTED_VALUE"""),8022362)</f>
        <v>8022362</v>
      </c>
      <c r="AK299" s="4">
        <f ca="1">IFERROR(__xludf.DUMMYFUNCTION("""COMPUTED_VALUE"""),42558.6666666666)</f>
        <v>42558.666666666599</v>
      </c>
      <c r="AL299" s="3">
        <f ca="1">IFERROR(__xludf.DUMMYFUNCTION("""COMPUTED_VALUE"""),56.05)</f>
        <v>56.05</v>
      </c>
      <c r="AM299" s="3">
        <f ca="1">IFERROR(__xludf.DUMMYFUNCTION("""COMPUTED_VALUE"""),56.38)</f>
        <v>56.38</v>
      </c>
      <c r="AN299" s="3">
        <f ca="1">IFERROR(__xludf.DUMMYFUNCTION("""COMPUTED_VALUE"""),55.87)</f>
        <v>55.87</v>
      </c>
      <c r="AO299" s="3">
        <f ca="1">IFERROR(__xludf.DUMMYFUNCTION("""COMPUTED_VALUE"""),56.11)</f>
        <v>56.11</v>
      </c>
      <c r="AP299" s="3">
        <f ca="1">IFERROR(__xludf.DUMMYFUNCTION("""COMPUTED_VALUE"""),8697860)</f>
        <v>8697860</v>
      </c>
      <c r="AQ299" s="4">
        <f ca="1">IFERROR(__xludf.DUMMYFUNCTION("""COMPUTED_VALUE"""),42558.6666666666)</f>
        <v>42558.666666666599</v>
      </c>
      <c r="AR299" s="3">
        <f ca="1">IFERROR(__xludf.DUMMYFUNCTION("""COMPUTED_VALUE"""),45.54)</f>
        <v>45.54</v>
      </c>
      <c r="AS299" s="3">
        <f ca="1">IFERROR(__xludf.DUMMYFUNCTION("""COMPUTED_VALUE"""),46.19)</f>
        <v>46.19</v>
      </c>
      <c r="AT299" s="3">
        <f ca="1">IFERROR(__xludf.DUMMYFUNCTION("""COMPUTED_VALUE"""),45.54)</f>
        <v>45.54</v>
      </c>
      <c r="AU299" s="3">
        <f ca="1">IFERROR(__xludf.DUMMYFUNCTION("""COMPUTED_VALUE"""),45.82)</f>
        <v>45.82</v>
      </c>
      <c r="AV299" s="3">
        <f ca="1">IFERROR(__xludf.DUMMYFUNCTION("""COMPUTED_VALUE"""),4258624)</f>
        <v>4258624</v>
      </c>
      <c r="AW299" s="4">
        <f ca="1">IFERROR(__xludf.DUMMYFUNCTION("""COMPUTED_VALUE"""),42720.6666666666)</f>
        <v>42720.666666666599</v>
      </c>
      <c r="AX299" s="3">
        <f ca="1">IFERROR(__xludf.DUMMYFUNCTION("""COMPUTED_VALUE"""),30.13)</f>
        <v>30.13</v>
      </c>
      <c r="AY299" s="3">
        <f ca="1">IFERROR(__xludf.DUMMYFUNCTION("""COMPUTED_VALUE"""),30.61)</f>
        <v>30.61</v>
      </c>
      <c r="AZ299" s="3">
        <f ca="1">IFERROR(__xludf.DUMMYFUNCTION("""COMPUTED_VALUE"""),30.09)</f>
        <v>30.09</v>
      </c>
      <c r="BA299" s="3">
        <f ca="1">IFERROR(__xludf.DUMMYFUNCTION("""COMPUTED_VALUE"""),30.44)</f>
        <v>30.44</v>
      </c>
      <c r="BB299" s="3">
        <f ca="1">IFERROR(__xludf.DUMMYFUNCTION("""COMPUTED_VALUE"""),3455591)</f>
        <v>3455591</v>
      </c>
      <c r="BC299" s="4">
        <f ca="1">IFERROR(__xludf.DUMMYFUNCTION("""COMPUTED_VALUE"""),42558.6666666666)</f>
        <v>42558.666666666599</v>
      </c>
      <c r="BD299" s="3">
        <f ca="1">IFERROR(__xludf.DUMMYFUNCTION("""COMPUTED_VALUE"""),43.41)</f>
        <v>43.41</v>
      </c>
      <c r="BE299" s="3">
        <f ca="1">IFERROR(__xludf.DUMMYFUNCTION("""COMPUTED_VALUE"""),43.65)</f>
        <v>43.65</v>
      </c>
      <c r="BF299" s="3">
        <f ca="1">IFERROR(__xludf.DUMMYFUNCTION("""COMPUTED_VALUE"""),43.29)</f>
        <v>43.29</v>
      </c>
      <c r="BG299" s="3">
        <f ca="1">IFERROR(__xludf.DUMMYFUNCTION("""COMPUTED_VALUE"""),43.45)</f>
        <v>43.45</v>
      </c>
      <c r="BH299" s="3">
        <f ca="1">IFERROR(__xludf.DUMMYFUNCTION("""COMPUTED_VALUE"""),6166060)</f>
        <v>6166060</v>
      </c>
      <c r="BI299" s="4">
        <f ca="1">IFERROR(__xludf.DUMMYFUNCTION("""COMPUTED_VALUE"""),42558.6666666666)</f>
        <v>42558.666666666599</v>
      </c>
      <c r="BJ299" s="3">
        <f ca="1">IFERROR(__xludf.DUMMYFUNCTION("""COMPUTED_VALUE"""),52.8)</f>
        <v>52.8</v>
      </c>
      <c r="BK299" s="3">
        <f ca="1">IFERROR(__xludf.DUMMYFUNCTION("""COMPUTED_VALUE"""),52.83)</f>
        <v>52.83</v>
      </c>
      <c r="BL299" s="3">
        <f ca="1">IFERROR(__xludf.DUMMYFUNCTION("""COMPUTED_VALUE"""),51.9)</f>
        <v>51.9</v>
      </c>
      <c r="BM299" s="3">
        <f ca="1">IFERROR(__xludf.DUMMYFUNCTION("""COMPUTED_VALUE"""),52)</f>
        <v>52</v>
      </c>
      <c r="BN299" s="3">
        <f ca="1">IFERROR(__xludf.DUMMYFUNCTION("""COMPUTED_VALUE"""),22718617)</f>
        <v>22718617</v>
      </c>
    </row>
    <row r="300" spans="7:66" ht="13" x14ac:dyDescent="0.15">
      <c r="G300" s="4">
        <f ca="1">IFERROR(__xludf.DUMMYFUNCTION("""COMPUTED_VALUE"""),42559.6666666666)</f>
        <v>42559.666666666599</v>
      </c>
      <c r="H300" s="3">
        <f ca="1">IFERROR(__xludf.DUMMYFUNCTION("""COMPUTED_VALUE"""),79.75)</f>
        <v>79.75</v>
      </c>
      <c r="I300" s="3">
        <f ca="1">IFERROR(__xludf.DUMMYFUNCTION("""COMPUTED_VALUE"""),80.68)</f>
        <v>80.680000000000007</v>
      </c>
      <c r="J300" s="3">
        <f ca="1">IFERROR(__xludf.DUMMYFUNCTION("""COMPUTED_VALUE"""),79.75)</f>
        <v>79.75</v>
      </c>
      <c r="K300" s="3">
        <f ca="1">IFERROR(__xludf.DUMMYFUNCTION("""COMPUTED_VALUE"""),80.62)</f>
        <v>80.62</v>
      </c>
      <c r="L300" s="3">
        <f ca="1">IFERROR(__xludf.DUMMYFUNCTION("""COMPUTED_VALUE"""),7411381)</f>
        <v>7411381</v>
      </c>
      <c r="M300" s="4">
        <f ca="1">IFERROR(__xludf.DUMMYFUNCTION("""COMPUTED_VALUE"""),42559.6666666666)</f>
        <v>42559.666666666599</v>
      </c>
      <c r="N300" s="3">
        <f ca="1">IFERROR(__xludf.DUMMYFUNCTION("""COMPUTED_VALUE"""),55.35)</f>
        <v>55.35</v>
      </c>
      <c r="O300" s="3">
        <f ca="1">IFERROR(__xludf.DUMMYFUNCTION("""COMPUTED_VALUE"""),55.74)</f>
        <v>55.74</v>
      </c>
      <c r="P300" s="3">
        <f ca="1">IFERROR(__xludf.DUMMYFUNCTION("""COMPUTED_VALUE"""),55.18)</f>
        <v>55.18</v>
      </c>
      <c r="Q300" s="3">
        <f ca="1">IFERROR(__xludf.DUMMYFUNCTION("""COMPUTED_VALUE"""),55.69)</f>
        <v>55.69</v>
      </c>
      <c r="R300" s="3">
        <f ca="1">IFERROR(__xludf.DUMMYFUNCTION("""COMPUTED_VALUE"""),10227475)</f>
        <v>10227475</v>
      </c>
      <c r="S300" s="4">
        <f ca="1">IFERROR(__xludf.DUMMYFUNCTION("""COMPUTED_VALUE"""),42559.6666666666)</f>
        <v>42559.666666666599</v>
      </c>
      <c r="T300" s="3">
        <f ca="1">IFERROR(__xludf.DUMMYFUNCTION("""COMPUTED_VALUE"""),67.42)</f>
        <v>67.42</v>
      </c>
      <c r="U300" s="3">
        <f ca="1">IFERROR(__xludf.DUMMYFUNCTION("""COMPUTED_VALUE"""),67.95)</f>
        <v>67.95</v>
      </c>
      <c r="V300" s="3">
        <f ca="1">IFERROR(__xludf.DUMMYFUNCTION("""COMPUTED_VALUE"""),67.05)</f>
        <v>67.05</v>
      </c>
      <c r="W300" s="3">
        <f ca="1">IFERROR(__xludf.DUMMYFUNCTION("""COMPUTED_VALUE"""),67.71)</f>
        <v>67.709999999999994</v>
      </c>
      <c r="X300" s="3">
        <f ca="1">IFERROR(__xludf.DUMMYFUNCTION("""COMPUTED_VALUE"""),11567902)</f>
        <v>11567902</v>
      </c>
      <c r="Y300" s="4">
        <f ca="1">IFERROR(__xludf.DUMMYFUNCTION("""COMPUTED_VALUE"""),42559.6666666666)</f>
        <v>42559.666666666599</v>
      </c>
      <c r="Z300" s="3">
        <f ca="1">IFERROR(__xludf.DUMMYFUNCTION("""COMPUTED_VALUE"""),18.51)</f>
        <v>18.510000000000002</v>
      </c>
      <c r="AA300" s="3">
        <f ca="1">IFERROR(__xludf.DUMMYFUNCTION("""COMPUTED_VALUE"""),18.64)</f>
        <v>18.64</v>
      </c>
      <c r="AB300" s="3">
        <f ca="1">IFERROR(__xludf.DUMMYFUNCTION("""COMPUTED_VALUE"""),18.49)</f>
        <v>18.489999999999998</v>
      </c>
      <c r="AC300" s="3">
        <f ca="1">IFERROR(__xludf.DUMMYFUNCTION("""COMPUTED_VALUE"""),18.61)</f>
        <v>18.61</v>
      </c>
      <c r="AD300" s="3">
        <f ca="1">IFERROR(__xludf.DUMMYFUNCTION("""COMPUTED_VALUE"""),44945051)</f>
        <v>44945051</v>
      </c>
      <c r="AE300" s="4">
        <f ca="1">IFERROR(__xludf.DUMMYFUNCTION("""COMPUTED_VALUE"""),42559.6666666666)</f>
        <v>42559.666666666599</v>
      </c>
      <c r="AF300" s="3">
        <f ca="1">IFERROR(__xludf.DUMMYFUNCTION("""COMPUTED_VALUE"""),73.15)</f>
        <v>73.150000000000006</v>
      </c>
      <c r="AG300" s="3">
        <f ca="1">IFERROR(__xludf.DUMMYFUNCTION("""COMPUTED_VALUE"""),73.71)</f>
        <v>73.709999999999994</v>
      </c>
      <c r="AH300" s="3">
        <f ca="1">IFERROR(__xludf.DUMMYFUNCTION("""COMPUTED_VALUE"""),72.76)</f>
        <v>72.760000000000005</v>
      </c>
      <c r="AI300" s="3">
        <f ca="1">IFERROR(__xludf.DUMMYFUNCTION("""COMPUTED_VALUE"""),73.69)</f>
        <v>73.69</v>
      </c>
      <c r="AJ300" s="3">
        <f ca="1">IFERROR(__xludf.DUMMYFUNCTION("""COMPUTED_VALUE"""),11013236)</f>
        <v>11013236</v>
      </c>
      <c r="AK300" s="4">
        <f ca="1">IFERROR(__xludf.DUMMYFUNCTION("""COMPUTED_VALUE"""),42559.6666666666)</f>
        <v>42559.666666666599</v>
      </c>
      <c r="AL300" s="3">
        <f ca="1">IFERROR(__xludf.DUMMYFUNCTION("""COMPUTED_VALUE"""),56.6)</f>
        <v>56.6</v>
      </c>
      <c r="AM300" s="3">
        <f ca="1">IFERROR(__xludf.DUMMYFUNCTION("""COMPUTED_VALUE"""),57.33)</f>
        <v>57.33</v>
      </c>
      <c r="AN300" s="3">
        <f ca="1">IFERROR(__xludf.DUMMYFUNCTION("""COMPUTED_VALUE"""),56.14)</f>
        <v>56.14</v>
      </c>
      <c r="AO300" s="3">
        <f ca="1">IFERROR(__xludf.DUMMYFUNCTION("""COMPUTED_VALUE"""),57.23)</f>
        <v>57.23</v>
      </c>
      <c r="AP300" s="3">
        <f ca="1">IFERROR(__xludf.DUMMYFUNCTION("""COMPUTED_VALUE"""),16226352)</f>
        <v>16226352</v>
      </c>
      <c r="AQ300" s="4">
        <f ca="1">IFERROR(__xludf.DUMMYFUNCTION("""COMPUTED_VALUE"""),42559.6666666666)</f>
        <v>42559.666666666599</v>
      </c>
      <c r="AR300" s="3">
        <f ca="1">IFERROR(__xludf.DUMMYFUNCTION("""COMPUTED_VALUE"""),46.14)</f>
        <v>46.14</v>
      </c>
      <c r="AS300" s="3">
        <f ca="1">IFERROR(__xludf.DUMMYFUNCTION("""COMPUTED_VALUE"""),47.05)</f>
        <v>47.05</v>
      </c>
      <c r="AT300" s="3">
        <f ca="1">IFERROR(__xludf.DUMMYFUNCTION("""COMPUTED_VALUE"""),46.14)</f>
        <v>46.14</v>
      </c>
      <c r="AU300" s="3">
        <f ca="1">IFERROR(__xludf.DUMMYFUNCTION("""COMPUTED_VALUE"""),46.96)</f>
        <v>46.96</v>
      </c>
      <c r="AV300" s="3">
        <f ca="1">IFERROR(__xludf.DUMMYFUNCTION("""COMPUTED_VALUE"""),5241479)</f>
        <v>5241479</v>
      </c>
      <c r="AW300" s="4">
        <f ca="1">IFERROR(__xludf.DUMMYFUNCTION("""COMPUTED_VALUE"""),42723.6666666666)</f>
        <v>42723.666666666599</v>
      </c>
      <c r="AX300" s="3">
        <f ca="1">IFERROR(__xludf.DUMMYFUNCTION("""COMPUTED_VALUE"""),30.53)</f>
        <v>30.53</v>
      </c>
      <c r="AY300" s="3">
        <f ca="1">IFERROR(__xludf.DUMMYFUNCTION("""COMPUTED_VALUE"""),30.81)</f>
        <v>30.81</v>
      </c>
      <c r="AZ300" s="3">
        <f ca="1">IFERROR(__xludf.DUMMYFUNCTION("""COMPUTED_VALUE"""),30.45)</f>
        <v>30.45</v>
      </c>
      <c r="BA300" s="3">
        <f ca="1">IFERROR(__xludf.DUMMYFUNCTION("""COMPUTED_VALUE"""),30.71)</f>
        <v>30.71</v>
      </c>
      <c r="BB300" s="3">
        <f ca="1">IFERROR(__xludf.DUMMYFUNCTION("""COMPUTED_VALUE"""),2260027)</f>
        <v>2260027</v>
      </c>
      <c r="BC300" s="4">
        <f ca="1">IFERROR(__xludf.DUMMYFUNCTION("""COMPUTED_VALUE"""),42559.6666666666)</f>
        <v>42559.666666666599</v>
      </c>
      <c r="BD300" s="3">
        <f ca="1">IFERROR(__xludf.DUMMYFUNCTION("""COMPUTED_VALUE"""),43.66)</f>
        <v>43.66</v>
      </c>
      <c r="BE300" s="3">
        <f ca="1">IFERROR(__xludf.DUMMYFUNCTION("""COMPUTED_VALUE"""),44.16)</f>
        <v>44.16</v>
      </c>
      <c r="BF300" s="3">
        <f ca="1">IFERROR(__xludf.DUMMYFUNCTION("""COMPUTED_VALUE"""),43.61)</f>
        <v>43.61</v>
      </c>
      <c r="BG300" s="3">
        <f ca="1">IFERROR(__xludf.DUMMYFUNCTION("""COMPUTED_VALUE"""),44.13)</f>
        <v>44.13</v>
      </c>
      <c r="BH300" s="3">
        <f ca="1">IFERROR(__xludf.DUMMYFUNCTION("""COMPUTED_VALUE"""),12748165)</f>
        <v>12748165</v>
      </c>
      <c r="BI300" s="4">
        <f ca="1">IFERROR(__xludf.DUMMYFUNCTION("""COMPUTED_VALUE"""),42559.6666666666)</f>
        <v>42559.666666666599</v>
      </c>
      <c r="BJ300" s="3">
        <f ca="1">IFERROR(__xludf.DUMMYFUNCTION("""COMPUTED_VALUE"""),51.55)</f>
        <v>51.55</v>
      </c>
      <c r="BK300" s="3">
        <f ca="1">IFERROR(__xludf.DUMMYFUNCTION("""COMPUTED_VALUE"""),52.57)</f>
        <v>52.57</v>
      </c>
      <c r="BL300" s="3">
        <f ca="1">IFERROR(__xludf.DUMMYFUNCTION("""COMPUTED_VALUE"""),51.44)</f>
        <v>51.44</v>
      </c>
      <c r="BM300" s="3">
        <f ca="1">IFERROR(__xludf.DUMMYFUNCTION("""COMPUTED_VALUE"""),52.54)</f>
        <v>52.54</v>
      </c>
      <c r="BN300" s="3">
        <f ca="1">IFERROR(__xludf.DUMMYFUNCTION("""COMPUTED_VALUE"""),16092381)</f>
        <v>16092381</v>
      </c>
    </row>
    <row r="301" spans="7:66" ht="13" x14ac:dyDescent="0.15">
      <c r="G301" s="4">
        <f ca="1">IFERROR(__xludf.DUMMYFUNCTION("""COMPUTED_VALUE"""),42562.6666666666)</f>
        <v>42562.666666666599</v>
      </c>
      <c r="H301" s="3">
        <f ca="1">IFERROR(__xludf.DUMMYFUNCTION("""COMPUTED_VALUE"""),81.06)</f>
        <v>81.06</v>
      </c>
      <c r="I301" s="3">
        <f ca="1">IFERROR(__xludf.DUMMYFUNCTION("""COMPUTED_VALUE"""),81.29)</f>
        <v>81.290000000000006</v>
      </c>
      <c r="J301" s="3">
        <f ca="1">IFERROR(__xludf.DUMMYFUNCTION("""COMPUTED_VALUE"""),80.83)</f>
        <v>80.83</v>
      </c>
      <c r="K301" s="3">
        <f ca="1">IFERROR(__xludf.DUMMYFUNCTION("""COMPUTED_VALUE"""),81.09)</f>
        <v>81.09</v>
      </c>
      <c r="L301" s="3">
        <f ca="1">IFERROR(__xludf.DUMMYFUNCTION("""COMPUTED_VALUE"""),4431021)</f>
        <v>4431021</v>
      </c>
      <c r="M301" s="4">
        <f ca="1">IFERROR(__xludf.DUMMYFUNCTION("""COMPUTED_VALUE"""),42562.6666666666)</f>
        <v>42562.666666666599</v>
      </c>
      <c r="N301" s="3">
        <f ca="1">IFERROR(__xludf.DUMMYFUNCTION("""COMPUTED_VALUE"""),55.7)</f>
        <v>55.7</v>
      </c>
      <c r="O301" s="3">
        <f ca="1">IFERROR(__xludf.DUMMYFUNCTION("""COMPUTED_VALUE"""),55.87)</f>
        <v>55.87</v>
      </c>
      <c r="P301" s="3">
        <f ca="1">IFERROR(__xludf.DUMMYFUNCTION("""COMPUTED_VALUE"""),55.42)</f>
        <v>55.42</v>
      </c>
      <c r="Q301" s="3">
        <f ca="1">IFERROR(__xludf.DUMMYFUNCTION("""COMPUTED_VALUE"""),55.7)</f>
        <v>55.7</v>
      </c>
      <c r="R301" s="3">
        <f ca="1">IFERROR(__xludf.DUMMYFUNCTION("""COMPUTED_VALUE"""),8213936)</f>
        <v>8213936</v>
      </c>
      <c r="S301" s="4">
        <f ca="1">IFERROR(__xludf.DUMMYFUNCTION("""COMPUTED_VALUE"""),42562.6666666666)</f>
        <v>42562.666666666599</v>
      </c>
      <c r="T301" s="3">
        <f ca="1">IFERROR(__xludf.DUMMYFUNCTION("""COMPUTED_VALUE"""),68.07)</f>
        <v>68.069999999999993</v>
      </c>
      <c r="U301" s="3">
        <f ca="1">IFERROR(__xludf.DUMMYFUNCTION("""COMPUTED_VALUE"""),68.39)</f>
        <v>68.39</v>
      </c>
      <c r="V301" s="3">
        <f ca="1">IFERROR(__xludf.DUMMYFUNCTION("""COMPUTED_VALUE"""),67.78)</f>
        <v>67.78</v>
      </c>
      <c r="W301" s="3">
        <f ca="1">IFERROR(__xludf.DUMMYFUNCTION("""COMPUTED_VALUE"""),67.84)</f>
        <v>67.84</v>
      </c>
      <c r="X301" s="3">
        <f ca="1">IFERROR(__xludf.DUMMYFUNCTION("""COMPUTED_VALUE"""),9750386)</f>
        <v>9750386</v>
      </c>
      <c r="Y301" s="4">
        <f ca="1">IFERROR(__xludf.DUMMYFUNCTION("""COMPUTED_VALUE"""),42562.6666666666)</f>
        <v>42562.666666666599</v>
      </c>
      <c r="Z301" s="3">
        <f ca="1">IFERROR(__xludf.DUMMYFUNCTION("""COMPUTED_VALUE"""),18.71)</f>
        <v>18.71</v>
      </c>
      <c r="AA301" s="3">
        <f ca="1">IFERROR(__xludf.DUMMYFUNCTION("""COMPUTED_VALUE"""),18.77)</f>
        <v>18.77</v>
      </c>
      <c r="AB301" s="3">
        <f ca="1">IFERROR(__xludf.DUMMYFUNCTION("""COMPUTED_VALUE"""),18.65)</f>
        <v>18.649999999999999</v>
      </c>
      <c r="AC301" s="3">
        <f ca="1">IFERROR(__xludf.DUMMYFUNCTION("""COMPUTED_VALUE"""),18.72)</f>
        <v>18.72</v>
      </c>
      <c r="AD301" s="3">
        <f ca="1">IFERROR(__xludf.DUMMYFUNCTION("""COMPUTED_VALUE"""),34571467)</f>
        <v>34571467</v>
      </c>
      <c r="AE301" s="4">
        <f ca="1">IFERROR(__xludf.DUMMYFUNCTION("""COMPUTED_VALUE"""),42562.6666666666)</f>
        <v>42562.666666666599</v>
      </c>
      <c r="AF301" s="3">
        <f ca="1">IFERROR(__xludf.DUMMYFUNCTION("""COMPUTED_VALUE"""),73.91)</f>
        <v>73.91</v>
      </c>
      <c r="AG301" s="3">
        <f ca="1">IFERROR(__xludf.DUMMYFUNCTION("""COMPUTED_VALUE"""),74.1)</f>
        <v>74.099999999999994</v>
      </c>
      <c r="AH301" s="3">
        <f ca="1">IFERROR(__xludf.DUMMYFUNCTION("""COMPUTED_VALUE"""),73.42)</f>
        <v>73.42</v>
      </c>
      <c r="AI301" s="3">
        <f ca="1">IFERROR(__xludf.DUMMYFUNCTION("""COMPUTED_VALUE"""),73.49)</f>
        <v>73.489999999999995</v>
      </c>
      <c r="AJ301" s="3">
        <f ca="1">IFERROR(__xludf.DUMMYFUNCTION("""COMPUTED_VALUE"""),7375092)</f>
        <v>7375092</v>
      </c>
      <c r="AK301" s="4">
        <f ca="1">IFERROR(__xludf.DUMMYFUNCTION("""COMPUTED_VALUE"""),42562.6666666666)</f>
        <v>42562.666666666599</v>
      </c>
      <c r="AL301" s="3">
        <f ca="1">IFERROR(__xludf.DUMMYFUNCTION("""COMPUTED_VALUE"""),57.35)</f>
        <v>57.35</v>
      </c>
      <c r="AM301" s="3">
        <f ca="1">IFERROR(__xludf.DUMMYFUNCTION("""COMPUTED_VALUE"""),57.72)</f>
        <v>57.72</v>
      </c>
      <c r="AN301" s="3">
        <f ca="1">IFERROR(__xludf.DUMMYFUNCTION("""COMPUTED_VALUE"""),57.27)</f>
        <v>57.27</v>
      </c>
      <c r="AO301" s="3">
        <f ca="1">IFERROR(__xludf.DUMMYFUNCTION("""COMPUTED_VALUE"""),57.59)</f>
        <v>57.59</v>
      </c>
      <c r="AP301" s="3">
        <f ca="1">IFERROR(__xludf.DUMMYFUNCTION("""COMPUTED_VALUE"""),15259741)</f>
        <v>15259741</v>
      </c>
      <c r="AQ301" s="4">
        <f ca="1">IFERROR(__xludf.DUMMYFUNCTION("""COMPUTED_VALUE"""),42562.6666666666)</f>
        <v>42562.666666666599</v>
      </c>
      <c r="AR301" s="3">
        <f ca="1">IFERROR(__xludf.DUMMYFUNCTION("""COMPUTED_VALUE"""),47.12)</f>
        <v>47.12</v>
      </c>
      <c r="AS301" s="3">
        <f ca="1">IFERROR(__xludf.DUMMYFUNCTION("""COMPUTED_VALUE"""),47.32)</f>
        <v>47.32</v>
      </c>
      <c r="AT301" s="3">
        <f ca="1">IFERROR(__xludf.DUMMYFUNCTION("""COMPUTED_VALUE"""),47)</f>
        <v>47</v>
      </c>
      <c r="AU301" s="3">
        <f ca="1">IFERROR(__xludf.DUMMYFUNCTION("""COMPUTED_VALUE"""),47.19)</f>
        <v>47.19</v>
      </c>
      <c r="AV301" s="3">
        <f ca="1">IFERROR(__xludf.DUMMYFUNCTION("""COMPUTED_VALUE"""),4622254)</f>
        <v>4622254</v>
      </c>
      <c r="AW301" s="4">
        <f ca="1">IFERROR(__xludf.DUMMYFUNCTION("""COMPUTED_VALUE"""),42724.6666666666)</f>
        <v>42724.666666666599</v>
      </c>
      <c r="AX301" s="3">
        <f ca="1">IFERROR(__xludf.DUMMYFUNCTION("""COMPUTED_VALUE"""),30.66)</f>
        <v>30.66</v>
      </c>
      <c r="AY301" s="3">
        <f ca="1">IFERROR(__xludf.DUMMYFUNCTION("""COMPUTED_VALUE"""),30.87)</f>
        <v>30.87</v>
      </c>
      <c r="AZ301" s="3">
        <f ca="1">IFERROR(__xludf.DUMMYFUNCTION("""COMPUTED_VALUE"""),30.56)</f>
        <v>30.56</v>
      </c>
      <c r="BA301" s="3">
        <f ca="1">IFERROR(__xludf.DUMMYFUNCTION("""COMPUTED_VALUE"""),30.73)</f>
        <v>30.73</v>
      </c>
      <c r="BB301" s="3">
        <f ca="1">IFERROR(__xludf.DUMMYFUNCTION("""COMPUTED_VALUE"""),1764229)</f>
        <v>1764229</v>
      </c>
      <c r="BC301" s="4">
        <f ca="1">IFERROR(__xludf.DUMMYFUNCTION("""COMPUTED_VALUE"""),42562.6666666666)</f>
        <v>42562.666666666599</v>
      </c>
      <c r="BD301" s="3">
        <f ca="1">IFERROR(__xludf.DUMMYFUNCTION("""COMPUTED_VALUE"""),44.27)</f>
        <v>44.27</v>
      </c>
      <c r="BE301" s="3">
        <f ca="1">IFERROR(__xludf.DUMMYFUNCTION("""COMPUTED_VALUE"""),44.49)</f>
        <v>44.49</v>
      </c>
      <c r="BF301" s="3">
        <f ca="1">IFERROR(__xludf.DUMMYFUNCTION("""COMPUTED_VALUE"""),44.23)</f>
        <v>44.23</v>
      </c>
      <c r="BG301" s="3">
        <f ca="1">IFERROR(__xludf.DUMMYFUNCTION("""COMPUTED_VALUE"""),44.39)</f>
        <v>44.39</v>
      </c>
      <c r="BH301" s="3">
        <f ca="1">IFERROR(__xludf.DUMMYFUNCTION("""COMPUTED_VALUE"""),5831795)</f>
        <v>5831795</v>
      </c>
      <c r="BI301" s="4">
        <f ca="1">IFERROR(__xludf.DUMMYFUNCTION("""COMPUTED_VALUE"""),42562.6666666666)</f>
        <v>42562.666666666599</v>
      </c>
      <c r="BJ301" s="3">
        <f ca="1">IFERROR(__xludf.DUMMYFUNCTION("""COMPUTED_VALUE"""),52.38)</f>
        <v>52.38</v>
      </c>
      <c r="BK301" s="3">
        <f ca="1">IFERROR(__xludf.DUMMYFUNCTION("""COMPUTED_VALUE"""),52.54)</f>
        <v>52.54</v>
      </c>
      <c r="BL301" s="3">
        <f ca="1">IFERROR(__xludf.DUMMYFUNCTION("""COMPUTED_VALUE"""),51.89)</f>
        <v>51.89</v>
      </c>
      <c r="BM301" s="3">
        <f ca="1">IFERROR(__xludf.DUMMYFUNCTION("""COMPUTED_VALUE"""),52.5)</f>
        <v>52.5</v>
      </c>
      <c r="BN301" s="3">
        <f ca="1">IFERROR(__xludf.DUMMYFUNCTION("""COMPUTED_VALUE"""),14506048)</f>
        <v>14506048</v>
      </c>
    </row>
    <row r="302" spans="7:66" ht="13" x14ac:dyDescent="0.15">
      <c r="G302" s="4">
        <f ca="1">IFERROR(__xludf.DUMMYFUNCTION("""COMPUTED_VALUE"""),42563.6666666666)</f>
        <v>42563.666666666599</v>
      </c>
      <c r="H302" s="3">
        <f ca="1">IFERROR(__xludf.DUMMYFUNCTION("""COMPUTED_VALUE"""),81.35)</f>
        <v>81.349999999999994</v>
      </c>
      <c r="I302" s="3">
        <f ca="1">IFERROR(__xludf.DUMMYFUNCTION("""COMPUTED_VALUE"""),81.62)</f>
        <v>81.62</v>
      </c>
      <c r="J302" s="3">
        <f ca="1">IFERROR(__xludf.DUMMYFUNCTION("""COMPUTED_VALUE"""),81.28)</f>
        <v>81.28</v>
      </c>
      <c r="K302" s="3">
        <f ca="1">IFERROR(__xludf.DUMMYFUNCTION("""COMPUTED_VALUE"""),81.41)</f>
        <v>81.41</v>
      </c>
      <c r="L302" s="3">
        <f ca="1">IFERROR(__xludf.DUMMYFUNCTION("""COMPUTED_VALUE"""),4886042)</f>
        <v>4886042</v>
      </c>
      <c r="M302" s="4">
        <f ca="1">IFERROR(__xludf.DUMMYFUNCTION("""COMPUTED_VALUE"""),42563.6666666666)</f>
        <v>42563.666666666599</v>
      </c>
      <c r="N302" s="3">
        <f ca="1">IFERROR(__xludf.DUMMYFUNCTION("""COMPUTED_VALUE"""),55.61)</f>
        <v>55.61</v>
      </c>
      <c r="O302" s="3">
        <f ca="1">IFERROR(__xludf.DUMMYFUNCTION("""COMPUTED_VALUE"""),55.69)</f>
        <v>55.69</v>
      </c>
      <c r="P302" s="3">
        <f ca="1">IFERROR(__xludf.DUMMYFUNCTION("""COMPUTED_VALUE"""),55.38)</f>
        <v>55.38</v>
      </c>
      <c r="Q302" s="3">
        <f ca="1">IFERROR(__xludf.DUMMYFUNCTION("""COMPUTED_VALUE"""),55.4)</f>
        <v>55.4</v>
      </c>
      <c r="R302" s="3">
        <f ca="1">IFERROR(__xludf.DUMMYFUNCTION("""COMPUTED_VALUE"""),15270849)</f>
        <v>15270849</v>
      </c>
      <c r="S302" s="4">
        <f ca="1">IFERROR(__xludf.DUMMYFUNCTION("""COMPUTED_VALUE"""),42563.6666666666)</f>
        <v>42563.666666666599</v>
      </c>
      <c r="T302" s="3">
        <f ca="1">IFERROR(__xludf.DUMMYFUNCTION("""COMPUTED_VALUE"""),68.86)</f>
        <v>68.86</v>
      </c>
      <c r="U302" s="3">
        <f ca="1">IFERROR(__xludf.DUMMYFUNCTION("""COMPUTED_VALUE"""),69.82)</f>
        <v>69.819999999999993</v>
      </c>
      <c r="V302" s="3">
        <f ca="1">IFERROR(__xludf.DUMMYFUNCTION("""COMPUTED_VALUE"""),68.72)</f>
        <v>68.72</v>
      </c>
      <c r="W302" s="3">
        <f ca="1">IFERROR(__xludf.DUMMYFUNCTION("""COMPUTED_VALUE"""),69.52)</f>
        <v>69.52</v>
      </c>
      <c r="X302" s="3">
        <f ca="1">IFERROR(__xludf.DUMMYFUNCTION("""COMPUTED_VALUE"""),15524539)</f>
        <v>15524539</v>
      </c>
      <c r="Y302" s="4">
        <f ca="1">IFERROR(__xludf.DUMMYFUNCTION("""COMPUTED_VALUE"""),42563.6666666666)</f>
        <v>42563.666666666599</v>
      </c>
      <c r="Z302" s="3">
        <f ca="1">IFERROR(__xludf.DUMMYFUNCTION("""COMPUTED_VALUE"""),18.86)</f>
        <v>18.86</v>
      </c>
      <c r="AA302" s="3">
        <f ca="1">IFERROR(__xludf.DUMMYFUNCTION("""COMPUTED_VALUE"""),18.98)</f>
        <v>18.98</v>
      </c>
      <c r="AB302" s="3">
        <f ca="1">IFERROR(__xludf.DUMMYFUNCTION("""COMPUTED_VALUE"""),18.83)</f>
        <v>18.829999999999998</v>
      </c>
      <c r="AC302" s="3">
        <f ca="1">IFERROR(__xludf.DUMMYFUNCTION("""COMPUTED_VALUE"""),18.95)</f>
        <v>18.95</v>
      </c>
      <c r="AD302" s="3">
        <f ca="1">IFERROR(__xludf.DUMMYFUNCTION("""COMPUTED_VALUE"""),44727278)</f>
        <v>44727278</v>
      </c>
      <c r="AE302" s="4">
        <f ca="1">IFERROR(__xludf.DUMMYFUNCTION("""COMPUTED_VALUE"""),42563.6666666666)</f>
        <v>42563.666666666599</v>
      </c>
      <c r="AF302" s="3">
        <f ca="1">IFERROR(__xludf.DUMMYFUNCTION("""COMPUTED_VALUE"""),73.65)</f>
        <v>73.650000000000006</v>
      </c>
      <c r="AG302" s="3">
        <f ca="1">IFERROR(__xludf.DUMMYFUNCTION("""COMPUTED_VALUE"""),73.96)</f>
        <v>73.959999999999994</v>
      </c>
      <c r="AH302" s="3">
        <f ca="1">IFERROR(__xludf.DUMMYFUNCTION("""COMPUTED_VALUE"""),73.59)</f>
        <v>73.59</v>
      </c>
      <c r="AI302" s="3">
        <f ca="1">IFERROR(__xludf.DUMMYFUNCTION("""COMPUTED_VALUE"""),73.85)</f>
        <v>73.849999999999994</v>
      </c>
      <c r="AJ302" s="3">
        <f ca="1">IFERROR(__xludf.DUMMYFUNCTION("""COMPUTED_VALUE"""),10237174)</f>
        <v>10237174</v>
      </c>
      <c r="AK302" s="4">
        <f ca="1">IFERROR(__xludf.DUMMYFUNCTION("""COMPUTED_VALUE"""),42563.6666666666)</f>
        <v>42563.666666666599</v>
      </c>
      <c r="AL302" s="3">
        <f ca="1">IFERROR(__xludf.DUMMYFUNCTION("""COMPUTED_VALUE"""),57.89)</f>
        <v>57.89</v>
      </c>
      <c r="AM302" s="3">
        <f ca="1">IFERROR(__xludf.DUMMYFUNCTION("""COMPUTED_VALUE"""),58.21)</f>
        <v>58.21</v>
      </c>
      <c r="AN302" s="3">
        <f ca="1">IFERROR(__xludf.DUMMYFUNCTION("""COMPUTED_VALUE"""),57.78)</f>
        <v>57.78</v>
      </c>
      <c r="AO302" s="3">
        <f ca="1">IFERROR(__xludf.DUMMYFUNCTION("""COMPUTED_VALUE"""),58.12)</f>
        <v>58.12</v>
      </c>
      <c r="AP302" s="3">
        <f ca="1">IFERROR(__xludf.DUMMYFUNCTION("""COMPUTED_VALUE"""),13635142)</f>
        <v>13635142</v>
      </c>
      <c r="AQ302" s="4">
        <f ca="1">IFERROR(__xludf.DUMMYFUNCTION("""COMPUTED_VALUE"""),42563.6666666666)</f>
        <v>42563.666666666599</v>
      </c>
      <c r="AR302" s="3">
        <f ca="1">IFERROR(__xludf.DUMMYFUNCTION("""COMPUTED_VALUE"""),47.55)</f>
        <v>47.55</v>
      </c>
      <c r="AS302" s="3">
        <f ca="1">IFERROR(__xludf.DUMMYFUNCTION("""COMPUTED_VALUE"""),48.31)</f>
        <v>48.31</v>
      </c>
      <c r="AT302" s="3">
        <f ca="1">IFERROR(__xludf.DUMMYFUNCTION("""COMPUTED_VALUE"""),47.52)</f>
        <v>47.52</v>
      </c>
      <c r="AU302" s="3">
        <f ca="1">IFERROR(__xludf.DUMMYFUNCTION("""COMPUTED_VALUE"""),48.05)</f>
        <v>48.05</v>
      </c>
      <c r="AV302" s="3">
        <f ca="1">IFERROR(__xludf.DUMMYFUNCTION("""COMPUTED_VALUE"""),6754242)</f>
        <v>6754242</v>
      </c>
      <c r="AW302" s="4">
        <f ca="1">IFERROR(__xludf.DUMMYFUNCTION("""COMPUTED_VALUE"""),42725.6666666666)</f>
        <v>42725.666666666599</v>
      </c>
      <c r="AX302" s="3">
        <f ca="1">IFERROR(__xludf.DUMMYFUNCTION("""COMPUTED_VALUE"""),30.75)</f>
        <v>30.75</v>
      </c>
      <c r="AY302" s="3">
        <f ca="1">IFERROR(__xludf.DUMMYFUNCTION("""COMPUTED_VALUE"""),30.94)</f>
        <v>30.94</v>
      </c>
      <c r="AZ302" s="3">
        <f ca="1">IFERROR(__xludf.DUMMYFUNCTION("""COMPUTED_VALUE"""),30.32)</f>
        <v>30.32</v>
      </c>
      <c r="BA302" s="3">
        <f ca="1">IFERROR(__xludf.DUMMYFUNCTION("""COMPUTED_VALUE"""),30.34)</f>
        <v>30.34</v>
      </c>
      <c r="BB302" s="3">
        <f ca="1">IFERROR(__xludf.DUMMYFUNCTION("""COMPUTED_VALUE"""),1871788)</f>
        <v>1871788</v>
      </c>
      <c r="BC302" s="4">
        <f ca="1">IFERROR(__xludf.DUMMYFUNCTION("""COMPUTED_VALUE"""),42563.6666666666)</f>
        <v>42563.666666666599</v>
      </c>
      <c r="BD302" s="3">
        <f ca="1">IFERROR(__xludf.DUMMYFUNCTION("""COMPUTED_VALUE"""),44.69)</f>
        <v>44.69</v>
      </c>
      <c r="BE302" s="3">
        <f ca="1">IFERROR(__xludf.DUMMYFUNCTION("""COMPUTED_VALUE"""),44.81)</f>
        <v>44.81</v>
      </c>
      <c r="BF302" s="3">
        <f ca="1">IFERROR(__xludf.DUMMYFUNCTION("""COMPUTED_VALUE"""),44.55)</f>
        <v>44.55</v>
      </c>
      <c r="BG302" s="3">
        <f ca="1">IFERROR(__xludf.DUMMYFUNCTION("""COMPUTED_VALUE"""),44.75)</f>
        <v>44.75</v>
      </c>
      <c r="BH302" s="3">
        <f ca="1">IFERROR(__xludf.DUMMYFUNCTION("""COMPUTED_VALUE"""),16042816)</f>
        <v>16042816</v>
      </c>
      <c r="BI302" s="4">
        <f ca="1">IFERROR(__xludf.DUMMYFUNCTION("""COMPUTED_VALUE"""),42563.6666666666)</f>
        <v>42563.666666666599</v>
      </c>
      <c r="BJ302" s="3">
        <f ca="1">IFERROR(__xludf.DUMMYFUNCTION("""COMPUTED_VALUE"""),52.15)</f>
        <v>52.15</v>
      </c>
      <c r="BK302" s="3">
        <f ca="1">IFERROR(__xludf.DUMMYFUNCTION("""COMPUTED_VALUE"""),52.36)</f>
        <v>52.36</v>
      </c>
      <c r="BL302" s="3">
        <f ca="1">IFERROR(__xludf.DUMMYFUNCTION("""COMPUTED_VALUE"""),51.75)</f>
        <v>51.75</v>
      </c>
      <c r="BM302" s="3">
        <f ca="1">IFERROR(__xludf.DUMMYFUNCTION("""COMPUTED_VALUE"""),51.78)</f>
        <v>51.78</v>
      </c>
      <c r="BN302" s="3">
        <f ca="1">IFERROR(__xludf.DUMMYFUNCTION("""COMPUTED_VALUE"""),18002289)</f>
        <v>18002289</v>
      </c>
    </row>
    <row r="303" spans="7:66" ht="13" x14ac:dyDescent="0.15">
      <c r="G303" s="4">
        <f ca="1">IFERROR(__xludf.DUMMYFUNCTION("""COMPUTED_VALUE"""),42564.6666666666)</f>
        <v>42564.666666666599</v>
      </c>
      <c r="H303" s="3">
        <f ca="1">IFERROR(__xludf.DUMMYFUNCTION("""COMPUTED_VALUE"""),81.52)</f>
        <v>81.52</v>
      </c>
      <c r="I303" s="3">
        <f ca="1">IFERROR(__xludf.DUMMYFUNCTION("""COMPUTED_VALUE"""),81.59)</f>
        <v>81.59</v>
      </c>
      <c r="J303" s="3">
        <f ca="1">IFERROR(__xludf.DUMMYFUNCTION("""COMPUTED_VALUE"""),80.83)</f>
        <v>80.83</v>
      </c>
      <c r="K303" s="3">
        <f ca="1">IFERROR(__xludf.DUMMYFUNCTION("""COMPUTED_VALUE"""),81.01)</f>
        <v>81.010000000000005</v>
      </c>
      <c r="L303" s="3">
        <f ca="1">IFERROR(__xludf.DUMMYFUNCTION("""COMPUTED_VALUE"""),3655401)</f>
        <v>3655401</v>
      </c>
      <c r="M303" s="4">
        <f ca="1">IFERROR(__xludf.DUMMYFUNCTION("""COMPUTED_VALUE"""),42564.6666666666)</f>
        <v>42564.666666666599</v>
      </c>
      <c r="N303" s="3">
        <f ca="1">IFERROR(__xludf.DUMMYFUNCTION("""COMPUTED_VALUE"""),55.47)</f>
        <v>55.47</v>
      </c>
      <c r="O303" s="3">
        <f ca="1">IFERROR(__xludf.DUMMYFUNCTION("""COMPUTED_VALUE"""),55.78)</f>
        <v>55.78</v>
      </c>
      <c r="P303" s="3">
        <f ca="1">IFERROR(__xludf.DUMMYFUNCTION("""COMPUTED_VALUE"""),55.36)</f>
        <v>55.36</v>
      </c>
      <c r="Q303" s="3">
        <f ca="1">IFERROR(__xludf.DUMMYFUNCTION("""COMPUTED_VALUE"""),55.71)</f>
        <v>55.71</v>
      </c>
      <c r="R303" s="3">
        <f ca="1">IFERROR(__xludf.DUMMYFUNCTION("""COMPUTED_VALUE"""),9398867)</f>
        <v>9398867</v>
      </c>
      <c r="S303" s="4">
        <f ca="1">IFERROR(__xludf.DUMMYFUNCTION("""COMPUTED_VALUE"""),42564.6666666666)</f>
        <v>42564.666666666599</v>
      </c>
      <c r="T303" s="3">
        <f ca="1">IFERROR(__xludf.DUMMYFUNCTION("""COMPUTED_VALUE"""),69.32)</f>
        <v>69.319999999999993</v>
      </c>
      <c r="U303" s="3">
        <f ca="1">IFERROR(__xludf.DUMMYFUNCTION("""COMPUTED_VALUE"""),69.7)</f>
        <v>69.7</v>
      </c>
      <c r="V303" s="3">
        <f ca="1">IFERROR(__xludf.DUMMYFUNCTION("""COMPUTED_VALUE"""),68.28)</f>
        <v>68.28</v>
      </c>
      <c r="W303" s="3">
        <f ca="1">IFERROR(__xludf.DUMMYFUNCTION("""COMPUTED_VALUE"""),68.92)</f>
        <v>68.92</v>
      </c>
      <c r="X303" s="3">
        <f ca="1">IFERROR(__xludf.DUMMYFUNCTION("""COMPUTED_VALUE"""),12546247)</f>
        <v>12546247</v>
      </c>
      <c r="Y303" s="4">
        <f ca="1">IFERROR(__xludf.DUMMYFUNCTION("""COMPUTED_VALUE"""),42564.6666666666)</f>
        <v>42564.666666666599</v>
      </c>
      <c r="Z303" s="3">
        <f ca="1">IFERROR(__xludf.DUMMYFUNCTION("""COMPUTED_VALUE"""),18.94)</f>
        <v>18.940000000000001</v>
      </c>
      <c r="AA303" s="3">
        <f ca="1">IFERROR(__xludf.DUMMYFUNCTION("""COMPUTED_VALUE"""),18.99)</f>
        <v>18.989999999999998</v>
      </c>
      <c r="AB303" s="3">
        <f ca="1">IFERROR(__xludf.DUMMYFUNCTION("""COMPUTED_VALUE"""),18.85)</f>
        <v>18.850000000000001</v>
      </c>
      <c r="AC303" s="3">
        <f ca="1">IFERROR(__xludf.DUMMYFUNCTION("""COMPUTED_VALUE"""),18.95)</f>
        <v>18.95</v>
      </c>
      <c r="AD303" s="3">
        <f ca="1">IFERROR(__xludf.DUMMYFUNCTION("""COMPUTED_VALUE"""),46610159)</f>
        <v>46610159</v>
      </c>
      <c r="AE303" s="4">
        <f ca="1">IFERROR(__xludf.DUMMYFUNCTION("""COMPUTED_VALUE"""),42564.6666666666)</f>
        <v>42564.666666666599</v>
      </c>
      <c r="AF303" s="3">
        <f ca="1">IFERROR(__xludf.DUMMYFUNCTION("""COMPUTED_VALUE"""),74.08)</f>
        <v>74.08</v>
      </c>
      <c r="AG303" s="3">
        <f ca="1">IFERROR(__xludf.DUMMYFUNCTION("""COMPUTED_VALUE"""),74.18)</f>
        <v>74.180000000000007</v>
      </c>
      <c r="AH303" s="3">
        <f ca="1">IFERROR(__xludf.DUMMYFUNCTION("""COMPUTED_VALUE"""),73.75)</f>
        <v>73.75</v>
      </c>
      <c r="AI303" s="3">
        <f ca="1">IFERROR(__xludf.DUMMYFUNCTION("""COMPUTED_VALUE"""),73.82)</f>
        <v>73.819999999999993</v>
      </c>
      <c r="AJ303" s="3">
        <f ca="1">IFERROR(__xludf.DUMMYFUNCTION("""COMPUTED_VALUE"""),6401925)</f>
        <v>6401925</v>
      </c>
      <c r="AK303" s="4">
        <f ca="1">IFERROR(__xludf.DUMMYFUNCTION("""COMPUTED_VALUE"""),42564.6666666666)</f>
        <v>42564.666666666599</v>
      </c>
      <c r="AL303" s="3">
        <f ca="1">IFERROR(__xludf.DUMMYFUNCTION("""COMPUTED_VALUE"""),58.27)</f>
        <v>58.27</v>
      </c>
      <c r="AM303" s="3">
        <f ca="1">IFERROR(__xludf.DUMMYFUNCTION("""COMPUTED_VALUE"""),58.31)</f>
        <v>58.31</v>
      </c>
      <c r="AN303" s="3">
        <f ca="1">IFERROR(__xludf.DUMMYFUNCTION("""COMPUTED_VALUE"""),57.9)</f>
        <v>57.9</v>
      </c>
      <c r="AO303" s="3">
        <f ca="1">IFERROR(__xludf.DUMMYFUNCTION("""COMPUTED_VALUE"""),58.26)</f>
        <v>58.26</v>
      </c>
      <c r="AP303" s="3">
        <f ca="1">IFERROR(__xludf.DUMMYFUNCTION("""COMPUTED_VALUE"""),13119818)</f>
        <v>13119818</v>
      </c>
      <c r="AQ303" s="4">
        <f ca="1">IFERROR(__xludf.DUMMYFUNCTION("""COMPUTED_VALUE"""),42564.6666666666)</f>
        <v>42564.666666666599</v>
      </c>
      <c r="AR303" s="3">
        <f ca="1">IFERROR(__xludf.DUMMYFUNCTION("""COMPUTED_VALUE"""),48.13)</f>
        <v>48.13</v>
      </c>
      <c r="AS303" s="3">
        <f ca="1">IFERROR(__xludf.DUMMYFUNCTION("""COMPUTED_VALUE"""),48.25)</f>
        <v>48.25</v>
      </c>
      <c r="AT303" s="3">
        <f ca="1">IFERROR(__xludf.DUMMYFUNCTION("""COMPUTED_VALUE"""),47.89)</f>
        <v>47.89</v>
      </c>
      <c r="AU303" s="3">
        <f ca="1">IFERROR(__xludf.DUMMYFUNCTION("""COMPUTED_VALUE"""),48.18)</f>
        <v>48.18</v>
      </c>
      <c r="AV303" s="3">
        <f ca="1">IFERROR(__xludf.DUMMYFUNCTION("""COMPUTED_VALUE"""),3930419)</f>
        <v>3930419</v>
      </c>
      <c r="AW303" s="4">
        <f ca="1">IFERROR(__xludf.DUMMYFUNCTION("""COMPUTED_VALUE"""),42726.6666666666)</f>
        <v>42726.666666666599</v>
      </c>
      <c r="AX303" s="3">
        <f ca="1">IFERROR(__xludf.DUMMYFUNCTION("""COMPUTED_VALUE"""),30.24)</f>
        <v>30.24</v>
      </c>
      <c r="AY303" s="3">
        <f ca="1">IFERROR(__xludf.DUMMYFUNCTION("""COMPUTED_VALUE"""),30.32)</f>
        <v>30.32</v>
      </c>
      <c r="AZ303" s="3">
        <f ca="1">IFERROR(__xludf.DUMMYFUNCTION("""COMPUTED_VALUE"""),30.01)</f>
        <v>30.01</v>
      </c>
      <c r="BA303" s="3">
        <f ca="1">IFERROR(__xludf.DUMMYFUNCTION("""COMPUTED_VALUE"""),30.3)</f>
        <v>30.3</v>
      </c>
      <c r="BB303" s="3">
        <f ca="1">IFERROR(__xludf.DUMMYFUNCTION("""COMPUTED_VALUE"""),1399843)</f>
        <v>1399843</v>
      </c>
      <c r="BC303" s="4">
        <f ca="1">IFERROR(__xludf.DUMMYFUNCTION("""COMPUTED_VALUE"""),42564.6666666666)</f>
        <v>42564.666666666599</v>
      </c>
      <c r="BD303" s="3">
        <f ca="1">IFERROR(__xludf.DUMMYFUNCTION("""COMPUTED_VALUE"""),44.88)</f>
        <v>44.88</v>
      </c>
      <c r="BE303" s="3">
        <f ca="1">IFERROR(__xludf.DUMMYFUNCTION("""COMPUTED_VALUE"""),44.91)</f>
        <v>44.91</v>
      </c>
      <c r="BF303" s="3">
        <f ca="1">IFERROR(__xludf.DUMMYFUNCTION("""COMPUTED_VALUE"""),44.73)</f>
        <v>44.73</v>
      </c>
      <c r="BG303" s="3">
        <f ca="1">IFERROR(__xludf.DUMMYFUNCTION("""COMPUTED_VALUE"""),44.76)</f>
        <v>44.76</v>
      </c>
      <c r="BH303" s="3">
        <f ca="1">IFERROR(__xludf.DUMMYFUNCTION("""COMPUTED_VALUE"""),10609441)</f>
        <v>10609441</v>
      </c>
      <c r="BI303" s="4">
        <f ca="1">IFERROR(__xludf.DUMMYFUNCTION("""COMPUTED_VALUE"""),42564.6666666666)</f>
        <v>42564.666666666599</v>
      </c>
      <c r="BJ303" s="3">
        <f ca="1">IFERROR(__xludf.DUMMYFUNCTION("""COMPUTED_VALUE"""),52)</f>
        <v>52</v>
      </c>
      <c r="BK303" s="3">
        <f ca="1">IFERROR(__xludf.DUMMYFUNCTION("""COMPUTED_VALUE"""),52.19)</f>
        <v>52.19</v>
      </c>
      <c r="BL303" s="3">
        <f ca="1">IFERROR(__xludf.DUMMYFUNCTION("""COMPUTED_VALUE"""),51.88)</f>
        <v>51.88</v>
      </c>
      <c r="BM303" s="3">
        <f ca="1">IFERROR(__xludf.DUMMYFUNCTION("""COMPUTED_VALUE"""),52.19)</f>
        <v>52.19</v>
      </c>
      <c r="BN303" s="3">
        <f ca="1">IFERROR(__xludf.DUMMYFUNCTION("""COMPUTED_VALUE"""),14604721)</f>
        <v>14604721</v>
      </c>
    </row>
    <row r="304" spans="7:66" ht="13" x14ac:dyDescent="0.15">
      <c r="G304" s="4">
        <f ca="1">IFERROR(__xludf.DUMMYFUNCTION("""COMPUTED_VALUE"""),42565.6666666666)</f>
        <v>42565.666666666599</v>
      </c>
      <c r="H304" s="3">
        <f ca="1">IFERROR(__xludf.DUMMYFUNCTION("""COMPUTED_VALUE"""),81.61)</f>
        <v>81.61</v>
      </c>
      <c r="I304" s="3">
        <f ca="1">IFERROR(__xludf.DUMMYFUNCTION("""COMPUTED_VALUE"""),81.81)</f>
        <v>81.81</v>
      </c>
      <c r="J304" s="3">
        <f ca="1">IFERROR(__xludf.DUMMYFUNCTION("""COMPUTED_VALUE"""),81.24)</f>
        <v>81.239999999999995</v>
      </c>
      <c r="K304" s="3">
        <f ca="1">IFERROR(__xludf.DUMMYFUNCTION("""COMPUTED_VALUE"""),81.34)</f>
        <v>81.34</v>
      </c>
      <c r="L304" s="3">
        <f ca="1">IFERROR(__xludf.DUMMYFUNCTION("""COMPUTED_VALUE"""),3406049)</f>
        <v>3406049</v>
      </c>
      <c r="M304" s="4">
        <f ca="1">IFERROR(__xludf.DUMMYFUNCTION("""COMPUTED_VALUE"""),42565.6666666666)</f>
        <v>42565.666666666599</v>
      </c>
      <c r="N304" s="3">
        <f ca="1">IFERROR(__xludf.DUMMYFUNCTION("""COMPUTED_VALUE"""),55.68)</f>
        <v>55.68</v>
      </c>
      <c r="O304" s="3">
        <f ca="1">IFERROR(__xludf.DUMMYFUNCTION("""COMPUTED_VALUE"""),56.02)</f>
        <v>56.02</v>
      </c>
      <c r="P304" s="3">
        <f ca="1">IFERROR(__xludf.DUMMYFUNCTION("""COMPUTED_VALUE"""),55.6)</f>
        <v>55.6</v>
      </c>
      <c r="Q304" s="3">
        <f ca="1">IFERROR(__xludf.DUMMYFUNCTION("""COMPUTED_VALUE"""),55.7)</f>
        <v>55.7</v>
      </c>
      <c r="R304" s="3">
        <f ca="1">IFERROR(__xludf.DUMMYFUNCTION("""COMPUTED_VALUE"""),15486751)</f>
        <v>15486751</v>
      </c>
      <c r="S304" s="4">
        <f ca="1">IFERROR(__xludf.DUMMYFUNCTION("""COMPUTED_VALUE"""),42565.6666666666)</f>
        <v>42565.666666666599</v>
      </c>
      <c r="T304" s="3">
        <f ca="1">IFERROR(__xludf.DUMMYFUNCTION("""COMPUTED_VALUE"""),69.46)</f>
        <v>69.459999999999994</v>
      </c>
      <c r="U304" s="3">
        <f ca="1">IFERROR(__xludf.DUMMYFUNCTION("""COMPUTED_VALUE"""),69.63)</f>
        <v>69.63</v>
      </c>
      <c r="V304" s="3">
        <f ca="1">IFERROR(__xludf.DUMMYFUNCTION("""COMPUTED_VALUE"""),69.07)</f>
        <v>69.069999999999993</v>
      </c>
      <c r="W304" s="3">
        <f ca="1">IFERROR(__xludf.DUMMYFUNCTION("""COMPUTED_VALUE"""),69.27)</f>
        <v>69.27</v>
      </c>
      <c r="X304" s="3">
        <f ca="1">IFERROR(__xludf.DUMMYFUNCTION("""COMPUTED_VALUE"""),10898600)</f>
        <v>10898600</v>
      </c>
      <c r="Y304" s="4">
        <f ca="1">IFERROR(__xludf.DUMMYFUNCTION("""COMPUTED_VALUE"""),42565.6666666666)</f>
        <v>42565.666666666599</v>
      </c>
      <c r="Z304" s="3">
        <f ca="1">IFERROR(__xludf.DUMMYFUNCTION("""COMPUTED_VALUE"""),19.33)</f>
        <v>19.329999999999998</v>
      </c>
      <c r="AA304" s="3">
        <f ca="1">IFERROR(__xludf.DUMMYFUNCTION("""COMPUTED_VALUE"""),19.33)</f>
        <v>19.329999999999998</v>
      </c>
      <c r="AB304" s="3">
        <f ca="1">IFERROR(__xludf.DUMMYFUNCTION("""COMPUTED_VALUE"""),19.08)</f>
        <v>19.079999999999998</v>
      </c>
      <c r="AC304" s="3">
        <f ca="1">IFERROR(__xludf.DUMMYFUNCTION("""COMPUTED_VALUE"""),19.13)</f>
        <v>19.13</v>
      </c>
      <c r="AD304" s="3">
        <f ca="1">IFERROR(__xludf.DUMMYFUNCTION("""COMPUTED_VALUE"""),54459375)</f>
        <v>54459375</v>
      </c>
      <c r="AE304" s="4">
        <f ca="1">IFERROR(__xludf.DUMMYFUNCTION("""COMPUTED_VALUE"""),42565.6666666666)</f>
        <v>42565.666666666599</v>
      </c>
      <c r="AF304" s="3">
        <f ca="1">IFERROR(__xludf.DUMMYFUNCTION("""COMPUTED_VALUE"""),74.31)</f>
        <v>74.31</v>
      </c>
      <c r="AG304" s="3">
        <f ca="1">IFERROR(__xludf.DUMMYFUNCTION("""COMPUTED_VALUE"""),74.66)</f>
        <v>74.66</v>
      </c>
      <c r="AH304" s="3">
        <f ca="1">IFERROR(__xludf.DUMMYFUNCTION("""COMPUTED_VALUE"""),73.87)</f>
        <v>73.87</v>
      </c>
      <c r="AI304" s="3">
        <f ca="1">IFERROR(__xludf.DUMMYFUNCTION("""COMPUTED_VALUE"""),74.14)</f>
        <v>74.14</v>
      </c>
      <c r="AJ304" s="3">
        <f ca="1">IFERROR(__xludf.DUMMYFUNCTION("""COMPUTED_VALUE"""),4813169)</f>
        <v>4813169</v>
      </c>
      <c r="AK304" s="4">
        <f ca="1">IFERROR(__xludf.DUMMYFUNCTION("""COMPUTED_VALUE"""),42565.6666666666)</f>
        <v>42565.666666666599</v>
      </c>
      <c r="AL304" s="3">
        <f ca="1">IFERROR(__xludf.DUMMYFUNCTION("""COMPUTED_VALUE"""),58.64)</f>
        <v>58.64</v>
      </c>
      <c r="AM304" s="3">
        <f ca="1">IFERROR(__xludf.DUMMYFUNCTION("""COMPUTED_VALUE"""),58.87)</f>
        <v>58.87</v>
      </c>
      <c r="AN304" s="3">
        <f ca="1">IFERROR(__xludf.DUMMYFUNCTION("""COMPUTED_VALUE"""),58.46)</f>
        <v>58.46</v>
      </c>
      <c r="AO304" s="3">
        <f ca="1">IFERROR(__xludf.DUMMYFUNCTION("""COMPUTED_VALUE"""),58.7)</f>
        <v>58.7</v>
      </c>
      <c r="AP304" s="3">
        <f ca="1">IFERROR(__xludf.DUMMYFUNCTION("""COMPUTED_VALUE"""),11795390)</f>
        <v>11795390</v>
      </c>
      <c r="AQ304" s="4">
        <f ca="1">IFERROR(__xludf.DUMMYFUNCTION("""COMPUTED_VALUE"""),42565.6666666666)</f>
        <v>42565.666666666599</v>
      </c>
      <c r="AR304" s="3">
        <f ca="1">IFERROR(__xludf.DUMMYFUNCTION("""COMPUTED_VALUE"""),48.37)</f>
        <v>48.37</v>
      </c>
      <c r="AS304" s="3">
        <f ca="1">IFERROR(__xludf.DUMMYFUNCTION("""COMPUTED_VALUE"""),48.7)</f>
        <v>48.7</v>
      </c>
      <c r="AT304" s="3">
        <f ca="1">IFERROR(__xludf.DUMMYFUNCTION("""COMPUTED_VALUE"""),48.32)</f>
        <v>48.32</v>
      </c>
      <c r="AU304" s="3">
        <f ca="1">IFERROR(__xludf.DUMMYFUNCTION("""COMPUTED_VALUE"""),48.61)</f>
        <v>48.61</v>
      </c>
      <c r="AV304" s="3">
        <f ca="1">IFERROR(__xludf.DUMMYFUNCTION("""COMPUTED_VALUE"""),4975527)</f>
        <v>4975527</v>
      </c>
      <c r="AW304" s="4">
        <f ca="1">IFERROR(__xludf.DUMMYFUNCTION("""COMPUTED_VALUE"""),42727.6666666666)</f>
        <v>42727.666666666599</v>
      </c>
      <c r="AX304" s="3">
        <f ca="1">IFERROR(__xludf.DUMMYFUNCTION("""COMPUTED_VALUE"""),30.32)</f>
        <v>30.32</v>
      </c>
      <c r="AY304" s="3">
        <f ca="1">IFERROR(__xludf.DUMMYFUNCTION("""COMPUTED_VALUE"""),30.43)</f>
        <v>30.43</v>
      </c>
      <c r="AZ304" s="3">
        <f ca="1">IFERROR(__xludf.DUMMYFUNCTION("""COMPUTED_VALUE"""),30.23)</f>
        <v>30.23</v>
      </c>
      <c r="BA304" s="3">
        <f ca="1">IFERROR(__xludf.DUMMYFUNCTION("""COMPUTED_VALUE"""),30.33)</f>
        <v>30.33</v>
      </c>
      <c r="BB304" s="3">
        <f ca="1">IFERROR(__xludf.DUMMYFUNCTION("""COMPUTED_VALUE"""),931571)</f>
        <v>931571</v>
      </c>
      <c r="BC304" s="4">
        <f ca="1">IFERROR(__xludf.DUMMYFUNCTION("""COMPUTED_VALUE"""),42565.6666666666)</f>
        <v>42565.666666666599</v>
      </c>
      <c r="BD304" s="3">
        <f ca="1">IFERROR(__xludf.DUMMYFUNCTION("""COMPUTED_VALUE"""),45.01)</f>
        <v>45.01</v>
      </c>
      <c r="BE304" s="3">
        <f ca="1">IFERROR(__xludf.DUMMYFUNCTION("""COMPUTED_VALUE"""),45.15)</f>
        <v>45.15</v>
      </c>
      <c r="BF304" s="3">
        <f ca="1">IFERROR(__xludf.DUMMYFUNCTION("""COMPUTED_VALUE"""),44.91)</f>
        <v>44.91</v>
      </c>
      <c r="BG304" s="3">
        <f ca="1">IFERROR(__xludf.DUMMYFUNCTION("""COMPUTED_VALUE"""),45.05)</f>
        <v>45.05</v>
      </c>
      <c r="BH304" s="3">
        <f ca="1">IFERROR(__xludf.DUMMYFUNCTION("""COMPUTED_VALUE"""),15488264)</f>
        <v>15488264</v>
      </c>
      <c r="BI304" s="4">
        <f ca="1">IFERROR(__xludf.DUMMYFUNCTION("""COMPUTED_VALUE"""),42565.6666666666)</f>
        <v>42565.666666666599</v>
      </c>
      <c r="BJ304" s="3">
        <f ca="1">IFERROR(__xludf.DUMMYFUNCTION("""COMPUTED_VALUE"""),51.67)</f>
        <v>51.67</v>
      </c>
      <c r="BK304" s="3">
        <f ca="1">IFERROR(__xludf.DUMMYFUNCTION("""COMPUTED_VALUE"""),52.09)</f>
        <v>52.09</v>
      </c>
      <c r="BL304" s="3">
        <f ca="1">IFERROR(__xludf.DUMMYFUNCTION("""COMPUTED_VALUE"""),51.61)</f>
        <v>51.61</v>
      </c>
      <c r="BM304" s="3">
        <f ca="1">IFERROR(__xludf.DUMMYFUNCTION("""COMPUTED_VALUE"""),51.85)</f>
        <v>51.85</v>
      </c>
      <c r="BN304" s="3">
        <f ca="1">IFERROR(__xludf.DUMMYFUNCTION("""COMPUTED_VALUE"""),17361300)</f>
        <v>17361300</v>
      </c>
    </row>
    <row r="305" spans="7:66" ht="13" x14ac:dyDescent="0.15">
      <c r="G305" s="4">
        <f ca="1">IFERROR(__xludf.DUMMYFUNCTION("""COMPUTED_VALUE"""),42566.6666666666)</f>
        <v>42566.666666666599</v>
      </c>
      <c r="H305" s="3">
        <f ca="1">IFERROR(__xludf.DUMMYFUNCTION("""COMPUTED_VALUE"""),81.73)</f>
        <v>81.73</v>
      </c>
      <c r="I305" s="3">
        <f ca="1">IFERROR(__xludf.DUMMYFUNCTION("""COMPUTED_VALUE"""),81.75)</f>
        <v>81.75</v>
      </c>
      <c r="J305" s="3">
        <f ca="1">IFERROR(__xludf.DUMMYFUNCTION("""COMPUTED_VALUE"""),80.92)</f>
        <v>80.92</v>
      </c>
      <c r="K305" s="3">
        <f ca="1">IFERROR(__xludf.DUMMYFUNCTION("""COMPUTED_VALUE"""),80.98)</f>
        <v>80.98</v>
      </c>
      <c r="L305" s="3">
        <f ca="1">IFERROR(__xludf.DUMMYFUNCTION("""COMPUTED_VALUE"""),3483683)</f>
        <v>3483683</v>
      </c>
      <c r="M305" s="4">
        <f ca="1">IFERROR(__xludf.DUMMYFUNCTION("""COMPUTED_VALUE"""),42566.6666666666)</f>
        <v>42566.666666666599</v>
      </c>
      <c r="N305" s="3">
        <f ca="1">IFERROR(__xludf.DUMMYFUNCTION("""COMPUTED_VALUE"""),55.74)</f>
        <v>55.74</v>
      </c>
      <c r="O305" s="3">
        <f ca="1">IFERROR(__xludf.DUMMYFUNCTION("""COMPUTED_VALUE"""),55.96)</f>
        <v>55.96</v>
      </c>
      <c r="P305" s="3">
        <f ca="1">IFERROR(__xludf.DUMMYFUNCTION("""COMPUTED_VALUE"""),55.59)</f>
        <v>55.59</v>
      </c>
      <c r="Q305" s="3">
        <f ca="1">IFERROR(__xludf.DUMMYFUNCTION("""COMPUTED_VALUE"""),55.7)</f>
        <v>55.7</v>
      </c>
      <c r="R305" s="3">
        <f ca="1">IFERROR(__xludf.DUMMYFUNCTION("""COMPUTED_VALUE"""),10722169)</f>
        <v>10722169</v>
      </c>
      <c r="S305" s="4">
        <f ca="1">IFERROR(__xludf.DUMMYFUNCTION("""COMPUTED_VALUE"""),42566.6666666666)</f>
        <v>42566.666666666599</v>
      </c>
      <c r="T305" s="3">
        <f ca="1">IFERROR(__xludf.DUMMYFUNCTION("""COMPUTED_VALUE"""),69.52)</f>
        <v>69.52</v>
      </c>
      <c r="U305" s="3">
        <f ca="1">IFERROR(__xludf.DUMMYFUNCTION("""COMPUTED_VALUE"""),69.68)</f>
        <v>69.680000000000007</v>
      </c>
      <c r="V305" s="3">
        <f ca="1">IFERROR(__xludf.DUMMYFUNCTION("""COMPUTED_VALUE"""),68.97)</f>
        <v>68.97</v>
      </c>
      <c r="W305" s="3">
        <f ca="1">IFERROR(__xludf.DUMMYFUNCTION("""COMPUTED_VALUE"""),69.23)</f>
        <v>69.23</v>
      </c>
      <c r="X305" s="3">
        <f ca="1">IFERROR(__xludf.DUMMYFUNCTION("""COMPUTED_VALUE"""),9129529)</f>
        <v>9129529</v>
      </c>
      <c r="Y305" s="4">
        <f ca="1">IFERROR(__xludf.DUMMYFUNCTION("""COMPUTED_VALUE"""),42566.6666666666)</f>
        <v>42566.666666666599</v>
      </c>
      <c r="Z305" s="3">
        <f ca="1">IFERROR(__xludf.DUMMYFUNCTION("""COMPUTED_VALUE"""),19.21)</f>
        <v>19.21</v>
      </c>
      <c r="AA305" s="3">
        <f ca="1">IFERROR(__xludf.DUMMYFUNCTION("""COMPUTED_VALUE"""),19.22)</f>
        <v>19.22</v>
      </c>
      <c r="AB305" s="3">
        <f ca="1">IFERROR(__xludf.DUMMYFUNCTION("""COMPUTED_VALUE"""),18.98)</f>
        <v>18.98</v>
      </c>
      <c r="AC305" s="3">
        <f ca="1">IFERROR(__xludf.DUMMYFUNCTION("""COMPUTED_VALUE"""),19.1)</f>
        <v>19.100000000000001</v>
      </c>
      <c r="AD305" s="3">
        <f ca="1">IFERROR(__xludf.DUMMYFUNCTION("""COMPUTED_VALUE"""),50943055)</f>
        <v>50943055</v>
      </c>
      <c r="AE305" s="4">
        <f ca="1">IFERROR(__xludf.DUMMYFUNCTION("""COMPUTED_VALUE"""),42566.6666666666)</f>
        <v>42566.666666666599</v>
      </c>
      <c r="AF305" s="3">
        <f ca="1">IFERROR(__xludf.DUMMYFUNCTION("""COMPUTED_VALUE"""),74.42)</f>
        <v>74.42</v>
      </c>
      <c r="AG305" s="3">
        <f ca="1">IFERROR(__xludf.DUMMYFUNCTION("""COMPUTED_VALUE"""),74.63)</f>
        <v>74.63</v>
      </c>
      <c r="AH305" s="3">
        <f ca="1">IFERROR(__xludf.DUMMYFUNCTION("""COMPUTED_VALUE"""),73.99)</f>
        <v>73.989999999999995</v>
      </c>
      <c r="AI305" s="3">
        <f ca="1">IFERROR(__xludf.DUMMYFUNCTION("""COMPUTED_VALUE"""),74.08)</f>
        <v>74.08</v>
      </c>
      <c r="AJ305" s="3">
        <f ca="1">IFERROR(__xludf.DUMMYFUNCTION("""COMPUTED_VALUE"""),7131321)</f>
        <v>7131321</v>
      </c>
      <c r="AK305" s="4">
        <f ca="1">IFERROR(__xludf.DUMMYFUNCTION("""COMPUTED_VALUE"""),42566.6666666666)</f>
        <v>42566.666666666599</v>
      </c>
      <c r="AL305" s="3">
        <f ca="1">IFERROR(__xludf.DUMMYFUNCTION("""COMPUTED_VALUE"""),58.89)</f>
        <v>58.89</v>
      </c>
      <c r="AM305" s="3">
        <f ca="1">IFERROR(__xludf.DUMMYFUNCTION("""COMPUTED_VALUE"""),58.92)</f>
        <v>58.92</v>
      </c>
      <c r="AN305" s="3">
        <f ca="1">IFERROR(__xludf.DUMMYFUNCTION("""COMPUTED_VALUE"""),58.55)</f>
        <v>58.55</v>
      </c>
      <c r="AO305" s="3">
        <f ca="1">IFERROR(__xludf.DUMMYFUNCTION("""COMPUTED_VALUE"""),58.69)</f>
        <v>58.69</v>
      </c>
      <c r="AP305" s="3">
        <f ca="1">IFERROR(__xludf.DUMMYFUNCTION("""COMPUTED_VALUE"""),6238040)</f>
        <v>6238040</v>
      </c>
      <c r="AQ305" s="4">
        <f ca="1">IFERROR(__xludf.DUMMYFUNCTION("""COMPUTED_VALUE"""),42566.6666666666)</f>
        <v>42566.666666666599</v>
      </c>
      <c r="AR305" s="3">
        <f ca="1">IFERROR(__xludf.DUMMYFUNCTION("""COMPUTED_VALUE"""),48.78)</f>
        <v>48.78</v>
      </c>
      <c r="AS305" s="3">
        <f ca="1">IFERROR(__xludf.DUMMYFUNCTION("""COMPUTED_VALUE"""),48.92)</f>
        <v>48.92</v>
      </c>
      <c r="AT305" s="3">
        <f ca="1">IFERROR(__xludf.DUMMYFUNCTION("""COMPUTED_VALUE"""),48.65)</f>
        <v>48.65</v>
      </c>
      <c r="AU305" s="3">
        <f ca="1">IFERROR(__xludf.DUMMYFUNCTION("""COMPUTED_VALUE"""),48.78)</f>
        <v>48.78</v>
      </c>
      <c r="AV305" s="3">
        <f ca="1">IFERROR(__xludf.DUMMYFUNCTION("""COMPUTED_VALUE"""),3631142)</f>
        <v>3631142</v>
      </c>
      <c r="AW305" s="4">
        <f ca="1">IFERROR(__xludf.DUMMYFUNCTION("""COMPUTED_VALUE"""),42731.6666666666)</f>
        <v>42731.666666666599</v>
      </c>
      <c r="AX305" s="3">
        <f ca="1">IFERROR(__xludf.DUMMYFUNCTION("""COMPUTED_VALUE"""),30.4)</f>
        <v>30.4</v>
      </c>
      <c r="AY305" s="3">
        <f ca="1">IFERROR(__xludf.DUMMYFUNCTION("""COMPUTED_VALUE"""),30.52)</f>
        <v>30.52</v>
      </c>
      <c r="AZ305" s="3">
        <f ca="1">IFERROR(__xludf.DUMMYFUNCTION("""COMPUTED_VALUE"""),30.28)</f>
        <v>30.28</v>
      </c>
      <c r="BA305" s="3">
        <f ca="1">IFERROR(__xludf.DUMMYFUNCTION("""COMPUTED_VALUE"""),30.41)</f>
        <v>30.41</v>
      </c>
      <c r="BB305" s="3">
        <f ca="1">IFERROR(__xludf.DUMMYFUNCTION("""COMPUTED_VALUE"""),1143637)</f>
        <v>1143637</v>
      </c>
      <c r="BC305" s="4">
        <f ca="1">IFERROR(__xludf.DUMMYFUNCTION("""COMPUTED_VALUE"""),42566.6666666666)</f>
        <v>42566.666666666599</v>
      </c>
      <c r="BD305" s="3">
        <f ca="1">IFERROR(__xludf.DUMMYFUNCTION("""COMPUTED_VALUE"""),45.2)</f>
        <v>45.2</v>
      </c>
      <c r="BE305" s="3">
        <f ca="1">IFERROR(__xludf.DUMMYFUNCTION("""COMPUTED_VALUE"""),45.2)</f>
        <v>45.2</v>
      </c>
      <c r="BF305" s="3">
        <f ca="1">IFERROR(__xludf.DUMMYFUNCTION("""COMPUTED_VALUE"""),44.88)</f>
        <v>44.88</v>
      </c>
      <c r="BG305" s="3">
        <f ca="1">IFERROR(__xludf.DUMMYFUNCTION("""COMPUTED_VALUE"""),45.01)</f>
        <v>45.01</v>
      </c>
      <c r="BH305" s="3">
        <f ca="1">IFERROR(__xludf.DUMMYFUNCTION("""COMPUTED_VALUE"""),4864805)</f>
        <v>4864805</v>
      </c>
      <c r="BI305" s="4">
        <f ca="1">IFERROR(__xludf.DUMMYFUNCTION("""COMPUTED_VALUE"""),42566.6666666666)</f>
        <v>42566.666666666599</v>
      </c>
      <c r="BJ305" s="3">
        <f ca="1">IFERROR(__xludf.DUMMYFUNCTION("""COMPUTED_VALUE"""),51.79)</f>
        <v>51.79</v>
      </c>
      <c r="BK305" s="3">
        <f ca="1">IFERROR(__xludf.DUMMYFUNCTION("""COMPUTED_VALUE"""),52.13)</f>
        <v>52.13</v>
      </c>
      <c r="BL305" s="3">
        <f ca="1">IFERROR(__xludf.DUMMYFUNCTION("""COMPUTED_VALUE"""),51.75)</f>
        <v>51.75</v>
      </c>
      <c r="BM305" s="3">
        <f ca="1">IFERROR(__xludf.DUMMYFUNCTION("""COMPUTED_VALUE"""),52)</f>
        <v>52</v>
      </c>
      <c r="BN305" s="3">
        <f ca="1">IFERROR(__xludf.DUMMYFUNCTION("""COMPUTED_VALUE"""),12951718)</f>
        <v>12951718</v>
      </c>
    </row>
    <row r="306" spans="7:66" ht="13" x14ac:dyDescent="0.15">
      <c r="G306" s="4">
        <f ca="1">IFERROR(__xludf.DUMMYFUNCTION("""COMPUTED_VALUE"""),42569.6666666666)</f>
        <v>42569.666666666599</v>
      </c>
      <c r="H306" s="3">
        <f ca="1">IFERROR(__xludf.DUMMYFUNCTION("""COMPUTED_VALUE"""),81.17)</f>
        <v>81.17</v>
      </c>
      <c r="I306" s="3">
        <f ca="1">IFERROR(__xludf.DUMMYFUNCTION("""COMPUTED_VALUE"""),81.52)</f>
        <v>81.52</v>
      </c>
      <c r="J306" s="3">
        <f ca="1">IFERROR(__xludf.DUMMYFUNCTION("""COMPUTED_VALUE"""),80.95)</f>
        <v>80.95</v>
      </c>
      <c r="K306" s="3">
        <f ca="1">IFERROR(__xludf.DUMMYFUNCTION("""COMPUTED_VALUE"""),81.29)</f>
        <v>81.290000000000006</v>
      </c>
      <c r="L306" s="3">
        <f ca="1">IFERROR(__xludf.DUMMYFUNCTION("""COMPUTED_VALUE"""),2775041)</f>
        <v>2775041</v>
      </c>
      <c r="M306" s="4">
        <f ca="1">IFERROR(__xludf.DUMMYFUNCTION("""COMPUTED_VALUE"""),42569.6666666666)</f>
        <v>42569.666666666599</v>
      </c>
      <c r="N306" s="3">
        <f ca="1">IFERROR(__xludf.DUMMYFUNCTION("""COMPUTED_VALUE"""),55.7)</f>
        <v>55.7</v>
      </c>
      <c r="O306" s="3">
        <f ca="1">IFERROR(__xludf.DUMMYFUNCTION("""COMPUTED_VALUE"""),55.74)</f>
        <v>55.74</v>
      </c>
      <c r="P306" s="3">
        <f ca="1">IFERROR(__xludf.DUMMYFUNCTION("""COMPUTED_VALUE"""),55.55)</f>
        <v>55.55</v>
      </c>
      <c r="Q306" s="3">
        <f ca="1">IFERROR(__xludf.DUMMYFUNCTION("""COMPUTED_VALUE"""),55.64)</f>
        <v>55.64</v>
      </c>
      <c r="R306" s="3">
        <f ca="1">IFERROR(__xludf.DUMMYFUNCTION("""COMPUTED_VALUE"""),9656863)</f>
        <v>9656863</v>
      </c>
      <c r="S306" s="4">
        <f ca="1">IFERROR(__xludf.DUMMYFUNCTION("""COMPUTED_VALUE"""),42569.6666666666)</f>
        <v>42569.666666666599</v>
      </c>
      <c r="T306" s="3">
        <f ca="1">IFERROR(__xludf.DUMMYFUNCTION("""COMPUTED_VALUE"""),69.03)</f>
        <v>69.03</v>
      </c>
      <c r="U306" s="3">
        <f ca="1">IFERROR(__xludf.DUMMYFUNCTION("""COMPUTED_VALUE"""),69.31)</f>
        <v>69.31</v>
      </c>
      <c r="V306" s="3">
        <f ca="1">IFERROR(__xludf.DUMMYFUNCTION("""COMPUTED_VALUE"""),68.59)</f>
        <v>68.59</v>
      </c>
      <c r="W306" s="3">
        <f ca="1">IFERROR(__xludf.DUMMYFUNCTION("""COMPUTED_VALUE"""),69.28)</f>
        <v>69.28</v>
      </c>
      <c r="X306" s="3">
        <f ca="1">IFERROR(__xludf.DUMMYFUNCTION("""COMPUTED_VALUE"""),9401131)</f>
        <v>9401131</v>
      </c>
      <c r="Y306" s="4">
        <f ca="1">IFERROR(__xludf.DUMMYFUNCTION("""COMPUTED_VALUE"""),42569.6666666666)</f>
        <v>42569.666666666599</v>
      </c>
      <c r="Z306" s="3">
        <f ca="1">IFERROR(__xludf.DUMMYFUNCTION("""COMPUTED_VALUE"""),19.11)</f>
        <v>19.11</v>
      </c>
      <c r="AA306" s="3">
        <f ca="1">IFERROR(__xludf.DUMMYFUNCTION("""COMPUTED_VALUE"""),19.19)</f>
        <v>19.190000000000001</v>
      </c>
      <c r="AB306" s="3">
        <f ca="1">IFERROR(__xludf.DUMMYFUNCTION("""COMPUTED_VALUE"""),19.09)</f>
        <v>19.09</v>
      </c>
      <c r="AC306" s="3">
        <f ca="1">IFERROR(__xludf.DUMMYFUNCTION("""COMPUTED_VALUE"""),19.16)</f>
        <v>19.16</v>
      </c>
      <c r="AD306" s="3">
        <f ca="1">IFERROR(__xludf.DUMMYFUNCTION("""COMPUTED_VALUE"""),31643545)</f>
        <v>31643545</v>
      </c>
      <c r="AE306" s="4">
        <f ca="1">IFERROR(__xludf.DUMMYFUNCTION("""COMPUTED_VALUE"""),42569.6666666666)</f>
        <v>42569.666666666599</v>
      </c>
      <c r="AF306" s="3">
        <f ca="1">IFERROR(__xludf.DUMMYFUNCTION("""COMPUTED_VALUE"""),74.1)</f>
        <v>74.099999999999994</v>
      </c>
      <c r="AG306" s="3">
        <f ca="1">IFERROR(__xludf.DUMMYFUNCTION("""COMPUTED_VALUE"""),74.25)</f>
        <v>74.25</v>
      </c>
      <c r="AH306" s="3">
        <f ca="1">IFERROR(__xludf.DUMMYFUNCTION("""COMPUTED_VALUE"""),73.84)</f>
        <v>73.84</v>
      </c>
      <c r="AI306" s="3">
        <f ca="1">IFERROR(__xludf.DUMMYFUNCTION("""COMPUTED_VALUE"""),74.11)</f>
        <v>74.11</v>
      </c>
      <c r="AJ306" s="3">
        <f ca="1">IFERROR(__xludf.DUMMYFUNCTION("""COMPUTED_VALUE"""),3954259)</f>
        <v>3954259</v>
      </c>
      <c r="AK306" s="4">
        <f ca="1">IFERROR(__xludf.DUMMYFUNCTION("""COMPUTED_VALUE"""),42569.6666666666)</f>
        <v>42569.666666666599</v>
      </c>
      <c r="AL306" s="3">
        <f ca="1">IFERROR(__xludf.DUMMYFUNCTION("""COMPUTED_VALUE"""),58.61)</f>
        <v>58.61</v>
      </c>
      <c r="AM306" s="3">
        <f ca="1">IFERROR(__xludf.DUMMYFUNCTION("""COMPUTED_VALUE"""),58.75)</f>
        <v>58.75</v>
      </c>
      <c r="AN306" s="3">
        <f ca="1">IFERROR(__xludf.DUMMYFUNCTION("""COMPUTED_VALUE"""),58.45)</f>
        <v>58.45</v>
      </c>
      <c r="AO306" s="3">
        <f ca="1">IFERROR(__xludf.DUMMYFUNCTION("""COMPUTED_VALUE"""),58.64)</f>
        <v>58.64</v>
      </c>
      <c r="AP306" s="3">
        <f ca="1">IFERROR(__xludf.DUMMYFUNCTION("""COMPUTED_VALUE"""),5983637)</f>
        <v>5983637</v>
      </c>
      <c r="AQ306" s="4">
        <f ca="1">IFERROR(__xludf.DUMMYFUNCTION("""COMPUTED_VALUE"""),42569.6666666666)</f>
        <v>42569.666666666599</v>
      </c>
      <c r="AR306" s="3">
        <f ca="1">IFERROR(__xludf.DUMMYFUNCTION("""COMPUTED_VALUE"""),48.78)</f>
        <v>48.78</v>
      </c>
      <c r="AS306" s="3">
        <f ca="1">IFERROR(__xludf.DUMMYFUNCTION("""COMPUTED_VALUE"""),49.15)</f>
        <v>49.15</v>
      </c>
      <c r="AT306" s="3">
        <f ca="1">IFERROR(__xludf.DUMMYFUNCTION("""COMPUTED_VALUE"""),48.47)</f>
        <v>48.47</v>
      </c>
      <c r="AU306" s="3">
        <f ca="1">IFERROR(__xludf.DUMMYFUNCTION("""COMPUTED_VALUE"""),49.1)</f>
        <v>49.1</v>
      </c>
      <c r="AV306" s="3">
        <f ca="1">IFERROR(__xludf.DUMMYFUNCTION("""COMPUTED_VALUE"""),2955493)</f>
        <v>2955493</v>
      </c>
      <c r="AW306" s="4">
        <f ca="1">IFERROR(__xludf.DUMMYFUNCTION("""COMPUTED_VALUE"""),42732.6666666666)</f>
        <v>42732.666666666599</v>
      </c>
      <c r="AX306" s="3">
        <f ca="1">IFERROR(__xludf.DUMMYFUNCTION("""COMPUTED_VALUE"""),30.39)</f>
        <v>30.39</v>
      </c>
      <c r="AY306" s="3">
        <f ca="1">IFERROR(__xludf.DUMMYFUNCTION("""COMPUTED_VALUE"""),30.46)</f>
        <v>30.46</v>
      </c>
      <c r="AZ306" s="3">
        <f ca="1">IFERROR(__xludf.DUMMYFUNCTION("""COMPUTED_VALUE"""),30.12)</f>
        <v>30.12</v>
      </c>
      <c r="BA306" s="3">
        <f ca="1">IFERROR(__xludf.DUMMYFUNCTION("""COMPUTED_VALUE"""),30.18)</f>
        <v>30.18</v>
      </c>
      <c r="BB306" s="3">
        <f ca="1">IFERROR(__xludf.DUMMYFUNCTION("""COMPUTED_VALUE"""),2570460)</f>
        <v>2570460</v>
      </c>
      <c r="BC306" s="4">
        <f ca="1">IFERROR(__xludf.DUMMYFUNCTION("""COMPUTED_VALUE"""),42569.6666666666)</f>
        <v>42569.666666666599</v>
      </c>
      <c r="BD306" s="3">
        <f ca="1">IFERROR(__xludf.DUMMYFUNCTION("""COMPUTED_VALUE"""),45.08)</f>
        <v>45.08</v>
      </c>
      <c r="BE306" s="3">
        <f ca="1">IFERROR(__xludf.DUMMYFUNCTION("""COMPUTED_VALUE"""),45.36)</f>
        <v>45.36</v>
      </c>
      <c r="BF306" s="3">
        <f ca="1">IFERROR(__xludf.DUMMYFUNCTION("""COMPUTED_VALUE"""),45)</f>
        <v>45</v>
      </c>
      <c r="BG306" s="3">
        <f ca="1">IFERROR(__xludf.DUMMYFUNCTION("""COMPUTED_VALUE"""),45.31)</f>
        <v>45.31</v>
      </c>
      <c r="BH306" s="3">
        <f ca="1">IFERROR(__xludf.DUMMYFUNCTION("""COMPUTED_VALUE"""),4107249)</f>
        <v>4107249</v>
      </c>
      <c r="BI306" s="4">
        <f ca="1">IFERROR(__xludf.DUMMYFUNCTION("""COMPUTED_VALUE"""),42569.6666666666)</f>
        <v>42569.666666666599</v>
      </c>
      <c r="BJ306" s="3">
        <f ca="1">IFERROR(__xludf.DUMMYFUNCTION("""COMPUTED_VALUE"""),52.06)</f>
        <v>52.06</v>
      </c>
      <c r="BK306" s="3">
        <f ca="1">IFERROR(__xludf.DUMMYFUNCTION("""COMPUTED_VALUE"""),52.31)</f>
        <v>52.31</v>
      </c>
      <c r="BL306" s="3">
        <f ca="1">IFERROR(__xludf.DUMMYFUNCTION("""COMPUTED_VALUE"""),52.05)</f>
        <v>52.05</v>
      </c>
      <c r="BM306" s="3">
        <f ca="1">IFERROR(__xludf.DUMMYFUNCTION("""COMPUTED_VALUE"""),52.15)</f>
        <v>52.15</v>
      </c>
      <c r="BN306" s="3">
        <f ca="1">IFERROR(__xludf.DUMMYFUNCTION("""COMPUTED_VALUE"""),11168128)</f>
        <v>11168128</v>
      </c>
    </row>
    <row r="307" spans="7:66" ht="13" x14ac:dyDescent="0.15">
      <c r="G307" s="4">
        <f ca="1">IFERROR(__xludf.DUMMYFUNCTION("""COMPUTED_VALUE"""),42570.6666666666)</f>
        <v>42570.666666666599</v>
      </c>
      <c r="H307" s="3">
        <f ca="1">IFERROR(__xludf.DUMMYFUNCTION("""COMPUTED_VALUE"""),80.85)</f>
        <v>80.849999999999994</v>
      </c>
      <c r="I307" s="3">
        <f ca="1">IFERROR(__xludf.DUMMYFUNCTION("""COMPUTED_VALUE"""),81.17)</f>
        <v>81.17</v>
      </c>
      <c r="J307" s="3">
        <f ca="1">IFERROR(__xludf.DUMMYFUNCTION("""COMPUTED_VALUE"""),80.68)</f>
        <v>80.680000000000007</v>
      </c>
      <c r="K307" s="3">
        <f ca="1">IFERROR(__xludf.DUMMYFUNCTION("""COMPUTED_VALUE"""),81.14)</f>
        <v>81.14</v>
      </c>
      <c r="L307" s="3">
        <f ca="1">IFERROR(__xludf.DUMMYFUNCTION("""COMPUTED_VALUE"""),2636780)</f>
        <v>2636780</v>
      </c>
      <c r="M307" s="4">
        <f ca="1">IFERROR(__xludf.DUMMYFUNCTION("""COMPUTED_VALUE"""),42570.6666666666)</f>
        <v>42570.666666666599</v>
      </c>
      <c r="N307" s="3">
        <f ca="1">IFERROR(__xludf.DUMMYFUNCTION("""COMPUTED_VALUE"""),55.48)</f>
        <v>55.48</v>
      </c>
      <c r="O307" s="3">
        <f ca="1">IFERROR(__xludf.DUMMYFUNCTION("""COMPUTED_VALUE"""),55.6)</f>
        <v>55.6</v>
      </c>
      <c r="P307" s="3">
        <f ca="1">IFERROR(__xludf.DUMMYFUNCTION("""COMPUTED_VALUE"""),55.33)</f>
        <v>55.33</v>
      </c>
      <c r="Q307" s="3">
        <f ca="1">IFERROR(__xludf.DUMMYFUNCTION("""COMPUTED_VALUE"""),55.6)</f>
        <v>55.6</v>
      </c>
      <c r="R307" s="3">
        <f ca="1">IFERROR(__xludf.DUMMYFUNCTION("""COMPUTED_VALUE"""),5295589)</f>
        <v>5295589</v>
      </c>
      <c r="S307" s="4">
        <f ca="1">IFERROR(__xludf.DUMMYFUNCTION("""COMPUTED_VALUE"""),42570.6666666666)</f>
        <v>42570.666666666599</v>
      </c>
      <c r="T307" s="3">
        <f ca="1">IFERROR(__xludf.DUMMYFUNCTION("""COMPUTED_VALUE"""),69.11)</f>
        <v>69.11</v>
      </c>
      <c r="U307" s="3">
        <f ca="1">IFERROR(__xludf.DUMMYFUNCTION("""COMPUTED_VALUE"""),69.22)</f>
        <v>69.22</v>
      </c>
      <c r="V307" s="3">
        <f ca="1">IFERROR(__xludf.DUMMYFUNCTION("""COMPUTED_VALUE"""),68.63)</f>
        <v>68.63</v>
      </c>
      <c r="W307" s="3">
        <f ca="1">IFERROR(__xludf.DUMMYFUNCTION("""COMPUTED_VALUE"""),68.89)</f>
        <v>68.89</v>
      </c>
      <c r="X307" s="3">
        <f ca="1">IFERROR(__xludf.DUMMYFUNCTION("""COMPUTED_VALUE"""),6991909)</f>
        <v>6991909</v>
      </c>
      <c r="Y307" s="4">
        <f ca="1">IFERROR(__xludf.DUMMYFUNCTION("""COMPUTED_VALUE"""),42570.6666666666)</f>
        <v>42570.666666666599</v>
      </c>
      <c r="Z307" s="3">
        <f ca="1">IFERROR(__xludf.DUMMYFUNCTION("""COMPUTED_VALUE"""),19.08)</f>
        <v>19.079999999999998</v>
      </c>
      <c r="AA307" s="3">
        <f ca="1">IFERROR(__xludf.DUMMYFUNCTION("""COMPUTED_VALUE"""),19.18)</f>
        <v>19.18</v>
      </c>
      <c r="AB307" s="3">
        <f ca="1">IFERROR(__xludf.DUMMYFUNCTION("""COMPUTED_VALUE"""),19.05)</f>
        <v>19.05</v>
      </c>
      <c r="AC307" s="3">
        <f ca="1">IFERROR(__xludf.DUMMYFUNCTION("""COMPUTED_VALUE"""),19.17)</f>
        <v>19.170000000000002</v>
      </c>
      <c r="AD307" s="3">
        <f ca="1">IFERROR(__xludf.DUMMYFUNCTION("""COMPUTED_VALUE"""),25002071)</f>
        <v>25002071</v>
      </c>
      <c r="AE307" s="4">
        <f ca="1">IFERROR(__xludf.DUMMYFUNCTION("""COMPUTED_VALUE"""),42570.6666666666)</f>
        <v>42570.666666666599</v>
      </c>
      <c r="AF307" s="3">
        <f ca="1">IFERROR(__xludf.DUMMYFUNCTION("""COMPUTED_VALUE"""),74.2)</f>
        <v>74.2</v>
      </c>
      <c r="AG307" s="3">
        <f ca="1">IFERROR(__xludf.DUMMYFUNCTION("""COMPUTED_VALUE"""),74.38)</f>
        <v>74.38</v>
      </c>
      <c r="AH307" s="3">
        <f ca="1">IFERROR(__xludf.DUMMYFUNCTION("""COMPUTED_VALUE"""),73.73)</f>
        <v>73.73</v>
      </c>
      <c r="AI307" s="3">
        <f ca="1">IFERROR(__xludf.DUMMYFUNCTION("""COMPUTED_VALUE"""),73.95)</f>
        <v>73.95</v>
      </c>
      <c r="AJ307" s="3">
        <f ca="1">IFERROR(__xludf.DUMMYFUNCTION("""COMPUTED_VALUE"""),6634712)</f>
        <v>6634712</v>
      </c>
      <c r="AK307" s="4">
        <f ca="1">IFERROR(__xludf.DUMMYFUNCTION("""COMPUTED_VALUE"""),42570.6666666666)</f>
        <v>42570.666666666599</v>
      </c>
      <c r="AL307" s="3">
        <f ca="1">IFERROR(__xludf.DUMMYFUNCTION("""COMPUTED_VALUE"""),58.45)</f>
        <v>58.45</v>
      </c>
      <c r="AM307" s="3">
        <f ca="1">IFERROR(__xludf.DUMMYFUNCTION("""COMPUTED_VALUE"""),58.75)</f>
        <v>58.75</v>
      </c>
      <c r="AN307" s="3">
        <f ca="1">IFERROR(__xludf.DUMMYFUNCTION("""COMPUTED_VALUE"""),58.35)</f>
        <v>58.35</v>
      </c>
      <c r="AO307" s="3">
        <f ca="1">IFERROR(__xludf.DUMMYFUNCTION("""COMPUTED_VALUE"""),58.67)</f>
        <v>58.67</v>
      </c>
      <c r="AP307" s="3">
        <f ca="1">IFERROR(__xludf.DUMMYFUNCTION("""COMPUTED_VALUE"""),7393898)</f>
        <v>7393898</v>
      </c>
      <c r="AQ307" s="4">
        <f ca="1">IFERROR(__xludf.DUMMYFUNCTION("""COMPUTED_VALUE"""),42570.6666666666)</f>
        <v>42570.666666666599</v>
      </c>
      <c r="AR307" s="3">
        <f ca="1">IFERROR(__xludf.DUMMYFUNCTION("""COMPUTED_VALUE"""),48.84)</f>
        <v>48.84</v>
      </c>
      <c r="AS307" s="3">
        <f ca="1">IFERROR(__xludf.DUMMYFUNCTION("""COMPUTED_VALUE"""),49.02)</f>
        <v>49.02</v>
      </c>
      <c r="AT307" s="3">
        <f ca="1">IFERROR(__xludf.DUMMYFUNCTION("""COMPUTED_VALUE"""),48.61)</f>
        <v>48.61</v>
      </c>
      <c r="AU307" s="3">
        <f ca="1">IFERROR(__xludf.DUMMYFUNCTION("""COMPUTED_VALUE"""),48.81)</f>
        <v>48.81</v>
      </c>
      <c r="AV307" s="3">
        <f ca="1">IFERROR(__xludf.DUMMYFUNCTION("""COMPUTED_VALUE"""),3514757)</f>
        <v>3514757</v>
      </c>
      <c r="AW307" s="4">
        <f ca="1">IFERROR(__xludf.DUMMYFUNCTION("""COMPUTED_VALUE"""),42733.6666666666)</f>
        <v>42733.666666666599</v>
      </c>
      <c r="AX307" s="3">
        <f ca="1">IFERROR(__xludf.DUMMYFUNCTION("""COMPUTED_VALUE"""),30.21)</f>
        <v>30.21</v>
      </c>
      <c r="AY307" s="3">
        <f ca="1">IFERROR(__xludf.DUMMYFUNCTION("""COMPUTED_VALUE"""),30.57)</f>
        <v>30.57</v>
      </c>
      <c r="AZ307" s="3">
        <f ca="1">IFERROR(__xludf.DUMMYFUNCTION("""COMPUTED_VALUE"""),30.13)</f>
        <v>30.13</v>
      </c>
      <c r="BA307" s="3">
        <f ca="1">IFERROR(__xludf.DUMMYFUNCTION("""COMPUTED_VALUE"""),30.46)</f>
        <v>30.46</v>
      </c>
      <c r="BB307" s="3">
        <f ca="1">IFERROR(__xludf.DUMMYFUNCTION("""COMPUTED_VALUE"""),1526206)</f>
        <v>1526206</v>
      </c>
      <c r="BC307" s="4">
        <f ca="1">IFERROR(__xludf.DUMMYFUNCTION("""COMPUTED_VALUE"""),42570.6666666666)</f>
        <v>42570.666666666599</v>
      </c>
      <c r="BD307" s="3">
        <f ca="1">IFERROR(__xludf.DUMMYFUNCTION("""COMPUTED_VALUE"""),45.23)</f>
        <v>45.23</v>
      </c>
      <c r="BE307" s="3">
        <f ca="1">IFERROR(__xludf.DUMMYFUNCTION("""COMPUTED_VALUE"""),45.32)</f>
        <v>45.32</v>
      </c>
      <c r="BF307" s="3">
        <f ca="1">IFERROR(__xludf.DUMMYFUNCTION("""COMPUTED_VALUE"""),45.14)</f>
        <v>45.14</v>
      </c>
      <c r="BG307" s="3">
        <f ca="1">IFERROR(__xludf.DUMMYFUNCTION("""COMPUTED_VALUE"""),45.21)</f>
        <v>45.21</v>
      </c>
      <c r="BH307" s="3">
        <f ca="1">IFERROR(__xludf.DUMMYFUNCTION("""COMPUTED_VALUE"""),4457922)</f>
        <v>4457922</v>
      </c>
      <c r="BI307" s="4">
        <f ca="1">IFERROR(__xludf.DUMMYFUNCTION("""COMPUTED_VALUE"""),42570.6666666666)</f>
        <v>42570.666666666599</v>
      </c>
      <c r="BJ307" s="3">
        <f ca="1">IFERROR(__xludf.DUMMYFUNCTION("""COMPUTED_VALUE"""),52.1)</f>
        <v>52.1</v>
      </c>
      <c r="BK307" s="3">
        <f ca="1">IFERROR(__xludf.DUMMYFUNCTION("""COMPUTED_VALUE"""),52.21)</f>
        <v>52.21</v>
      </c>
      <c r="BL307" s="3">
        <f ca="1">IFERROR(__xludf.DUMMYFUNCTION("""COMPUTED_VALUE"""),51.82)</f>
        <v>51.82</v>
      </c>
      <c r="BM307" s="3">
        <f ca="1">IFERROR(__xludf.DUMMYFUNCTION("""COMPUTED_VALUE"""),52.06)</f>
        <v>52.06</v>
      </c>
      <c r="BN307" s="3">
        <f ca="1">IFERROR(__xludf.DUMMYFUNCTION("""COMPUTED_VALUE"""),10682045)</f>
        <v>10682045</v>
      </c>
    </row>
    <row r="308" spans="7:66" ht="13" x14ac:dyDescent="0.15">
      <c r="G308" s="4">
        <f ca="1">IFERROR(__xludf.DUMMYFUNCTION("""COMPUTED_VALUE"""),42571.6666666666)</f>
        <v>42571.666666666599</v>
      </c>
      <c r="H308" s="3">
        <f ca="1">IFERROR(__xludf.DUMMYFUNCTION("""COMPUTED_VALUE"""),81.36)</f>
        <v>81.36</v>
      </c>
      <c r="I308" s="3">
        <f ca="1">IFERROR(__xludf.DUMMYFUNCTION("""COMPUTED_VALUE"""),81.52)</f>
        <v>81.52</v>
      </c>
      <c r="J308" s="3">
        <f ca="1">IFERROR(__xludf.DUMMYFUNCTION("""COMPUTED_VALUE"""),80.98)</f>
        <v>80.98</v>
      </c>
      <c r="K308" s="3">
        <f ca="1">IFERROR(__xludf.DUMMYFUNCTION("""COMPUTED_VALUE"""),81.48)</f>
        <v>81.48</v>
      </c>
      <c r="L308" s="3">
        <f ca="1">IFERROR(__xludf.DUMMYFUNCTION("""COMPUTED_VALUE"""),2451007)</f>
        <v>2451007</v>
      </c>
      <c r="M308" s="4">
        <f ca="1">IFERROR(__xludf.DUMMYFUNCTION("""COMPUTED_VALUE"""),42571.6666666666)</f>
        <v>42571.666666666599</v>
      </c>
      <c r="N308" s="3">
        <f ca="1">IFERROR(__xludf.DUMMYFUNCTION("""COMPUTED_VALUE"""),55.59)</f>
        <v>55.59</v>
      </c>
      <c r="O308" s="3">
        <f ca="1">IFERROR(__xludf.DUMMYFUNCTION("""COMPUTED_VALUE"""),55.66)</f>
        <v>55.66</v>
      </c>
      <c r="P308" s="3">
        <f ca="1">IFERROR(__xludf.DUMMYFUNCTION("""COMPUTED_VALUE"""),55.37)</f>
        <v>55.37</v>
      </c>
      <c r="Q308" s="3">
        <f ca="1">IFERROR(__xludf.DUMMYFUNCTION("""COMPUTED_VALUE"""),55.4)</f>
        <v>55.4</v>
      </c>
      <c r="R308" s="3">
        <f ca="1">IFERROR(__xludf.DUMMYFUNCTION("""COMPUTED_VALUE"""),6073198)</f>
        <v>6073198</v>
      </c>
      <c r="S308" s="4">
        <f ca="1">IFERROR(__xludf.DUMMYFUNCTION("""COMPUTED_VALUE"""),42571.6666666666)</f>
        <v>42571.666666666599</v>
      </c>
      <c r="T308" s="3">
        <f ca="1">IFERROR(__xludf.DUMMYFUNCTION("""COMPUTED_VALUE"""),68.61)</f>
        <v>68.61</v>
      </c>
      <c r="U308" s="3">
        <f ca="1">IFERROR(__xludf.DUMMYFUNCTION("""COMPUTED_VALUE"""),69.13)</f>
        <v>69.13</v>
      </c>
      <c r="V308" s="3">
        <f ca="1">IFERROR(__xludf.DUMMYFUNCTION("""COMPUTED_VALUE"""),68.04)</f>
        <v>68.040000000000006</v>
      </c>
      <c r="W308" s="3">
        <f ca="1">IFERROR(__xludf.DUMMYFUNCTION("""COMPUTED_VALUE"""),68.79)</f>
        <v>68.790000000000006</v>
      </c>
      <c r="X308" s="3">
        <f ca="1">IFERROR(__xludf.DUMMYFUNCTION("""COMPUTED_VALUE"""),11554953)</f>
        <v>11554953</v>
      </c>
      <c r="Y308" s="4">
        <f ca="1">IFERROR(__xludf.DUMMYFUNCTION("""COMPUTED_VALUE"""),42571.6666666666)</f>
        <v>42571.666666666599</v>
      </c>
      <c r="Z308" s="3">
        <f ca="1">IFERROR(__xludf.DUMMYFUNCTION("""COMPUTED_VALUE"""),19.25)</f>
        <v>19.25</v>
      </c>
      <c r="AA308" s="3">
        <f ca="1">IFERROR(__xludf.DUMMYFUNCTION("""COMPUTED_VALUE"""),19.25)</f>
        <v>19.25</v>
      </c>
      <c r="AB308" s="3">
        <f ca="1">IFERROR(__xludf.DUMMYFUNCTION("""COMPUTED_VALUE"""),19.12)</f>
        <v>19.12</v>
      </c>
      <c r="AC308" s="3">
        <f ca="1">IFERROR(__xludf.DUMMYFUNCTION("""COMPUTED_VALUE"""),19.21)</f>
        <v>19.21</v>
      </c>
      <c r="AD308" s="3">
        <f ca="1">IFERROR(__xludf.DUMMYFUNCTION("""COMPUTED_VALUE"""),25846995)</f>
        <v>25846995</v>
      </c>
      <c r="AE308" s="4">
        <f ca="1">IFERROR(__xludf.DUMMYFUNCTION("""COMPUTED_VALUE"""),42571.6666666666)</f>
        <v>42571.666666666599</v>
      </c>
      <c r="AF308" s="3">
        <f ca="1">IFERROR(__xludf.DUMMYFUNCTION("""COMPUTED_VALUE"""),74.29)</f>
        <v>74.290000000000006</v>
      </c>
      <c r="AG308" s="3">
        <f ca="1">IFERROR(__xludf.DUMMYFUNCTION("""COMPUTED_VALUE"""),74.75)</f>
        <v>74.75</v>
      </c>
      <c r="AH308" s="3">
        <f ca="1">IFERROR(__xludf.DUMMYFUNCTION("""COMPUTED_VALUE"""),74.19)</f>
        <v>74.19</v>
      </c>
      <c r="AI308" s="3">
        <f ca="1">IFERROR(__xludf.DUMMYFUNCTION("""COMPUTED_VALUE"""),74.62)</f>
        <v>74.62</v>
      </c>
      <c r="AJ308" s="3">
        <f ca="1">IFERROR(__xludf.DUMMYFUNCTION("""COMPUTED_VALUE"""),6855045)</f>
        <v>6855045</v>
      </c>
      <c r="AK308" s="4">
        <f ca="1">IFERROR(__xludf.DUMMYFUNCTION("""COMPUTED_VALUE"""),42571.6666666666)</f>
        <v>42571.666666666599</v>
      </c>
      <c r="AL308" s="3">
        <f ca="1">IFERROR(__xludf.DUMMYFUNCTION("""COMPUTED_VALUE"""),58.65)</f>
        <v>58.65</v>
      </c>
      <c r="AM308" s="3">
        <f ca="1">IFERROR(__xludf.DUMMYFUNCTION("""COMPUTED_VALUE"""),58.99)</f>
        <v>58.99</v>
      </c>
      <c r="AN308" s="3">
        <f ca="1">IFERROR(__xludf.DUMMYFUNCTION("""COMPUTED_VALUE"""),58.6)</f>
        <v>58.6</v>
      </c>
      <c r="AO308" s="3">
        <f ca="1">IFERROR(__xludf.DUMMYFUNCTION("""COMPUTED_VALUE"""),58.78)</f>
        <v>58.78</v>
      </c>
      <c r="AP308" s="3">
        <f ca="1">IFERROR(__xludf.DUMMYFUNCTION("""COMPUTED_VALUE"""),5491553)</f>
        <v>5491553</v>
      </c>
      <c r="AQ308" s="4">
        <f ca="1">IFERROR(__xludf.DUMMYFUNCTION("""COMPUTED_VALUE"""),42571.6666666666)</f>
        <v>42571.666666666599</v>
      </c>
      <c r="AR308" s="3">
        <f ca="1">IFERROR(__xludf.DUMMYFUNCTION("""COMPUTED_VALUE"""),48.69)</f>
        <v>48.69</v>
      </c>
      <c r="AS308" s="3">
        <f ca="1">IFERROR(__xludf.DUMMYFUNCTION("""COMPUTED_VALUE"""),48.96)</f>
        <v>48.96</v>
      </c>
      <c r="AT308" s="3">
        <f ca="1">IFERROR(__xludf.DUMMYFUNCTION("""COMPUTED_VALUE"""),48.47)</f>
        <v>48.47</v>
      </c>
      <c r="AU308" s="3">
        <f ca="1">IFERROR(__xludf.DUMMYFUNCTION("""COMPUTED_VALUE"""),48.83)</f>
        <v>48.83</v>
      </c>
      <c r="AV308" s="3">
        <f ca="1">IFERROR(__xludf.DUMMYFUNCTION("""COMPUTED_VALUE"""),4012225)</f>
        <v>4012225</v>
      </c>
      <c r="AW308" s="4">
        <f ca="1">IFERROR(__xludf.DUMMYFUNCTION("""COMPUTED_VALUE"""),42734.6666666666)</f>
        <v>42734.666666666599</v>
      </c>
      <c r="AX308" s="3">
        <f ca="1">IFERROR(__xludf.DUMMYFUNCTION("""COMPUTED_VALUE"""),30.43)</f>
        <v>30.43</v>
      </c>
      <c r="AY308" s="3">
        <f ca="1">IFERROR(__xludf.DUMMYFUNCTION("""COMPUTED_VALUE"""),30.82)</f>
        <v>30.82</v>
      </c>
      <c r="AZ308" s="3">
        <f ca="1">IFERROR(__xludf.DUMMYFUNCTION("""COMPUTED_VALUE"""),30.38)</f>
        <v>30.38</v>
      </c>
      <c r="BA308" s="3">
        <f ca="1">IFERROR(__xludf.DUMMYFUNCTION("""COMPUTED_VALUE"""),30.75)</f>
        <v>30.75</v>
      </c>
      <c r="BB308" s="3">
        <f ca="1">IFERROR(__xludf.DUMMYFUNCTION("""COMPUTED_VALUE"""),1853291)</f>
        <v>1853291</v>
      </c>
      <c r="BC308" s="4">
        <f ca="1">IFERROR(__xludf.DUMMYFUNCTION("""COMPUTED_VALUE"""),42571.6666666666)</f>
        <v>42571.666666666599</v>
      </c>
      <c r="BD308" s="3">
        <f ca="1">IFERROR(__xludf.DUMMYFUNCTION("""COMPUTED_VALUE"""),45.56)</f>
        <v>45.56</v>
      </c>
      <c r="BE308" s="3">
        <f ca="1">IFERROR(__xludf.DUMMYFUNCTION("""COMPUTED_VALUE"""),45.88)</f>
        <v>45.88</v>
      </c>
      <c r="BF308" s="3">
        <f ca="1">IFERROR(__xludf.DUMMYFUNCTION("""COMPUTED_VALUE"""),45.5)</f>
        <v>45.5</v>
      </c>
      <c r="BG308" s="3">
        <f ca="1">IFERROR(__xludf.DUMMYFUNCTION("""COMPUTED_VALUE"""),45.8)</f>
        <v>45.8</v>
      </c>
      <c r="BH308" s="3">
        <f ca="1">IFERROR(__xludf.DUMMYFUNCTION("""COMPUTED_VALUE"""),5384911)</f>
        <v>5384911</v>
      </c>
      <c r="BI308" s="4">
        <f ca="1">IFERROR(__xludf.DUMMYFUNCTION("""COMPUTED_VALUE"""),42571.6666666666)</f>
        <v>42571.666666666599</v>
      </c>
      <c r="BJ308" s="3">
        <f ca="1">IFERROR(__xludf.DUMMYFUNCTION("""COMPUTED_VALUE"""),51.99)</f>
        <v>51.99</v>
      </c>
      <c r="BK308" s="3">
        <f ca="1">IFERROR(__xludf.DUMMYFUNCTION("""COMPUTED_VALUE"""),52.11)</f>
        <v>52.11</v>
      </c>
      <c r="BL308" s="3">
        <f ca="1">IFERROR(__xludf.DUMMYFUNCTION("""COMPUTED_VALUE"""),51.68)</f>
        <v>51.68</v>
      </c>
      <c r="BM308" s="3">
        <f ca="1">IFERROR(__xludf.DUMMYFUNCTION("""COMPUTED_VALUE"""),51.76)</f>
        <v>51.76</v>
      </c>
      <c r="BN308" s="3">
        <f ca="1">IFERROR(__xludf.DUMMYFUNCTION("""COMPUTED_VALUE"""),11599633)</f>
        <v>11599633</v>
      </c>
    </row>
    <row r="309" spans="7:66" ht="13" x14ac:dyDescent="0.15">
      <c r="G309" s="4">
        <f ca="1">IFERROR(__xludf.DUMMYFUNCTION("""COMPUTED_VALUE"""),42572.6666666666)</f>
        <v>42572.666666666599</v>
      </c>
      <c r="H309" s="3">
        <f ca="1">IFERROR(__xludf.DUMMYFUNCTION("""COMPUTED_VALUE"""),81.47)</f>
        <v>81.47</v>
      </c>
      <c r="I309" s="3">
        <f ca="1">IFERROR(__xludf.DUMMYFUNCTION("""COMPUTED_VALUE"""),81.62)</f>
        <v>81.62</v>
      </c>
      <c r="J309" s="3">
        <f ca="1">IFERROR(__xludf.DUMMYFUNCTION("""COMPUTED_VALUE"""),81.01)</f>
        <v>81.010000000000005</v>
      </c>
      <c r="K309" s="3">
        <f ca="1">IFERROR(__xludf.DUMMYFUNCTION("""COMPUTED_VALUE"""),81.26)</f>
        <v>81.260000000000005</v>
      </c>
      <c r="L309" s="3">
        <f ca="1">IFERROR(__xludf.DUMMYFUNCTION("""COMPUTED_VALUE"""),2434747)</f>
        <v>2434747</v>
      </c>
      <c r="M309" s="4">
        <f ca="1">IFERROR(__xludf.DUMMYFUNCTION("""COMPUTED_VALUE"""),42572.6666666666)</f>
        <v>42572.666666666599</v>
      </c>
      <c r="N309" s="3">
        <f ca="1">IFERROR(__xludf.DUMMYFUNCTION("""COMPUTED_VALUE"""),55.32)</f>
        <v>55.32</v>
      </c>
      <c r="O309" s="3">
        <f ca="1">IFERROR(__xludf.DUMMYFUNCTION("""COMPUTED_VALUE"""),55.35)</f>
        <v>55.35</v>
      </c>
      <c r="P309" s="3">
        <f ca="1">IFERROR(__xludf.DUMMYFUNCTION("""COMPUTED_VALUE"""),55.03)</f>
        <v>55.03</v>
      </c>
      <c r="Q309" s="3">
        <f ca="1">IFERROR(__xludf.DUMMYFUNCTION("""COMPUTED_VALUE"""),55.24)</f>
        <v>55.24</v>
      </c>
      <c r="R309" s="3">
        <f ca="1">IFERROR(__xludf.DUMMYFUNCTION("""COMPUTED_VALUE"""),6682377)</f>
        <v>6682377</v>
      </c>
      <c r="S309" s="4">
        <f ca="1">IFERROR(__xludf.DUMMYFUNCTION("""COMPUTED_VALUE"""),42572.6666666666)</f>
        <v>42572.666666666599</v>
      </c>
      <c r="T309" s="3">
        <f ca="1">IFERROR(__xludf.DUMMYFUNCTION("""COMPUTED_VALUE"""),68.6)</f>
        <v>68.599999999999994</v>
      </c>
      <c r="U309" s="3">
        <f ca="1">IFERROR(__xludf.DUMMYFUNCTION("""COMPUTED_VALUE"""),69.23)</f>
        <v>69.23</v>
      </c>
      <c r="V309" s="3">
        <f ca="1">IFERROR(__xludf.DUMMYFUNCTION("""COMPUTED_VALUE"""),67.94)</f>
        <v>67.94</v>
      </c>
      <c r="W309" s="3">
        <f ca="1">IFERROR(__xludf.DUMMYFUNCTION("""COMPUTED_VALUE"""),68.11)</f>
        <v>68.11</v>
      </c>
      <c r="X309" s="3">
        <f ca="1">IFERROR(__xludf.DUMMYFUNCTION("""COMPUTED_VALUE"""),9256914)</f>
        <v>9256914</v>
      </c>
      <c r="Y309" s="4">
        <f ca="1">IFERROR(__xludf.DUMMYFUNCTION("""COMPUTED_VALUE"""),42572.6666666666)</f>
        <v>42572.666666666599</v>
      </c>
      <c r="Z309" s="3">
        <f ca="1">IFERROR(__xludf.DUMMYFUNCTION("""COMPUTED_VALUE"""),19.18)</f>
        <v>19.18</v>
      </c>
      <c r="AA309" s="3">
        <f ca="1">IFERROR(__xludf.DUMMYFUNCTION("""COMPUTED_VALUE"""),19.21)</f>
        <v>19.21</v>
      </c>
      <c r="AB309" s="3">
        <f ca="1">IFERROR(__xludf.DUMMYFUNCTION("""COMPUTED_VALUE"""),19.08)</f>
        <v>19.079999999999998</v>
      </c>
      <c r="AC309" s="3">
        <f ca="1">IFERROR(__xludf.DUMMYFUNCTION("""COMPUTED_VALUE"""),19.11)</f>
        <v>19.11</v>
      </c>
      <c r="AD309" s="3">
        <f ca="1">IFERROR(__xludf.DUMMYFUNCTION("""COMPUTED_VALUE"""),29670648)</f>
        <v>29670648</v>
      </c>
      <c r="AE309" s="4">
        <f ca="1">IFERROR(__xludf.DUMMYFUNCTION("""COMPUTED_VALUE"""),42572.6666666666)</f>
        <v>42572.666666666599</v>
      </c>
      <c r="AF309" s="3">
        <f ca="1">IFERROR(__xludf.DUMMYFUNCTION("""COMPUTED_VALUE"""),74.62)</f>
        <v>74.62</v>
      </c>
      <c r="AG309" s="3">
        <f ca="1">IFERROR(__xludf.DUMMYFUNCTION("""COMPUTED_VALUE"""),74.99)</f>
        <v>74.989999999999995</v>
      </c>
      <c r="AH309" s="3">
        <f ca="1">IFERROR(__xludf.DUMMYFUNCTION("""COMPUTED_VALUE"""),74.55)</f>
        <v>74.55</v>
      </c>
      <c r="AI309" s="3">
        <f ca="1">IFERROR(__xludf.DUMMYFUNCTION("""COMPUTED_VALUE"""),74.84)</f>
        <v>74.84</v>
      </c>
      <c r="AJ309" s="3">
        <f ca="1">IFERROR(__xludf.DUMMYFUNCTION("""COMPUTED_VALUE"""),9230809)</f>
        <v>9230809</v>
      </c>
      <c r="AK309" s="4">
        <f ca="1">IFERROR(__xludf.DUMMYFUNCTION("""COMPUTED_VALUE"""),42572.6666666666)</f>
        <v>42572.666666666599</v>
      </c>
      <c r="AL309" s="3">
        <f ca="1">IFERROR(__xludf.DUMMYFUNCTION("""COMPUTED_VALUE"""),58.55)</f>
        <v>58.55</v>
      </c>
      <c r="AM309" s="3">
        <f ca="1">IFERROR(__xludf.DUMMYFUNCTION("""COMPUTED_VALUE"""),58.69)</f>
        <v>58.69</v>
      </c>
      <c r="AN309" s="3">
        <f ca="1">IFERROR(__xludf.DUMMYFUNCTION("""COMPUTED_VALUE"""),58.07)</f>
        <v>58.07</v>
      </c>
      <c r="AO309" s="3">
        <f ca="1">IFERROR(__xludf.DUMMYFUNCTION("""COMPUTED_VALUE"""),58.18)</f>
        <v>58.18</v>
      </c>
      <c r="AP309" s="3">
        <f ca="1">IFERROR(__xludf.DUMMYFUNCTION("""COMPUTED_VALUE"""),7583267)</f>
        <v>7583267</v>
      </c>
      <c r="AQ309" s="4">
        <f ca="1">IFERROR(__xludf.DUMMYFUNCTION("""COMPUTED_VALUE"""),42572.6666666666)</f>
        <v>42572.666666666599</v>
      </c>
      <c r="AR309" s="3">
        <f ca="1">IFERROR(__xludf.DUMMYFUNCTION("""COMPUTED_VALUE"""),48.86)</f>
        <v>48.86</v>
      </c>
      <c r="AS309" s="3">
        <f ca="1">IFERROR(__xludf.DUMMYFUNCTION("""COMPUTED_VALUE"""),48.87)</f>
        <v>48.87</v>
      </c>
      <c r="AT309" s="3">
        <f ca="1">IFERROR(__xludf.DUMMYFUNCTION("""COMPUTED_VALUE"""),48.35)</f>
        <v>48.35</v>
      </c>
      <c r="AU309" s="3">
        <f ca="1">IFERROR(__xludf.DUMMYFUNCTION("""COMPUTED_VALUE"""),48.53)</f>
        <v>48.53</v>
      </c>
      <c r="AV309" s="3">
        <f ca="1">IFERROR(__xludf.DUMMYFUNCTION("""COMPUTED_VALUE"""),3625277)</f>
        <v>3625277</v>
      </c>
      <c r="AW309" s="4">
        <f ca="1">IFERROR(__xludf.DUMMYFUNCTION("""COMPUTED_VALUE"""),42738.6666666666)</f>
        <v>42738.666666666599</v>
      </c>
      <c r="AX309" s="3">
        <f ca="1">IFERROR(__xludf.DUMMYFUNCTION("""COMPUTED_VALUE"""),30.86)</f>
        <v>30.86</v>
      </c>
      <c r="AY309" s="3">
        <f ca="1">IFERROR(__xludf.DUMMYFUNCTION("""COMPUTED_VALUE"""),30.98)</f>
        <v>30.98</v>
      </c>
      <c r="AZ309" s="3">
        <f ca="1">IFERROR(__xludf.DUMMYFUNCTION("""COMPUTED_VALUE"""),30.63)</f>
        <v>30.63</v>
      </c>
      <c r="BA309" s="3">
        <f ca="1">IFERROR(__xludf.DUMMYFUNCTION("""COMPUTED_VALUE"""),30.85)</f>
        <v>30.85</v>
      </c>
      <c r="BB309" s="3">
        <f ca="1">IFERROR(__xludf.DUMMYFUNCTION("""COMPUTED_VALUE"""),2682334)</f>
        <v>2682334</v>
      </c>
      <c r="BC309" s="4">
        <f ca="1">IFERROR(__xludf.DUMMYFUNCTION("""COMPUTED_VALUE"""),42572.6666666666)</f>
        <v>42572.666666666599</v>
      </c>
      <c r="BD309" s="3">
        <f ca="1">IFERROR(__xludf.DUMMYFUNCTION("""COMPUTED_VALUE"""),45.81)</f>
        <v>45.81</v>
      </c>
      <c r="BE309" s="3">
        <f ca="1">IFERROR(__xludf.DUMMYFUNCTION("""COMPUTED_VALUE"""),45.87)</f>
        <v>45.87</v>
      </c>
      <c r="BF309" s="3">
        <f ca="1">IFERROR(__xludf.DUMMYFUNCTION("""COMPUTED_VALUE"""),45.45)</f>
        <v>45.45</v>
      </c>
      <c r="BG309" s="3">
        <f ca="1">IFERROR(__xludf.DUMMYFUNCTION("""COMPUTED_VALUE"""),45.56)</f>
        <v>45.56</v>
      </c>
      <c r="BH309" s="3">
        <f ca="1">IFERROR(__xludf.DUMMYFUNCTION("""COMPUTED_VALUE"""),5473385)</f>
        <v>5473385</v>
      </c>
      <c r="BI309" s="4">
        <f ca="1">IFERROR(__xludf.DUMMYFUNCTION("""COMPUTED_VALUE"""),42572.6666666666)</f>
        <v>42572.666666666599</v>
      </c>
      <c r="BJ309" s="3">
        <f ca="1">IFERROR(__xludf.DUMMYFUNCTION("""COMPUTED_VALUE"""),51.53)</f>
        <v>51.53</v>
      </c>
      <c r="BK309" s="3">
        <f ca="1">IFERROR(__xludf.DUMMYFUNCTION("""COMPUTED_VALUE"""),52.11)</f>
        <v>52.11</v>
      </c>
      <c r="BL309" s="3">
        <f ca="1">IFERROR(__xludf.DUMMYFUNCTION("""COMPUTED_VALUE"""),51.47)</f>
        <v>51.47</v>
      </c>
      <c r="BM309" s="3">
        <f ca="1">IFERROR(__xludf.DUMMYFUNCTION("""COMPUTED_VALUE"""),52.07)</f>
        <v>52.07</v>
      </c>
      <c r="BN309" s="3">
        <f ca="1">IFERROR(__xludf.DUMMYFUNCTION("""COMPUTED_VALUE"""),13259155)</f>
        <v>13259155</v>
      </c>
    </row>
    <row r="310" spans="7:66" ht="13" x14ac:dyDescent="0.15">
      <c r="G310" s="4">
        <f ca="1">IFERROR(__xludf.DUMMYFUNCTION("""COMPUTED_VALUE"""),42573.6666666666)</f>
        <v>42573.666666666599</v>
      </c>
      <c r="H310" s="3">
        <f ca="1">IFERROR(__xludf.DUMMYFUNCTION("""COMPUTED_VALUE"""),81.34)</f>
        <v>81.34</v>
      </c>
      <c r="I310" s="3">
        <f ca="1">IFERROR(__xludf.DUMMYFUNCTION("""COMPUTED_VALUE"""),81.7)</f>
        <v>81.7</v>
      </c>
      <c r="J310" s="3">
        <f ca="1">IFERROR(__xludf.DUMMYFUNCTION("""COMPUTED_VALUE"""),81.16)</f>
        <v>81.16</v>
      </c>
      <c r="K310" s="3">
        <f ca="1">IFERROR(__xludf.DUMMYFUNCTION("""COMPUTED_VALUE"""),81.6)</f>
        <v>81.599999999999994</v>
      </c>
      <c r="L310" s="3">
        <f ca="1">IFERROR(__xludf.DUMMYFUNCTION("""COMPUTED_VALUE"""),2529634)</f>
        <v>2529634</v>
      </c>
      <c r="M310" s="4">
        <f ca="1">IFERROR(__xludf.DUMMYFUNCTION("""COMPUTED_VALUE"""),42573.6666666666)</f>
        <v>42573.666666666599</v>
      </c>
      <c r="N310" s="3">
        <f ca="1">IFERROR(__xludf.DUMMYFUNCTION("""COMPUTED_VALUE"""),55.35)</f>
        <v>55.35</v>
      </c>
      <c r="O310" s="3">
        <f ca="1">IFERROR(__xludf.DUMMYFUNCTION("""COMPUTED_VALUE"""),55.53)</f>
        <v>55.53</v>
      </c>
      <c r="P310" s="3">
        <f ca="1">IFERROR(__xludf.DUMMYFUNCTION("""COMPUTED_VALUE"""),55.28)</f>
        <v>55.28</v>
      </c>
      <c r="Q310" s="3">
        <f ca="1">IFERROR(__xludf.DUMMYFUNCTION("""COMPUTED_VALUE"""),55.5)</f>
        <v>55.5</v>
      </c>
      <c r="R310" s="3">
        <f ca="1">IFERROR(__xludf.DUMMYFUNCTION("""COMPUTED_VALUE"""),10602378)</f>
        <v>10602378</v>
      </c>
      <c r="S310" s="4">
        <f ca="1">IFERROR(__xludf.DUMMYFUNCTION("""COMPUTED_VALUE"""),42573.6666666666)</f>
        <v>42573.666666666599</v>
      </c>
      <c r="T310" s="3">
        <f ca="1">IFERROR(__xludf.DUMMYFUNCTION("""COMPUTED_VALUE"""),68.26)</f>
        <v>68.260000000000005</v>
      </c>
      <c r="U310" s="3">
        <f ca="1">IFERROR(__xludf.DUMMYFUNCTION("""COMPUTED_VALUE"""),68.43)</f>
        <v>68.430000000000007</v>
      </c>
      <c r="V310" s="3">
        <f ca="1">IFERROR(__xludf.DUMMYFUNCTION("""COMPUTED_VALUE"""),67.88)</f>
        <v>67.88</v>
      </c>
      <c r="W310" s="3">
        <f ca="1">IFERROR(__xludf.DUMMYFUNCTION("""COMPUTED_VALUE"""),68.32)</f>
        <v>68.319999999999993</v>
      </c>
      <c r="X310" s="3">
        <f ca="1">IFERROR(__xludf.DUMMYFUNCTION("""COMPUTED_VALUE"""),7990615)</f>
        <v>7990615</v>
      </c>
      <c r="Y310" s="4">
        <f ca="1">IFERROR(__xludf.DUMMYFUNCTION("""COMPUTED_VALUE"""),42573.6666666666)</f>
        <v>42573.666666666599</v>
      </c>
      <c r="Z310" s="3">
        <f ca="1">IFERROR(__xludf.DUMMYFUNCTION("""COMPUTED_VALUE"""),19.13)</f>
        <v>19.13</v>
      </c>
      <c r="AA310" s="3">
        <f ca="1">IFERROR(__xludf.DUMMYFUNCTION("""COMPUTED_VALUE"""),19.24)</f>
        <v>19.239999999999998</v>
      </c>
      <c r="AB310" s="3">
        <f ca="1">IFERROR(__xludf.DUMMYFUNCTION("""COMPUTED_VALUE"""),19.1)</f>
        <v>19.100000000000001</v>
      </c>
      <c r="AC310" s="3">
        <f ca="1">IFERROR(__xludf.DUMMYFUNCTION("""COMPUTED_VALUE"""),19.23)</f>
        <v>19.23</v>
      </c>
      <c r="AD310" s="3">
        <f ca="1">IFERROR(__xludf.DUMMYFUNCTION("""COMPUTED_VALUE"""),19077829)</f>
        <v>19077829</v>
      </c>
      <c r="AE310" s="4">
        <f ca="1">IFERROR(__xludf.DUMMYFUNCTION("""COMPUTED_VALUE"""),42573.6666666666)</f>
        <v>42573.666666666599</v>
      </c>
      <c r="AF310" s="3">
        <f ca="1">IFERROR(__xludf.DUMMYFUNCTION("""COMPUTED_VALUE"""),74.83)</f>
        <v>74.83</v>
      </c>
      <c r="AG310" s="3">
        <f ca="1">IFERROR(__xludf.DUMMYFUNCTION("""COMPUTED_VALUE"""),75.08)</f>
        <v>75.08</v>
      </c>
      <c r="AH310" s="3">
        <f ca="1">IFERROR(__xludf.DUMMYFUNCTION("""COMPUTED_VALUE"""),74.61)</f>
        <v>74.61</v>
      </c>
      <c r="AI310" s="3">
        <f ca="1">IFERROR(__xludf.DUMMYFUNCTION("""COMPUTED_VALUE"""),74.99)</f>
        <v>74.989999999999995</v>
      </c>
      <c r="AJ310" s="3">
        <f ca="1">IFERROR(__xludf.DUMMYFUNCTION("""COMPUTED_VALUE"""),5446479)</f>
        <v>5446479</v>
      </c>
      <c r="AK310" s="4">
        <f ca="1">IFERROR(__xludf.DUMMYFUNCTION("""COMPUTED_VALUE"""),42573.6666666666)</f>
        <v>42573.666666666599</v>
      </c>
      <c r="AL310" s="3">
        <f ca="1">IFERROR(__xludf.DUMMYFUNCTION("""COMPUTED_VALUE"""),57.92)</f>
        <v>57.92</v>
      </c>
      <c r="AM310" s="3">
        <f ca="1">IFERROR(__xludf.DUMMYFUNCTION("""COMPUTED_VALUE"""),58.3)</f>
        <v>58.3</v>
      </c>
      <c r="AN310" s="3">
        <f ca="1">IFERROR(__xludf.DUMMYFUNCTION("""COMPUTED_VALUE"""),57.7)</f>
        <v>57.7</v>
      </c>
      <c r="AO310" s="3">
        <f ca="1">IFERROR(__xludf.DUMMYFUNCTION("""COMPUTED_VALUE"""),58.29)</f>
        <v>58.29</v>
      </c>
      <c r="AP310" s="3">
        <f ca="1">IFERROR(__xludf.DUMMYFUNCTION("""COMPUTED_VALUE"""),8747793)</f>
        <v>8747793</v>
      </c>
      <c r="AQ310" s="4">
        <f ca="1">IFERROR(__xludf.DUMMYFUNCTION("""COMPUTED_VALUE"""),42573.6666666666)</f>
        <v>42573.666666666599</v>
      </c>
      <c r="AR310" s="3">
        <f ca="1">IFERROR(__xludf.DUMMYFUNCTION("""COMPUTED_VALUE"""),48.58)</f>
        <v>48.58</v>
      </c>
      <c r="AS310" s="3">
        <f ca="1">IFERROR(__xludf.DUMMYFUNCTION("""COMPUTED_VALUE"""),48.77)</f>
        <v>48.77</v>
      </c>
      <c r="AT310" s="3">
        <f ca="1">IFERROR(__xludf.DUMMYFUNCTION("""COMPUTED_VALUE"""),48.45)</f>
        <v>48.45</v>
      </c>
      <c r="AU310" s="3">
        <f ca="1">IFERROR(__xludf.DUMMYFUNCTION("""COMPUTED_VALUE"""),48.66)</f>
        <v>48.66</v>
      </c>
      <c r="AV310" s="3">
        <f ca="1">IFERROR(__xludf.DUMMYFUNCTION("""COMPUTED_VALUE"""),3889387)</f>
        <v>3889387</v>
      </c>
      <c r="AW310" s="4">
        <f ca="1">IFERROR(__xludf.DUMMYFUNCTION("""COMPUTED_VALUE"""),42739.6666666666)</f>
        <v>42739.666666666599</v>
      </c>
      <c r="AX310" s="3">
        <f ca="1">IFERROR(__xludf.DUMMYFUNCTION("""COMPUTED_VALUE"""),30.87)</f>
        <v>30.87</v>
      </c>
      <c r="AY310" s="3">
        <f ca="1">IFERROR(__xludf.DUMMYFUNCTION("""COMPUTED_VALUE"""),31.3)</f>
        <v>31.3</v>
      </c>
      <c r="AZ310" s="3">
        <f ca="1">IFERROR(__xludf.DUMMYFUNCTION("""COMPUTED_VALUE"""),30.86)</f>
        <v>30.86</v>
      </c>
      <c r="BA310" s="3">
        <f ca="1">IFERROR(__xludf.DUMMYFUNCTION("""COMPUTED_VALUE"""),31.24)</f>
        <v>31.24</v>
      </c>
      <c r="BB310" s="3">
        <f ca="1">IFERROR(__xludf.DUMMYFUNCTION("""COMPUTED_VALUE"""),1838041)</f>
        <v>1838041</v>
      </c>
      <c r="BC310" s="4">
        <f ca="1">IFERROR(__xludf.DUMMYFUNCTION("""COMPUTED_VALUE"""),42573.6666666666)</f>
        <v>42573.666666666599</v>
      </c>
      <c r="BD310" s="3">
        <f ca="1">IFERROR(__xludf.DUMMYFUNCTION("""COMPUTED_VALUE"""),45.53)</f>
        <v>45.53</v>
      </c>
      <c r="BE310" s="3">
        <f ca="1">IFERROR(__xludf.DUMMYFUNCTION("""COMPUTED_VALUE"""),45.83)</f>
        <v>45.83</v>
      </c>
      <c r="BF310" s="3">
        <f ca="1">IFERROR(__xludf.DUMMYFUNCTION("""COMPUTED_VALUE"""),45.43)</f>
        <v>45.43</v>
      </c>
      <c r="BG310" s="3">
        <f ca="1">IFERROR(__xludf.DUMMYFUNCTION("""COMPUTED_VALUE"""),45.83)</f>
        <v>45.83</v>
      </c>
      <c r="BH310" s="3">
        <f ca="1">IFERROR(__xludf.DUMMYFUNCTION("""COMPUTED_VALUE"""),4707250)</f>
        <v>4707250</v>
      </c>
      <c r="BI310" s="4">
        <f ca="1">IFERROR(__xludf.DUMMYFUNCTION("""COMPUTED_VALUE"""),42573.6666666666)</f>
        <v>42573.666666666599</v>
      </c>
      <c r="BJ310" s="3">
        <f ca="1">IFERROR(__xludf.DUMMYFUNCTION("""COMPUTED_VALUE"""),51.94)</f>
        <v>51.94</v>
      </c>
      <c r="BK310" s="3">
        <f ca="1">IFERROR(__xludf.DUMMYFUNCTION("""COMPUTED_VALUE"""),52.81)</f>
        <v>52.81</v>
      </c>
      <c r="BL310" s="3">
        <f ca="1">IFERROR(__xludf.DUMMYFUNCTION("""COMPUTED_VALUE"""),51.89)</f>
        <v>51.89</v>
      </c>
      <c r="BM310" s="3">
        <f ca="1">IFERROR(__xludf.DUMMYFUNCTION("""COMPUTED_VALUE"""),52.76)</f>
        <v>52.76</v>
      </c>
      <c r="BN310" s="3">
        <f ca="1">IFERROR(__xludf.DUMMYFUNCTION("""COMPUTED_VALUE"""),13220716)</f>
        <v>13220716</v>
      </c>
    </row>
    <row r="311" spans="7:66" ht="13" x14ac:dyDescent="0.15">
      <c r="G311" s="4">
        <f ca="1">IFERROR(__xludf.DUMMYFUNCTION("""COMPUTED_VALUE"""),42576.6666666666)</f>
        <v>42576.666666666599</v>
      </c>
      <c r="H311" s="3">
        <f ca="1">IFERROR(__xludf.DUMMYFUNCTION("""COMPUTED_VALUE"""),81.83)</f>
        <v>81.83</v>
      </c>
      <c r="I311" s="3">
        <f ca="1">IFERROR(__xludf.DUMMYFUNCTION("""COMPUTED_VALUE"""),81.83)</f>
        <v>81.83</v>
      </c>
      <c r="J311" s="3">
        <f ca="1">IFERROR(__xludf.DUMMYFUNCTION("""COMPUTED_VALUE"""),81.48)</f>
        <v>81.48</v>
      </c>
      <c r="K311" s="3">
        <f ca="1">IFERROR(__xludf.DUMMYFUNCTION("""COMPUTED_VALUE"""),81.73)</f>
        <v>81.73</v>
      </c>
      <c r="L311" s="3">
        <f ca="1">IFERROR(__xludf.DUMMYFUNCTION("""COMPUTED_VALUE"""),3130219)</f>
        <v>3130219</v>
      </c>
      <c r="M311" s="4">
        <f ca="1">IFERROR(__xludf.DUMMYFUNCTION("""COMPUTED_VALUE"""),42576.6666666666)</f>
        <v>42576.666666666599</v>
      </c>
      <c r="N311" s="3">
        <f ca="1">IFERROR(__xludf.DUMMYFUNCTION("""COMPUTED_VALUE"""),55.45)</f>
        <v>55.45</v>
      </c>
      <c r="O311" s="3">
        <f ca="1">IFERROR(__xludf.DUMMYFUNCTION("""COMPUTED_VALUE"""),55.49)</f>
        <v>55.49</v>
      </c>
      <c r="P311" s="3">
        <f ca="1">IFERROR(__xludf.DUMMYFUNCTION("""COMPUTED_VALUE"""),55.19)</f>
        <v>55.19</v>
      </c>
      <c r="Q311" s="3">
        <f ca="1">IFERROR(__xludf.DUMMYFUNCTION("""COMPUTED_VALUE"""),55.44)</f>
        <v>55.44</v>
      </c>
      <c r="R311" s="3">
        <f ca="1">IFERROR(__xludf.DUMMYFUNCTION("""COMPUTED_VALUE"""),4033429)</f>
        <v>4033429</v>
      </c>
      <c r="S311" s="4">
        <f ca="1">IFERROR(__xludf.DUMMYFUNCTION("""COMPUTED_VALUE"""),42576.6666666666)</f>
        <v>42576.666666666599</v>
      </c>
      <c r="T311" s="3">
        <f ca="1">IFERROR(__xludf.DUMMYFUNCTION("""COMPUTED_VALUE"""),67.87)</f>
        <v>67.87</v>
      </c>
      <c r="U311" s="3">
        <f ca="1">IFERROR(__xludf.DUMMYFUNCTION("""COMPUTED_VALUE"""),68.02)</f>
        <v>68.02</v>
      </c>
      <c r="V311" s="3">
        <f ca="1">IFERROR(__xludf.DUMMYFUNCTION("""COMPUTED_VALUE"""),66.71)</f>
        <v>66.709999999999994</v>
      </c>
      <c r="W311" s="3">
        <f ca="1">IFERROR(__xludf.DUMMYFUNCTION("""COMPUTED_VALUE"""),66.96)</f>
        <v>66.959999999999994</v>
      </c>
      <c r="X311" s="3">
        <f ca="1">IFERROR(__xludf.DUMMYFUNCTION("""COMPUTED_VALUE"""),12771664)</f>
        <v>12771664</v>
      </c>
      <c r="Y311" s="4">
        <f ca="1">IFERROR(__xludf.DUMMYFUNCTION("""COMPUTED_VALUE"""),42576.6666666666)</f>
        <v>42576.666666666599</v>
      </c>
      <c r="Z311" s="3">
        <f ca="1">IFERROR(__xludf.DUMMYFUNCTION("""COMPUTED_VALUE"""),19.2)</f>
        <v>19.2</v>
      </c>
      <c r="AA311" s="3">
        <f ca="1">IFERROR(__xludf.DUMMYFUNCTION("""COMPUTED_VALUE"""),19.24)</f>
        <v>19.239999999999998</v>
      </c>
      <c r="AB311" s="3">
        <f ca="1">IFERROR(__xludf.DUMMYFUNCTION("""COMPUTED_VALUE"""),19.13)</f>
        <v>19.13</v>
      </c>
      <c r="AC311" s="3">
        <f ca="1">IFERROR(__xludf.DUMMYFUNCTION("""COMPUTED_VALUE"""),19.19)</f>
        <v>19.190000000000001</v>
      </c>
      <c r="AD311" s="3">
        <f ca="1">IFERROR(__xludf.DUMMYFUNCTION("""COMPUTED_VALUE"""),30135099)</f>
        <v>30135099</v>
      </c>
      <c r="AE311" s="4">
        <f ca="1">IFERROR(__xludf.DUMMYFUNCTION("""COMPUTED_VALUE"""),42576.6666666666)</f>
        <v>42576.666666666599</v>
      </c>
      <c r="AF311" s="3">
        <f ca="1">IFERROR(__xludf.DUMMYFUNCTION("""COMPUTED_VALUE"""),75.01)</f>
        <v>75.010000000000005</v>
      </c>
      <c r="AG311" s="3">
        <f ca="1">IFERROR(__xludf.DUMMYFUNCTION("""COMPUTED_VALUE"""),75.07)</f>
        <v>75.069999999999993</v>
      </c>
      <c r="AH311" s="3">
        <f ca="1">IFERROR(__xludf.DUMMYFUNCTION("""COMPUTED_VALUE"""),74.45)</f>
        <v>74.45</v>
      </c>
      <c r="AI311" s="3">
        <f ca="1">IFERROR(__xludf.DUMMYFUNCTION("""COMPUTED_VALUE"""),74.91)</f>
        <v>74.91</v>
      </c>
      <c r="AJ311" s="3">
        <f ca="1">IFERROR(__xludf.DUMMYFUNCTION("""COMPUTED_VALUE"""),5868392)</f>
        <v>5868392</v>
      </c>
      <c r="AK311" s="4">
        <f ca="1">IFERROR(__xludf.DUMMYFUNCTION("""COMPUTED_VALUE"""),42576.6666666666)</f>
        <v>42576.666666666599</v>
      </c>
      <c r="AL311" s="3">
        <f ca="1">IFERROR(__xludf.DUMMYFUNCTION("""COMPUTED_VALUE"""),58.15)</f>
        <v>58.15</v>
      </c>
      <c r="AM311" s="3">
        <f ca="1">IFERROR(__xludf.DUMMYFUNCTION("""COMPUTED_VALUE"""),58.16)</f>
        <v>58.16</v>
      </c>
      <c r="AN311" s="3">
        <f ca="1">IFERROR(__xludf.DUMMYFUNCTION("""COMPUTED_VALUE"""),57.8)</f>
        <v>57.8</v>
      </c>
      <c r="AO311" s="3">
        <f ca="1">IFERROR(__xludf.DUMMYFUNCTION("""COMPUTED_VALUE"""),57.98)</f>
        <v>57.98</v>
      </c>
      <c r="AP311" s="3">
        <f ca="1">IFERROR(__xludf.DUMMYFUNCTION("""COMPUTED_VALUE"""),11063247)</f>
        <v>11063247</v>
      </c>
      <c r="AQ311" s="4">
        <f ca="1">IFERROR(__xludf.DUMMYFUNCTION("""COMPUTED_VALUE"""),42576.6666666666)</f>
        <v>42576.666666666599</v>
      </c>
      <c r="AR311" s="3">
        <f ca="1">IFERROR(__xludf.DUMMYFUNCTION("""COMPUTED_VALUE"""),48.61)</f>
        <v>48.61</v>
      </c>
      <c r="AS311" s="3">
        <f ca="1">IFERROR(__xludf.DUMMYFUNCTION("""COMPUTED_VALUE"""),48.61)</f>
        <v>48.61</v>
      </c>
      <c r="AT311" s="3">
        <f ca="1">IFERROR(__xludf.DUMMYFUNCTION("""COMPUTED_VALUE"""),48.25)</f>
        <v>48.25</v>
      </c>
      <c r="AU311" s="3">
        <f ca="1">IFERROR(__xludf.DUMMYFUNCTION("""COMPUTED_VALUE"""),48.58)</f>
        <v>48.58</v>
      </c>
      <c r="AV311" s="3">
        <f ca="1">IFERROR(__xludf.DUMMYFUNCTION("""COMPUTED_VALUE"""),4839166)</f>
        <v>4839166</v>
      </c>
      <c r="AW311" s="4">
        <f ca="1">IFERROR(__xludf.DUMMYFUNCTION("""COMPUTED_VALUE"""),42740.6666666666)</f>
        <v>42740.666666666599</v>
      </c>
      <c r="AX311" s="3">
        <f ca="1">IFERROR(__xludf.DUMMYFUNCTION("""COMPUTED_VALUE"""),31.08)</f>
        <v>31.08</v>
      </c>
      <c r="AY311" s="3">
        <f ca="1">IFERROR(__xludf.DUMMYFUNCTION("""COMPUTED_VALUE"""),31.42)</f>
        <v>31.42</v>
      </c>
      <c r="AZ311" s="3">
        <f ca="1">IFERROR(__xludf.DUMMYFUNCTION("""COMPUTED_VALUE"""),30.83)</f>
        <v>30.83</v>
      </c>
      <c r="BA311" s="3">
        <f ca="1">IFERROR(__xludf.DUMMYFUNCTION("""COMPUTED_VALUE"""),31.4)</f>
        <v>31.4</v>
      </c>
      <c r="BB311" s="3">
        <f ca="1">IFERROR(__xludf.DUMMYFUNCTION("""COMPUTED_VALUE"""),2198849)</f>
        <v>2198849</v>
      </c>
      <c r="BC311" s="4">
        <f ca="1">IFERROR(__xludf.DUMMYFUNCTION("""COMPUTED_VALUE"""),42576.6666666666)</f>
        <v>42576.666666666599</v>
      </c>
      <c r="BD311" s="3">
        <f ca="1">IFERROR(__xludf.DUMMYFUNCTION("""COMPUTED_VALUE"""),45.75)</f>
        <v>45.75</v>
      </c>
      <c r="BE311" s="3">
        <f ca="1">IFERROR(__xludf.DUMMYFUNCTION("""COMPUTED_VALUE"""),45.86)</f>
        <v>45.86</v>
      </c>
      <c r="BF311" s="3">
        <f ca="1">IFERROR(__xludf.DUMMYFUNCTION("""COMPUTED_VALUE"""),45.63)</f>
        <v>45.63</v>
      </c>
      <c r="BG311" s="3">
        <f ca="1">IFERROR(__xludf.DUMMYFUNCTION("""COMPUTED_VALUE"""),45.77)</f>
        <v>45.77</v>
      </c>
      <c r="BH311" s="3">
        <f ca="1">IFERROR(__xludf.DUMMYFUNCTION("""COMPUTED_VALUE"""),4244901)</f>
        <v>4244901</v>
      </c>
      <c r="BI311" s="4">
        <f ca="1">IFERROR(__xludf.DUMMYFUNCTION("""COMPUTED_VALUE"""),42576.6666666666)</f>
        <v>42576.666666666599</v>
      </c>
      <c r="BJ311" s="3">
        <f ca="1">IFERROR(__xludf.DUMMYFUNCTION("""COMPUTED_VALUE"""),52.69)</f>
        <v>52.69</v>
      </c>
      <c r="BK311" s="3">
        <f ca="1">IFERROR(__xludf.DUMMYFUNCTION("""COMPUTED_VALUE"""),52.74)</f>
        <v>52.74</v>
      </c>
      <c r="BL311" s="3">
        <f ca="1">IFERROR(__xludf.DUMMYFUNCTION("""COMPUTED_VALUE"""),52.35)</f>
        <v>52.35</v>
      </c>
      <c r="BM311" s="3">
        <f ca="1">IFERROR(__xludf.DUMMYFUNCTION("""COMPUTED_VALUE"""),52.67)</f>
        <v>52.67</v>
      </c>
      <c r="BN311" s="3">
        <f ca="1">IFERROR(__xludf.DUMMYFUNCTION("""COMPUTED_VALUE"""),7155298)</f>
        <v>7155298</v>
      </c>
    </row>
    <row r="312" spans="7:66" ht="13" x14ac:dyDescent="0.15">
      <c r="G312" s="4">
        <f ca="1">IFERROR(__xludf.DUMMYFUNCTION("""COMPUTED_VALUE"""),42577.6666666666)</f>
        <v>42577.666666666599</v>
      </c>
      <c r="H312" s="3">
        <f ca="1">IFERROR(__xludf.DUMMYFUNCTION("""COMPUTED_VALUE"""),81.66)</f>
        <v>81.66</v>
      </c>
      <c r="I312" s="3">
        <f ca="1">IFERROR(__xludf.DUMMYFUNCTION("""COMPUTED_VALUE"""),82.03)</f>
        <v>82.03</v>
      </c>
      <c r="J312" s="3">
        <f ca="1">IFERROR(__xludf.DUMMYFUNCTION("""COMPUTED_VALUE"""),81.34)</f>
        <v>81.34</v>
      </c>
      <c r="K312" s="3">
        <f ca="1">IFERROR(__xludf.DUMMYFUNCTION("""COMPUTED_VALUE"""),81.63)</f>
        <v>81.63</v>
      </c>
      <c r="L312" s="3">
        <f ca="1">IFERROR(__xludf.DUMMYFUNCTION("""COMPUTED_VALUE"""),4987724)</f>
        <v>4987724</v>
      </c>
      <c r="M312" s="4">
        <f ca="1">IFERROR(__xludf.DUMMYFUNCTION("""COMPUTED_VALUE"""),42577.6666666666)</f>
        <v>42577.666666666599</v>
      </c>
      <c r="N312" s="3">
        <f ca="1">IFERROR(__xludf.DUMMYFUNCTION("""COMPUTED_VALUE"""),55.37)</f>
        <v>55.37</v>
      </c>
      <c r="O312" s="3">
        <f ca="1">IFERROR(__xludf.DUMMYFUNCTION("""COMPUTED_VALUE"""),55.54)</f>
        <v>55.54</v>
      </c>
      <c r="P312" s="3">
        <f ca="1">IFERROR(__xludf.DUMMYFUNCTION("""COMPUTED_VALUE"""),54.97)</f>
        <v>54.97</v>
      </c>
      <c r="Q312" s="3">
        <f ca="1">IFERROR(__xludf.DUMMYFUNCTION("""COMPUTED_VALUE"""),55.01)</f>
        <v>55.01</v>
      </c>
      <c r="R312" s="3">
        <f ca="1">IFERROR(__xludf.DUMMYFUNCTION("""COMPUTED_VALUE"""),11737796)</f>
        <v>11737796</v>
      </c>
      <c r="S312" s="4">
        <f ca="1">IFERROR(__xludf.DUMMYFUNCTION("""COMPUTED_VALUE"""),42577.6666666666)</f>
        <v>42577.666666666599</v>
      </c>
      <c r="T312" s="3">
        <f ca="1">IFERROR(__xludf.DUMMYFUNCTION("""COMPUTED_VALUE"""),66.57)</f>
        <v>66.569999999999993</v>
      </c>
      <c r="U312" s="3">
        <f ca="1">IFERROR(__xludf.DUMMYFUNCTION("""COMPUTED_VALUE"""),67.41)</f>
        <v>67.41</v>
      </c>
      <c r="V312" s="3">
        <f ca="1">IFERROR(__xludf.DUMMYFUNCTION("""COMPUTED_VALUE"""),66.53)</f>
        <v>66.53</v>
      </c>
      <c r="W312" s="3">
        <f ca="1">IFERROR(__xludf.DUMMYFUNCTION("""COMPUTED_VALUE"""),67.35)</f>
        <v>67.349999999999994</v>
      </c>
      <c r="X312" s="3">
        <f ca="1">IFERROR(__xludf.DUMMYFUNCTION("""COMPUTED_VALUE"""),12393898)</f>
        <v>12393898</v>
      </c>
      <c r="Y312" s="4">
        <f ca="1">IFERROR(__xludf.DUMMYFUNCTION("""COMPUTED_VALUE"""),42577.6666666666)</f>
        <v>42577.666666666599</v>
      </c>
      <c r="Z312" s="3">
        <f ca="1">IFERROR(__xludf.DUMMYFUNCTION("""COMPUTED_VALUE"""),19.14)</f>
        <v>19.14</v>
      </c>
      <c r="AA312" s="3">
        <f ca="1">IFERROR(__xludf.DUMMYFUNCTION("""COMPUTED_VALUE"""),19.23)</f>
        <v>19.23</v>
      </c>
      <c r="AB312" s="3">
        <f ca="1">IFERROR(__xludf.DUMMYFUNCTION("""COMPUTED_VALUE"""),19.13)</f>
        <v>19.13</v>
      </c>
      <c r="AC312" s="3">
        <f ca="1">IFERROR(__xludf.DUMMYFUNCTION("""COMPUTED_VALUE"""),19.21)</f>
        <v>19.21</v>
      </c>
      <c r="AD312" s="3">
        <f ca="1">IFERROR(__xludf.DUMMYFUNCTION("""COMPUTED_VALUE"""),28013143)</f>
        <v>28013143</v>
      </c>
      <c r="AE312" s="4">
        <f ca="1">IFERROR(__xludf.DUMMYFUNCTION("""COMPUTED_VALUE"""),42577.6666666666)</f>
        <v>42577.666666666599</v>
      </c>
      <c r="AF312" s="3">
        <f ca="1">IFERROR(__xludf.DUMMYFUNCTION("""COMPUTED_VALUE"""),74.62)</f>
        <v>74.62</v>
      </c>
      <c r="AG312" s="3">
        <f ca="1">IFERROR(__xludf.DUMMYFUNCTION("""COMPUTED_VALUE"""),74.89)</f>
        <v>74.89</v>
      </c>
      <c r="AH312" s="3">
        <f ca="1">IFERROR(__xludf.DUMMYFUNCTION("""COMPUTED_VALUE"""),74.48)</f>
        <v>74.48</v>
      </c>
      <c r="AI312" s="3">
        <f ca="1">IFERROR(__xludf.DUMMYFUNCTION("""COMPUTED_VALUE"""),74.78)</f>
        <v>74.78</v>
      </c>
      <c r="AJ312" s="3">
        <f ca="1">IFERROR(__xludf.DUMMYFUNCTION("""COMPUTED_VALUE"""),6904219)</f>
        <v>6904219</v>
      </c>
      <c r="AK312" s="4">
        <f ca="1">IFERROR(__xludf.DUMMYFUNCTION("""COMPUTED_VALUE"""),42577.6666666666)</f>
        <v>42577.666666666599</v>
      </c>
      <c r="AL312" s="3">
        <f ca="1">IFERROR(__xludf.DUMMYFUNCTION("""COMPUTED_VALUE"""),58.06)</f>
        <v>58.06</v>
      </c>
      <c r="AM312" s="3">
        <f ca="1">IFERROR(__xludf.DUMMYFUNCTION("""COMPUTED_VALUE"""),58.55)</f>
        <v>58.55</v>
      </c>
      <c r="AN312" s="3">
        <f ca="1">IFERROR(__xludf.DUMMYFUNCTION("""COMPUTED_VALUE"""),57.98)</f>
        <v>57.98</v>
      </c>
      <c r="AO312" s="3">
        <f ca="1">IFERROR(__xludf.DUMMYFUNCTION("""COMPUTED_VALUE"""),58.46)</f>
        <v>58.46</v>
      </c>
      <c r="AP312" s="3">
        <f ca="1">IFERROR(__xludf.DUMMYFUNCTION("""COMPUTED_VALUE"""),9375992)</f>
        <v>9375992</v>
      </c>
      <c r="AQ312" s="4">
        <f ca="1">IFERROR(__xludf.DUMMYFUNCTION("""COMPUTED_VALUE"""),42577.6666666666)</f>
        <v>42577.666666666599</v>
      </c>
      <c r="AR312" s="3">
        <f ca="1">IFERROR(__xludf.DUMMYFUNCTION("""COMPUTED_VALUE"""),48.57)</f>
        <v>48.57</v>
      </c>
      <c r="AS312" s="3">
        <f ca="1">IFERROR(__xludf.DUMMYFUNCTION("""COMPUTED_VALUE"""),48.98)</f>
        <v>48.98</v>
      </c>
      <c r="AT312" s="3">
        <f ca="1">IFERROR(__xludf.DUMMYFUNCTION("""COMPUTED_VALUE"""),48.53)</f>
        <v>48.53</v>
      </c>
      <c r="AU312" s="3">
        <f ca="1">IFERROR(__xludf.DUMMYFUNCTION("""COMPUTED_VALUE"""),48.95)</f>
        <v>48.95</v>
      </c>
      <c r="AV312" s="3">
        <f ca="1">IFERROR(__xludf.DUMMYFUNCTION("""COMPUTED_VALUE"""),4172125)</f>
        <v>4172125</v>
      </c>
      <c r="AW312" s="4">
        <f ca="1">IFERROR(__xludf.DUMMYFUNCTION("""COMPUTED_VALUE"""),42741.6666666666)</f>
        <v>42741.666666666599</v>
      </c>
      <c r="AX312" s="3">
        <f ca="1">IFERROR(__xludf.DUMMYFUNCTION("""COMPUTED_VALUE"""),31.25)</f>
        <v>31.25</v>
      </c>
      <c r="AY312" s="3">
        <f ca="1">IFERROR(__xludf.DUMMYFUNCTION("""COMPUTED_VALUE"""),31.55)</f>
        <v>31.55</v>
      </c>
      <c r="AZ312" s="3">
        <f ca="1">IFERROR(__xludf.DUMMYFUNCTION("""COMPUTED_VALUE"""),31.24)</f>
        <v>31.24</v>
      </c>
      <c r="BA312" s="3">
        <f ca="1">IFERROR(__xludf.DUMMYFUNCTION("""COMPUTED_VALUE"""),31.4)</f>
        <v>31.4</v>
      </c>
      <c r="BB312" s="3">
        <f ca="1">IFERROR(__xludf.DUMMYFUNCTION("""COMPUTED_VALUE"""),1747489)</f>
        <v>1747489</v>
      </c>
      <c r="BC312" s="4">
        <f ca="1">IFERROR(__xludf.DUMMYFUNCTION("""COMPUTED_VALUE"""),42577.6666666666)</f>
        <v>42577.666666666599</v>
      </c>
      <c r="BD312" s="3">
        <f ca="1">IFERROR(__xludf.DUMMYFUNCTION("""COMPUTED_VALUE"""),45.82)</f>
        <v>45.82</v>
      </c>
      <c r="BE312" s="3">
        <f ca="1">IFERROR(__xludf.DUMMYFUNCTION("""COMPUTED_VALUE"""),46.01)</f>
        <v>46.01</v>
      </c>
      <c r="BF312" s="3">
        <f ca="1">IFERROR(__xludf.DUMMYFUNCTION("""COMPUTED_VALUE"""),45.65)</f>
        <v>45.65</v>
      </c>
      <c r="BG312" s="3">
        <f ca="1">IFERROR(__xludf.DUMMYFUNCTION("""COMPUTED_VALUE"""),45.87)</f>
        <v>45.87</v>
      </c>
      <c r="BH312" s="3">
        <f ca="1">IFERROR(__xludf.DUMMYFUNCTION("""COMPUTED_VALUE"""),9057685)</f>
        <v>9057685</v>
      </c>
      <c r="BI312" s="4">
        <f ca="1">IFERROR(__xludf.DUMMYFUNCTION("""COMPUTED_VALUE"""),42577.6666666666)</f>
        <v>42577.666666666599</v>
      </c>
      <c r="BJ312" s="3">
        <f ca="1">IFERROR(__xludf.DUMMYFUNCTION("""COMPUTED_VALUE"""),52.69)</f>
        <v>52.69</v>
      </c>
      <c r="BK312" s="3">
        <f ca="1">IFERROR(__xludf.DUMMYFUNCTION("""COMPUTED_VALUE"""),52.73)</f>
        <v>52.73</v>
      </c>
      <c r="BL312" s="3">
        <f ca="1">IFERROR(__xludf.DUMMYFUNCTION("""COMPUTED_VALUE"""),52.06)</f>
        <v>52.06</v>
      </c>
      <c r="BM312" s="3">
        <f ca="1">IFERROR(__xludf.DUMMYFUNCTION("""COMPUTED_VALUE"""),52.21)</f>
        <v>52.21</v>
      </c>
      <c r="BN312" s="3">
        <f ca="1">IFERROR(__xludf.DUMMYFUNCTION("""COMPUTED_VALUE"""),12509095)</f>
        <v>12509095</v>
      </c>
    </row>
    <row r="313" spans="7:66" ht="13" x14ac:dyDescent="0.15">
      <c r="G313" s="4">
        <f ca="1">IFERROR(__xludf.DUMMYFUNCTION("""COMPUTED_VALUE"""),42578.6666666666)</f>
        <v>42578.666666666599</v>
      </c>
      <c r="H313" s="3">
        <f ca="1">IFERROR(__xludf.DUMMYFUNCTION("""COMPUTED_VALUE"""),81.87)</f>
        <v>81.87</v>
      </c>
      <c r="I313" s="3">
        <f ca="1">IFERROR(__xludf.DUMMYFUNCTION("""COMPUTED_VALUE"""),81.9)</f>
        <v>81.900000000000006</v>
      </c>
      <c r="J313" s="3">
        <f ca="1">IFERROR(__xludf.DUMMYFUNCTION("""COMPUTED_VALUE"""),81.07)</f>
        <v>81.069999999999993</v>
      </c>
      <c r="K313" s="3">
        <f ca="1">IFERROR(__xludf.DUMMYFUNCTION("""COMPUTED_VALUE"""),81.38)</f>
        <v>81.38</v>
      </c>
      <c r="L313" s="3">
        <f ca="1">IFERROR(__xludf.DUMMYFUNCTION("""COMPUTED_VALUE"""),4295122)</f>
        <v>4295122</v>
      </c>
      <c r="M313" s="4">
        <f ca="1">IFERROR(__xludf.DUMMYFUNCTION("""COMPUTED_VALUE"""),42578.6666666666)</f>
        <v>42578.666666666599</v>
      </c>
      <c r="N313" s="3">
        <f ca="1">IFERROR(__xludf.DUMMYFUNCTION("""COMPUTED_VALUE"""),54.94)</f>
        <v>54.94</v>
      </c>
      <c r="O313" s="3">
        <f ca="1">IFERROR(__xludf.DUMMYFUNCTION("""COMPUTED_VALUE"""),54.94)</f>
        <v>54.94</v>
      </c>
      <c r="P313" s="3">
        <f ca="1">IFERROR(__xludf.DUMMYFUNCTION("""COMPUTED_VALUE"""),54.04)</f>
        <v>54.04</v>
      </c>
      <c r="Q313" s="3">
        <f ca="1">IFERROR(__xludf.DUMMYFUNCTION("""COMPUTED_VALUE"""),54.19)</f>
        <v>54.19</v>
      </c>
      <c r="R313" s="3">
        <f ca="1">IFERROR(__xludf.DUMMYFUNCTION("""COMPUTED_VALUE"""),21562376)</f>
        <v>21562376</v>
      </c>
      <c r="S313" s="4">
        <f ca="1">IFERROR(__xludf.DUMMYFUNCTION("""COMPUTED_VALUE"""),42578.6666666666)</f>
        <v>42578.666666666599</v>
      </c>
      <c r="T313" s="3">
        <f ca="1">IFERROR(__xludf.DUMMYFUNCTION("""COMPUTED_VALUE"""),67.44)</f>
        <v>67.44</v>
      </c>
      <c r="U313" s="3">
        <f ca="1">IFERROR(__xludf.DUMMYFUNCTION("""COMPUTED_VALUE"""),67.93)</f>
        <v>67.930000000000007</v>
      </c>
      <c r="V313" s="3">
        <f ca="1">IFERROR(__xludf.DUMMYFUNCTION("""COMPUTED_VALUE"""),66.4)</f>
        <v>66.400000000000006</v>
      </c>
      <c r="W313" s="3">
        <f ca="1">IFERROR(__xludf.DUMMYFUNCTION("""COMPUTED_VALUE"""),66.69)</f>
        <v>66.69</v>
      </c>
      <c r="X313" s="3">
        <f ca="1">IFERROR(__xludf.DUMMYFUNCTION("""COMPUTED_VALUE"""),16177902)</f>
        <v>16177902</v>
      </c>
      <c r="Y313" s="4">
        <f ca="1">IFERROR(__xludf.DUMMYFUNCTION("""COMPUTED_VALUE"""),42578.6666666666)</f>
        <v>42578.666666666599</v>
      </c>
      <c r="Z313" s="3">
        <f ca="1">IFERROR(__xludf.DUMMYFUNCTION("""COMPUTED_VALUE"""),19.17)</f>
        <v>19.170000000000002</v>
      </c>
      <c r="AA313" s="3">
        <f ca="1">IFERROR(__xludf.DUMMYFUNCTION("""COMPUTED_VALUE"""),19.25)</f>
        <v>19.25</v>
      </c>
      <c r="AB313" s="3">
        <f ca="1">IFERROR(__xludf.DUMMYFUNCTION("""COMPUTED_VALUE"""),19.13)</f>
        <v>19.13</v>
      </c>
      <c r="AC313" s="3">
        <f ca="1">IFERROR(__xludf.DUMMYFUNCTION("""COMPUTED_VALUE"""),19.2)</f>
        <v>19.2</v>
      </c>
      <c r="AD313" s="3">
        <f ca="1">IFERROR(__xludf.DUMMYFUNCTION("""COMPUTED_VALUE"""),41194145)</f>
        <v>41194145</v>
      </c>
      <c r="AE313" s="4">
        <f ca="1">IFERROR(__xludf.DUMMYFUNCTION("""COMPUTED_VALUE"""),42578.6666666666)</f>
        <v>42578.666666666599</v>
      </c>
      <c r="AF313" s="3">
        <f ca="1">IFERROR(__xludf.DUMMYFUNCTION("""COMPUTED_VALUE"""),74.63)</f>
        <v>74.63</v>
      </c>
      <c r="AG313" s="3">
        <f ca="1">IFERROR(__xludf.DUMMYFUNCTION("""COMPUTED_VALUE"""),75.24)</f>
        <v>75.239999999999995</v>
      </c>
      <c r="AH313" s="3">
        <f ca="1">IFERROR(__xludf.DUMMYFUNCTION("""COMPUTED_VALUE"""),74.49)</f>
        <v>74.489999999999995</v>
      </c>
      <c r="AI313" s="3">
        <f ca="1">IFERROR(__xludf.DUMMYFUNCTION("""COMPUTED_VALUE"""),75.12)</f>
        <v>75.12</v>
      </c>
      <c r="AJ313" s="3">
        <f ca="1">IFERROR(__xludf.DUMMYFUNCTION("""COMPUTED_VALUE"""),7983149)</f>
        <v>7983149</v>
      </c>
      <c r="AK313" s="4">
        <f ca="1">IFERROR(__xludf.DUMMYFUNCTION("""COMPUTED_VALUE"""),42578.6666666666)</f>
        <v>42578.666666666599</v>
      </c>
      <c r="AL313" s="3">
        <f ca="1">IFERROR(__xludf.DUMMYFUNCTION("""COMPUTED_VALUE"""),58.46)</f>
        <v>58.46</v>
      </c>
      <c r="AM313" s="3">
        <f ca="1">IFERROR(__xludf.DUMMYFUNCTION("""COMPUTED_VALUE"""),58.64)</f>
        <v>58.64</v>
      </c>
      <c r="AN313" s="3">
        <f ca="1">IFERROR(__xludf.DUMMYFUNCTION("""COMPUTED_VALUE"""),58.01)</f>
        <v>58.01</v>
      </c>
      <c r="AO313" s="3">
        <f ca="1">IFERROR(__xludf.DUMMYFUNCTION("""COMPUTED_VALUE"""),58.23)</f>
        <v>58.23</v>
      </c>
      <c r="AP313" s="3">
        <f ca="1">IFERROR(__xludf.DUMMYFUNCTION("""COMPUTED_VALUE"""),10760694)</f>
        <v>10760694</v>
      </c>
      <c r="AQ313" s="4">
        <f ca="1">IFERROR(__xludf.DUMMYFUNCTION("""COMPUTED_VALUE"""),42578.6666666666)</f>
        <v>42578.666666666599</v>
      </c>
      <c r="AR313" s="3">
        <f ca="1">IFERROR(__xludf.DUMMYFUNCTION("""COMPUTED_VALUE"""),48.99)</f>
        <v>48.99</v>
      </c>
      <c r="AS313" s="3">
        <f ca="1">IFERROR(__xludf.DUMMYFUNCTION("""COMPUTED_VALUE"""),49.18)</f>
        <v>49.18</v>
      </c>
      <c r="AT313" s="3">
        <f ca="1">IFERROR(__xludf.DUMMYFUNCTION("""COMPUTED_VALUE"""),48.65)</f>
        <v>48.65</v>
      </c>
      <c r="AU313" s="3">
        <f ca="1">IFERROR(__xludf.DUMMYFUNCTION("""COMPUTED_VALUE"""),49.01)</f>
        <v>49.01</v>
      </c>
      <c r="AV313" s="3">
        <f ca="1">IFERROR(__xludf.DUMMYFUNCTION("""COMPUTED_VALUE"""),4257071)</f>
        <v>4257071</v>
      </c>
      <c r="AW313" s="4">
        <f ca="1">IFERROR(__xludf.DUMMYFUNCTION("""COMPUTED_VALUE"""),42744.6666666666)</f>
        <v>42744.666666666599</v>
      </c>
      <c r="AX313" s="3">
        <f ca="1">IFERROR(__xludf.DUMMYFUNCTION("""COMPUTED_VALUE"""),31.44)</f>
        <v>31.44</v>
      </c>
      <c r="AY313" s="3">
        <f ca="1">IFERROR(__xludf.DUMMYFUNCTION("""COMPUTED_VALUE"""),31.47)</f>
        <v>31.47</v>
      </c>
      <c r="AZ313" s="3">
        <f ca="1">IFERROR(__xludf.DUMMYFUNCTION("""COMPUTED_VALUE"""),31.16)</f>
        <v>31.16</v>
      </c>
      <c r="BA313" s="3">
        <f ca="1">IFERROR(__xludf.DUMMYFUNCTION("""COMPUTED_VALUE"""),31.2)</f>
        <v>31.2</v>
      </c>
      <c r="BB313" s="3">
        <f ca="1">IFERROR(__xludf.DUMMYFUNCTION("""COMPUTED_VALUE"""),2125447)</f>
        <v>2125447</v>
      </c>
      <c r="BC313" s="4">
        <f ca="1">IFERROR(__xludf.DUMMYFUNCTION("""COMPUTED_VALUE"""),42578.6666666666)</f>
        <v>42578.666666666599</v>
      </c>
      <c r="BD313" s="3">
        <f ca="1">IFERROR(__xludf.DUMMYFUNCTION("""COMPUTED_VALUE"""),46.37)</f>
        <v>46.37</v>
      </c>
      <c r="BE313" s="3">
        <f ca="1">IFERROR(__xludf.DUMMYFUNCTION("""COMPUTED_VALUE"""),46.37)</f>
        <v>46.37</v>
      </c>
      <c r="BF313" s="3">
        <f ca="1">IFERROR(__xludf.DUMMYFUNCTION("""COMPUTED_VALUE"""),46.03)</f>
        <v>46.03</v>
      </c>
      <c r="BG313" s="3">
        <f ca="1">IFERROR(__xludf.DUMMYFUNCTION("""COMPUTED_VALUE"""),46.25)</f>
        <v>46.25</v>
      </c>
      <c r="BH313" s="3">
        <f ca="1">IFERROR(__xludf.DUMMYFUNCTION("""COMPUTED_VALUE"""),10910076)</f>
        <v>10910076</v>
      </c>
      <c r="BI313" s="4">
        <f ca="1">IFERROR(__xludf.DUMMYFUNCTION("""COMPUTED_VALUE"""),42578.6666666666)</f>
        <v>42578.666666666599</v>
      </c>
      <c r="BJ313" s="3">
        <f ca="1">IFERROR(__xludf.DUMMYFUNCTION("""COMPUTED_VALUE"""),52.09)</f>
        <v>52.09</v>
      </c>
      <c r="BK313" s="3">
        <f ca="1">IFERROR(__xludf.DUMMYFUNCTION("""COMPUTED_VALUE"""),52.15)</f>
        <v>52.15</v>
      </c>
      <c r="BL313" s="3">
        <f ca="1">IFERROR(__xludf.DUMMYFUNCTION("""COMPUTED_VALUE"""),51.16)</f>
        <v>51.16</v>
      </c>
      <c r="BM313" s="3">
        <f ca="1">IFERROR(__xludf.DUMMYFUNCTION("""COMPUTED_VALUE"""),51.61)</f>
        <v>51.61</v>
      </c>
      <c r="BN313" s="3">
        <f ca="1">IFERROR(__xludf.DUMMYFUNCTION("""COMPUTED_VALUE"""),22559750)</f>
        <v>22559750</v>
      </c>
    </row>
    <row r="314" spans="7:66" ht="13" x14ac:dyDescent="0.15">
      <c r="G314" s="4">
        <f ca="1">IFERROR(__xludf.DUMMYFUNCTION("""COMPUTED_VALUE"""),42579.6666666666)</f>
        <v>42579.666666666599</v>
      </c>
      <c r="H314" s="3">
        <f ca="1">IFERROR(__xludf.DUMMYFUNCTION("""COMPUTED_VALUE"""),81.16)</f>
        <v>81.16</v>
      </c>
      <c r="I314" s="3">
        <f ca="1">IFERROR(__xludf.DUMMYFUNCTION("""COMPUTED_VALUE"""),81.63)</f>
        <v>81.63</v>
      </c>
      <c r="J314" s="3">
        <f ca="1">IFERROR(__xludf.DUMMYFUNCTION("""COMPUTED_VALUE"""),80.86)</f>
        <v>80.86</v>
      </c>
      <c r="K314" s="3">
        <f ca="1">IFERROR(__xludf.DUMMYFUNCTION("""COMPUTED_VALUE"""),81.53)</f>
        <v>81.53</v>
      </c>
      <c r="L314" s="3">
        <f ca="1">IFERROR(__xludf.DUMMYFUNCTION("""COMPUTED_VALUE"""),3158914)</f>
        <v>3158914</v>
      </c>
      <c r="M314" s="4">
        <f ca="1">IFERROR(__xludf.DUMMYFUNCTION("""COMPUTED_VALUE"""),42579.6666666666)</f>
        <v>42579.666666666599</v>
      </c>
      <c r="N314" s="3">
        <f ca="1">IFERROR(__xludf.DUMMYFUNCTION("""COMPUTED_VALUE"""),54.51)</f>
        <v>54.51</v>
      </c>
      <c r="O314" s="3">
        <f ca="1">IFERROR(__xludf.DUMMYFUNCTION("""COMPUTED_VALUE"""),54.53)</f>
        <v>54.53</v>
      </c>
      <c r="P314" s="3">
        <f ca="1">IFERROR(__xludf.DUMMYFUNCTION("""COMPUTED_VALUE"""),54.03)</f>
        <v>54.03</v>
      </c>
      <c r="Q314" s="3">
        <f ca="1">IFERROR(__xludf.DUMMYFUNCTION("""COMPUTED_VALUE"""),54.43)</f>
        <v>54.43</v>
      </c>
      <c r="R314" s="3">
        <f ca="1">IFERROR(__xludf.DUMMYFUNCTION("""COMPUTED_VALUE"""),10873813)</f>
        <v>10873813</v>
      </c>
      <c r="S314" s="4">
        <f ca="1">IFERROR(__xludf.DUMMYFUNCTION("""COMPUTED_VALUE"""),42579.6666666666)</f>
        <v>42579.666666666599</v>
      </c>
      <c r="T314" s="3">
        <f ca="1">IFERROR(__xludf.DUMMYFUNCTION("""COMPUTED_VALUE"""),66.61)</f>
        <v>66.61</v>
      </c>
      <c r="U314" s="3">
        <f ca="1">IFERROR(__xludf.DUMMYFUNCTION("""COMPUTED_VALUE"""),67.02)</f>
        <v>67.02</v>
      </c>
      <c r="V314" s="3">
        <f ca="1">IFERROR(__xludf.DUMMYFUNCTION("""COMPUTED_VALUE"""),66.23)</f>
        <v>66.23</v>
      </c>
      <c r="W314" s="3">
        <f ca="1">IFERROR(__xludf.DUMMYFUNCTION("""COMPUTED_VALUE"""),66.7)</f>
        <v>66.7</v>
      </c>
      <c r="X314" s="3">
        <f ca="1">IFERROR(__xludf.DUMMYFUNCTION("""COMPUTED_VALUE"""),10863457)</f>
        <v>10863457</v>
      </c>
      <c r="Y314" s="4">
        <f ca="1">IFERROR(__xludf.DUMMYFUNCTION("""COMPUTED_VALUE"""),42579.6666666666)</f>
        <v>42579.666666666599</v>
      </c>
      <c r="Z314" s="3">
        <f ca="1">IFERROR(__xludf.DUMMYFUNCTION("""COMPUTED_VALUE"""),19.15)</f>
        <v>19.149999999999999</v>
      </c>
      <c r="AA314" s="3">
        <f ca="1">IFERROR(__xludf.DUMMYFUNCTION("""COMPUTED_VALUE"""),19.28)</f>
        <v>19.28</v>
      </c>
      <c r="AB314" s="3">
        <f ca="1">IFERROR(__xludf.DUMMYFUNCTION("""COMPUTED_VALUE"""),19.08)</f>
        <v>19.079999999999998</v>
      </c>
      <c r="AC314" s="3">
        <f ca="1">IFERROR(__xludf.DUMMYFUNCTION("""COMPUTED_VALUE"""),19.24)</f>
        <v>19.239999999999998</v>
      </c>
      <c r="AD314" s="3">
        <f ca="1">IFERROR(__xludf.DUMMYFUNCTION("""COMPUTED_VALUE"""),26808592)</f>
        <v>26808592</v>
      </c>
      <c r="AE314" s="4">
        <f ca="1">IFERROR(__xludf.DUMMYFUNCTION("""COMPUTED_VALUE"""),42579.6666666666)</f>
        <v>42579.666666666599</v>
      </c>
      <c r="AF314" s="3">
        <f ca="1">IFERROR(__xludf.DUMMYFUNCTION("""COMPUTED_VALUE"""),75)</f>
        <v>75</v>
      </c>
      <c r="AG314" s="3">
        <f ca="1">IFERROR(__xludf.DUMMYFUNCTION("""COMPUTED_VALUE"""),75.24)</f>
        <v>75.239999999999995</v>
      </c>
      <c r="AH314" s="3">
        <f ca="1">IFERROR(__xludf.DUMMYFUNCTION("""COMPUTED_VALUE"""),74.68)</f>
        <v>74.680000000000007</v>
      </c>
      <c r="AI314" s="3">
        <f ca="1">IFERROR(__xludf.DUMMYFUNCTION("""COMPUTED_VALUE"""),75.05)</f>
        <v>75.05</v>
      </c>
      <c r="AJ314" s="3">
        <f ca="1">IFERROR(__xludf.DUMMYFUNCTION("""COMPUTED_VALUE"""),5470050)</f>
        <v>5470050</v>
      </c>
      <c r="AK314" s="4">
        <f ca="1">IFERROR(__xludf.DUMMYFUNCTION("""COMPUTED_VALUE"""),42579.6666666666)</f>
        <v>42579.666666666599</v>
      </c>
      <c r="AL314" s="3">
        <f ca="1">IFERROR(__xludf.DUMMYFUNCTION("""COMPUTED_VALUE"""),58)</f>
        <v>58</v>
      </c>
      <c r="AM314" s="3">
        <f ca="1">IFERROR(__xludf.DUMMYFUNCTION("""COMPUTED_VALUE"""),58.34)</f>
        <v>58.34</v>
      </c>
      <c r="AN314" s="3">
        <f ca="1">IFERROR(__xludf.DUMMYFUNCTION("""COMPUTED_VALUE"""),57.82)</f>
        <v>57.82</v>
      </c>
      <c r="AO314" s="3">
        <f ca="1">IFERROR(__xludf.DUMMYFUNCTION("""COMPUTED_VALUE"""),58.21)</f>
        <v>58.21</v>
      </c>
      <c r="AP314" s="3">
        <f ca="1">IFERROR(__xludf.DUMMYFUNCTION("""COMPUTED_VALUE"""),6505645)</f>
        <v>6505645</v>
      </c>
      <c r="AQ314" s="4">
        <f ca="1">IFERROR(__xludf.DUMMYFUNCTION("""COMPUTED_VALUE"""),42579.6666666666)</f>
        <v>42579.666666666599</v>
      </c>
      <c r="AR314" s="3">
        <f ca="1">IFERROR(__xludf.DUMMYFUNCTION("""COMPUTED_VALUE"""),48.9)</f>
        <v>48.9</v>
      </c>
      <c r="AS314" s="3">
        <f ca="1">IFERROR(__xludf.DUMMYFUNCTION("""COMPUTED_VALUE"""),49.1)</f>
        <v>49.1</v>
      </c>
      <c r="AT314" s="3">
        <f ca="1">IFERROR(__xludf.DUMMYFUNCTION("""COMPUTED_VALUE"""),48.66)</f>
        <v>48.66</v>
      </c>
      <c r="AU314" s="3">
        <f ca="1">IFERROR(__xludf.DUMMYFUNCTION("""COMPUTED_VALUE"""),48.94)</f>
        <v>48.94</v>
      </c>
      <c r="AV314" s="3">
        <f ca="1">IFERROR(__xludf.DUMMYFUNCTION("""COMPUTED_VALUE"""),3665648)</f>
        <v>3665648</v>
      </c>
      <c r="AW314" s="4">
        <f ca="1">IFERROR(__xludf.DUMMYFUNCTION("""COMPUTED_VALUE"""),42745.6666666666)</f>
        <v>42745.666666666599</v>
      </c>
      <c r="AX314" s="3">
        <f ca="1">IFERROR(__xludf.DUMMYFUNCTION("""COMPUTED_VALUE"""),31.15)</f>
        <v>31.15</v>
      </c>
      <c r="AY314" s="3">
        <f ca="1">IFERROR(__xludf.DUMMYFUNCTION("""COMPUTED_VALUE"""),31.2)</f>
        <v>31.2</v>
      </c>
      <c r="AZ314" s="3">
        <f ca="1">IFERROR(__xludf.DUMMYFUNCTION("""COMPUTED_VALUE"""),30.78)</f>
        <v>30.78</v>
      </c>
      <c r="BA314" s="3">
        <f ca="1">IFERROR(__xludf.DUMMYFUNCTION("""COMPUTED_VALUE"""),30.81)</f>
        <v>30.81</v>
      </c>
      <c r="BB314" s="3">
        <f ca="1">IFERROR(__xludf.DUMMYFUNCTION("""COMPUTED_VALUE"""),1582728)</f>
        <v>1582728</v>
      </c>
      <c r="BC314" s="4">
        <f ca="1">IFERROR(__xludf.DUMMYFUNCTION("""COMPUTED_VALUE"""),42579.6666666666)</f>
        <v>42579.666666666599</v>
      </c>
      <c r="BD314" s="3">
        <f ca="1">IFERROR(__xludf.DUMMYFUNCTION("""COMPUTED_VALUE"""),46.31)</f>
        <v>46.31</v>
      </c>
      <c r="BE314" s="3">
        <f ca="1">IFERROR(__xludf.DUMMYFUNCTION("""COMPUTED_VALUE"""),46.42)</f>
        <v>46.42</v>
      </c>
      <c r="BF314" s="3">
        <f ca="1">IFERROR(__xludf.DUMMYFUNCTION("""COMPUTED_VALUE"""),46.1)</f>
        <v>46.1</v>
      </c>
      <c r="BG314" s="3">
        <f ca="1">IFERROR(__xludf.DUMMYFUNCTION("""COMPUTED_VALUE"""),46.28)</f>
        <v>46.28</v>
      </c>
      <c r="BH314" s="3">
        <f ca="1">IFERROR(__xludf.DUMMYFUNCTION("""COMPUTED_VALUE"""),6329670)</f>
        <v>6329670</v>
      </c>
      <c r="BI314" s="4">
        <f ca="1">IFERROR(__xludf.DUMMYFUNCTION("""COMPUTED_VALUE"""),42579.6666666666)</f>
        <v>42579.666666666599</v>
      </c>
      <c r="BJ314" s="3">
        <f ca="1">IFERROR(__xludf.DUMMYFUNCTION("""COMPUTED_VALUE"""),51.58)</f>
        <v>51.58</v>
      </c>
      <c r="BK314" s="3">
        <f ca="1">IFERROR(__xludf.DUMMYFUNCTION("""COMPUTED_VALUE"""),51.9)</f>
        <v>51.9</v>
      </c>
      <c r="BL314" s="3">
        <f ca="1">IFERROR(__xludf.DUMMYFUNCTION("""COMPUTED_VALUE"""),51.46)</f>
        <v>51.46</v>
      </c>
      <c r="BM314" s="3">
        <f ca="1">IFERROR(__xludf.DUMMYFUNCTION("""COMPUTED_VALUE"""),51.81)</f>
        <v>51.81</v>
      </c>
      <c r="BN314" s="3">
        <f ca="1">IFERROR(__xludf.DUMMYFUNCTION("""COMPUTED_VALUE"""),9115780)</f>
        <v>9115780</v>
      </c>
    </row>
    <row r="315" spans="7:66" ht="13" x14ac:dyDescent="0.15">
      <c r="G315" s="4">
        <f ca="1">IFERROR(__xludf.DUMMYFUNCTION("""COMPUTED_VALUE"""),42580.6666666666)</f>
        <v>42580.666666666599</v>
      </c>
      <c r="H315" s="3">
        <f ca="1">IFERROR(__xludf.DUMMYFUNCTION("""COMPUTED_VALUE"""),81.42)</f>
        <v>81.42</v>
      </c>
      <c r="I315" s="3">
        <f ca="1">IFERROR(__xludf.DUMMYFUNCTION("""COMPUTED_VALUE"""),81.74)</f>
        <v>81.739999999999995</v>
      </c>
      <c r="J315" s="3">
        <f ca="1">IFERROR(__xludf.DUMMYFUNCTION("""COMPUTED_VALUE"""),81.28)</f>
        <v>81.28</v>
      </c>
      <c r="K315" s="3">
        <f ca="1">IFERROR(__xludf.DUMMYFUNCTION("""COMPUTED_VALUE"""),81.62)</f>
        <v>81.62</v>
      </c>
      <c r="L315" s="3">
        <f ca="1">IFERROR(__xludf.DUMMYFUNCTION("""COMPUTED_VALUE"""),3996267)</f>
        <v>3996267</v>
      </c>
      <c r="M315" s="4">
        <f ca="1">IFERROR(__xludf.DUMMYFUNCTION("""COMPUTED_VALUE"""),42580.6666666666)</f>
        <v>42580.666666666599</v>
      </c>
      <c r="N315" s="3">
        <f ca="1">IFERROR(__xludf.DUMMYFUNCTION("""COMPUTED_VALUE"""),54.5)</f>
        <v>54.5</v>
      </c>
      <c r="O315" s="3">
        <f ca="1">IFERROR(__xludf.DUMMYFUNCTION("""COMPUTED_VALUE"""),54.78)</f>
        <v>54.78</v>
      </c>
      <c r="P315" s="3">
        <f ca="1">IFERROR(__xludf.DUMMYFUNCTION("""COMPUTED_VALUE"""),54.39)</f>
        <v>54.39</v>
      </c>
      <c r="Q315" s="3">
        <f ca="1">IFERROR(__xludf.DUMMYFUNCTION("""COMPUTED_VALUE"""),54.7)</f>
        <v>54.7</v>
      </c>
      <c r="R315" s="3">
        <f ca="1">IFERROR(__xludf.DUMMYFUNCTION("""COMPUTED_VALUE"""),9262256)</f>
        <v>9262256</v>
      </c>
      <c r="S315" s="4">
        <f ca="1">IFERROR(__xludf.DUMMYFUNCTION("""COMPUTED_VALUE"""),42580.6666666666)</f>
        <v>42580.666666666599</v>
      </c>
      <c r="T315" s="3">
        <f ca="1">IFERROR(__xludf.DUMMYFUNCTION("""COMPUTED_VALUE"""),65.75)</f>
        <v>65.75</v>
      </c>
      <c r="U315" s="3">
        <f ca="1">IFERROR(__xludf.DUMMYFUNCTION("""COMPUTED_VALUE"""),67.46)</f>
        <v>67.459999999999994</v>
      </c>
      <c r="V315" s="3">
        <f ca="1">IFERROR(__xludf.DUMMYFUNCTION("""COMPUTED_VALUE"""),65.69)</f>
        <v>65.69</v>
      </c>
      <c r="W315" s="3">
        <f ca="1">IFERROR(__xludf.DUMMYFUNCTION("""COMPUTED_VALUE"""),67.38)</f>
        <v>67.38</v>
      </c>
      <c r="X315" s="3">
        <f ca="1">IFERROR(__xludf.DUMMYFUNCTION("""COMPUTED_VALUE"""),16501788)</f>
        <v>16501788</v>
      </c>
      <c r="Y315" s="4">
        <f ca="1">IFERROR(__xludf.DUMMYFUNCTION("""COMPUTED_VALUE"""),42580.6666666666)</f>
        <v>42580.666666666599</v>
      </c>
      <c r="Z315" s="3">
        <f ca="1">IFERROR(__xludf.DUMMYFUNCTION("""COMPUTED_VALUE"""),19.16)</f>
        <v>19.16</v>
      </c>
      <c r="AA315" s="3">
        <f ca="1">IFERROR(__xludf.DUMMYFUNCTION("""COMPUTED_VALUE"""),19.29)</f>
        <v>19.29</v>
      </c>
      <c r="AB315" s="3">
        <f ca="1">IFERROR(__xludf.DUMMYFUNCTION("""COMPUTED_VALUE"""),19.16)</f>
        <v>19.16</v>
      </c>
      <c r="AC315" s="3">
        <f ca="1">IFERROR(__xludf.DUMMYFUNCTION("""COMPUTED_VALUE"""),19.21)</f>
        <v>19.21</v>
      </c>
      <c r="AD315" s="3">
        <f ca="1">IFERROR(__xludf.DUMMYFUNCTION("""COMPUTED_VALUE"""),44224672)</f>
        <v>44224672</v>
      </c>
      <c r="AE315" s="4">
        <f ca="1">IFERROR(__xludf.DUMMYFUNCTION("""COMPUTED_VALUE"""),42580.6666666666)</f>
        <v>42580.666666666599</v>
      </c>
      <c r="AF315" s="3">
        <f ca="1">IFERROR(__xludf.DUMMYFUNCTION("""COMPUTED_VALUE"""),74.91)</f>
        <v>74.91</v>
      </c>
      <c r="AG315" s="3">
        <f ca="1">IFERROR(__xludf.DUMMYFUNCTION("""COMPUTED_VALUE"""),75.34)</f>
        <v>75.34</v>
      </c>
      <c r="AH315" s="3">
        <f ca="1">IFERROR(__xludf.DUMMYFUNCTION("""COMPUTED_VALUE"""),74.73)</f>
        <v>74.73</v>
      </c>
      <c r="AI315" s="3">
        <f ca="1">IFERROR(__xludf.DUMMYFUNCTION("""COMPUTED_VALUE"""),75.2)</f>
        <v>75.2</v>
      </c>
      <c r="AJ315" s="3">
        <f ca="1">IFERROR(__xludf.DUMMYFUNCTION("""COMPUTED_VALUE"""),4889200)</f>
        <v>4889200</v>
      </c>
      <c r="AK315" s="4">
        <f ca="1">IFERROR(__xludf.DUMMYFUNCTION("""COMPUTED_VALUE"""),42580.6666666666)</f>
        <v>42580.666666666599</v>
      </c>
      <c r="AL315" s="3">
        <f ca="1">IFERROR(__xludf.DUMMYFUNCTION("""COMPUTED_VALUE"""),58.03)</f>
        <v>58.03</v>
      </c>
      <c r="AM315" s="3">
        <f ca="1">IFERROR(__xludf.DUMMYFUNCTION("""COMPUTED_VALUE"""),58.24)</f>
        <v>58.24</v>
      </c>
      <c r="AN315" s="3">
        <f ca="1">IFERROR(__xludf.DUMMYFUNCTION("""COMPUTED_VALUE"""),57.83)</f>
        <v>57.83</v>
      </c>
      <c r="AO315" s="3">
        <f ca="1">IFERROR(__xludf.DUMMYFUNCTION("""COMPUTED_VALUE"""),58.04)</f>
        <v>58.04</v>
      </c>
      <c r="AP315" s="3">
        <f ca="1">IFERROR(__xludf.DUMMYFUNCTION("""COMPUTED_VALUE"""),10712399)</f>
        <v>10712399</v>
      </c>
      <c r="AQ315" s="4">
        <f ca="1">IFERROR(__xludf.DUMMYFUNCTION("""COMPUTED_VALUE"""),42580.6666666666)</f>
        <v>42580.666666666599</v>
      </c>
      <c r="AR315" s="3">
        <f ca="1">IFERROR(__xludf.DUMMYFUNCTION("""COMPUTED_VALUE"""),48.8)</f>
        <v>48.8</v>
      </c>
      <c r="AS315" s="3">
        <f ca="1">IFERROR(__xludf.DUMMYFUNCTION("""COMPUTED_VALUE"""),48.84)</f>
        <v>48.84</v>
      </c>
      <c r="AT315" s="3">
        <f ca="1">IFERROR(__xludf.DUMMYFUNCTION("""COMPUTED_VALUE"""),48.35)</f>
        <v>48.35</v>
      </c>
      <c r="AU315" s="3">
        <f ca="1">IFERROR(__xludf.DUMMYFUNCTION("""COMPUTED_VALUE"""),48.69)</f>
        <v>48.69</v>
      </c>
      <c r="AV315" s="3">
        <f ca="1">IFERROR(__xludf.DUMMYFUNCTION("""COMPUTED_VALUE"""),4272812)</f>
        <v>4272812</v>
      </c>
      <c r="AW315" s="4">
        <f ca="1">IFERROR(__xludf.DUMMYFUNCTION("""COMPUTED_VALUE"""),42746.6666666666)</f>
        <v>42746.666666666599</v>
      </c>
      <c r="AX315" s="3">
        <f ca="1">IFERROR(__xludf.DUMMYFUNCTION("""COMPUTED_VALUE"""),30.76)</f>
        <v>30.76</v>
      </c>
      <c r="AY315" s="3">
        <f ca="1">IFERROR(__xludf.DUMMYFUNCTION("""COMPUTED_VALUE"""),30.86)</f>
        <v>30.86</v>
      </c>
      <c r="AZ315" s="3">
        <f ca="1">IFERROR(__xludf.DUMMYFUNCTION("""COMPUTED_VALUE"""),30.62)</f>
        <v>30.62</v>
      </c>
      <c r="BA315" s="3">
        <f ca="1">IFERROR(__xludf.DUMMYFUNCTION("""COMPUTED_VALUE"""),30.64)</f>
        <v>30.64</v>
      </c>
      <c r="BB315" s="3">
        <f ca="1">IFERROR(__xludf.DUMMYFUNCTION("""COMPUTED_VALUE"""),2192526)</f>
        <v>2192526</v>
      </c>
      <c r="BC315" s="4">
        <f ca="1">IFERROR(__xludf.DUMMYFUNCTION("""COMPUTED_VALUE"""),42580.6666666666)</f>
        <v>42580.666666666599</v>
      </c>
      <c r="BD315" s="3">
        <f ca="1">IFERROR(__xludf.DUMMYFUNCTION("""COMPUTED_VALUE"""),46.48)</f>
        <v>46.48</v>
      </c>
      <c r="BE315" s="3">
        <f ca="1">IFERROR(__xludf.DUMMYFUNCTION("""COMPUTED_VALUE"""),46.56)</f>
        <v>46.56</v>
      </c>
      <c r="BF315" s="3">
        <f ca="1">IFERROR(__xludf.DUMMYFUNCTION("""COMPUTED_VALUE"""),46.31)</f>
        <v>46.31</v>
      </c>
      <c r="BG315" s="3">
        <f ca="1">IFERROR(__xludf.DUMMYFUNCTION("""COMPUTED_VALUE"""),46.45)</f>
        <v>46.45</v>
      </c>
      <c r="BH315" s="3">
        <f ca="1">IFERROR(__xludf.DUMMYFUNCTION("""COMPUTED_VALUE"""),10589749)</f>
        <v>10589749</v>
      </c>
      <c r="BI315" s="4">
        <f ca="1">IFERROR(__xludf.DUMMYFUNCTION("""COMPUTED_VALUE"""),42580.6666666666)</f>
        <v>42580.666666666599</v>
      </c>
      <c r="BJ315" s="3">
        <f ca="1">IFERROR(__xludf.DUMMYFUNCTION("""COMPUTED_VALUE"""),51.82)</f>
        <v>51.82</v>
      </c>
      <c r="BK315" s="3">
        <f ca="1">IFERROR(__xludf.DUMMYFUNCTION("""COMPUTED_VALUE"""),52.29)</f>
        <v>52.29</v>
      </c>
      <c r="BL315" s="3">
        <f ca="1">IFERROR(__xludf.DUMMYFUNCTION("""COMPUTED_VALUE"""),51.73)</f>
        <v>51.73</v>
      </c>
      <c r="BM315" s="3">
        <f ca="1">IFERROR(__xludf.DUMMYFUNCTION("""COMPUTED_VALUE"""),52.12)</f>
        <v>52.12</v>
      </c>
      <c r="BN315" s="3">
        <f ca="1">IFERROR(__xludf.DUMMYFUNCTION("""COMPUTED_VALUE"""),15474671)</f>
        <v>15474671</v>
      </c>
    </row>
    <row r="316" spans="7:66" ht="13" x14ac:dyDescent="0.15">
      <c r="G316" s="4">
        <f ca="1">IFERROR(__xludf.DUMMYFUNCTION("""COMPUTED_VALUE"""),42583.6666666666)</f>
        <v>42583.666666666599</v>
      </c>
      <c r="H316" s="3">
        <f ca="1">IFERROR(__xludf.DUMMYFUNCTION("""COMPUTED_VALUE"""),81.62)</f>
        <v>81.62</v>
      </c>
      <c r="I316" s="3">
        <f ca="1">IFERROR(__xludf.DUMMYFUNCTION("""COMPUTED_VALUE"""),81.96)</f>
        <v>81.96</v>
      </c>
      <c r="J316" s="3">
        <f ca="1">IFERROR(__xludf.DUMMYFUNCTION("""COMPUTED_VALUE"""),81.31)</f>
        <v>81.31</v>
      </c>
      <c r="K316" s="3">
        <f ca="1">IFERROR(__xludf.DUMMYFUNCTION("""COMPUTED_VALUE"""),81.75)</f>
        <v>81.75</v>
      </c>
      <c r="L316" s="3">
        <f ca="1">IFERROR(__xludf.DUMMYFUNCTION("""COMPUTED_VALUE"""),2750209)</f>
        <v>2750209</v>
      </c>
      <c r="M316" s="4">
        <f ca="1">IFERROR(__xludf.DUMMYFUNCTION("""COMPUTED_VALUE"""),42583.6666666666)</f>
        <v>42583.666666666599</v>
      </c>
      <c r="N316" s="3">
        <f ca="1">IFERROR(__xludf.DUMMYFUNCTION("""COMPUTED_VALUE"""),54.66)</f>
        <v>54.66</v>
      </c>
      <c r="O316" s="3">
        <f ca="1">IFERROR(__xludf.DUMMYFUNCTION("""COMPUTED_VALUE"""),54.87)</f>
        <v>54.87</v>
      </c>
      <c r="P316" s="3">
        <f ca="1">IFERROR(__xludf.DUMMYFUNCTION("""COMPUTED_VALUE"""),54.5)</f>
        <v>54.5</v>
      </c>
      <c r="Q316" s="3">
        <f ca="1">IFERROR(__xludf.DUMMYFUNCTION("""COMPUTED_VALUE"""),54.76)</f>
        <v>54.76</v>
      </c>
      <c r="R316" s="3">
        <f ca="1">IFERROR(__xludf.DUMMYFUNCTION("""COMPUTED_VALUE"""),14918234)</f>
        <v>14918234</v>
      </c>
      <c r="S316" s="4">
        <f ca="1">IFERROR(__xludf.DUMMYFUNCTION("""COMPUTED_VALUE"""),42583.6666666666)</f>
        <v>42583.666666666599</v>
      </c>
      <c r="T316" s="3">
        <f ca="1">IFERROR(__xludf.DUMMYFUNCTION("""COMPUTED_VALUE"""),66.79)</f>
        <v>66.790000000000006</v>
      </c>
      <c r="U316" s="3">
        <f ca="1">IFERROR(__xludf.DUMMYFUNCTION("""COMPUTED_VALUE"""),66.84)</f>
        <v>66.84</v>
      </c>
      <c r="V316" s="3">
        <f ca="1">IFERROR(__xludf.DUMMYFUNCTION("""COMPUTED_VALUE"""),64.93)</f>
        <v>64.930000000000007</v>
      </c>
      <c r="W316" s="3">
        <f ca="1">IFERROR(__xludf.DUMMYFUNCTION("""COMPUTED_VALUE"""),65.16)</f>
        <v>65.16</v>
      </c>
      <c r="X316" s="3">
        <f ca="1">IFERROR(__xludf.DUMMYFUNCTION("""COMPUTED_VALUE"""),30648522)</f>
        <v>30648522</v>
      </c>
      <c r="Y316" s="4">
        <f ca="1">IFERROR(__xludf.DUMMYFUNCTION("""COMPUTED_VALUE"""),42583.6666666666)</f>
        <v>42583.666666666599</v>
      </c>
      <c r="Z316" s="3">
        <f ca="1">IFERROR(__xludf.DUMMYFUNCTION("""COMPUTED_VALUE"""),19.22)</f>
        <v>19.22</v>
      </c>
      <c r="AA316" s="3">
        <f ca="1">IFERROR(__xludf.DUMMYFUNCTION("""COMPUTED_VALUE"""),19.3)</f>
        <v>19.3</v>
      </c>
      <c r="AB316" s="3">
        <f ca="1">IFERROR(__xludf.DUMMYFUNCTION("""COMPUTED_VALUE"""),19.12)</f>
        <v>19.12</v>
      </c>
      <c r="AC316" s="3">
        <f ca="1">IFERROR(__xludf.DUMMYFUNCTION("""COMPUTED_VALUE"""),19.16)</f>
        <v>19.16</v>
      </c>
      <c r="AD316" s="3">
        <f ca="1">IFERROR(__xludf.DUMMYFUNCTION("""COMPUTED_VALUE"""),32014441)</f>
        <v>32014441</v>
      </c>
      <c r="AE316" s="4">
        <f ca="1">IFERROR(__xludf.DUMMYFUNCTION("""COMPUTED_VALUE"""),42583.6666666666)</f>
        <v>42583.666666666599</v>
      </c>
      <c r="AF316" s="3">
        <f ca="1">IFERROR(__xludf.DUMMYFUNCTION("""COMPUTED_VALUE"""),75.27)</f>
        <v>75.27</v>
      </c>
      <c r="AG316" s="3">
        <f ca="1">IFERROR(__xludf.DUMMYFUNCTION("""COMPUTED_VALUE"""),76)</f>
        <v>76</v>
      </c>
      <c r="AH316" s="3">
        <f ca="1">IFERROR(__xludf.DUMMYFUNCTION("""COMPUTED_VALUE"""),75.27)</f>
        <v>75.27</v>
      </c>
      <c r="AI316" s="3">
        <f ca="1">IFERROR(__xludf.DUMMYFUNCTION("""COMPUTED_VALUE"""),75.68)</f>
        <v>75.680000000000007</v>
      </c>
      <c r="AJ316" s="3">
        <f ca="1">IFERROR(__xludf.DUMMYFUNCTION("""COMPUTED_VALUE"""),9255078)</f>
        <v>9255078</v>
      </c>
      <c r="AK316" s="4">
        <f ca="1">IFERROR(__xludf.DUMMYFUNCTION("""COMPUTED_VALUE"""),42583.6666666666)</f>
        <v>42583.666666666599</v>
      </c>
      <c r="AL316" s="3">
        <f ca="1">IFERROR(__xludf.DUMMYFUNCTION("""COMPUTED_VALUE"""),57.93)</f>
        <v>57.93</v>
      </c>
      <c r="AM316" s="3">
        <f ca="1">IFERROR(__xludf.DUMMYFUNCTION("""COMPUTED_VALUE"""),58.18)</f>
        <v>58.18</v>
      </c>
      <c r="AN316" s="3">
        <f ca="1">IFERROR(__xludf.DUMMYFUNCTION("""COMPUTED_VALUE"""),57.75)</f>
        <v>57.75</v>
      </c>
      <c r="AO316" s="3">
        <f ca="1">IFERROR(__xludf.DUMMYFUNCTION("""COMPUTED_VALUE"""),57.97)</f>
        <v>57.97</v>
      </c>
      <c r="AP316" s="3">
        <f ca="1">IFERROR(__xludf.DUMMYFUNCTION("""COMPUTED_VALUE"""),7949577)</f>
        <v>7949577</v>
      </c>
      <c r="AQ316" s="4">
        <f ca="1">IFERROR(__xludf.DUMMYFUNCTION("""COMPUTED_VALUE"""),42583.6666666666)</f>
        <v>42583.666666666599</v>
      </c>
      <c r="AR316" s="3">
        <f ca="1">IFERROR(__xludf.DUMMYFUNCTION("""COMPUTED_VALUE"""),48.7)</f>
        <v>48.7</v>
      </c>
      <c r="AS316" s="3">
        <f ca="1">IFERROR(__xludf.DUMMYFUNCTION("""COMPUTED_VALUE"""),48.7)</f>
        <v>48.7</v>
      </c>
      <c r="AT316" s="3">
        <f ca="1">IFERROR(__xludf.DUMMYFUNCTION("""COMPUTED_VALUE"""),48.22)</f>
        <v>48.22</v>
      </c>
      <c r="AU316" s="3">
        <f ca="1">IFERROR(__xludf.DUMMYFUNCTION("""COMPUTED_VALUE"""),48.42)</f>
        <v>48.42</v>
      </c>
      <c r="AV316" s="3">
        <f ca="1">IFERROR(__xludf.DUMMYFUNCTION("""COMPUTED_VALUE"""),3565837)</f>
        <v>3565837</v>
      </c>
      <c r="AW316" s="4">
        <f ca="1">IFERROR(__xludf.DUMMYFUNCTION("""COMPUTED_VALUE"""),42747.6666666666)</f>
        <v>42747.666666666599</v>
      </c>
      <c r="AX316" s="3">
        <f ca="1">IFERROR(__xludf.DUMMYFUNCTION("""COMPUTED_VALUE"""),30.54)</f>
        <v>30.54</v>
      </c>
      <c r="AY316" s="3">
        <f ca="1">IFERROR(__xludf.DUMMYFUNCTION("""COMPUTED_VALUE"""),30.8)</f>
        <v>30.8</v>
      </c>
      <c r="AZ316" s="3">
        <f ca="1">IFERROR(__xludf.DUMMYFUNCTION("""COMPUTED_VALUE"""),30.39)</f>
        <v>30.39</v>
      </c>
      <c r="BA316" s="3">
        <f ca="1">IFERROR(__xludf.DUMMYFUNCTION("""COMPUTED_VALUE"""),30.76)</f>
        <v>30.76</v>
      </c>
      <c r="BB316" s="3">
        <f ca="1">IFERROR(__xludf.DUMMYFUNCTION("""COMPUTED_VALUE"""),1481143)</f>
        <v>1481143</v>
      </c>
      <c r="BC316" s="4">
        <f ca="1">IFERROR(__xludf.DUMMYFUNCTION("""COMPUTED_VALUE"""),42583.6666666666)</f>
        <v>42583.666666666599</v>
      </c>
      <c r="BD316" s="3">
        <f ca="1">IFERROR(__xludf.DUMMYFUNCTION("""COMPUTED_VALUE"""),46.45)</f>
        <v>46.45</v>
      </c>
      <c r="BE316" s="3">
        <f ca="1">IFERROR(__xludf.DUMMYFUNCTION("""COMPUTED_VALUE"""),46.63)</f>
        <v>46.63</v>
      </c>
      <c r="BF316" s="3">
        <f ca="1">IFERROR(__xludf.DUMMYFUNCTION("""COMPUTED_VALUE"""),46.37)</f>
        <v>46.37</v>
      </c>
      <c r="BG316" s="3">
        <f ca="1">IFERROR(__xludf.DUMMYFUNCTION("""COMPUTED_VALUE"""),46.54)</f>
        <v>46.54</v>
      </c>
      <c r="BH316" s="3">
        <f ca="1">IFERROR(__xludf.DUMMYFUNCTION("""COMPUTED_VALUE"""),7841696)</f>
        <v>7841696</v>
      </c>
      <c r="BI316" s="4">
        <f ca="1">IFERROR(__xludf.DUMMYFUNCTION("""COMPUTED_VALUE"""),42583.6666666666)</f>
        <v>42583.666666666599</v>
      </c>
      <c r="BJ316" s="3">
        <f ca="1">IFERROR(__xludf.DUMMYFUNCTION("""COMPUTED_VALUE"""),51.99)</f>
        <v>51.99</v>
      </c>
      <c r="BK316" s="3">
        <f ca="1">IFERROR(__xludf.DUMMYFUNCTION("""COMPUTED_VALUE"""),52.27)</f>
        <v>52.27</v>
      </c>
      <c r="BL316" s="3">
        <f ca="1">IFERROR(__xludf.DUMMYFUNCTION("""COMPUTED_VALUE"""),51.96)</f>
        <v>51.96</v>
      </c>
      <c r="BM316" s="3">
        <f ca="1">IFERROR(__xludf.DUMMYFUNCTION("""COMPUTED_VALUE"""),52.15)</f>
        <v>52.15</v>
      </c>
      <c r="BN316" s="3">
        <f ca="1">IFERROR(__xludf.DUMMYFUNCTION("""COMPUTED_VALUE"""),11658477)</f>
        <v>11658477</v>
      </c>
    </row>
    <row r="317" spans="7:66" ht="13" x14ac:dyDescent="0.15">
      <c r="G317" s="4">
        <f ca="1">IFERROR(__xludf.DUMMYFUNCTION("""COMPUTED_VALUE"""),42584.6666666666)</f>
        <v>42584.666666666599</v>
      </c>
      <c r="H317" s="3">
        <f ca="1">IFERROR(__xludf.DUMMYFUNCTION("""COMPUTED_VALUE"""),81.81)</f>
        <v>81.81</v>
      </c>
      <c r="I317" s="3">
        <f ca="1">IFERROR(__xludf.DUMMYFUNCTION("""COMPUTED_VALUE"""),81.81)</f>
        <v>81.81</v>
      </c>
      <c r="J317" s="3">
        <f ca="1">IFERROR(__xludf.DUMMYFUNCTION("""COMPUTED_VALUE"""),80.37)</f>
        <v>80.37</v>
      </c>
      <c r="K317" s="3">
        <f ca="1">IFERROR(__xludf.DUMMYFUNCTION("""COMPUTED_VALUE"""),80.53)</f>
        <v>80.53</v>
      </c>
      <c r="L317" s="3">
        <f ca="1">IFERROR(__xludf.DUMMYFUNCTION("""COMPUTED_VALUE"""),4246682)</f>
        <v>4246682</v>
      </c>
      <c r="M317" s="4">
        <f ca="1">IFERROR(__xludf.DUMMYFUNCTION("""COMPUTED_VALUE"""),42584.6666666666)</f>
        <v>42584.666666666599</v>
      </c>
      <c r="N317" s="3">
        <f ca="1">IFERROR(__xludf.DUMMYFUNCTION("""COMPUTED_VALUE"""),54.78)</f>
        <v>54.78</v>
      </c>
      <c r="O317" s="3">
        <f ca="1">IFERROR(__xludf.DUMMYFUNCTION("""COMPUTED_VALUE"""),54.89)</f>
        <v>54.89</v>
      </c>
      <c r="P317" s="3">
        <f ca="1">IFERROR(__xludf.DUMMYFUNCTION("""COMPUTED_VALUE"""),54.45)</f>
        <v>54.45</v>
      </c>
      <c r="Q317" s="3">
        <f ca="1">IFERROR(__xludf.DUMMYFUNCTION("""COMPUTED_VALUE"""),54.68)</f>
        <v>54.68</v>
      </c>
      <c r="R317" s="3">
        <f ca="1">IFERROR(__xludf.DUMMYFUNCTION("""COMPUTED_VALUE"""),11733514)</f>
        <v>11733514</v>
      </c>
      <c r="S317" s="4">
        <f ca="1">IFERROR(__xludf.DUMMYFUNCTION("""COMPUTED_VALUE"""),42584.6666666666)</f>
        <v>42584.666666666599</v>
      </c>
      <c r="T317" s="3">
        <f ca="1">IFERROR(__xludf.DUMMYFUNCTION("""COMPUTED_VALUE"""),65.62)</f>
        <v>65.62</v>
      </c>
      <c r="U317" s="3">
        <f ca="1">IFERROR(__xludf.DUMMYFUNCTION("""COMPUTED_VALUE"""),66.07)</f>
        <v>66.069999999999993</v>
      </c>
      <c r="V317" s="3">
        <f ca="1">IFERROR(__xludf.DUMMYFUNCTION("""COMPUTED_VALUE"""),64.57)</f>
        <v>64.569999999999993</v>
      </c>
      <c r="W317" s="3">
        <f ca="1">IFERROR(__xludf.DUMMYFUNCTION("""COMPUTED_VALUE"""),65.75)</f>
        <v>65.75</v>
      </c>
      <c r="X317" s="3">
        <f ca="1">IFERROR(__xludf.DUMMYFUNCTION("""COMPUTED_VALUE"""),25600076)</f>
        <v>25600076</v>
      </c>
      <c r="Y317" s="4">
        <f ca="1">IFERROR(__xludf.DUMMYFUNCTION("""COMPUTED_VALUE"""),42584.6666666666)</f>
        <v>42584.666666666599</v>
      </c>
      <c r="Z317" s="3">
        <f ca="1">IFERROR(__xludf.DUMMYFUNCTION("""COMPUTED_VALUE"""),19.1)</f>
        <v>19.100000000000001</v>
      </c>
      <c r="AA317" s="3">
        <f ca="1">IFERROR(__xludf.DUMMYFUNCTION("""COMPUTED_VALUE"""),19.17)</f>
        <v>19.170000000000002</v>
      </c>
      <c r="AB317" s="3">
        <f ca="1">IFERROR(__xludf.DUMMYFUNCTION("""COMPUTED_VALUE"""),18.95)</f>
        <v>18.95</v>
      </c>
      <c r="AC317" s="3">
        <f ca="1">IFERROR(__xludf.DUMMYFUNCTION("""COMPUTED_VALUE"""),18.99)</f>
        <v>18.989999999999998</v>
      </c>
      <c r="AD317" s="3">
        <f ca="1">IFERROR(__xludf.DUMMYFUNCTION("""COMPUTED_VALUE"""),32257914)</f>
        <v>32257914</v>
      </c>
      <c r="AE317" s="4">
        <f ca="1">IFERROR(__xludf.DUMMYFUNCTION("""COMPUTED_VALUE"""),42584.6666666666)</f>
        <v>42584.666666666599</v>
      </c>
      <c r="AF317" s="3">
        <f ca="1">IFERROR(__xludf.DUMMYFUNCTION("""COMPUTED_VALUE"""),75.74)</f>
        <v>75.739999999999995</v>
      </c>
      <c r="AG317" s="3">
        <f ca="1">IFERROR(__xludf.DUMMYFUNCTION("""COMPUTED_VALUE"""),75.74)</f>
        <v>75.739999999999995</v>
      </c>
      <c r="AH317" s="3">
        <f ca="1">IFERROR(__xludf.DUMMYFUNCTION("""COMPUTED_VALUE"""),74.93)</f>
        <v>74.930000000000007</v>
      </c>
      <c r="AI317" s="3">
        <f ca="1">IFERROR(__xludf.DUMMYFUNCTION("""COMPUTED_VALUE"""),75.39)</f>
        <v>75.39</v>
      </c>
      <c r="AJ317" s="3">
        <f ca="1">IFERROR(__xludf.DUMMYFUNCTION("""COMPUTED_VALUE"""),12149329)</f>
        <v>12149329</v>
      </c>
      <c r="AK317" s="4">
        <f ca="1">IFERROR(__xludf.DUMMYFUNCTION("""COMPUTED_VALUE"""),42584.6666666666)</f>
        <v>42584.666666666599</v>
      </c>
      <c r="AL317" s="3">
        <f ca="1">IFERROR(__xludf.DUMMYFUNCTION("""COMPUTED_VALUE"""),57.84)</f>
        <v>57.84</v>
      </c>
      <c r="AM317" s="3">
        <f ca="1">IFERROR(__xludf.DUMMYFUNCTION("""COMPUTED_VALUE"""),57.96)</f>
        <v>57.96</v>
      </c>
      <c r="AN317" s="3">
        <f ca="1">IFERROR(__xludf.DUMMYFUNCTION("""COMPUTED_VALUE"""),57.27)</f>
        <v>57.27</v>
      </c>
      <c r="AO317" s="3">
        <f ca="1">IFERROR(__xludf.DUMMYFUNCTION("""COMPUTED_VALUE"""),57.43)</f>
        <v>57.43</v>
      </c>
      <c r="AP317" s="3">
        <f ca="1">IFERROR(__xludf.DUMMYFUNCTION("""COMPUTED_VALUE"""),13473845)</f>
        <v>13473845</v>
      </c>
      <c r="AQ317" s="4">
        <f ca="1">IFERROR(__xludf.DUMMYFUNCTION("""COMPUTED_VALUE"""),42584.6666666666)</f>
        <v>42584.666666666599</v>
      </c>
      <c r="AR317" s="3">
        <f ca="1">IFERROR(__xludf.DUMMYFUNCTION("""COMPUTED_VALUE"""),48.38)</f>
        <v>48.38</v>
      </c>
      <c r="AS317" s="3">
        <f ca="1">IFERROR(__xludf.DUMMYFUNCTION("""COMPUTED_VALUE"""),48.52)</f>
        <v>48.52</v>
      </c>
      <c r="AT317" s="3">
        <f ca="1">IFERROR(__xludf.DUMMYFUNCTION("""COMPUTED_VALUE"""),47.97)</f>
        <v>47.97</v>
      </c>
      <c r="AU317" s="3">
        <f ca="1">IFERROR(__xludf.DUMMYFUNCTION("""COMPUTED_VALUE"""),48.29)</f>
        <v>48.29</v>
      </c>
      <c r="AV317" s="3">
        <f ca="1">IFERROR(__xludf.DUMMYFUNCTION("""COMPUTED_VALUE"""),6051599)</f>
        <v>6051599</v>
      </c>
      <c r="AW317" s="4">
        <f ca="1">IFERROR(__xludf.DUMMYFUNCTION("""COMPUTED_VALUE"""),42748.6666666666)</f>
        <v>42748.666666666599</v>
      </c>
      <c r="AX317" s="3">
        <f ca="1">IFERROR(__xludf.DUMMYFUNCTION("""COMPUTED_VALUE"""),30.67)</f>
        <v>30.67</v>
      </c>
      <c r="AY317" s="3">
        <f ca="1">IFERROR(__xludf.DUMMYFUNCTION("""COMPUTED_VALUE"""),30.83)</f>
        <v>30.83</v>
      </c>
      <c r="AZ317" s="3">
        <f ca="1">IFERROR(__xludf.DUMMYFUNCTION("""COMPUTED_VALUE"""),30.63)</f>
        <v>30.63</v>
      </c>
      <c r="BA317" s="3">
        <f ca="1">IFERROR(__xludf.DUMMYFUNCTION("""COMPUTED_VALUE"""),30.69)</f>
        <v>30.69</v>
      </c>
      <c r="BB317" s="3">
        <f ca="1">IFERROR(__xludf.DUMMYFUNCTION("""COMPUTED_VALUE"""),1469619)</f>
        <v>1469619</v>
      </c>
      <c r="BC317" s="4">
        <f ca="1">IFERROR(__xludf.DUMMYFUNCTION("""COMPUTED_VALUE"""),42584.6666666666)</f>
        <v>42584.666666666599</v>
      </c>
      <c r="BD317" s="3">
        <f ca="1">IFERROR(__xludf.DUMMYFUNCTION("""COMPUTED_VALUE"""),46.45)</f>
        <v>46.45</v>
      </c>
      <c r="BE317" s="3">
        <f ca="1">IFERROR(__xludf.DUMMYFUNCTION("""COMPUTED_VALUE"""),46.55)</f>
        <v>46.55</v>
      </c>
      <c r="BF317" s="3">
        <f ca="1">IFERROR(__xludf.DUMMYFUNCTION("""COMPUTED_VALUE"""),45.97)</f>
        <v>45.97</v>
      </c>
      <c r="BG317" s="3">
        <f ca="1">IFERROR(__xludf.DUMMYFUNCTION("""COMPUTED_VALUE"""),46.19)</f>
        <v>46.19</v>
      </c>
      <c r="BH317" s="3">
        <f ca="1">IFERROR(__xludf.DUMMYFUNCTION("""COMPUTED_VALUE"""),11112406)</f>
        <v>11112406</v>
      </c>
      <c r="BI317" s="4">
        <f ca="1">IFERROR(__xludf.DUMMYFUNCTION("""COMPUTED_VALUE"""),42584.6666666666)</f>
        <v>42584.666666666599</v>
      </c>
      <c r="BJ317" s="3">
        <f ca="1">IFERROR(__xludf.DUMMYFUNCTION("""COMPUTED_VALUE"""),51.88)</f>
        <v>51.88</v>
      </c>
      <c r="BK317" s="3">
        <f ca="1">IFERROR(__xludf.DUMMYFUNCTION("""COMPUTED_VALUE"""),52.01)</f>
        <v>52.01</v>
      </c>
      <c r="BL317" s="3">
        <f ca="1">IFERROR(__xludf.DUMMYFUNCTION("""COMPUTED_VALUE"""),51.57)</f>
        <v>51.57</v>
      </c>
      <c r="BM317" s="3">
        <f ca="1">IFERROR(__xludf.DUMMYFUNCTION("""COMPUTED_VALUE"""),51.81)</f>
        <v>51.81</v>
      </c>
      <c r="BN317" s="3">
        <f ca="1">IFERROR(__xludf.DUMMYFUNCTION("""COMPUTED_VALUE"""),13705516)</f>
        <v>13705516</v>
      </c>
    </row>
    <row r="318" spans="7:66" ht="13" x14ac:dyDescent="0.15">
      <c r="G318" s="4">
        <f ca="1">IFERROR(__xludf.DUMMYFUNCTION("""COMPUTED_VALUE"""),42585.6666666666)</f>
        <v>42585.666666666599</v>
      </c>
      <c r="H318" s="3">
        <f ca="1">IFERROR(__xludf.DUMMYFUNCTION("""COMPUTED_VALUE"""),80.26)</f>
        <v>80.260000000000005</v>
      </c>
      <c r="I318" s="3">
        <f ca="1">IFERROR(__xludf.DUMMYFUNCTION("""COMPUTED_VALUE"""),80.76)</f>
        <v>80.760000000000005</v>
      </c>
      <c r="J318" s="3">
        <f ca="1">IFERROR(__xludf.DUMMYFUNCTION("""COMPUTED_VALUE"""),80.09)</f>
        <v>80.09</v>
      </c>
      <c r="K318" s="3">
        <f ca="1">IFERROR(__xludf.DUMMYFUNCTION("""COMPUTED_VALUE"""),80.76)</f>
        <v>80.760000000000005</v>
      </c>
      <c r="L318" s="3">
        <f ca="1">IFERROR(__xludf.DUMMYFUNCTION("""COMPUTED_VALUE"""),3872012)</f>
        <v>3872012</v>
      </c>
      <c r="M318" s="4">
        <f ca="1">IFERROR(__xludf.DUMMYFUNCTION("""COMPUTED_VALUE"""),42585.6666666666)</f>
        <v>42585.666666666599</v>
      </c>
      <c r="N318" s="3">
        <f ca="1">IFERROR(__xludf.DUMMYFUNCTION("""COMPUTED_VALUE"""),54.77)</f>
        <v>54.77</v>
      </c>
      <c r="O318" s="3">
        <f ca="1">IFERROR(__xludf.DUMMYFUNCTION("""COMPUTED_VALUE"""),54.77)</f>
        <v>54.77</v>
      </c>
      <c r="P318" s="3">
        <f ca="1">IFERROR(__xludf.DUMMYFUNCTION("""COMPUTED_VALUE"""),54.23)</f>
        <v>54.23</v>
      </c>
      <c r="Q318" s="3">
        <f ca="1">IFERROR(__xludf.DUMMYFUNCTION("""COMPUTED_VALUE"""),54.38)</f>
        <v>54.38</v>
      </c>
      <c r="R318" s="3">
        <f ca="1">IFERROR(__xludf.DUMMYFUNCTION("""COMPUTED_VALUE"""),13290826)</f>
        <v>13290826</v>
      </c>
      <c r="S318" s="4">
        <f ca="1">IFERROR(__xludf.DUMMYFUNCTION("""COMPUTED_VALUE"""),42585.6666666666)</f>
        <v>42585.666666666599</v>
      </c>
      <c r="T318" s="3">
        <f ca="1">IFERROR(__xludf.DUMMYFUNCTION("""COMPUTED_VALUE"""),65.76)</f>
        <v>65.760000000000005</v>
      </c>
      <c r="U318" s="3">
        <f ca="1">IFERROR(__xludf.DUMMYFUNCTION("""COMPUTED_VALUE"""),67.05)</f>
        <v>67.05</v>
      </c>
      <c r="V318" s="3">
        <f ca="1">IFERROR(__xludf.DUMMYFUNCTION("""COMPUTED_VALUE"""),65.5)</f>
        <v>65.5</v>
      </c>
      <c r="W318" s="3">
        <f ca="1">IFERROR(__xludf.DUMMYFUNCTION("""COMPUTED_VALUE"""),67.02)</f>
        <v>67.02</v>
      </c>
      <c r="X318" s="3">
        <f ca="1">IFERROR(__xludf.DUMMYFUNCTION("""COMPUTED_VALUE"""),23905616)</f>
        <v>23905616</v>
      </c>
      <c r="Y318" s="4">
        <f ca="1">IFERROR(__xludf.DUMMYFUNCTION("""COMPUTED_VALUE"""),42585.6666666666)</f>
        <v>42585.666666666599</v>
      </c>
      <c r="Z318" s="3">
        <f ca="1">IFERROR(__xludf.DUMMYFUNCTION("""COMPUTED_VALUE"""),18.99)</f>
        <v>18.989999999999998</v>
      </c>
      <c r="AA318" s="3">
        <f ca="1">IFERROR(__xludf.DUMMYFUNCTION("""COMPUTED_VALUE"""),19.2)</f>
        <v>19.2</v>
      </c>
      <c r="AB318" s="3">
        <f ca="1">IFERROR(__xludf.DUMMYFUNCTION("""COMPUTED_VALUE"""),18.99)</f>
        <v>18.989999999999998</v>
      </c>
      <c r="AC318" s="3">
        <f ca="1">IFERROR(__xludf.DUMMYFUNCTION("""COMPUTED_VALUE"""),19.19)</f>
        <v>19.190000000000001</v>
      </c>
      <c r="AD318" s="3">
        <f ca="1">IFERROR(__xludf.DUMMYFUNCTION("""COMPUTED_VALUE"""),27222962)</f>
        <v>27222962</v>
      </c>
      <c r="AE318" s="4">
        <f ca="1">IFERROR(__xludf.DUMMYFUNCTION("""COMPUTED_VALUE"""),42585.6666666666)</f>
        <v>42585.666666666599</v>
      </c>
      <c r="AF318" s="3">
        <f ca="1">IFERROR(__xludf.DUMMYFUNCTION("""COMPUTED_VALUE"""),75.34)</f>
        <v>75.34</v>
      </c>
      <c r="AG318" s="3">
        <f ca="1">IFERROR(__xludf.DUMMYFUNCTION("""COMPUTED_VALUE"""),75.39)</f>
        <v>75.39</v>
      </c>
      <c r="AH318" s="3">
        <f ca="1">IFERROR(__xludf.DUMMYFUNCTION("""COMPUTED_VALUE"""),75.03)</f>
        <v>75.03</v>
      </c>
      <c r="AI318" s="3">
        <f ca="1">IFERROR(__xludf.DUMMYFUNCTION("""COMPUTED_VALUE"""),75.18)</f>
        <v>75.180000000000007</v>
      </c>
      <c r="AJ318" s="3">
        <f ca="1">IFERROR(__xludf.DUMMYFUNCTION("""COMPUTED_VALUE"""),9761216)</f>
        <v>9761216</v>
      </c>
      <c r="AK318" s="4">
        <f ca="1">IFERROR(__xludf.DUMMYFUNCTION("""COMPUTED_VALUE"""),42585.6666666666)</f>
        <v>42585.666666666599</v>
      </c>
      <c r="AL318" s="3">
        <f ca="1">IFERROR(__xludf.DUMMYFUNCTION("""COMPUTED_VALUE"""),57.43)</f>
        <v>57.43</v>
      </c>
      <c r="AM318" s="3">
        <f ca="1">IFERROR(__xludf.DUMMYFUNCTION("""COMPUTED_VALUE"""),57.73)</f>
        <v>57.73</v>
      </c>
      <c r="AN318" s="3">
        <f ca="1">IFERROR(__xludf.DUMMYFUNCTION("""COMPUTED_VALUE"""),57.4)</f>
        <v>57.4</v>
      </c>
      <c r="AO318" s="3">
        <f ca="1">IFERROR(__xludf.DUMMYFUNCTION("""COMPUTED_VALUE"""),57.71)</f>
        <v>57.71</v>
      </c>
      <c r="AP318" s="3">
        <f ca="1">IFERROR(__xludf.DUMMYFUNCTION("""COMPUTED_VALUE"""),6087911)</f>
        <v>6087911</v>
      </c>
      <c r="AQ318" s="4">
        <f ca="1">IFERROR(__xludf.DUMMYFUNCTION("""COMPUTED_VALUE"""),42585.6666666666)</f>
        <v>42585.666666666599</v>
      </c>
      <c r="AR318" s="3">
        <f ca="1">IFERROR(__xludf.DUMMYFUNCTION("""COMPUTED_VALUE"""),48.37)</f>
        <v>48.37</v>
      </c>
      <c r="AS318" s="3">
        <f ca="1">IFERROR(__xludf.DUMMYFUNCTION("""COMPUTED_VALUE"""),48.6)</f>
        <v>48.6</v>
      </c>
      <c r="AT318" s="3">
        <f ca="1">IFERROR(__xludf.DUMMYFUNCTION("""COMPUTED_VALUE"""),48.06)</f>
        <v>48.06</v>
      </c>
      <c r="AU318" s="3">
        <f ca="1">IFERROR(__xludf.DUMMYFUNCTION("""COMPUTED_VALUE"""),48.41)</f>
        <v>48.41</v>
      </c>
      <c r="AV318" s="3">
        <f ca="1">IFERROR(__xludf.DUMMYFUNCTION("""COMPUTED_VALUE"""),3475372)</f>
        <v>3475372</v>
      </c>
      <c r="AW318" s="4">
        <f ca="1">IFERROR(__xludf.DUMMYFUNCTION("""COMPUTED_VALUE"""),42752.6666666666)</f>
        <v>42752.666666666599</v>
      </c>
      <c r="AX318" s="3">
        <f ca="1">IFERROR(__xludf.DUMMYFUNCTION("""COMPUTED_VALUE"""),30.67)</f>
        <v>30.67</v>
      </c>
      <c r="AY318" s="3">
        <f ca="1">IFERROR(__xludf.DUMMYFUNCTION("""COMPUTED_VALUE"""),30.96)</f>
        <v>30.96</v>
      </c>
      <c r="AZ318" s="3">
        <f ca="1">IFERROR(__xludf.DUMMYFUNCTION("""COMPUTED_VALUE"""),30.6)</f>
        <v>30.6</v>
      </c>
      <c r="BA318" s="3">
        <f ca="1">IFERROR(__xludf.DUMMYFUNCTION("""COMPUTED_VALUE"""),30.94)</f>
        <v>30.94</v>
      </c>
      <c r="BB318" s="3">
        <f ca="1">IFERROR(__xludf.DUMMYFUNCTION("""COMPUTED_VALUE"""),1759098)</f>
        <v>1759098</v>
      </c>
      <c r="BC318" s="4">
        <f ca="1">IFERROR(__xludf.DUMMYFUNCTION("""COMPUTED_VALUE"""),42585.6666666666)</f>
        <v>42585.666666666599</v>
      </c>
      <c r="BD318" s="3">
        <f ca="1">IFERROR(__xludf.DUMMYFUNCTION("""COMPUTED_VALUE"""),46.15)</f>
        <v>46.15</v>
      </c>
      <c r="BE318" s="3">
        <f ca="1">IFERROR(__xludf.DUMMYFUNCTION("""COMPUTED_VALUE"""),46.35)</f>
        <v>46.35</v>
      </c>
      <c r="BF318" s="3">
        <f ca="1">IFERROR(__xludf.DUMMYFUNCTION("""COMPUTED_VALUE"""),46.14)</f>
        <v>46.14</v>
      </c>
      <c r="BG318" s="3">
        <f ca="1">IFERROR(__xludf.DUMMYFUNCTION("""COMPUTED_VALUE"""),46.35)</f>
        <v>46.35</v>
      </c>
      <c r="BH318" s="3">
        <f ca="1">IFERROR(__xludf.DUMMYFUNCTION("""COMPUTED_VALUE"""),7980940)</f>
        <v>7980940</v>
      </c>
      <c r="BI318" s="4">
        <f ca="1">IFERROR(__xludf.DUMMYFUNCTION("""COMPUTED_VALUE"""),42585.6666666666)</f>
        <v>42585.666666666599</v>
      </c>
      <c r="BJ318" s="3">
        <f ca="1">IFERROR(__xludf.DUMMYFUNCTION("""COMPUTED_VALUE"""),51.81)</f>
        <v>51.81</v>
      </c>
      <c r="BK318" s="3">
        <f ca="1">IFERROR(__xludf.DUMMYFUNCTION("""COMPUTED_VALUE"""),51.9)</f>
        <v>51.9</v>
      </c>
      <c r="BL318" s="3">
        <f ca="1">IFERROR(__xludf.DUMMYFUNCTION("""COMPUTED_VALUE"""),51.34)</f>
        <v>51.34</v>
      </c>
      <c r="BM318" s="3">
        <f ca="1">IFERROR(__xludf.DUMMYFUNCTION("""COMPUTED_VALUE"""),51.5)</f>
        <v>51.5</v>
      </c>
      <c r="BN318" s="3">
        <f ca="1">IFERROR(__xludf.DUMMYFUNCTION("""COMPUTED_VALUE"""),11405346)</f>
        <v>11405346</v>
      </c>
    </row>
    <row r="319" spans="7:66" ht="13" x14ac:dyDescent="0.15">
      <c r="G319" s="4">
        <f ca="1">IFERROR(__xludf.DUMMYFUNCTION("""COMPUTED_VALUE"""),42586.6666666666)</f>
        <v>42586.666666666599</v>
      </c>
      <c r="H319" s="3">
        <f ca="1">IFERROR(__xludf.DUMMYFUNCTION("""COMPUTED_VALUE"""),80.61)</f>
        <v>80.61</v>
      </c>
      <c r="I319" s="3">
        <f ca="1">IFERROR(__xludf.DUMMYFUNCTION("""COMPUTED_VALUE"""),80.89)</f>
        <v>80.89</v>
      </c>
      <c r="J319" s="3">
        <f ca="1">IFERROR(__xludf.DUMMYFUNCTION("""COMPUTED_VALUE"""),80.4)</f>
        <v>80.400000000000006</v>
      </c>
      <c r="K319" s="3">
        <f ca="1">IFERROR(__xludf.DUMMYFUNCTION("""COMPUTED_VALUE"""),80.72)</f>
        <v>80.72</v>
      </c>
      <c r="L319" s="3">
        <f ca="1">IFERROR(__xludf.DUMMYFUNCTION("""COMPUTED_VALUE"""),2240348)</f>
        <v>2240348</v>
      </c>
      <c r="M319" s="4">
        <f ca="1">IFERROR(__xludf.DUMMYFUNCTION("""COMPUTED_VALUE"""),42586.6666666666)</f>
        <v>42586.666666666599</v>
      </c>
      <c r="N319" s="3">
        <f ca="1">IFERROR(__xludf.DUMMYFUNCTION("""COMPUTED_VALUE"""),54.47)</f>
        <v>54.47</v>
      </c>
      <c r="O319" s="3">
        <f ca="1">IFERROR(__xludf.DUMMYFUNCTION("""COMPUTED_VALUE"""),54.72)</f>
        <v>54.72</v>
      </c>
      <c r="P319" s="3">
        <f ca="1">IFERROR(__xludf.DUMMYFUNCTION("""COMPUTED_VALUE"""),54.33)</f>
        <v>54.33</v>
      </c>
      <c r="Q319" s="3">
        <f ca="1">IFERROR(__xludf.DUMMYFUNCTION("""COMPUTED_VALUE"""),54.5)</f>
        <v>54.5</v>
      </c>
      <c r="R319" s="3">
        <f ca="1">IFERROR(__xludf.DUMMYFUNCTION("""COMPUTED_VALUE"""),8943229)</f>
        <v>8943229</v>
      </c>
      <c r="S319" s="4">
        <f ca="1">IFERROR(__xludf.DUMMYFUNCTION("""COMPUTED_VALUE"""),42586.6666666666)</f>
        <v>42586.666666666599</v>
      </c>
      <c r="T319" s="3">
        <f ca="1">IFERROR(__xludf.DUMMYFUNCTION("""COMPUTED_VALUE"""),66.77)</f>
        <v>66.77</v>
      </c>
      <c r="U319" s="3">
        <f ca="1">IFERROR(__xludf.DUMMYFUNCTION("""COMPUTED_VALUE"""),67.38)</f>
        <v>67.38</v>
      </c>
      <c r="V319" s="3">
        <f ca="1">IFERROR(__xludf.DUMMYFUNCTION("""COMPUTED_VALUE"""),66.54)</f>
        <v>66.540000000000006</v>
      </c>
      <c r="W319" s="3">
        <f ca="1">IFERROR(__xludf.DUMMYFUNCTION("""COMPUTED_VALUE"""),66.92)</f>
        <v>66.92</v>
      </c>
      <c r="X319" s="3">
        <f ca="1">IFERROR(__xludf.DUMMYFUNCTION("""COMPUTED_VALUE"""),16790222)</f>
        <v>16790222</v>
      </c>
      <c r="Y319" s="4">
        <f ca="1">IFERROR(__xludf.DUMMYFUNCTION("""COMPUTED_VALUE"""),42586.6666666666)</f>
        <v>42586.666666666599</v>
      </c>
      <c r="Z319" s="3">
        <f ca="1">IFERROR(__xludf.DUMMYFUNCTION("""COMPUTED_VALUE"""),19.17)</f>
        <v>19.170000000000002</v>
      </c>
      <c r="AA319" s="3">
        <f ca="1">IFERROR(__xludf.DUMMYFUNCTION("""COMPUTED_VALUE"""),19.21)</f>
        <v>19.21</v>
      </c>
      <c r="AB319" s="3">
        <f ca="1">IFERROR(__xludf.DUMMYFUNCTION("""COMPUTED_VALUE"""),19.1)</f>
        <v>19.100000000000001</v>
      </c>
      <c r="AC319" s="3">
        <f ca="1">IFERROR(__xludf.DUMMYFUNCTION("""COMPUTED_VALUE"""),19.14)</f>
        <v>19.14</v>
      </c>
      <c r="AD319" s="3">
        <f ca="1">IFERROR(__xludf.DUMMYFUNCTION("""COMPUTED_VALUE"""),25477863)</f>
        <v>25477863</v>
      </c>
      <c r="AE319" s="4">
        <f ca="1">IFERROR(__xludf.DUMMYFUNCTION("""COMPUTED_VALUE"""),42586.6666666666)</f>
        <v>42586.666666666599</v>
      </c>
      <c r="AF319" s="3">
        <f ca="1">IFERROR(__xludf.DUMMYFUNCTION("""COMPUTED_VALUE"""),75.23)</f>
        <v>75.23</v>
      </c>
      <c r="AG319" s="3">
        <f ca="1">IFERROR(__xludf.DUMMYFUNCTION("""COMPUTED_VALUE"""),75.35)</f>
        <v>75.349999999999994</v>
      </c>
      <c r="AH319" s="3">
        <f ca="1">IFERROR(__xludf.DUMMYFUNCTION("""COMPUTED_VALUE"""),74.97)</f>
        <v>74.97</v>
      </c>
      <c r="AI319" s="3">
        <f ca="1">IFERROR(__xludf.DUMMYFUNCTION("""COMPUTED_VALUE"""),75.07)</f>
        <v>75.069999999999993</v>
      </c>
      <c r="AJ319" s="3">
        <f ca="1">IFERROR(__xludf.DUMMYFUNCTION("""COMPUTED_VALUE"""),8415450)</f>
        <v>8415450</v>
      </c>
      <c r="AK319" s="4">
        <f ca="1">IFERROR(__xludf.DUMMYFUNCTION("""COMPUTED_VALUE"""),42586.6666666666)</f>
        <v>42586.666666666599</v>
      </c>
      <c r="AL319" s="3">
        <f ca="1">IFERROR(__xludf.DUMMYFUNCTION("""COMPUTED_VALUE"""),57.75)</f>
        <v>57.75</v>
      </c>
      <c r="AM319" s="3">
        <f ca="1">IFERROR(__xludf.DUMMYFUNCTION("""COMPUTED_VALUE"""),57.96)</f>
        <v>57.96</v>
      </c>
      <c r="AN319" s="3">
        <f ca="1">IFERROR(__xludf.DUMMYFUNCTION("""COMPUTED_VALUE"""),57.64)</f>
        <v>57.64</v>
      </c>
      <c r="AO319" s="3">
        <f ca="1">IFERROR(__xludf.DUMMYFUNCTION("""COMPUTED_VALUE"""),57.73)</f>
        <v>57.73</v>
      </c>
      <c r="AP319" s="3">
        <f ca="1">IFERROR(__xludf.DUMMYFUNCTION("""COMPUTED_VALUE"""),8028720)</f>
        <v>8028720</v>
      </c>
      <c r="AQ319" s="4">
        <f ca="1">IFERROR(__xludf.DUMMYFUNCTION("""COMPUTED_VALUE"""),42586.6666666666)</f>
        <v>42586.666666666599</v>
      </c>
      <c r="AR319" s="3">
        <f ca="1">IFERROR(__xludf.DUMMYFUNCTION("""COMPUTED_VALUE"""),48.41)</f>
        <v>48.41</v>
      </c>
      <c r="AS319" s="3">
        <f ca="1">IFERROR(__xludf.DUMMYFUNCTION("""COMPUTED_VALUE"""),48.74)</f>
        <v>48.74</v>
      </c>
      <c r="AT319" s="3">
        <f ca="1">IFERROR(__xludf.DUMMYFUNCTION("""COMPUTED_VALUE"""),48.31)</f>
        <v>48.31</v>
      </c>
      <c r="AU319" s="3">
        <f ca="1">IFERROR(__xludf.DUMMYFUNCTION("""COMPUTED_VALUE"""),48.61)</f>
        <v>48.61</v>
      </c>
      <c r="AV319" s="3">
        <f ca="1">IFERROR(__xludf.DUMMYFUNCTION("""COMPUTED_VALUE"""),3552513)</f>
        <v>3552513</v>
      </c>
      <c r="AW319" s="4">
        <f ca="1">IFERROR(__xludf.DUMMYFUNCTION("""COMPUTED_VALUE"""),42753.6666666666)</f>
        <v>42753.666666666599</v>
      </c>
      <c r="AX319" s="3">
        <f ca="1">IFERROR(__xludf.DUMMYFUNCTION("""COMPUTED_VALUE"""),30.98)</f>
        <v>30.98</v>
      </c>
      <c r="AY319" s="3">
        <f ca="1">IFERROR(__xludf.DUMMYFUNCTION("""COMPUTED_VALUE"""),31.14)</f>
        <v>31.14</v>
      </c>
      <c r="AZ319" s="3">
        <f ca="1">IFERROR(__xludf.DUMMYFUNCTION("""COMPUTED_VALUE"""),30.89)</f>
        <v>30.89</v>
      </c>
      <c r="BA319" s="3">
        <f ca="1">IFERROR(__xludf.DUMMYFUNCTION("""COMPUTED_VALUE"""),31.01)</f>
        <v>31.01</v>
      </c>
      <c r="BB319" s="3">
        <f ca="1">IFERROR(__xludf.DUMMYFUNCTION("""COMPUTED_VALUE"""),1575728)</f>
        <v>1575728</v>
      </c>
      <c r="BC319" s="4">
        <f ca="1">IFERROR(__xludf.DUMMYFUNCTION("""COMPUTED_VALUE"""),42586.6666666666)</f>
        <v>42586.666666666599</v>
      </c>
      <c r="BD319" s="3">
        <f ca="1">IFERROR(__xludf.DUMMYFUNCTION("""COMPUTED_VALUE"""),46.36)</f>
        <v>46.36</v>
      </c>
      <c r="BE319" s="3">
        <f ca="1">IFERROR(__xludf.DUMMYFUNCTION("""COMPUTED_VALUE"""),46.62)</f>
        <v>46.62</v>
      </c>
      <c r="BF319" s="3">
        <f ca="1">IFERROR(__xludf.DUMMYFUNCTION("""COMPUTED_VALUE"""),46.32)</f>
        <v>46.32</v>
      </c>
      <c r="BG319" s="3">
        <f ca="1">IFERROR(__xludf.DUMMYFUNCTION("""COMPUTED_VALUE"""),46.6)</f>
        <v>46.6</v>
      </c>
      <c r="BH319" s="3">
        <f ca="1">IFERROR(__xludf.DUMMYFUNCTION("""COMPUTED_VALUE"""),8376364)</f>
        <v>8376364</v>
      </c>
      <c r="BI319" s="4">
        <f ca="1">IFERROR(__xludf.DUMMYFUNCTION("""COMPUTED_VALUE"""),42586.6666666666)</f>
        <v>42586.666666666599</v>
      </c>
      <c r="BJ319" s="3">
        <f ca="1">IFERROR(__xludf.DUMMYFUNCTION("""COMPUTED_VALUE"""),51.56)</f>
        <v>51.56</v>
      </c>
      <c r="BK319" s="3">
        <f ca="1">IFERROR(__xludf.DUMMYFUNCTION("""COMPUTED_VALUE"""),51.86)</f>
        <v>51.86</v>
      </c>
      <c r="BL319" s="3">
        <f ca="1">IFERROR(__xludf.DUMMYFUNCTION("""COMPUTED_VALUE"""),51.33)</f>
        <v>51.33</v>
      </c>
      <c r="BM319" s="3">
        <f ca="1">IFERROR(__xludf.DUMMYFUNCTION("""COMPUTED_VALUE"""),51.47)</f>
        <v>51.47</v>
      </c>
      <c r="BN319" s="3">
        <f ca="1">IFERROR(__xludf.DUMMYFUNCTION("""COMPUTED_VALUE"""),12272015)</f>
        <v>12272015</v>
      </c>
    </row>
    <row r="320" spans="7:66" ht="13" x14ac:dyDescent="0.15">
      <c r="G320" s="4">
        <f ca="1">IFERROR(__xludf.DUMMYFUNCTION("""COMPUTED_VALUE"""),42587.6666666666)</f>
        <v>42587.666666666599</v>
      </c>
      <c r="H320" s="3">
        <f ca="1">IFERROR(__xludf.DUMMYFUNCTION("""COMPUTED_VALUE"""),81.2)</f>
        <v>81.2</v>
      </c>
      <c r="I320" s="3">
        <f ca="1">IFERROR(__xludf.DUMMYFUNCTION("""COMPUTED_VALUE"""),81.69)</f>
        <v>81.69</v>
      </c>
      <c r="J320" s="3">
        <f ca="1">IFERROR(__xludf.DUMMYFUNCTION("""COMPUTED_VALUE"""),80.88)</f>
        <v>80.88</v>
      </c>
      <c r="K320" s="3">
        <f ca="1">IFERROR(__xludf.DUMMYFUNCTION("""COMPUTED_VALUE"""),81.57)</f>
        <v>81.569999999999993</v>
      </c>
      <c r="L320" s="3">
        <f ca="1">IFERROR(__xludf.DUMMYFUNCTION("""COMPUTED_VALUE"""),3518591)</f>
        <v>3518591</v>
      </c>
      <c r="M320" s="4">
        <f ca="1">IFERROR(__xludf.DUMMYFUNCTION("""COMPUTED_VALUE"""),42587.6666666666)</f>
        <v>42587.666666666599</v>
      </c>
      <c r="N320" s="3">
        <f ca="1">IFERROR(__xludf.DUMMYFUNCTION("""COMPUTED_VALUE"""),54.72)</f>
        <v>54.72</v>
      </c>
      <c r="O320" s="3">
        <f ca="1">IFERROR(__xludf.DUMMYFUNCTION("""COMPUTED_VALUE"""),54.87)</f>
        <v>54.87</v>
      </c>
      <c r="P320" s="3">
        <f ca="1">IFERROR(__xludf.DUMMYFUNCTION("""COMPUTED_VALUE"""),54.48)</f>
        <v>54.48</v>
      </c>
      <c r="Q320" s="3">
        <f ca="1">IFERROR(__xludf.DUMMYFUNCTION("""COMPUTED_VALUE"""),54.59)</f>
        <v>54.59</v>
      </c>
      <c r="R320" s="3">
        <f ca="1">IFERROR(__xludf.DUMMYFUNCTION("""COMPUTED_VALUE"""),12028548)</f>
        <v>12028548</v>
      </c>
      <c r="S320" s="4">
        <f ca="1">IFERROR(__xludf.DUMMYFUNCTION("""COMPUTED_VALUE"""),42587.6666666666)</f>
        <v>42587.666666666599</v>
      </c>
      <c r="T320" s="3">
        <f ca="1">IFERROR(__xludf.DUMMYFUNCTION("""COMPUTED_VALUE"""),66.96)</f>
        <v>66.959999999999994</v>
      </c>
      <c r="U320" s="3">
        <f ca="1">IFERROR(__xludf.DUMMYFUNCTION("""COMPUTED_VALUE"""),67.62)</f>
        <v>67.62</v>
      </c>
      <c r="V320" s="3">
        <f ca="1">IFERROR(__xludf.DUMMYFUNCTION("""COMPUTED_VALUE"""),66.84)</f>
        <v>66.84</v>
      </c>
      <c r="W320" s="3">
        <f ca="1">IFERROR(__xludf.DUMMYFUNCTION("""COMPUTED_VALUE"""),67.53)</f>
        <v>67.53</v>
      </c>
      <c r="X320" s="3">
        <f ca="1">IFERROR(__xludf.DUMMYFUNCTION("""COMPUTED_VALUE"""),11426779)</f>
        <v>11426779</v>
      </c>
      <c r="Y320" s="4">
        <f ca="1">IFERROR(__xludf.DUMMYFUNCTION("""COMPUTED_VALUE"""),42587.6666666666)</f>
        <v>42587.666666666599</v>
      </c>
      <c r="Z320" s="3">
        <f ca="1">IFERROR(__xludf.DUMMYFUNCTION("""COMPUTED_VALUE"""),19.34)</f>
        <v>19.34</v>
      </c>
      <c r="AA320" s="3">
        <f ca="1">IFERROR(__xludf.DUMMYFUNCTION("""COMPUTED_VALUE"""),19.51)</f>
        <v>19.510000000000002</v>
      </c>
      <c r="AB320" s="3">
        <f ca="1">IFERROR(__xludf.DUMMYFUNCTION("""COMPUTED_VALUE"""),19.29)</f>
        <v>19.29</v>
      </c>
      <c r="AC320" s="3">
        <f ca="1">IFERROR(__xludf.DUMMYFUNCTION("""COMPUTED_VALUE"""),19.51)</f>
        <v>19.510000000000002</v>
      </c>
      <c r="AD320" s="3">
        <f ca="1">IFERROR(__xludf.DUMMYFUNCTION("""COMPUTED_VALUE"""),41870305)</f>
        <v>41870305</v>
      </c>
      <c r="AE320" s="4">
        <f ca="1">IFERROR(__xludf.DUMMYFUNCTION("""COMPUTED_VALUE"""),42587.6666666666)</f>
        <v>42587.666666666599</v>
      </c>
      <c r="AF320" s="3">
        <f ca="1">IFERROR(__xludf.DUMMYFUNCTION("""COMPUTED_VALUE"""),75.4)</f>
        <v>75.400000000000006</v>
      </c>
      <c r="AG320" s="3">
        <f ca="1">IFERROR(__xludf.DUMMYFUNCTION("""COMPUTED_VALUE"""),75.4)</f>
        <v>75.400000000000006</v>
      </c>
      <c r="AH320" s="3">
        <f ca="1">IFERROR(__xludf.DUMMYFUNCTION("""COMPUTED_VALUE"""),74.83)</f>
        <v>74.83</v>
      </c>
      <c r="AI320" s="3">
        <f ca="1">IFERROR(__xludf.DUMMYFUNCTION("""COMPUTED_VALUE"""),75.25)</f>
        <v>75.25</v>
      </c>
      <c r="AJ320" s="3">
        <f ca="1">IFERROR(__xludf.DUMMYFUNCTION("""COMPUTED_VALUE"""),8244367)</f>
        <v>8244367</v>
      </c>
      <c r="AK320" s="4">
        <f ca="1">IFERROR(__xludf.DUMMYFUNCTION("""COMPUTED_VALUE"""),42587.6666666666)</f>
        <v>42587.666666666599</v>
      </c>
      <c r="AL320" s="3">
        <f ca="1">IFERROR(__xludf.DUMMYFUNCTION("""COMPUTED_VALUE"""),58.06)</f>
        <v>58.06</v>
      </c>
      <c r="AM320" s="3">
        <f ca="1">IFERROR(__xludf.DUMMYFUNCTION("""COMPUTED_VALUE"""),58.37)</f>
        <v>58.37</v>
      </c>
      <c r="AN320" s="3">
        <f ca="1">IFERROR(__xludf.DUMMYFUNCTION("""COMPUTED_VALUE"""),57.98)</f>
        <v>57.98</v>
      </c>
      <c r="AO320" s="3">
        <f ca="1">IFERROR(__xludf.DUMMYFUNCTION("""COMPUTED_VALUE"""),58.31)</f>
        <v>58.31</v>
      </c>
      <c r="AP320" s="3">
        <f ca="1">IFERROR(__xludf.DUMMYFUNCTION("""COMPUTED_VALUE"""),7380052)</f>
        <v>7380052</v>
      </c>
      <c r="AQ320" s="4">
        <f ca="1">IFERROR(__xludf.DUMMYFUNCTION("""COMPUTED_VALUE"""),42587.6666666666)</f>
        <v>42587.666666666599</v>
      </c>
      <c r="AR320" s="3">
        <f ca="1">IFERROR(__xludf.DUMMYFUNCTION("""COMPUTED_VALUE"""),48.68)</f>
        <v>48.68</v>
      </c>
      <c r="AS320" s="3">
        <f ca="1">IFERROR(__xludf.DUMMYFUNCTION("""COMPUTED_VALUE"""),48.87)</f>
        <v>48.87</v>
      </c>
      <c r="AT320" s="3">
        <f ca="1">IFERROR(__xludf.DUMMYFUNCTION("""COMPUTED_VALUE"""),48.6)</f>
        <v>48.6</v>
      </c>
      <c r="AU320" s="3">
        <f ca="1">IFERROR(__xludf.DUMMYFUNCTION("""COMPUTED_VALUE"""),48.77)</f>
        <v>48.77</v>
      </c>
      <c r="AV320" s="3">
        <f ca="1">IFERROR(__xludf.DUMMYFUNCTION("""COMPUTED_VALUE"""),3156008)</f>
        <v>3156008</v>
      </c>
      <c r="AW320" s="4">
        <f ca="1">IFERROR(__xludf.DUMMYFUNCTION("""COMPUTED_VALUE"""),42754.6666666666)</f>
        <v>42754.666666666599</v>
      </c>
      <c r="AX320" s="3">
        <f ca="1">IFERROR(__xludf.DUMMYFUNCTION("""COMPUTED_VALUE"""),30.88)</f>
        <v>30.88</v>
      </c>
      <c r="AY320" s="3">
        <f ca="1">IFERROR(__xludf.DUMMYFUNCTION("""COMPUTED_VALUE"""),30.91)</f>
        <v>30.91</v>
      </c>
      <c r="AZ320" s="3">
        <f ca="1">IFERROR(__xludf.DUMMYFUNCTION("""COMPUTED_VALUE"""),30.65)</f>
        <v>30.65</v>
      </c>
      <c r="BA320" s="3">
        <f ca="1">IFERROR(__xludf.DUMMYFUNCTION("""COMPUTED_VALUE"""),30.71)</f>
        <v>30.71</v>
      </c>
      <c r="BB320" s="3">
        <f ca="1">IFERROR(__xludf.DUMMYFUNCTION("""COMPUTED_VALUE"""),1631067)</f>
        <v>1631067</v>
      </c>
      <c r="BC320" s="4">
        <f ca="1">IFERROR(__xludf.DUMMYFUNCTION("""COMPUTED_VALUE"""),42587.6666666666)</f>
        <v>42587.666666666599</v>
      </c>
      <c r="BD320" s="3">
        <f ca="1">IFERROR(__xludf.DUMMYFUNCTION("""COMPUTED_VALUE"""),46.75)</f>
        <v>46.75</v>
      </c>
      <c r="BE320" s="3">
        <f ca="1">IFERROR(__xludf.DUMMYFUNCTION("""COMPUTED_VALUE"""),47.07)</f>
        <v>47.07</v>
      </c>
      <c r="BF320" s="3">
        <f ca="1">IFERROR(__xludf.DUMMYFUNCTION("""COMPUTED_VALUE"""),46.7)</f>
        <v>46.7</v>
      </c>
      <c r="BG320" s="3">
        <f ca="1">IFERROR(__xludf.DUMMYFUNCTION("""COMPUTED_VALUE"""),47.05)</f>
        <v>47.05</v>
      </c>
      <c r="BH320" s="3">
        <f ca="1">IFERROR(__xludf.DUMMYFUNCTION("""COMPUTED_VALUE"""),6063052)</f>
        <v>6063052</v>
      </c>
      <c r="BI320" s="4">
        <f ca="1">IFERROR(__xludf.DUMMYFUNCTION("""COMPUTED_VALUE"""),42587.6666666666)</f>
        <v>42587.666666666599</v>
      </c>
      <c r="BJ320" s="3">
        <f ca="1">IFERROR(__xludf.DUMMYFUNCTION("""COMPUTED_VALUE"""),51.18)</f>
        <v>51.18</v>
      </c>
      <c r="BK320" s="3">
        <f ca="1">IFERROR(__xludf.DUMMYFUNCTION("""COMPUTED_VALUE"""),51.29)</f>
        <v>51.29</v>
      </c>
      <c r="BL320" s="3">
        <f ca="1">IFERROR(__xludf.DUMMYFUNCTION("""COMPUTED_VALUE"""),50.7)</f>
        <v>50.7</v>
      </c>
      <c r="BM320" s="3">
        <f ca="1">IFERROR(__xludf.DUMMYFUNCTION("""COMPUTED_VALUE"""),50.73)</f>
        <v>50.73</v>
      </c>
      <c r="BN320" s="3">
        <f ca="1">IFERROR(__xludf.DUMMYFUNCTION("""COMPUTED_VALUE"""),26952063)</f>
        <v>26952063</v>
      </c>
    </row>
    <row r="321" spans="7:66" ht="13" x14ac:dyDescent="0.15">
      <c r="G321" s="4">
        <f ca="1">IFERROR(__xludf.DUMMYFUNCTION("""COMPUTED_VALUE"""),42590.6666666666)</f>
        <v>42590.666666666599</v>
      </c>
      <c r="H321" s="3">
        <f ca="1">IFERROR(__xludf.DUMMYFUNCTION("""COMPUTED_VALUE"""),81.63)</f>
        <v>81.63</v>
      </c>
      <c r="I321" s="3">
        <f ca="1">IFERROR(__xludf.DUMMYFUNCTION("""COMPUTED_VALUE"""),81.77)</f>
        <v>81.77</v>
      </c>
      <c r="J321" s="3">
        <f ca="1">IFERROR(__xludf.DUMMYFUNCTION("""COMPUTED_VALUE"""),81.23)</f>
        <v>81.23</v>
      </c>
      <c r="K321" s="3">
        <f ca="1">IFERROR(__xludf.DUMMYFUNCTION("""COMPUTED_VALUE"""),81.3)</f>
        <v>81.3</v>
      </c>
      <c r="L321" s="3">
        <f ca="1">IFERROR(__xludf.DUMMYFUNCTION("""COMPUTED_VALUE"""),3148390)</f>
        <v>3148390</v>
      </c>
      <c r="M321" s="4">
        <f ca="1">IFERROR(__xludf.DUMMYFUNCTION("""COMPUTED_VALUE"""),42590.6666666666)</f>
        <v>42590.666666666599</v>
      </c>
      <c r="N321" s="3">
        <f ca="1">IFERROR(__xludf.DUMMYFUNCTION("""COMPUTED_VALUE"""),54.82)</f>
        <v>54.82</v>
      </c>
      <c r="O321" s="3">
        <f ca="1">IFERROR(__xludf.DUMMYFUNCTION("""COMPUTED_VALUE"""),54.86)</f>
        <v>54.86</v>
      </c>
      <c r="P321" s="3">
        <f ca="1">IFERROR(__xludf.DUMMYFUNCTION("""COMPUTED_VALUE"""),54.36)</f>
        <v>54.36</v>
      </c>
      <c r="Q321" s="3">
        <f ca="1">IFERROR(__xludf.DUMMYFUNCTION("""COMPUTED_VALUE"""),54.53)</f>
        <v>54.53</v>
      </c>
      <c r="R321" s="3">
        <f ca="1">IFERROR(__xludf.DUMMYFUNCTION("""COMPUTED_VALUE"""),8057686)</f>
        <v>8057686</v>
      </c>
      <c r="S321" s="4">
        <f ca="1">IFERROR(__xludf.DUMMYFUNCTION("""COMPUTED_VALUE"""),42590.6666666666)</f>
        <v>42590.666666666599</v>
      </c>
      <c r="T321" s="3">
        <f ca="1">IFERROR(__xludf.DUMMYFUNCTION("""COMPUTED_VALUE"""),68)</f>
        <v>68</v>
      </c>
      <c r="U321" s="3">
        <f ca="1">IFERROR(__xludf.DUMMYFUNCTION("""COMPUTED_VALUE"""),68.89)</f>
        <v>68.89</v>
      </c>
      <c r="V321" s="3">
        <f ca="1">IFERROR(__xludf.DUMMYFUNCTION("""COMPUTED_VALUE"""),67.98)</f>
        <v>67.98</v>
      </c>
      <c r="W321" s="3">
        <f ca="1">IFERROR(__xludf.DUMMYFUNCTION("""COMPUTED_VALUE"""),68.43)</f>
        <v>68.430000000000007</v>
      </c>
      <c r="X321" s="3">
        <f ca="1">IFERROR(__xludf.DUMMYFUNCTION("""COMPUTED_VALUE"""),21663404)</f>
        <v>21663404</v>
      </c>
      <c r="Y321" s="4">
        <f ca="1">IFERROR(__xludf.DUMMYFUNCTION("""COMPUTED_VALUE"""),42590.6666666666)</f>
        <v>42590.666666666599</v>
      </c>
      <c r="Z321" s="3">
        <f ca="1">IFERROR(__xludf.DUMMYFUNCTION("""COMPUTED_VALUE"""),19.56)</f>
        <v>19.559999999999999</v>
      </c>
      <c r="AA321" s="3">
        <f ca="1">IFERROR(__xludf.DUMMYFUNCTION("""COMPUTED_VALUE"""),19.59)</f>
        <v>19.59</v>
      </c>
      <c r="AB321" s="3">
        <f ca="1">IFERROR(__xludf.DUMMYFUNCTION("""COMPUTED_VALUE"""),19.47)</f>
        <v>19.47</v>
      </c>
      <c r="AC321" s="3">
        <f ca="1">IFERROR(__xludf.DUMMYFUNCTION("""COMPUTED_VALUE"""),19.53)</f>
        <v>19.53</v>
      </c>
      <c r="AD321" s="3">
        <f ca="1">IFERROR(__xludf.DUMMYFUNCTION("""COMPUTED_VALUE"""),36571752)</f>
        <v>36571752</v>
      </c>
      <c r="AE321" s="4">
        <f ca="1">IFERROR(__xludf.DUMMYFUNCTION("""COMPUTED_VALUE"""),42590.6666666666)</f>
        <v>42590.666666666599</v>
      </c>
      <c r="AF321" s="3">
        <f ca="1">IFERROR(__xludf.DUMMYFUNCTION("""COMPUTED_VALUE"""),75.19)</f>
        <v>75.19</v>
      </c>
      <c r="AG321" s="3">
        <f ca="1">IFERROR(__xludf.DUMMYFUNCTION("""COMPUTED_VALUE"""),75.19)</f>
        <v>75.19</v>
      </c>
      <c r="AH321" s="3">
        <f ca="1">IFERROR(__xludf.DUMMYFUNCTION("""COMPUTED_VALUE"""),74.35)</f>
        <v>74.349999999999994</v>
      </c>
      <c r="AI321" s="3">
        <f ca="1">IFERROR(__xludf.DUMMYFUNCTION("""COMPUTED_VALUE"""),74.61)</f>
        <v>74.61</v>
      </c>
      <c r="AJ321" s="3">
        <f ca="1">IFERROR(__xludf.DUMMYFUNCTION("""COMPUTED_VALUE"""),6655527)</f>
        <v>6655527</v>
      </c>
      <c r="AK321" s="4">
        <f ca="1">IFERROR(__xludf.DUMMYFUNCTION("""COMPUTED_VALUE"""),42590.6666666666)</f>
        <v>42590.666666666599</v>
      </c>
      <c r="AL321" s="3">
        <f ca="1">IFERROR(__xludf.DUMMYFUNCTION("""COMPUTED_VALUE"""),58.42)</f>
        <v>58.42</v>
      </c>
      <c r="AM321" s="3">
        <f ca="1">IFERROR(__xludf.DUMMYFUNCTION("""COMPUTED_VALUE"""),58.63)</f>
        <v>58.63</v>
      </c>
      <c r="AN321" s="3">
        <f ca="1">IFERROR(__xludf.DUMMYFUNCTION("""COMPUTED_VALUE"""),58.27)</f>
        <v>58.27</v>
      </c>
      <c r="AO321" s="3">
        <f ca="1">IFERROR(__xludf.DUMMYFUNCTION("""COMPUTED_VALUE"""),58.39)</f>
        <v>58.39</v>
      </c>
      <c r="AP321" s="3">
        <f ca="1">IFERROR(__xludf.DUMMYFUNCTION("""COMPUTED_VALUE"""),6052662)</f>
        <v>6052662</v>
      </c>
      <c r="AQ321" s="4">
        <f ca="1">IFERROR(__xludf.DUMMYFUNCTION("""COMPUTED_VALUE"""),42590.6666666666)</f>
        <v>42590.666666666599</v>
      </c>
      <c r="AR321" s="3">
        <f ca="1">IFERROR(__xludf.DUMMYFUNCTION("""COMPUTED_VALUE"""),48.82)</f>
        <v>48.82</v>
      </c>
      <c r="AS321" s="3">
        <f ca="1">IFERROR(__xludf.DUMMYFUNCTION("""COMPUTED_VALUE"""),49.01)</f>
        <v>49.01</v>
      </c>
      <c r="AT321" s="3">
        <f ca="1">IFERROR(__xludf.DUMMYFUNCTION("""COMPUTED_VALUE"""),48.75)</f>
        <v>48.75</v>
      </c>
      <c r="AU321" s="3">
        <f ca="1">IFERROR(__xludf.DUMMYFUNCTION("""COMPUTED_VALUE"""),48.87)</f>
        <v>48.87</v>
      </c>
      <c r="AV321" s="3">
        <f ca="1">IFERROR(__xludf.DUMMYFUNCTION("""COMPUTED_VALUE"""),4731765)</f>
        <v>4731765</v>
      </c>
      <c r="AW321" s="4">
        <f ca="1">IFERROR(__xludf.DUMMYFUNCTION("""COMPUTED_VALUE"""),42755.6666666666)</f>
        <v>42755.666666666599</v>
      </c>
      <c r="AX321" s="3">
        <f ca="1">IFERROR(__xludf.DUMMYFUNCTION("""COMPUTED_VALUE"""),30.69)</f>
        <v>30.69</v>
      </c>
      <c r="AY321" s="3">
        <f ca="1">IFERROR(__xludf.DUMMYFUNCTION("""COMPUTED_VALUE"""),30.93)</f>
        <v>30.93</v>
      </c>
      <c r="AZ321" s="3">
        <f ca="1">IFERROR(__xludf.DUMMYFUNCTION("""COMPUTED_VALUE"""),30.65)</f>
        <v>30.65</v>
      </c>
      <c r="BA321" s="3">
        <f ca="1">IFERROR(__xludf.DUMMYFUNCTION("""COMPUTED_VALUE"""),30.9)</f>
        <v>30.9</v>
      </c>
      <c r="BB321" s="3">
        <f ca="1">IFERROR(__xludf.DUMMYFUNCTION("""COMPUTED_VALUE"""),1605060)</f>
        <v>1605060</v>
      </c>
      <c r="BC321" s="4">
        <f ca="1">IFERROR(__xludf.DUMMYFUNCTION("""COMPUTED_VALUE"""),42590.6666666666)</f>
        <v>42590.666666666599</v>
      </c>
      <c r="BD321" s="3">
        <f ca="1">IFERROR(__xludf.DUMMYFUNCTION("""COMPUTED_VALUE"""),47.1)</f>
        <v>47.1</v>
      </c>
      <c r="BE321" s="3">
        <f ca="1">IFERROR(__xludf.DUMMYFUNCTION("""COMPUTED_VALUE"""),47.22)</f>
        <v>47.22</v>
      </c>
      <c r="BF321" s="3">
        <f ca="1">IFERROR(__xludf.DUMMYFUNCTION("""COMPUTED_VALUE"""),46.94)</f>
        <v>46.94</v>
      </c>
      <c r="BG321" s="3">
        <f ca="1">IFERROR(__xludf.DUMMYFUNCTION("""COMPUTED_VALUE"""),47.04)</f>
        <v>47.04</v>
      </c>
      <c r="BH321" s="3">
        <f ca="1">IFERROR(__xludf.DUMMYFUNCTION("""COMPUTED_VALUE"""),5219585)</f>
        <v>5219585</v>
      </c>
      <c r="BI321" s="4">
        <f ca="1">IFERROR(__xludf.DUMMYFUNCTION("""COMPUTED_VALUE"""),42590.6666666666)</f>
        <v>42590.666666666599</v>
      </c>
      <c r="BJ321" s="3">
        <f ca="1">IFERROR(__xludf.DUMMYFUNCTION("""COMPUTED_VALUE"""),50.71)</f>
        <v>50.71</v>
      </c>
      <c r="BK321" s="3">
        <f ca="1">IFERROR(__xludf.DUMMYFUNCTION("""COMPUTED_VALUE"""),51.17)</f>
        <v>51.17</v>
      </c>
      <c r="BL321" s="3">
        <f ca="1">IFERROR(__xludf.DUMMYFUNCTION("""COMPUTED_VALUE"""),50.58)</f>
        <v>50.58</v>
      </c>
      <c r="BM321" s="3">
        <f ca="1">IFERROR(__xludf.DUMMYFUNCTION("""COMPUTED_VALUE"""),50.71)</f>
        <v>50.71</v>
      </c>
      <c r="BN321" s="3">
        <f ca="1">IFERROR(__xludf.DUMMYFUNCTION("""COMPUTED_VALUE"""),13526678)</f>
        <v>13526678</v>
      </c>
    </row>
    <row r="322" spans="7:66" ht="13" x14ac:dyDescent="0.15">
      <c r="G322" s="4">
        <f ca="1">IFERROR(__xludf.DUMMYFUNCTION("""COMPUTED_VALUE"""),42591.6666666666)</f>
        <v>42591.666666666599</v>
      </c>
      <c r="H322" s="3">
        <f ca="1">IFERROR(__xludf.DUMMYFUNCTION("""COMPUTED_VALUE"""),81.14)</f>
        <v>81.14</v>
      </c>
      <c r="I322" s="3">
        <f ca="1">IFERROR(__xludf.DUMMYFUNCTION("""COMPUTED_VALUE"""),81.46)</f>
        <v>81.459999999999994</v>
      </c>
      <c r="J322" s="3">
        <f ca="1">IFERROR(__xludf.DUMMYFUNCTION("""COMPUTED_VALUE"""),80.9)</f>
        <v>80.900000000000006</v>
      </c>
      <c r="K322" s="3">
        <f ca="1">IFERROR(__xludf.DUMMYFUNCTION("""COMPUTED_VALUE"""),81.06)</f>
        <v>81.06</v>
      </c>
      <c r="L322" s="3">
        <f ca="1">IFERROR(__xludf.DUMMYFUNCTION("""COMPUTED_VALUE"""),7364076)</f>
        <v>7364076</v>
      </c>
      <c r="M322" s="4">
        <f ca="1">IFERROR(__xludf.DUMMYFUNCTION("""COMPUTED_VALUE"""),42591.6666666666)</f>
        <v>42591.666666666599</v>
      </c>
      <c r="N322" s="3">
        <f ca="1">IFERROR(__xludf.DUMMYFUNCTION("""COMPUTED_VALUE"""),54.53)</f>
        <v>54.53</v>
      </c>
      <c r="O322" s="3">
        <f ca="1">IFERROR(__xludf.DUMMYFUNCTION("""COMPUTED_VALUE"""),54.9)</f>
        <v>54.9</v>
      </c>
      <c r="P322" s="3">
        <f ca="1">IFERROR(__xludf.DUMMYFUNCTION("""COMPUTED_VALUE"""),54.53)</f>
        <v>54.53</v>
      </c>
      <c r="Q322" s="3">
        <f ca="1">IFERROR(__xludf.DUMMYFUNCTION("""COMPUTED_VALUE"""),54.7)</f>
        <v>54.7</v>
      </c>
      <c r="R322" s="3">
        <f ca="1">IFERROR(__xludf.DUMMYFUNCTION("""COMPUTED_VALUE"""),7840923)</f>
        <v>7840923</v>
      </c>
      <c r="S322" s="4">
        <f ca="1">IFERROR(__xludf.DUMMYFUNCTION("""COMPUTED_VALUE"""),42591.6666666666)</f>
        <v>42591.666666666599</v>
      </c>
      <c r="T322" s="3">
        <f ca="1">IFERROR(__xludf.DUMMYFUNCTION("""COMPUTED_VALUE"""),68.62)</f>
        <v>68.62</v>
      </c>
      <c r="U322" s="3">
        <f ca="1">IFERROR(__xludf.DUMMYFUNCTION("""COMPUTED_VALUE"""),68.73)</f>
        <v>68.73</v>
      </c>
      <c r="V322" s="3">
        <f ca="1">IFERROR(__xludf.DUMMYFUNCTION("""COMPUTED_VALUE"""),67.8)</f>
        <v>67.8</v>
      </c>
      <c r="W322" s="3">
        <f ca="1">IFERROR(__xludf.DUMMYFUNCTION("""COMPUTED_VALUE"""),68.07)</f>
        <v>68.069999999999993</v>
      </c>
      <c r="X322" s="3">
        <f ca="1">IFERROR(__xludf.DUMMYFUNCTION("""COMPUTED_VALUE"""),11128358)</f>
        <v>11128358</v>
      </c>
      <c r="Y322" s="4">
        <f ca="1">IFERROR(__xludf.DUMMYFUNCTION("""COMPUTED_VALUE"""),42591.6666666666)</f>
        <v>42591.666666666599</v>
      </c>
      <c r="Z322" s="3">
        <f ca="1">IFERROR(__xludf.DUMMYFUNCTION("""COMPUTED_VALUE"""),19.52)</f>
        <v>19.52</v>
      </c>
      <c r="AA322" s="3">
        <f ca="1">IFERROR(__xludf.DUMMYFUNCTION("""COMPUTED_VALUE"""),19.58)</f>
        <v>19.579999999999998</v>
      </c>
      <c r="AB322" s="3">
        <f ca="1">IFERROR(__xludf.DUMMYFUNCTION("""COMPUTED_VALUE"""),19.5)</f>
        <v>19.5</v>
      </c>
      <c r="AC322" s="3">
        <f ca="1">IFERROR(__xludf.DUMMYFUNCTION("""COMPUTED_VALUE"""),19.55)</f>
        <v>19.55</v>
      </c>
      <c r="AD322" s="3">
        <f ca="1">IFERROR(__xludf.DUMMYFUNCTION("""COMPUTED_VALUE"""),26190113)</f>
        <v>26190113</v>
      </c>
      <c r="AE322" s="4">
        <f ca="1">IFERROR(__xludf.DUMMYFUNCTION("""COMPUTED_VALUE"""),42591.6666666666)</f>
        <v>42591.666666666599</v>
      </c>
      <c r="AF322" s="3">
        <f ca="1">IFERROR(__xludf.DUMMYFUNCTION("""COMPUTED_VALUE"""),75.01)</f>
        <v>75.010000000000005</v>
      </c>
      <c r="AG322" s="3">
        <f ca="1">IFERROR(__xludf.DUMMYFUNCTION("""COMPUTED_VALUE"""),75.05)</f>
        <v>75.05</v>
      </c>
      <c r="AH322" s="3">
        <f ca="1">IFERROR(__xludf.DUMMYFUNCTION("""COMPUTED_VALUE"""),74.58)</f>
        <v>74.58</v>
      </c>
      <c r="AI322" s="3">
        <f ca="1">IFERROR(__xludf.DUMMYFUNCTION("""COMPUTED_VALUE"""),74.79)</f>
        <v>74.790000000000006</v>
      </c>
      <c r="AJ322" s="3">
        <f ca="1">IFERROR(__xludf.DUMMYFUNCTION("""COMPUTED_VALUE"""),11261259)</f>
        <v>11261259</v>
      </c>
      <c r="AK322" s="4">
        <f ca="1">IFERROR(__xludf.DUMMYFUNCTION("""COMPUTED_VALUE"""),42591.6666666666)</f>
        <v>42591.666666666599</v>
      </c>
      <c r="AL322" s="3">
        <f ca="1">IFERROR(__xludf.DUMMYFUNCTION("""COMPUTED_VALUE"""),58.35)</f>
        <v>58.35</v>
      </c>
      <c r="AM322" s="3">
        <f ca="1">IFERROR(__xludf.DUMMYFUNCTION("""COMPUTED_VALUE"""),58.54)</f>
        <v>58.54</v>
      </c>
      <c r="AN322" s="3">
        <f ca="1">IFERROR(__xludf.DUMMYFUNCTION("""COMPUTED_VALUE"""),58.27)</f>
        <v>58.27</v>
      </c>
      <c r="AO322" s="3">
        <f ca="1">IFERROR(__xludf.DUMMYFUNCTION("""COMPUTED_VALUE"""),58.37)</f>
        <v>58.37</v>
      </c>
      <c r="AP322" s="3">
        <f ca="1">IFERROR(__xludf.DUMMYFUNCTION("""COMPUTED_VALUE"""),4579816)</f>
        <v>4579816</v>
      </c>
      <c r="AQ322" s="4">
        <f ca="1">IFERROR(__xludf.DUMMYFUNCTION("""COMPUTED_VALUE"""),42591.6666666666)</f>
        <v>42591.666666666599</v>
      </c>
      <c r="AR322" s="3">
        <f ca="1">IFERROR(__xludf.DUMMYFUNCTION("""COMPUTED_VALUE"""),48.89)</f>
        <v>48.89</v>
      </c>
      <c r="AS322" s="3">
        <f ca="1">IFERROR(__xludf.DUMMYFUNCTION("""COMPUTED_VALUE"""),49.06)</f>
        <v>49.06</v>
      </c>
      <c r="AT322" s="3">
        <f ca="1">IFERROR(__xludf.DUMMYFUNCTION("""COMPUTED_VALUE"""),48.62)</f>
        <v>48.62</v>
      </c>
      <c r="AU322" s="3">
        <f ca="1">IFERROR(__xludf.DUMMYFUNCTION("""COMPUTED_VALUE"""),48.72)</f>
        <v>48.72</v>
      </c>
      <c r="AV322" s="3">
        <f ca="1">IFERROR(__xludf.DUMMYFUNCTION("""COMPUTED_VALUE"""),3991880)</f>
        <v>3991880</v>
      </c>
      <c r="AW322" s="4">
        <f ca="1">IFERROR(__xludf.DUMMYFUNCTION("""COMPUTED_VALUE"""),42758.6666666666)</f>
        <v>42758.666666666599</v>
      </c>
      <c r="AX322" s="3">
        <f ca="1">IFERROR(__xludf.DUMMYFUNCTION("""COMPUTED_VALUE"""),30.84)</f>
        <v>30.84</v>
      </c>
      <c r="AY322" s="3">
        <f ca="1">IFERROR(__xludf.DUMMYFUNCTION("""COMPUTED_VALUE"""),31.15)</f>
        <v>31.15</v>
      </c>
      <c r="AZ322" s="3">
        <f ca="1">IFERROR(__xludf.DUMMYFUNCTION("""COMPUTED_VALUE"""),30.84)</f>
        <v>30.84</v>
      </c>
      <c r="BA322" s="3">
        <f ca="1">IFERROR(__xludf.DUMMYFUNCTION("""COMPUTED_VALUE"""),31.09)</f>
        <v>31.09</v>
      </c>
      <c r="BB322" s="3">
        <f ca="1">IFERROR(__xludf.DUMMYFUNCTION("""COMPUTED_VALUE"""),3551466)</f>
        <v>3551466</v>
      </c>
      <c r="BC322" s="4">
        <f ca="1">IFERROR(__xludf.DUMMYFUNCTION("""COMPUTED_VALUE"""),42591.6666666666)</f>
        <v>42591.666666666599</v>
      </c>
      <c r="BD322" s="3">
        <f ca="1">IFERROR(__xludf.DUMMYFUNCTION("""COMPUTED_VALUE"""),47.04)</f>
        <v>47.04</v>
      </c>
      <c r="BE322" s="3">
        <f ca="1">IFERROR(__xludf.DUMMYFUNCTION("""COMPUTED_VALUE"""),47.26)</f>
        <v>47.26</v>
      </c>
      <c r="BF322" s="3">
        <f ca="1">IFERROR(__xludf.DUMMYFUNCTION("""COMPUTED_VALUE"""),47.04)</f>
        <v>47.04</v>
      </c>
      <c r="BG322" s="3">
        <f ca="1">IFERROR(__xludf.DUMMYFUNCTION("""COMPUTED_VALUE"""),47.14)</f>
        <v>47.14</v>
      </c>
      <c r="BH322" s="3">
        <f ca="1">IFERROR(__xludf.DUMMYFUNCTION("""COMPUTED_VALUE"""),14918477)</f>
        <v>14918477</v>
      </c>
      <c r="BI322" s="4">
        <f ca="1">IFERROR(__xludf.DUMMYFUNCTION("""COMPUTED_VALUE"""),42591.6666666666)</f>
        <v>42591.666666666599</v>
      </c>
      <c r="BJ322" s="3">
        <f ca="1">IFERROR(__xludf.DUMMYFUNCTION("""COMPUTED_VALUE"""),50.78)</f>
        <v>50.78</v>
      </c>
      <c r="BK322" s="3">
        <f ca="1">IFERROR(__xludf.DUMMYFUNCTION("""COMPUTED_VALUE"""),50.97)</f>
        <v>50.97</v>
      </c>
      <c r="BL322" s="3">
        <f ca="1">IFERROR(__xludf.DUMMYFUNCTION("""COMPUTED_VALUE"""),50.57)</f>
        <v>50.57</v>
      </c>
      <c r="BM322" s="3">
        <f ca="1">IFERROR(__xludf.DUMMYFUNCTION("""COMPUTED_VALUE"""),50.7)</f>
        <v>50.7</v>
      </c>
      <c r="BN322" s="3">
        <f ca="1">IFERROR(__xludf.DUMMYFUNCTION("""COMPUTED_VALUE"""),10094190)</f>
        <v>10094190</v>
      </c>
    </row>
    <row r="323" spans="7:66" ht="13" x14ac:dyDescent="0.15">
      <c r="G323" s="4">
        <f ca="1">IFERROR(__xludf.DUMMYFUNCTION("""COMPUTED_VALUE"""),42592.6666666666)</f>
        <v>42592.666666666599</v>
      </c>
      <c r="H323" s="3">
        <f ca="1">IFERROR(__xludf.DUMMYFUNCTION("""COMPUTED_VALUE"""),81.09)</f>
        <v>81.09</v>
      </c>
      <c r="I323" s="3">
        <f ca="1">IFERROR(__xludf.DUMMYFUNCTION("""COMPUTED_VALUE"""),81.47)</f>
        <v>81.47</v>
      </c>
      <c r="J323" s="3">
        <f ca="1">IFERROR(__xludf.DUMMYFUNCTION("""COMPUTED_VALUE"""),81.06)</f>
        <v>81.06</v>
      </c>
      <c r="K323" s="3">
        <f ca="1">IFERROR(__xludf.DUMMYFUNCTION("""COMPUTED_VALUE"""),81.23)</f>
        <v>81.23</v>
      </c>
      <c r="L323" s="3">
        <f ca="1">IFERROR(__xludf.DUMMYFUNCTION("""COMPUTED_VALUE"""),3389445)</f>
        <v>3389445</v>
      </c>
      <c r="M323" s="4">
        <f ca="1">IFERROR(__xludf.DUMMYFUNCTION("""COMPUTED_VALUE"""),42592.6666666666)</f>
        <v>42592.666666666599</v>
      </c>
      <c r="N323" s="3">
        <f ca="1">IFERROR(__xludf.DUMMYFUNCTION("""COMPUTED_VALUE"""),54.85)</f>
        <v>54.85</v>
      </c>
      <c r="O323" s="3">
        <f ca="1">IFERROR(__xludf.DUMMYFUNCTION("""COMPUTED_VALUE"""),55.01)</f>
        <v>55.01</v>
      </c>
      <c r="P323" s="3">
        <f ca="1">IFERROR(__xludf.DUMMYFUNCTION("""COMPUTED_VALUE"""),54.79)</f>
        <v>54.79</v>
      </c>
      <c r="Q323" s="3">
        <f ca="1">IFERROR(__xludf.DUMMYFUNCTION("""COMPUTED_VALUE"""),54.9)</f>
        <v>54.9</v>
      </c>
      <c r="R323" s="3">
        <f ca="1">IFERROR(__xludf.DUMMYFUNCTION("""COMPUTED_VALUE"""),7303642)</f>
        <v>7303642</v>
      </c>
      <c r="S323" s="4">
        <f ca="1">IFERROR(__xludf.DUMMYFUNCTION("""COMPUTED_VALUE"""),42592.6666666666)</f>
        <v>42592.666666666599</v>
      </c>
      <c r="T323" s="3">
        <f ca="1">IFERROR(__xludf.DUMMYFUNCTION("""COMPUTED_VALUE"""),68.21)</f>
        <v>68.209999999999994</v>
      </c>
      <c r="U323" s="3">
        <f ca="1">IFERROR(__xludf.DUMMYFUNCTION("""COMPUTED_VALUE"""),68.36)</f>
        <v>68.36</v>
      </c>
      <c r="V323" s="3">
        <f ca="1">IFERROR(__xludf.DUMMYFUNCTION("""COMPUTED_VALUE"""),67.19)</f>
        <v>67.19</v>
      </c>
      <c r="W323" s="3">
        <f ca="1">IFERROR(__xludf.DUMMYFUNCTION("""COMPUTED_VALUE"""),67.33)</f>
        <v>67.33</v>
      </c>
      <c r="X323" s="3">
        <f ca="1">IFERROR(__xludf.DUMMYFUNCTION("""COMPUTED_VALUE"""),18036793)</f>
        <v>18036793</v>
      </c>
      <c r="Y323" s="4">
        <f ca="1">IFERROR(__xludf.DUMMYFUNCTION("""COMPUTED_VALUE"""),42592.6666666666)</f>
        <v>42592.666666666599</v>
      </c>
      <c r="Z323" s="3">
        <f ca="1">IFERROR(__xludf.DUMMYFUNCTION("""COMPUTED_VALUE"""),19.53)</f>
        <v>19.53</v>
      </c>
      <c r="AA323" s="3">
        <f ca="1">IFERROR(__xludf.DUMMYFUNCTION("""COMPUTED_VALUE"""),19.56)</f>
        <v>19.559999999999999</v>
      </c>
      <c r="AB323" s="3">
        <f ca="1">IFERROR(__xludf.DUMMYFUNCTION("""COMPUTED_VALUE"""),19.36)</f>
        <v>19.36</v>
      </c>
      <c r="AC323" s="3">
        <f ca="1">IFERROR(__xludf.DUMMYFUNCTION("""COMPUTED_VALUE"""),19.39)</f>
        <v>19.39</v>
      </c>
      <c r="AD323" s="3">
        <f ca="1">IFERROR(__xludf.DUMMYFUNCTION("""COMPUTED_VALUE"""),27250393)</f>
        <v>27250393</v>
      </c>
      <c r="AE323" s="4">
        <f ca="1">IFERROR(__xludf.DUMMYFUNCTION("""COMPUTED_VALUE"""),42592.6666666666)</f>
        <v>42592.666666666599</v>
      </c>
      <c r="AF323" s="3">
        <f ca="1">IFERROR(__xludf.DUMMYFUNCTION("""COMPUTED_VALUE"""),74.76)</f>
        <v>74.760000000000005</v>
      </c>
      <c r="AG323" s="3">
        <f ca="1">IFERROR(__xludf.DUMMYFUNCTION("""COMPUTED_VALUE"""),74.76)</f>
        <v>74.760000000000005</v>
      </c>
      <c r="AH323" s="3">
        <f ca="1">IFERROR(__xludf.DUMMYFUNCTION("""COMPUTED_VALUE"""),74.34)</f>
        <v>74.34</v>
      </c>
      <c r="AI323" s="3">
        <f ca="1">IFERROR(__xludf.DUMMYFUNCTION("""COMPUTED_VALUE"""),74.54)</f>
        <v>74.540000000000006</v>
      </c>
      <c r="AJ323" s="3">
        <f ca="1">IFERROR(__xludf.DUMMYFUNCTION("""COMPUTED_VALUE"""),7031564)</f>
        <v>7031564</v>
      </c>
      <c r="AK323" s="4">
        <f ca="1">IFERROR(__xludf.DUMMYFUNCTION("""COMPUTED_VALUE"""),42592.6666666666)</f>
        <v>42592.666666666599</v>
      </c>
      <c r="AL323" s="3">
        <f ca="1">IFERROR(__xludf.DUMMYFUNCTION("""COMPUTED_VALUE"""),58.39)</f>
        <v>58.39</v>
      </c>
      <c r="AM323" s="3">
        <f ca="1">IFERROR(__xludf.DUMMYFUNCTION("""COMPUTED_VALUE"""),58.53)</f>
        <v>58.53</v>
      </c>
      <c r="AN323" s="3">
        <f ca="1">IFERROR(__xludf.DUMMYFUNCTION("""COMPUTED_VALUE"""),58.18)</f>
        <v>58.18</v>
      </c>
      <c r="AO323" s="3">
        <f ca="1">IFERROR(__xludf.DUMMYFUNCTION("""COMPUTED_VALUE"""),58.34)</f>
        <v>58.34</v>
      </c>
      <c r="AP323" s="3">
        <f ca="1">IFERROR(__xludf.DUMMYFUNCTION("""COMPUTED_VALUE"""),5293289)</f>
        <v>5293289</v>
      </c>
      <c r="AQ323" s="4">
        <f ca="1">IFERROR(__xludf.DUMMYFUNCTION("""COMPUTED_VALUE"""),42592.6666666666)</f>
        <v>42592.666666666599</v>
      </c>
      <c r="AR323" s="3">
        <f ca="1">IFERROR(__xludf.DUMMYFUNCTION("""COMPUTED_VALUE"""),48.81)</f>
        <v>48.81</v>
      </c>
      <c r="AS323" s="3">
        <f ca="1">IFERROR(__xludf.DUMMYFUNCTION("""COMPUTED_VALUE"""),48.95)</f>
        <v>48.95</v>
      </c>
      <c r="AT323" s="3">
        <f ca="1">IFERROR(__xludf.DUMMYFUNCTION("""COMPUTED_VALUE"""),48.66)</f>
        <v>48.66</v>
      </c>
      <c r="AU323" s="3">
        <f ca="1">IFERROR(__xludf.DUMMYFUNCTION("""COMPUTED_VALUE"""),48.73)</f>
        <v>48.73</v>
      </c>
      <c r="AV323" s="3">
        <f ca="1">IFERROR(__xludf.DUMMYFUNCTION("""COMPUTED_VALUE"""),2255744)</f>
        <v>2255744</v>
      </c>
      <c r="AW323" s="4">
        <f ca="1">IFERROR(__xludf.DUMMYFUNCTION("""COMPUTED_VALUE"""),42759.6666666666)</f>
        <v>42759.666666666599</v>
      </c>
      <c r="AX323" s="3">
        <f ca="1">IFERROR(__xludf.DUMMYFUNCTION("""COMPUTED_VALUE"""),31.02)</f>
        <v>31.02</v>
      </c>
      <c r="AY323" s="3">
        <f ca="1">IFERROR(__xludf.DUMMYFUNCTION("""COMPUTED_VALUE"""),31.21)</f>
        <v>31.21</v>
      </c>
      <c r="AZ323" s="3">
        <f ca="1">IFERROR(__xludf.DUMMYFUNCTION("""COMPUTED_VALUE"""),30.97)</f>
        <v>30.97</v>
      </c>
      <c r="BA323" s="3">
        <f ca="1">IFERROR(__xludf.DUMMYFUNCTION("""COMPUTED_VALUE"""),31.1)</f>
        <v>31.1</v>
      </c>
      <c r="BB323" s="3">
        <f ca="1">IFERROR(__xludf.DUMMYFUNCTION("""COMPUTED_VALUE"""),1890180)</f>
        <v>1890180</v>
      </c>
      <c r="BC323" s="4">
        <f ca="1">IFERROR(__xludf.DUMMYFUNCTION("""COMPUTED_VALUE"""),42592.6666666666)</f>
        <v>42592.666666666599</v>
      </c>
      <c r="BD323" s="3">
        <f ca="1">IFERROR(__xludf.DUMMYFUNCTION("""COMPUTED_VALUE"""),47.16)</f>
        <v>47.16</v>
      </c>
      <c r="BE323" s="3">
        <f ca="1">IFERROR(__xludf.DUMMYFUNCTION("""COMPUTED_VALUE"""),47.18)</f>
        <v>47.18</v>
      </c>
      <c r="BF323" s="3">
        <f ca="1">IFERROR(__xludf.DUMMYFUNCTION("""COMPUTED_VALUE"""),46.93)</f>
        <v>46.93</v>
      </c>
      <c r="BG323" s="3">
        <f ca="1">IFERROR(__xludf.DUMMYFUNCTION("""COMPUTED_VALUE"""),46.99)</f>
        <v>46.99</v>
      </c>
      <c r="BH323" s="3">
        <f ca="1">IFERROR(__xludf.DUMMYFUNCTION("""COMPUTED_VALUE"""),3556299)</f>
        <v>3556299</v>
      </c>
      <c r="BI323" s="4">
        <f ca="1">IFERROR(__xludf.DUMMYFUNCTION("""COMPUTED_VALUE"""),42592.6666666666)</f>
        <v>42592.666666666599</v>
      </c>
      <c r="BJ323" s="3">
        <f ca="1">IFERROR(__xludf.DUMMYFUNCTION("""COMPUTED_VALUE"""),50.82)</f>
        <v>50.82</v>
      </c>
      <c r="BK323" s="3">
        <f ca="1">IFERROR(__xludf.DUMMYFUNCTION("""COMPUTED_VALUE"""),50.94)</f>
        <v>50.94</v>
      </c>
      <c r="BL323" s="3">
        <f ca="1">IFERROR(__xludf.DUMMYFUNCTION("""COMPUTED_VALUE"""),50.58)</f>
        <v>50.58</v>
      </c>
      <c r="BM323" s="3">
        <f ca="1">IFERROR(__xludf.DUMMYFUNCTION("""COMPUTED_VALUE"""),50.71)</f>
        <v>50.71</v>
      </c>
      <c r="BN323" s="3">
        <f ca="1">IFERROR(__xludf.DUMMYFUNCTION("""COMPUTED_VALUE"""),8490838)</f>
        <v>8490838</v>
      </c>
    </row>
    <row r="324" spans="7:66" ht="13" x14ac:dyDescent="0.15">
      <c r="G324" s="4">
        <f ca="1">IFERROR(__xludf.DUMMYFUNCTION("""COMPUTED_VALUE"""),42593.6666666666)</f>
        <v>42593.666666666599</v>
      </c>
      <c r="H324" s="3">
        <f ca="1">IFERROR(__xludf.DUMMYFUNCTION("""COMPUTED_VALUE"""),81.67)</f>
        <v>81.67</v>
      </c>
      <c r="I324" s="3">
        <f ca="1">IFERROR(__xludf.DUMMYFUNCTION("""COMPUTED_VALUE"""),82.14)</f>
        <v>82.14</v>
      </c>
      <c r="J324" s="3">
        <f ca="1">IFERROR(__xludf.DUMMYFUNCTION("""COMPUTED_VALUE"""),81.63)</f>
        <v>81.63</v>
      </c>
      <c r="K324" s="3">
        <f ca="1">IFERROR(__xludf.DUMMYFUNCTION("""COMPUTED_VALUE"""),82.04)</f>
        <v>82.04</v>
      </c>
      <c r="L324" s="3">
        <f ca="1">IFERROR(__xludf.DUMMYFUNCTION("""COMPUTED_VALUE"""),3694771)</f>
        <v>3694771</v>
      </c>
      <c r="M324" s="4">
        <f ca="1">IFERROR(__xludf.DUMMYFUNCTION("""COMPUTED_VALUE"""),42593.6666666666)</f>
        <v>42593.666666666599</v>
      </c>
      <c r="N324" s="3">
        <f ca="1">IFERROR(__xludf.DUMMYFUNCTION("""COMPUTED_VALUE"""),55.18)</f>
        <v>55.18</v>
      </c>
      <c r="O324" s="3">
        <f ca="1">IFERROR(__xludf.DUMMYFUNCTION("""COMPUTED_VALUE"""),55.18)</f>
        <v>55.18</v>
      </c>
      <c r="P324" s="3">
        <f ca="1">IFERROR(__xludf.DUMMYFUNCTION("""COMPUTED_VALUE"""),54.88)</f>
        <v>54.88</v>
      </c>
      <c r="Q324" s="3">
        <f ca="1">IFERROR(__xludf.DUMMYFUNCTION("""COMPUTED_VALUE"""),54.9)</f>
        <v>54.9</v>
      </c>
      <c r="R324" s="3">
        <f ca="1">IFERROR(__xludf.DUMMYFUNCTION("""COMPUTED_VALUE"""),8082993)</f>
        <v>8082993</v>
      </c>
      <c r="S324" s="4">
        <f ca="1">IFERROR(__xludf.DUMMYFUNCTION("""COMPUTED_VALUE"""),42593.6666666666)</f>
        <v>42593.666666666599</v>
      </c>
      <c r="T324" s="3">
        <f ca="1">IFERROR(__xludf.DUMMYFUNCTION("""COMPUTED_VALUE"""),67.62)</f>
        <v>67.62</v>
      </c>
      <c r="U324" s="3">
        <f ca="1">IFERROR(__xludf.DUMMYFUNCTION("""COMPUTED_VALUE"""),68.61)</f>
        <v>68.61</v>
      </c>
      <c r="V324" s="3">
        <f ca="1">IFERROR(__xludf.DUMMYFUNCTION("""COMPUTED_VALUE"""),67.47)</f>
        <v>67.47</v>
      </c>
      <c r="W324" s="3">
        <f ca="1">IFERROR(__xludf.DUMMYFUNCTION("""COMPUTED_VALUE"""),68.32)</f>
        <v>68.319999999999993</v>
      </c>
      <c r="X324" s="3">
        <f ca="1">IFERROR(__xludf.DUMMYFUNCTION("""COMPUTED_VALUE"""),17429739)</f>
        <v>17429739</v>
      </c>
      <c r="Y324" s="4">
        <f ca="1">IFERROR(__xludf.DUMMYFUNCTION("""COMPUTED_VALUE"""),42593.6666666666)</f>
        <v>42593.666666666599</v>
      </c>
      <c r="Z324" s="3">
        <f ca="1">IFERROR(__xludf.DUMMYFUNCTION("""COMPUTED_VALUE"""),19.43)</f>
        <v>19.43</v>
      </c>
      <c r="AA324" s="3">
        <f ca="1">IFERROR(__xludf.DUMMYFUNCTION("""COMPUTED_VALUE"""),19.48)</f>
        <v>19.48</v>
      </c>
      <c r="AB324" s="3">
        <f ca="1">IFERROR(__xludf.DUMMYFUNCTION("""COMPUTED_VALUE"""),19.36)</f>
        <v>19.36</v>
      </c>
      <c r="AC324" s="3">
        <f ca="1">IFERROR(__xludf.DUMMYFUNCTION("""COMPUTED_VALUE"""),19.43)</f>
        <v>19.43</v>
      </c>
      <c r="AD324" s="3">
        <f ca="1">IFERROR(__xludf.DUMMYFUNCTION("""COMPUTED_VALUE"""),20422059)</f>
        <v>20422059</v>
      </c>
      <c r="AE324" s="4">
        <f ca="1">IFERROR(__xludf.DUMMYFUNCTION("""COMPUTED_VALUE"""),42593.6666666666)</f>
        <v>42593.666666666599</v>
      </c>
      <c r="AF324" s="3">
        <f ca="1">IFERROR(__xludf.DUMMYFUNCTION("""COMPUTED_VALUE"""),74.74)</f>
        <v>74.739999999999995</v>
      </c>
      <c r="AG324" s="3">
        <f ca="1">IFERROR(__xludf.DUMMYFUNCTION("""COMPUTED_VALUE"""),75.05)</f>
        <v>75.05</v>
      </c>
      <c r="AH324" s="3">
        <f ca="1">IFERROR(__xludf.DUMMYFUNCTION("""COMPUTED_VALUE"""),74.6)</f>
        <v>74.599999999999994</v>
      </c>
      <c r="AI324" s="3">
        <f ca="1">IFERROR(__xludf.DUMMYFUNCTION("""COMPUTED_VALUE"""),74.97)</f>
        <v>74.97</v>
      </c>
      <c r="AJ324" s="3">
        <f ca="1">IFERROR(__xludf.DUMMYFUNCTION("""COMPUTED_VALUE"""),6599846)</f>
        <v>6599846</v>
      </c>
      <c r="AK324" s="4">
        <f ca="1">IFERROR(__xludf.DUMMYFUNCTION("""COMPUTED_VALUE"""),42593.6666666666)</f>
        <v>42593.666666666599</v>
      </c>
      <c r="AL324" s="3">
        <f ca="1">IFERROR(__xludf.DUMMYFUNCTION("""COMPUTED_VALUE"""),58.5)</f>
        <v>58.5</v>
      </c>
      <c r="AM324" s="3">
        <f ca="1">IFERROR(__xludf.DUMMYFUNCTION("""COMPUTED_VALUE"""),58.82)</f>
        <v>58.82</v>
      </c>
      <c r="AN324" s="3">
        <f ca="1">IFERROR(__xludf.DUMMYFUNCTION("""COMPUTED_VALUE"""),58.48)</f>
        <v>58.48</v>
      </c>
      <c r="AO324" s="3">
        <f ca="1">IFERROR(__xludf.DUMMYFUNCTION("""COMPUTED_VALUE"""),58.72)</f>
        <v>58.72</v>
      </c>
      <c r="AP324" s="3">
        <f ca="1">IFERROR(__xludf.DUMMYFUNCTION("""COMPUTED_VALUE"""),8172109)</f>
        <v>8172109</v>
      </c>
      <c r="AQ324" s="4">
        <f ca="1">IFERROR(__xludf.DUMMYFUNCTION("""COMPUTED_VALUE"""),42593.6666666666)</f>
        <v>42593.666666666599</v>
      </c>
      <c r="AR324" s="3">
        <f ca="1">IFERROR(__xludf.DUMMYFUNCTION("""COMPUTED_VALUE"""),48.97)</f>
        <v>48.97</v>
      </c>
      <c r="AS324" s="3">
        <f ca="1">IFERROR(__xludf.DUMMYFUNCTION("""COMPUTED_VALUE"""),49.03)</f>
        <v>49.03</v>
      </c>
      <c r="AT324" s="3">
        <f ca="1">IFERROR(__xludf.DUMMYFUNCTION("""COMPUTED_VALUE"""),48.68)</f>
        <v>48.68</v>
      </c>
      <c r="AU324" s="3">
        <f ca="1">IFERROR(__xludf.DUMMYFUNCTION("""COMPUTED_VALUE"""),48.94)</f>
        <v>48.94</v>
      </c>
      <c r="AV324" s="3">
        <f ca="1">IFERROR(__xludf.DUMMYFUNCTION("""COMPUTED_VALUE"""),2695719)</f>
        <v>2695719</v>
      </c>
      <c r="AW324" s="4">
        <f ca="1">IFERROR(__xludf.DUMMYFUNCTION("""COMPUTED_VALUE"""),42760.6666666666)</f>
        <v>42760.666666666599</v>
      </c>
      <c r="AX324" s="3">
        <f ca="1">IFERROR(__xludf.DUMMYFUNCTION("""COMPUTED_VALUE"""),31.25)</f>
        <v>31.25</v>
      </c>
      <c r="AY324" s="3">
        <f ca="1">IFERROR(__xludf.DUMMYFUNCTION("""COMPUTED_VALUE"""),31.25)</f>
        <v>31.25</v>
      </c>
      <c r="AZ324" s="3">
        <f ca="1">IFERROR(__xludf.DUMMYFUNCTION("""COMPUTED_VALUE"""),30.82)</f>
        <v>30.82</v>
      </c>
      <c r="BA324" s="3">
        <f ca="1">IFERROR(__xludf.DUMMYFUNCTION("""COMPUTED_VALUE"""),30.91)</f>
        <v>30.91</v>
      </c>
      <c r="BB324" s="3">
        <f ca="1">IFERROR(__xludf.DUMMYFUNCTION("""COMPUTED_VALUE"""),1630775)</f>
        <v>1630775</v>
      </c>
      <c r="BC324" s="4">
        <f ca="1">IFERROR(__xludf.DUMMYFUNCTION("""COMPUTED_VALUE"""),42593.6666666666)</f>
        <v>42593.666666666599</v>
      </c>
      <c r="BD324" s="3">
        <f ca="1">IFERROR(__xludf.DUMMYFUNCTION("""COMPUTED_VALUE"""),47.14)</f>
        <v>47.14</v>
      </c>
      <c r="BE324" s="3">
        <f ca="1">IFERROR(__xludf.DUMMYFUNCTION("""COMPUTED_VALUE"""),47.29)</f>
        <v>47.29</v>
      </c>
      <c r="BF324" s="3">
        <f ca="1">IFERROR(__xludf.DUMMYFUNCTION("""COMPUTED_VALUE"""),47.09)</f>
        <v>47.09</v>
      </c>
      <c r="BG324" s="3">
        <f ca="1">IFERROR(__xludf.DUMMYFUNCTION("""COMPUTED_VALUE"""),47.16)</f>
        <v>47.16</v>
      </c>
      <c r="BH324" s="3">
        <f ca="1">IFERROR(__xludf.DUMMYFUNCTION("""COMPUTED_VALUE"""),5259325)</f>
        <v>5259325</v>
      </c>
      <c r="BI324" s="4">
        <f ca="1">IFERROR(__xludf.DUMMYFUNCTION("""COMPUTED_VALUE"""),42593.6666666666)</f>
        <v>42593.666666666599</v>
      </c>
      <c r="BJ324" s="3">
        <f ca="1">IFERROR(__xludf.DUMMYFUNCTION("""COMPUTED_VALUE"""),50.7)</f>
        <v>50.7</v>
      </c>
      <c r="BK324" s="3">
        <f ca="1">IFERROR(__xludf.DUMMYFUNCTION("""COMPUTED_VALUE"""),50.86)</f>
        <v>50.86</v>
      </c>
      <c r="BL324" s="3">
        <f ca="1">IFERROR(__xludf.DUMMYFUNCTION("""COMPUTED_VALUE"""),50.55)</f>
        <v>50.55</v>
      </c>
      <c r="BM324" s="3">
        <f ca="1">IFERROR(__xludf.DUMMYFUNCTION("""COMPUTED_VALUE"""),50.83)</f>
        <v>50.83</v>
      </c>
      <c r="BN324" s="3">
        <f ca="1">IFERROR(__xludf.DUMMYFUNCTION("""COMPUTED_VALUE"""),9481474)</f>
        <v>9481474</v>
      </c>
    </row>
    <row r="325" spans="7:66" ht="13" x14ac:dyDescent="0.15">
      <c r="G325" s="4">
        <f ca="1">IFERROR(__xludf.DUMMYFUNCTION("""COMPUTED_VALUE"""),42594.6666666666)</f>
        <v>42594.666666666599</v>
      </c>
      <c r="H325" s="3">
        <f ca="1">IFERROR(__xludf.DUMMYFUNCTION("""COMPUTED_VALUE"""),81.87)</f>
        <v>81.87</v>
      </c>
      <c r="I325" s="3">
        <f ca="1">IFERROR(__xludf.DUMMYFUNCTION("""COMPUTED_VALUE"""),82.2)</f>
        <v>82.2</v>
      </c>
      <c r="J325" s="3">
        <f ca="1">IFERROR(__xludf.DUMMYFUNCTION("""COMPUTED_VALUE"""),81.42)</f>
        <v>81.42</v>
      </c>
      <c r="K325" s="3">
        <f ca="1">IFERROR(__xludf.DUMMYFUNCTION("""COMPUTED_VALUE"""),82)</f>
        <v>82</v>
      </c>
      <c r="L325" s="3">
        <f ca="1">IFERROR(__xludf.DUMMYFUNCTION("""COMPUTED_VALUE"""),2456627)</f>
        <v>2456627</v>
      </c>
      <c r="M325" s="4">
        <f ca="1">IFERROR(__xludf.DUMMYFUNCTION("""COMPUTED_VALUE"""),42594.6666666666)</f>
        <v>42594.666666666599</v>
      </c>
      <c r="N325" s="3">
        <f ca="1">IFERROR(__xludf.DUMMYFUNCTION("""COMPUTED_VALUE"""),55)</f>
        <v>55</v>
      </c>
      <c r="O325" s="3">
        <f ca="1">IFERROR(__xludf.DUMMYFUNCTION("""COMPUTED_VALUE"""),55.15)</f>
        <v>55.15</v>
      </c>
      <c r="P325" s="3">
        <f ca="1">IFERROR(__xludf.DUMMYFUNCTION("""COMPUTED_VALUE"""),54.96)</f>
        <v>54.96</v>
      </c>
      <c r="Q325" s="3">
        <f ca="1">IFERROR(__xludf.DUMMYFUNCTION("""COMPUTED_VALUE"""),55.09)</f>
        <v>55.09</v>
      </c>
      <c r="R325" s="3">
        <f ca="1">IFERROR(__xludf.DUMMYFUNCTION("""COMPUTED_VALUE"""),8783845)</f>
        <v>8783845</v>
      </c>
      <c r="S325" s="4">
        <f ca="1">IFERROR(__xludf.DUMMYFUNCTION("""COMPUTED_VALUE"""),42594.6666666666)</f>
        <v>42594.666666666599</v>
      </c>
      <c r="T325" s="3">
        <f ca="1">IFERROR(__xludf.DUMMYFUNCTION("""COMPUTED_VALUE"""),68.5)</f>
        <v>68.5</v>
      </c>
      <c r="U325" s="3">
        <f ca="1">IFERROR(__xludf.DUMMYFUNCTION("""COMPUTED_VALUE"""),68.91)</f>
        <v>68.91</v>
      </c>
      <c r="V325" s="3">
        <f ca="1">IFERROR(__xludf.DUMMYFUNCTION("""COMPUTED_VALUE"""),68.32)</f>
        <v>68.319999999999993</v>
      </c>
      <c r="W325" s="3">
        <f ca="1">IFERROR(__xludf.DUMMYFUNCTION("""COMPUTED_VALUE"""),68.7)</f>
        <v>68.7</v>
      </c>
      <c r="X325" s="3">
        <f ca="1">IFERROR(__xludf.DUMMYFUNCTION("""COMPUTED_VALUE"""),10189672)</f>
        <v>10189672</v>
      </c>
      <c r="Y325" s="4">
        <f ca="1">IFERROR(__xludf.DUMMYFUNCTION("""COMPUTED_VALUE"""),42594.6666666666)</f>
        <v>42594.666666666599</v>
      </c>
      <c r="Z325" s="3">
        <f ca="1">IFERROR(__xludf.DUMMYFUNCTION("""COMPUTED_VALUE"""),19.3)</f>
        <v>19.3</v>
      </c>
      <c r="AA325" s="3">
        <f ca="1">IFERROR(__xludf.DUMMYFUNCTION("""COMPUTED_VALUE"""),19.41)</f>
        <v>19.41</v>
      </c>
      <c r="AB325" s="3">
        <f ca="1">IFERROR(__xludf.DUMMYFUNCTION("""COMPUTED_VALUE"""),19.29)</f>
        <v>19.29</v>
      </c>
      <c r="AC325" s="3">
        <f ca="1">IFERROR(__xludf.DUMMYFUNCTION("""COMPUTED_VALUE"""),19.38)</f>
        <v>19.38</v>
      </c>
      <c r="AD325" s="3">
        <f ca="1">IFERROR(__xludf.DUMMYFUNCTION("""COMPUTED_VALUE"""),23445558)</f>
        <v>23445558</v>
      </c>
      <c r="AE325" s="4">
        <f ca="1">IFERROR(__xludf.DUMMYFUNCTION("""COMPUTED_VALUE"""),42594.6666666666)</f>
        <v>42594.666666666599</v>
      </c>
      <c r="AF325" s="3">
        <f ca="1">IFERROR(__xludf.DUMMYFUNCTION("""COMPUTED_VALUE"""),74.83)</f>
        <v>74.83</v>
      </c>
      <c r="AG325" s="3">
        <f ca="1">IFERROR(__xludf.DUMMYFUNCTION("""COMPUTED_VALUE"""),74.86)</f>
        <v>74.86</v>
      </c>
      <c r="AH325" s="3">
        <f ca="1">IFERROR(__xludf.DUMMYFUNCTION("""COMPUTED_VALUE"""),74.51)</f>
        <v>74.510000000000005</v>
      </c>
      <c r="AI325" s="3">
        <f ca="1">IFERROR(__xludf.DUMMYFUNCTION("""COMPUTED_VALUE"""),74.78)</f>
        <v>74.78</v>
      </c>
      <c r="AJ325" s="3">
        <f ca="1">IFERROR(__xludf.DUMMYFUNCTION("""COMPUTED_VALUE"""),6211941)</f>
        <v>6211941</v>
      </c>
      <c r="AK325" s="4">
        <f ca="1">IFERROR(__xludf.DUMMYFUNCTION("""COMPUTED_VALUE"""),42594.6666666666)</f>
        <v>42594.666666666599</v>
      </c>
      <c r="AL325" s="3">
        <f ca="1">IFERROR(__xludf.DUMMYFUNCTION("""COMPUTED_VALUE"""),58.62)</f>
        <v>58.62</v>
      </c>
      <c r="AM325" s="3">
        <f ca="1">IFERROR(__xludf.DUMMYFUNCTION("""COMPUTED_VALUE"""),58.68)</f>
        <v>58.68</v>
      </c>
      <c r="AN325" s="3">
        <f ca="1">IFERROR(__xludf.DUMMYFUNCTION("""COMPUTED_VALUE"""),58.46)</f>
        <v>58.46</v>
      </c>
      <c r="AO325" s="3">
        <f ca="1">IFERROR(__xludf.DUMMYFUNCTION("""COMPUTED_VALUE"""),58.56)</f>
        <v>58.56</v>
      </c>
      <c r="AP325" s="3">
        <f ca="1">IFERROR(__xludf.DUMMYFUNCTION("""COMPUTED_VALUE"""),4357395)</f>
        <v>4357395</v>
      </c>
      <c r="AQ325" s="4">
        <f ca="1">IFERROR(__xludf.DUMMYFUNCTION("""COMPUTED_VALUE"""),42594.6666666666)</f>
        <v>42594.666666666599</v>
      </c>
      <c r="AR325" s="3">
        <f ca="1">IFERROR(__xludf.DUMMYFUNCTION("""COMPUTED_VALUE"""),48.94)</f>
        <v>48.94</v>
      </c>
      <c r="AS325" s="3">
        <f ca="1">IFERROR(__xludf.DUMMYFUNCTION("""COMPUTED_VALUE"""),48.99)</f>
        <v>48.99</v>
      </c>
      <c r="AT325" s="3">
        <f ca="1">IFERROR(__xludf.DUMMYFUNCTION("""COMPUTED_VALUE"""),48.32)</f>
        <v>48.32</v>
      </c>
      <c r="AU325" s="3">
        <f ca="1">IFERROR(__xludf.DUMMYFUNCTION("""COMPUTED_VALUE"""),48.42)</f>
        <v>48.42</v>
      </c>
      <c r="AV325" s="3">
        <f ca="1">IFERROR(__xludf.DUMMYFUNCTION("""COMPUTED_VALUE"""),3382188)</f>
        <v>3382188</v>
      </c>
      <c r="AW325" s="4">
        <f ca="1">IFERROR(__xludf.DUMMYFUNCTION("""COMPUTED_VALUE"""),42761.6666666666)</f>
        <v>42761.666666666599</v>
      </c>
      <c r="AX325" s="3">
        <f ca="1">IFERROR(__xludf.DUMMYFUNCTION("""COMPUTED_VALUE"""),30.91)</f>
        <v>30.91</v>
      </c>
      <c r="AY325" s="3">
        <f ca="1">IFERROR(__xludf.DUMMYFUNCTION("""COMPUTED_VALUE"""),31.1)</f>
        <v>31.1</v>
      </c>
      <c r="AZ325" s="3">
        <f ca="1">IFERROR(__xludf.DUMMYFUNCTION("""COMPUTED_VALUE"""),30.86)</f>
        <v>30.86</v>
      </c>
      <c r="BA325" s="3">
        <f ca="1">IFERROR(__xludf.DUMMYFUNCTION("""COMPUTED_VALUE"""),30.89)</f>
        <v>30.89</v>
      </c>
      <c r="BB325" s="3">
        <f ca="1">IFERROR(__xludf.DUMMYFUNCTION("""COMPUTED_VALUE"""),1486031)</f>
        <v>1486031</v>
      </c>
      <c r="BC325" s="4">
        <f ca="1">IFERROR(__xludf.DUMMYFUNCTION("""COMPUTED_VALUE"""),42594.6666666666)</f>
        <v>42594.666666666599</v>
      </c>
      <c r="BD325" s="3">
        <f ca="1">IFERROR(__xludf.DUMMYFUNCTION("""COMPUTED_VALUE"""),47.15)</f>
        <v>47.15</v>
      </c>
      <c r="BE325" s="3">
        <f ca="1">IFERROR(__xludf.DUMMYFUNCTION("""COMPUTED_VALUE"""),47.15)</f>
        <v>47.15</v>
      </c>
      <c r="BF325" s="3">
        <f ca="1">IFERROR(__xludf.DUMMYFUNCTION("""COMPUTED_VALUE"""),47.01)</f>
        <v>47.01</v>
      </c>
      <c r="BG325" s="3">
        <f ca="1">IFERROR(__xludf.DUMMYFUNCTION("""COMPUTED_VALUE"""),47.11)</f>
        <v>47.11</v>
      </c>
      <c r="BH325" s="3">
        <f ca="1">IFERROR(__xludf.DUMMYFUNCTION("""COMPUTED_VALUE"""),3468714)</f>
        <v>3468714</v>
      </c>
      <c r="BI325" s="4">
        <f ca="1">IFERROR(__xludf.DUMMYFUNCTION("""COMPUTED_VALUE"""),42594.6666666666)</f>
        <v>42594.666666666599</v>
      </c>
      <c r="BJ325" s="3">
        <f ca="1">IFERROR(__xludf.DUMMYFUNCTION("""COMPUTED_VALUE"""),51.01)</f>
        <v>51.01</v>
      </c>
      <c r="BK325" s="3">
        <f ca="1">IFERROR(__xludf.DUMMYFUNCTION("""COMPUTED_VALUE"""),51.27)</f>
        <v>51.27</v>
      </c>
      <c r="BL325" s="3">
        <f ca="1">IFERROR(__xludf.DUMMYFUNCTION("""COMPUTED_VALUE"""),50.89)</f>
        <v>50.89</v>
      </c>
      <c r="BM325" s="3">
        <f ca="1">IFERROR(__xludf.DUMMYFUNCTION("""COMPUTED_VALUE"""),50.9)</f>
        <v>50.9</v>
      </c>
      <c r="BN325" s="3">
        <f ca="1">IFERROR(__xludf.DUMMYFUNCTION("""COMPUTED_VALUE"""),12161445)</f>
        <v>12161445</v>
      </c>
    </row>
    <row r="326" spans="7:66" ht="13" x14ac:dyDescent="0.15">
      <c r="G326" s="4">
        <f ca="1">IFERROR(__xludf.DUMMYFUNCTION("""COMPUTED_VALUE"""),42597.6666666666)</f>
        <v>42597.666666666599</v>
      </c>
      <c r="H326" s="3">
        <f ca="1">IFERROR(__xludf.DUMMYFUNCTION("""COMPUTED_VALUE"""),82.22)</f>
        <v>82.22</v>
      </c>
      <c r="I326" s="3">
        <f ca="1">IFERROR(__xludf.DUMMYFUNCTION("""COMPUTED_VALUE"""),82.38)</f>
        <v>82.38</v>
      </c>
      <c r="J326" s="3">
        <f ca="1">IFERROR(__xludf.DUMMYFUNCTION("""COMPUTED_VALUE"""),82.11)</f>
        <v>82.11</v>
      </c>
      <c r="K326" s="3">
        <f ca="1">IFERROR(__xludf.DUMMYFUNCTION("""COMPUTED_VALUE"""),82.16)</f>
        <v>82.16</v>
      </c>
      <c r="L326" s="3">
        <f ca="1">IFERROR(__xludf.DUMMYFUNCTION("""COMPUTED_VALUE"""),3070450)</f>
        <v>3070450</v>
      </c>
      <c r="M326" s="4">
        <f ca="1">IFERROR(__xludf.DUMMYFUNCTION("""COMPUTED_VALUE"""),42597.6666666666)</f>
        <v>42597.666666666599</v>
      </c>
      <c r="N326" s="3">
        <f ca="1">IFERROR(__xludf.DUMMYFUNCTION("""COMPUTED_VALUE"""),55.16)</f>
        <v>55.16</v>
      </c>
      <c r="O326" s="3">
        <f ca="1">IFERROR(__xludf.DUMMYFUNCTION("""COMPUTED_VALUE"""),55.25)</f>
        <v>55.25</v>
      </c>
      <c r="P326" s="3">
        <f ca="1">IFERROR(__xludf.DUMMYFUNCTION("""COMPUTED_VALUE"""),54.95)</f>
        <v>54.95</v>
      </c>
      <c r="Q326" s="3">
        <f ca="1">IFERROR(__xludf.DUMMYFUNCTION("""COMPUTED_VALUE"""),54.95)</f>
        <v>54.95</v>
      </c>
      <c r="R326" s="3">
        <f ca="1">IFERROR(__xludf.DUMMYFUNCTION("""COMPUTED_VALUE"""),8568188)</f>
        <v>8568188</v>
      </c>
      <c r="S326" s="4">
        <f ca="1">IFERROR(__xludf.DUMMYFUNCTION("""COMPUTED_VALUE"""),42597.6666666666)</f>
        <v>42597.666666666599</v>
      </c>
      <c r="T326" s="3">
        <f ca="1">IFERROR(__xludf.DUMMYFUNCTION("""COMPUTED_VALUE"""),69.09)</f>
        <v>69.09</v>
      </c>
      <c r="U326" s="3">
        <f ca="1">IFERROR(__xludf.DUMMYFUNCTION("""COMPUTED_VALUE"""),69.39)</f>
        <v>69.39</v>
      </c>
      <c r="V326" s="3">
        <f ca="1">IFERROR(__xludf.DUMMYFUNCTION("""COMPUTED_VALUE"""),68.89)</f>
        <v>68.89</v>
      </c>
      <c r="W326" s="3">
        <f ca="1">IFERROR(__xludf.DUMMYFUNCTION("""COMPUTED_VALUE"""),69.25)</f>
        <v>69.25</v>
      </c>
      <c r="X326" s="3">
        <f ca="1">IFERROR(__xludf.DUMMYFUNCTION("""COMPUTED_VALUE"""),10703381)</f>
        <v>10703381</v>
      </c>
      <c r="Y326" s="4">
        <f ca="1">IFERROR(__xludf.DUMMYFUNCTION("""COMPUTED_VALUE"""),42597.6666666666)</f>
        <v>42597.666666666599</v>
      </c>
      <c r="Z326" s="3">
        <f ca="1">IFERROR(__xludf.DUMMYFUNCTION("""COMPUTED_VALUE"""),19.45)</f>
        <v>19.45</v>
      </c>
      <c r="AA326" s="3">
        <f ca="1">IFERROR(__xludf.DUMMYFUNCTION("""COMPUTED_VALUE"""),19.52)</f>
        <v>19.52</v>
      </c>
      <c r="AB326" s="3">
        <f ca="1">IFERROR(__xludf.DUMMYFUNCTION("""COMPUTED_VALUE"""),19.43)</f>
        <v>19.43</v>
      </c>
      <c r="AC326" s="3">
        <f ca="1">IFERROR(__xludf.DUMMYFUNCTION("""COMPUTED_VALUE"""),19.51)</f>
        <v>19.510000000000002</v>
      </c>
      <c r="AD326" s="3">
        <f ca="1">IFERROR(__xludf.DUMMYFUNCTION("""COMPUTED_VALUE"""),21345203)</f>
        <v>21345203</v>
      </c>
      <c r="AE326" s="4">
        <f ca="1">IFERROR(__xludf.DUMMYFUNCTION("""COMPUTED_VALUE"""),42597.6666666666)</f>
        <v>42597.666666666599</v>
      </c>
      <c r="AF326" s="3">
        <f ca="1">IFERROR(__xludf.DUMMYFUNCTION("""COMPUTED_VALUE"""),74.78)</f>
        <v>74.78</v>
      </c>
      <c r="AG326" s="3">
        <f ca="1">IFERROR(__xludf.DUMMYFUNCTION("""COMPUTED_VALUE"""),75.08)</f>
        <v>75.08</v>
      </c>
      <c r="AH326" s="3">
        <f ca="1">IFERROR(__xludf.DUMMYFUNCTION("""COMPUTED_VALUE"""),74.78)</f>
        <v>74.78</v>
      </c>
      <c r="AI326" s="3">
        <f ca="1">IFERROR(__xludf.DUMMYFUNCTION("""COMPUTED_VALUE"""),74.91)</f>
        <v>74.91</v>
      </c>
      <c r="AJ326" s="3">
        <f ca="1">IFERROR(__xludf.DUMMYFUNCTION("""COMPUTED_VALUE"""),4122513)</f>
        <v>4122513</v>
      </c>
      <c r="AK326" s="4">
        <f ca="1">IFERROR(__xludf.DUMMYFUNCTION("""COMPUTED_VALUE"""),42597.6666666666)</f>
        <v>42597.666666666599</v>
      </c>
      <c r="AL326" s="3">
        <f ca="1">IFERROR(__xludf.DUMMYFUNCTION("""COMPUTED_VALUE"""),58.73)</f>
        <v>58.73</v>
      </c>
      <c r="AM326" s="3">
        <f ca="1">IFERROR(__xludf.DUMMYFUNCTION("""COMPUTED_VALUE"""),59.02)</f>
        <v>59.02</v>
      </c>
      <c r="AN326" s="3">
        <f ca="1">IFERROR(__xludf.DUMMYFUNCTION("""COMPUTED_VALUE"""),58.69)</f>
        <v>58.69</v>
      </c>
      <c r="AO326" s="3">
        <f ca="1">IFERROR(__xludf.DUMMYFUNCTION("""COMPUTED_VALUE"""),58.95)</f>
        <v>58.95</v>
      </c>
      <c r="AP326" s="3">
        <f ca="1">IFERROR(__xludf.DUMMYFUNCTION("""COMPUTED_VALUE"""),8643489)</f>
        <v>8643489</v>
      </c>
      <c r="AQ326" s="4">
        <f ca="1">IFERROR(__xludf.DUMMYFUNCTION("""COMPUTED_VALUE"""),42597.6666666666)</f>
        <v>42597.666666666599</v>
      </c>
      <c r="AR326" s="3">
        <f ca="1">IFERROR(__xludf.DUMMYFUNCTION("""COMPUTED_VALUE"""),48.59)</f>
        <v>48.59</v>
      </c>
      <c r="AS326" s="3">
        <f ca="1">IFERROR(__xludf.DUMMYFUNCTION("""COMPUTED_VALUE"""),49.03)</f>
        <v>49.03</v>
      </c>
      <c r="AT326" s="3">
        <f ca="1">IFERROR(__xludf.DUMMYFUNCTION("""COMPUTED_VALUE"""),48.56)</f>
        <v>48.56</v>
      </c>
      <c r="AU326" s="3">
        <f ca="1">IFERROR(__xludf.DUMMYFUNCTION("""COMPUTED_VALUE"""),48.91)</f>
        <v>48.91</v>
      </c>
      <c r="AV326" s="3">
        <f ca="1">IFERROR(__xludf.DUMMYFUNCTION("""COMPUTED_VALUE"""),2317074)</f>
        <v>2317074</v>
      </c>
      <c r="AW326" s="4">
        <f ca="1">IFERROR(__xludf.DUMMYFUNCTION("""COMPUTED_VALUE"""),42762.6666666666)</f>
        <v>42762.666666666599</v>
      </c>
      <c r="AX326" s="3">
        <f ca="1">IFERROR(__xludf.DUMMYFUNCTION("""COMPUTED_VALUE"""),30.97)</f>
        <v>30.97</v>
      </c>
      <c r="AY326" s="3">
        <f ca="1">IFERROR(__xludf.DUMMYFUNCTION("""COMPUTED_VALUE"""),31)</f>
        <v>31</v>
      </c>
      <c r="AZ326" s="3">
        <f ca="1">IFERROR(__xludf.DUMMYFUNCTION("""COMPUTED_VALUE"""),30.52)</f>
        <v>30.52</v>
      </c>
      <c r="BA326" s="3">
        <f ca="1">IFERROR(__xludf.DUMMYFUNCTION("""COMPUTED_VALUE"""),30.63)</f>
        <v>30.63</v>
      </c>
      <c r="BB326" s="3">
        <f ca="1">IFERROR(__xludf.DUMMYFUNCTION("""COMPUTED_VALUE"""),1649797)</f>
        <v>1649797</v>
      </c>
      <c r="BC326" s="4">
        <f ca="1">IFERROR(__xludf.DUMMYFUNCTION("""COMPUTED_VALUE"""),42597.6666666666)</f>
        <v>42597.666666666599</v>
      </c>
      <c r="BD326" s="3">
        <f ca="1">IFERROR(__xludf.DUMMYFUNCTION("""COMPUTED_VALUE"""),47.17)</f>
        <v>47.17</v>
      </c>
      <c r="BE326" s="3">
        <f ca="1">IFERROR(__xludf.DUMMYFUNCTION("""COMPUTED_VALUE"""),47.43)</f>
        <v>47.43</v>
      </c>
      <c r="BF326" s="3">
        <f ca="1">IFERROR(__xludf.DUMMYFUNCTION("""COMPUTED_VALUE"""),47.14)</f>
        <v>47.14</v>
      </c>
      <c r="BG326" s="3">
        <f ca="1">IFERROR(__xludf.DUMMYFUNCTION("""COMPUTED_VALUE"""),47.34)</f>
        <v>47.34</v>
      </c>
      <c r="BH326" s="3">
        <f ca="1">IFERROR(__xludf.DUMMYFUNCTION("""COMPUTED_VALUE"""),8280742)</f>
        <v>8280742</v>
      </c>
      <c r="BI326" s="4">
        <f ca="1">IFERROR(__xludf.DUMMYFUNCTION("""COMPUTED_VALUE"""),42597.6666666666)</f>
        <v>42597.666666666599</v>
      </c>
      <c r="BJ326" s="3">
        <f ca="1">IFERROR(__xludf.DUMMYFUNCTION("""COMPUTED_VALUE"""),50.9)</f>
        <v>50.9</v>
      </c>
      <c r="BK326" s="3">
        <f ca="1">IFERROR(__xludf.DUMMYFUNCTION("""COMPUTED_VALUE"""),51.08)</f>
        <v>51.08</v>
      </c>
      <c r="BL326" s="3">
        <f ca="1">IFERROR(__xludf.DUMMYFUNCTION("""COMPUTED_VALUE"""),50.12)</f>
        <v>50.12</v>
      </c>
      <c r="BM326" s="3">
        <f ca="1">IFERROR(__xludf.DUMMYFUNCTION("""COMPUTED_VALUE"""),50.12)</f>
        <v>50.12</v>
      </c>
      <c r="BN326" s="3">
        <f ca="1">IFERROR(__xludf.DUMMYFUNCTION("""COMPUTED_VALUE"""),12634445)</f>
        <v>12634445</v>
      </c>
    </row>
    <row r="327" spans="7:66" ht="13" x14ac:dyDescent="0.15">
      <c r="G327" s="4">
        <f ca="1">IFERROR(__xludf.DUMMYFUNCTION("""COMPUTED_VALUE"""),42598.6666666666)</f>
        <v>42598.666666666599</v>
      </c>
      <c r="H327" s="3">
        <f ca="1">IFERROR(__xludf.DUMMYFUNCTION("""COMPUTED_VALUE"""),81.96)</f>
        <v>81.96</v>
      </c>
      <c r="I327" s="3">
        <f ca="1">IFERROR(__xludf.DUMMYFUNCTION("""COMPUTED_VALUE"""),82.06)</f>
        <v>82.06</v>
      </c>
      <c r="J327" s="3">
        <f ca="1">IFERROR(__xludf.DUMMYFUNCTION("""COMPUTED_VALUE"""),81.63)</f>
        <v>81.63</v>
      </c>
      <c r="K327" s="3">
        <f ca="1">IFERROR(__xludf.DUMMYFUNCTION("""COMPUTED_VALUE"""),81.69)</f>
        <v>81.69</v>
      </c>
      <c r="L327" s="3">
        <f ca="1">IFERROR(__xludf.DUMMYFUNCTION("""COMPUTED_VALUE"""),2307926)</f>
        <v>2307926</v>
      </c>
      <c r="M327" s="4">
        <f ca="1">IFERROR(__xludf.DUMMYFUNCTION("""COMPUTED_VALUE"""),42598.6666666666)</f>
        <v>42598.666666666599</v>
      </c>
      <c r="N327" s="3">
        <f ca="1">IFERROR(__xludf.DUMMYFUNCTION("""COMPUTED_VALUE"""),54.87)</f>
        <v>54.87</v>
      </c>
      <c r="O327" s="3">
        <f ca="1">IFERROR(__xludf.DUMMYFUNCTION("""COMPUTED_VALUE"""),54.88)</f>
        <v>54.88</v>
      </c>
      <c r="P327" s="3">
        <f ca="1">IFERROR(__xludf.DUMMYFUNCTION("""COMPUTED_VALUE"""),54.7)</f>
        <v>54.7</v>
      </c>
      <c r="Q327" s="3">
        <f ca="1">IFERROR(__xludf.DUMMYFUNCTION("""COMPUTED_VALUE"""),54.71)</f>
        <v>54.71</v>
      </c>
      <c r="R327" s="3">
        <f ca="1">IFERROR(__xludf.DUMMYFUNCTION("""COMPUTED_VALUE"""),6712120)</f>
        <v>6712120</v>
      </c>
      <c r="S327" s="4">
        <f ca="1">IFERROR(__xludf.DUMMYFUNCTION("""COMPUTED_VALUE"""),42598.6666666666)</f>
        <v>42598.666666666599</v>
      </c>
      <c r="T327" s="3">
        <f ca="1">IFERROR(__xludf.DUMMYFUNCTION("""COMPUTED_VALUE"""),69.13)</f>
        <v>69.13</v>
      </c>
      <c r="U327" s="3">
        <f ca="1">IFERROR(__xludf.DUMMYFUNCTION("""COMPUTED_VALUE"""),69.58)</f>
        <v>69.58</v>
      </c>
      <c r="V327" s="3">
        <f ca="1">IFERROR(__xludf.DUMMYFUNCTION("""COMPUTED_VALUE"""),68.71)</f>
        <v>68.709999999999994</v>
      </c>
      <c r="W327" s="3">
        <f ca="1">IFERROR(__xludf.DUMMYFUNCTION("""COMPUTED_VALUE"""),69.36)</f>
        <v>69.36</v>
      </c>
      <c r="X327" s="3">
        <f ca="1">IFERROR(__xludf.DUMMYFUNCTION("""COMPUTED_VALUE"""),10242759)</f>
        <v>10242759</v>
      </c>
      <c r="Y327" s="4">
        <f ca="1">IFERROR(__xludf.DUMMYFUNCTION("""COMPUTED_VALUE"""),42598.6666666666)</f>
        <v>42598.666666666599</v>
      </c>
      <c r="Z327" s="3">
        <f ca="1">IFERROR(__xludf.DUMMYFUNCTION("""COMPUTED_VALUE"""),19.47)</f>
        <v>19.47</v>
      </c>
      <c r="AA327" s="3">
        <f ca="1">IFERROR(__xludf.DUMMYFUNCTION("""COMPUTED_VALUE"""),19.5)</f>
        <v>19.5</v>
      </c>
      <c r="AB327" s="3">
        <f ca="1">IFERROR(__xludf.DUMMYFUNCTION("""COMPUTED_VALUE"""),19.41)</f>
        <v>19.41</v>
      </c>
      <c r="AC327" s="3">
        <f ca="1">IFERROR(__xludf.DUMMYFUNCTION("""COMPUTED_VALUE"""),19.46)</f>
        <v>19.46</v>
      </c>
      <c r="AD327" s="3">
        <f ca="1">IFERROR(__xludf.DUMMYFUNCTION("""COMPUTED_VALUE"""),22451168)</f>
        <v>22451168</v>
      </c>
      <c r="AE327" s="4">
        <f ca="1">IFERROR(__xludf.DUMMYFUNCTION("""COMPUTED_VALUE"""),42598.6666666666)</f>
        <v>42598.666666666599</v>
      </c>
      <c r="AF327" s="3">
        <f ca="1">IFERROR(__xludf.DUMMYFUNCTION("""COMPUTED_VALUE"""),74.8)</f>
        <v>74.8</v>
      </c>
      <c r="AG327" s="3">
        <f ca="1">IFERROR(__xludf.DUMMYFUNCTION("""COMPUTED_VALUE"""),74.81)</f>
        <v>74.81</v>
      </c>
      <c r="AH327" s="3">
        <f ca="1">IFERROR(__xludf.DUMMYFUNCTION("""COMPUTED_VALUE"""),74.24)</f>
        <v>74.239999999999995</v>
      </c>
      <c r="AI327" s="3">
        <f ca="1">IFERROR(__xludf.DUMMYFUNCTION("""COMPUTED_VALUE"""),74.24)</f>
        <v>74.239999999999995</v>
      </c>
      <c r="AJ327" s="3">
        <f ca="1">IFERROR(__xludf.DUMMYFUNCTION("""COMPUTED_VALUE"""),6042305)</f>
        <v>6042305</v>
      </c>
      <c r="AK327" s="4">
        <f ca="1">IFERROR(__xludf.DUMMYFUNCTION("""COMPUTED_VALUE"""),42598.6666666666)</f>
        <v>42598.666666666599</v>
      </c>
      <c r="AL327" s="3">
        <f ca="1">IFERROR(__xludf.DUMMYFUNCTION("""COMPUTED_VALUE"""),58.87)</f>
        <v>58.87</v>
      </c>
      <c r="AM327" s="3">
        <f ca="1">IFERROR(__xludf.DUMMYFUNCTION("""COMPUTED_VALUE"""),58.9)</f>
        <v>58.9</v>
      </c>
      <c r="AN327" s="3">
        <f ca="1">IFERROR(__xludf.DUMMYFUNCTION("""COMPUTED_VALUE"""),58.64)</f>
        <v>58.64</v>
      </c>
      <c r="AO327" s="3">
        <f ca="1">IFERROR(__xludf.DUMMYFUNCTION("""COMPUTED_VALUE"""),58.69)</f>
        <v>58.69</v>
      </c>
      <c r="AP327" s="3">
        <f ca="1">IFERROR(__xludf.DUMMYFUNCTION("""COMPUTED_VALUE"""),4725200)</f>
        <v>4725200</v>
      </c>
      <c r="AQ327" s="4">
        <f ca="1">IFERROR(__xludf.DUMMYFUNCTION("""COMPUTED_VALUE"""),42598.6666666666)</f>
        <v>42598.666666666599</v>
      </c>
      <c r="AR327" s="3">
        <f ca="1">IFERROR(__xludf.DUMMYFUNCTION("""COMPUTED_VALUE"""),48.99)</f>
        <v>48.99</v>
      </c>
      <c r="AS327" s="3">
        <f ca="1">IFERROR(__xludf.DUMMYFUNCTION("""COMPUTED_VALUE"""),49.18)</f>
        <v>49.18</v>
      </c>
      <c r="AT327" s="3">
        <f ca="1">IFERROR(__xludf.DUMMYFUNCTION("""COMPUTED_VALUE"""),48.63)</f>
        <v>48.63</v>
      </c>
      <c r="AU327" s="3">
        <f ca="1">IFERROR(__xludf.DUMMYFUNCTION("""COMPUTED_VALUE"""),48.65)</f>
        <v>48.65</v>
      </c>
      <c r="AV327" s="3">
        <f ca="1">IFERROR(__xludf.DUMMYFUNCTION("""COMPUTED_VALUE"""),3384643)</f>
        <v>3384643</v>
      </c>
      <c r="AW327" s="4">
        <f ca="1">IFERROR(__xludf.DUMMYFUNCTION("""COMPUTED_VALUE"""),42765.6666666666)</f>
        <v>42765.666666666599</v>
      </c>
      <c r="AX327" s="3">
        <f ca="1">IFERROR(__xludf.DUMMYFUNCTION("""COMPUTED_VALUE"""),30.51)</f>
        <v>30.51</v>
      </c>
      <c r="AY327" s="3">
        <f ca="1">IFERROR(__xludf.DUMMYFUNCTION("""COMPUTED_VALUE"""),30.66)</f>
        <v>30.66</v>
      </c>
      <c r="AZ327" s="3">
        <f ca="1">IFERROR(__xludf.DUMMYFUNCTION("""COMPUTED_VALUE"""),30.37)</f>
        <v>30.37</v>
      </c>
      <c r="BA327" s="3">
        <f ca="1">IFERROR(__xludf.DUMMYFUNCTION("""COMPUTED_VALUE"""),30.46)</f>
        <v>30.46</v>
      </c>
      <c r="BB327" s="3">
        <f ca="1">IFERROR(__xludf.DUMMYFUNCTION("""COMPUTED_VALUE"""),2281063)</f>
        <v>2281063</v>
      </c>
      <c r="BC327" s="4">
        <f ca="1">IFERROR(__xludf.DUMMYFUNCTION("""COMPUTED_VALUE"""),42598.6666666666)</f>
        <v>42598.666666666599</v>
      </c>
      <c r="BD327" s="3">
        <f ca="1">IFERROR(__xludf.DUMMYFUNCTION("""COMPUTED_VALUE"""),47.26)</f>
        <v>47.26</v>
      </c>
      <c r="BE327" s="3">
        <f ca="1">IFERROR(__xludf.DUMMYFUNCTION("""COMPUTED_VALUE"""),47.26)</f>
        <v>47.26</v>
      </c>
      <c r="BF327" s="3">
        <f ca="1">IFERROR(__xludf.DUMMYFUNCTION("""COMPUTED_VALUE"""),46.99)</f>
        <v>46.99</v>
      </c>
      <c r="BG327" s="3">
        <f ca="1">IFERROR(__xludf.DUMMYFUNCTION("""COMPUTED_VALUE"""),46.99)</f>
        <v>46.99</v>
      </c>
      <c r="BH327" s="3">
        <f ca="1">IFERROR(__xludf.DUMMYFUNCTION("""COMPUTED_VALUE"""),4538978)</f>
        <v>4538978</v>
      </c>
      <c r="BI327" s="4">
        <f ca="1">IFERROR(__xludf.DUMMYFUNCTION("""COMPUTED_VALUE"""),42598.6666666666)</f>
        <v>42598.666666666599</v>
      </c>
      <c r="BJ327" s="3">
        <f ca="1">IFERROR(__xludf.DUMMYFUNCTION("""COMPUTED_VALUE"""),50)</f>
        <v>50</v>
      </c>
      <c r="BK327" s="3">
        <f ca="1">IFERROR(__xludf.DUMMYFUNCTION("""COMPUTED_VALUE"""),50.03)</f>
        <v>50.03</v>
      </c>
      <c r="BL327" s="3">
        <f ca="1">IFERROR(__xludf.DUMMYFUNCTION("""COMPUTED_VALUE"""),49.53)</f>
        <v>49.53</v>
      </c>
      <c r="BM327" s="3">
        <f ca="1">IFERROR(__xludf.DUMMYFUNCTION("""COMPUTED_VALUE"""),49.53)</f>
        <v>49.53</v>
      </c>
      <c r="BN327" s="3">
        <f ca="1">IFERROR(__xludf.DUMMYFUNCTION("""COMPUTED_VALUE"""),20181642)</f>
        <v>20181642</v>
      </c>
    </row>
    <row r="328" spans="7:66" ht="13" x14ac:dyDescent="0.15">
      <c r="G328" s="4">
        <f ca="1">IFERROR(__xludf.DUMMYFUNCTION("""COMPUTED_VALUE"""),42599.6666666666)</f>
        <v>42599.666666666599</v>
      </c>
      <c r="H328" s="3">
        <f ca="1">IFERROR(__xludf.DUMMYFUNCTION("""COMPUTED_VALUE"""),81.4)</f>
        <v>81.400000000000006</v>
      </c>
      <c r="I328" s="3">
        <f ca="1">IFERROR(__xludf.DUMMYFUNCTION("""COMPUTED_VALUE"""),81.56)</f>
        <v>81.56</v>
      </c>
      <c r="J328" s="3">
        <f ca="1">IFERROR(__xludf.DUMMYFUNCTION("""COMPUTED_VALUE"""),81.01)</f>
        <v>81.010000000000005</v>
      </c>
      <c r="K328" s="3">
        <f ca="1">IFERROR(__xludf.DUMMYFUNCTION("""COMPUTED_VALUE"""),81.5)</f>
        <v>81.5</v>
      </c>
      <c r="L328" s="3">
        <f ca="1">IFERROR(__xludf.DUMMYFUNCTION("""COMPUTED_VALUE"""),3424270)</f>
        <v>3424270</v>
      </c>
      <c r="M328" s="4">
        <f ca="1">IFERROR(__xludf.DUMMYFUNCTION("""COMPUTED_VALUE"""),42599.6666666666)</f>
        <v>42599.666666666599</v>
      </c>
      <c r="N328" s="3">
        <f ca="1">IFERROR(__xludf.DUMMYFUNCTION("""COMPUTED_VALUE"""),54.69)</f>
        <v>54.69</v>
      </c>
      <c r="O328" s="3">
        <f ca="1">IFERROR(__xludf.DUMMYFUNCTION("""COMPUTED_VALUE"""),54.94)</f>
        <v>54.94</v>
      </c>
      <c r="P328" s="3">
        <f ca="1">IFERROR(__xludf.DUMMYFUNCTION("""COMPUTED_VALUE"""),54.49)</f>
        <v>54.49</v>
      </c>
      <c r="Q328" s="3">
        <f ca="1">IFERROR(__xludf.DUMMYFUNCTION("""COMPUTED_VALUE"""),54.86)</f>
        <v>54.86</v>
      </c>
      <c r="R328" s="3">
        <f ca="1">IFERROR(__xludf.DUMMYFUNCTION("""COMPUTED_VALUE"""),12551992)</f>
        <v>12551992</v>
      </c>
      <c r="S328" s="4">
        <f ca="1">IFERROR(__xludf.DUMMYFUNCTION("""COMPUTED_VALUE"""),42599.6666666666)</f>
        <v>42599.666666666599</v>
      </c>
      <c r="T328" s="3">
        <f ca="1">IFERROR(__xludf.DUMMYFUNCTION("""COMPUTED_VALUE"""),69.02)</f>
        <v>69.02</v>
      </c>
      <c r="U328" s="3">
        <f ca="1">IFERROR(__xludf.DUMMYFUNCTION("""COMPUTED_VALUE"""),69.61)</f>
        <v>69.61</v>
      </c>
      <c r="V328" s="3">
        <f ca="1">IFERROR(__xludf.DUMMYFUNCTION("""COMPUTED_VALUE"""),68.95)</f>
        <v>68.95</v>
      </c>
      <c r="W328" s="3">
        <f ca="1">IFERROR(__xludf.DUMMYFUNCTION("""COMPUTED_VALUE"""),69.57)</f>
        <v>69.569999999999993</v>
      </c>
      <c r="X328" s="3">
        <f ca="1">IFERROR(__xludf.DUMMYFUNCTION("""COMPUTED_VALUE"""),14719471)</f>
        <v>14719471</v>
      </c>
      <c r="Y328" s="4">
        <f ca="1">IFERROR(__xludf.DUMMYFUNCTION("""COMPUTED_VALUE"""),42599.6666666666)</f>
        <v>42599.666666666599</v>
      </c>
      <c r="Z328" s="3">
        <f ca="1">IFERROR(__xludf.DUMMYFUNCTION("""COMPUTED_VALUE"""),19.46)</f>
        <v>19.46</v>
      </c>
      <c r="AA328" s="3">
        <f ca="1">IFERROR(__xludf.DUMMYFUNCTION("""COMPUTED_VALUE"""),19.53)</f>
        <v>19.53</v>
      </c>
      <c r="AB328" s="3">
        <f ca="1">IFERROR(__xludf.DUMMYFUNCTION("""COMPUTED_VALUE"""),19.41)</f>
        <v>19.41</v>
      </c>
      <c r="AC328" s="3">
        <f ca="1">IFERROR(__xludf.DUMMYFUNCTION("""COMPUTED_VALUE"""),19.52)</f>
        <v>19.52</v>
      </c>
      <c r="AD328" s="3">
        <f ca="1">IFERROR(__xludf.DUMMYFUNCTION("""COMPUTED_VALUE"""),20858308)</f>
        <v>20858308</v>
      </c>
      <c r="AE328" s="4">
        <f ca="1">IFERROR(__xludf.DUMMYFUNCTION("""COMPUTED_VALUE"""),42599.6666666666)</f>
        <v>42599.666666666599</v>
      </c>
      <c r="AF328" s="3">
        <f ca="1">IFERROR(__xludf.DUMMYFUNCTION("""COMPUTED_VALUE"""),74.08)</f>
        <v>74.08</v>
      </c>
      <c r="AG328" s="3">
        <f ca="1">IFERROR(__xludf.DUMMYFUNCTION("""COMPUTED_VALUE"""),74.45)</f>
        <v>74.45</v>
      </c>
      <c r="AH328" s="3">
        <f ca="1">IFERROR(__xludf.DUMMYFUNCTION("""COMPUTED_VALUE"""),73.93)</f>
        <v>73.930000000000007</v>
      </c>
      <c r="AI328" s="3">
        <f ca="1">IFERROR(__xludf.DUMMYFUNCTION("""COMPUTED_VALUE"""),74.39)</f>
        <v>74.39</v>
      </c>
      <c r="AJ328" s="3">
        <f ca="1">IFERROR(__xludf.DUMMYFUNCTION("""COMPUTED_VALUE"""),7296304)</f>
        <v>7296304</v>
      </c>
      <c r="AK328" s="4">
        <f ca="1">IFERROR(__xludf.DUMMYFUNCTION("""COMPUTED_VALUE"""),42599.6666666666)</f>
        <v>42599.666666666599</v>
      </c>
      <c r="AL328" s="3">
        <f ca="1">IFERROR(__xludf.DUMMYFUNCTION("""COMPUTED_VALUE"""),58.57)</f>
        <v>58.57</v>
      </c>
      <c r="AM328" s="3">
        <f ca="1">IFERROR(__xludf.DUMMYFUNCTION("""COMPUTED_VALUE"""),58.92)</f>
        <v>58.92</v>
      </c>
      <c r="AN328" s="3">
        <f ca="1">IFERROR(__xludf.DUMMYFUNCTION("""COMPUTED_VALUE"""),58.55)</f>
        <v>58.55</v>
      </c>
      <c r="AO328" s="3">
        <f ca="1">IFERROR(__xludf.DUMMYFUNCTION("""COMPUTED_VALUE"""),58.86)</f>
        <v>58.86</v>
      </c>
      <c r="AP328" s="3">
        <f ca="1">IFERROR(__xludf.DUMMYFUNCTION("""COMPUTED_VALUE"""),8260516)</f>
        <v>8260516</v>
      </c>
      <c r="AQ328" s="4">
        <f ca="1">IFERROR(__xludf.DUMMYFUNCTION("""COMPUTED_VALUE"""),42599.6666666666)</f>
        <v>42599.666666666599</v>
      </c>
      <c r="AR328" s="3">
        <f ca="1">IFERROR(__xludf.DUMMYFUNCTION("""COMPUTED_VALUE"""),48.61)</f>
        <v>48.61</v>
      </c>
      <c r="AS328" s="3">
        <f ca="1">IFERROR(__xludf.DUMMYFUNCTION("""COMPUTED_VALUE"""),48.72)</f>
        <v>48.72</v>
      </c>
      <c r="AT328" s="3">
        <f ca="1">IFERROR(__xludf.DUMMYFUNCTION("""COMPUTED_VALUE"""),48.21)</f>
        <v>48.21</v>
      </c>
      <c r="AU328" s="3">
        <f ca="1">IFERROR(__xludf.DUMMYFUNCTION("""COMPUTED_VALUE"""),48.61)</f>
        <v>48.61</v>
      </c>
      <c r="AV328" s="3">
        <f ca="1">IFERROR(__xludf.DUMMYFUNCTION("""COMPUTED_VALUE"""),3076380)</f>
        <v>3076380</v>
      </c>
      <c r="AW328" s="4">
        <f ca="1">IFERROR(__xludf.DUMMYFUNCTION("""COMPUTED_VALUE"""),42766.6666666666)</f>
        <v>42766.666666666599</v>
      </c>
      <c r="AX328" s="3">
        <f ca="1">IFERROR(__xludf.DUMMYFUNCTION("""COMPUTED_VALUE"""),30.52)</f>
        <v>30.52</v>
      </c>
      <c r="AY328" s="3">
        <f ca="1">IFERROR(__xludf.DUMMYFUNCTION("""COMPUTED_VALUE"""),30.88)</f>
        <v>30.88</v>
      </c>
      <c r="AZ328" s="3">
        <f ca="1">IFERROR(__xludf.DUMMYFUNCTION("""COMPUTED_VALUE"""),30.51)</f>
        <v>30.51</v>
      </c>
      <c r="BA328" s="3">
        <f ca="1">IFERROR(__xludf.DUMMYFUNCTION("""COMPUTED_VALUE"""),30.71)</f>
        <v>30.71</v>
      </c>
      <c r="BB328" s="3">
        <f ca="1">IFERROR(__xludf.DUMMYFUNCTION("""COMPUTED_VALUE"""),1712211)</f>
        <v>1712211</v>
      </c>
      <c r="BC328" s="4">
        <f ca="1">IFERROR(__xludf.DUMMYFUNCTION("""COMPUTED_VALUE"""),42599.6666666666)</f>
        <v>42599.666666666599</v>
      </c>
      <c r="BD328" s="3">
        <f ca="1">IFERROR(__xludf.DUMMYFUNCTION("""COMPUTED_VALUE"""),47.01)</f>
        <v>47.01</v>
      </c>
      <c r="BE328" s="3">
        <f ca="1">IFERROR(__xludf.DUMMYFUNCTION("""COMPUTED_VALUE"""),47.03)</f>
        <v>47.03</v>
      </c>
      <c r="BF328" s="3">
        <f ca="1">IFERROR(__xludf.DUMMYFUNCTION("""COMPUTED_VALUE"""),46.7)</f>
        <v>46.7</v>
      </c>
      <c r="BG328" s="3">
        <f ca="1">IFERROR(__xludf.DUMMYFUNCTION("""COMPUTED_VALUE"""),46.97)</f>
        <v>46.97</v>
      </c>
      <c r="BH328" s="3">
        <f ca="1">IFERROR(__xludf.DUMMYFUNCTION("""COMPUTED_VALUE"""),5287546)</f>
        <v>5287546</v>
      </c>
      <c r="BI328" s="4">
        <f ca="1">IFERROR(__xludf.DUMMYFUNCTION("""COMPUTED_VALUE"""),42599.6666666666)</f>
        <v>42599.666666666599</v>
      </c>
      <c r="BJ328" s="3">
        <f ca="1">IFERROR(__xludf.DUMMYFUNCTION("""COMPUTED_VALUE"""),49.47)</f>
        <v>49.47</v>
      </c>
      <c r="BK328" s="3">
        <f ca="1">IFERROR(__xludf.DUMMYFUNCTION("""COMPUTED_VALUE"""),50.37)</f>
        <v>50.37</v>
      </c>
      <c r="BL328" s="3">
        <f ca="1">IFERROR(__xludf.DUMMYFUNCTION("""COMPUTED_VALUE"""),49.09)</f>
        <v>49.09</v>
      </c>
      <c r="BM328" s="3">
        <f ca="1">IFERROR(__xludf.DUMMYFUNCTION("""COMPUTED_VALUE"""),50.27)</f>
        <v>50.27</v>
      </c>
      <c r="BN328" s="3">
        <f ca="1">IFERROR(__xludf.DUMMYFUNCTION("""COMPUTED_VALUE"""),28456588)</f>
        <v>28456588</v>
      </c>
    </row>
    <row r="329" spans="7:66" ht="13" x14ac:dyDescent="0.15">
      <c r="G329" s="4">
        <f ca="1">IFERROR(__xludf.DUMMYFUNCTION("""COMPUTED_VALUE"""),42600.6666666666)</f>
        <v>42600.666666666599</v>
      </c>
      <c r="H329" s="3">
        <f ca="1">IFERROR(__xludf.DUMMYFUNCTION("""COMPUTED_VALUE"""),81.55)</f>
        <v>81.55</v>
      </c>
      <c r="I329" s="3">
        <f ca="1">IFERROR(__xludf.DUMMYFUNCTION("""COMPUTED_VALUE"""),81.64)</f>
        <v>81.64</v>
      </c>
      <c r="J329" s="3">
        <f ca="1">IFERROR(__xludf.DUMMYFUNCTION("""COMPUTED_VALUE"""),81.3)</f>
        <v>81.3</v>
      </c>
      <c r="K329" s="3">
        <f ca="1">IFERROR(__xludf.DUMMYFUNCTION("""COMPUTED_VALUE"""),81.45)</f>
        <v>81.45</v>
      </c>
      <c r="L329" s="3">
        <f ca="1">IFERROR(__xludf.DUMMYFUNCTION("""COMPUTED_VALUE"""),4733027)</f>
        <v>4733027</v>
      </c>
      <c r="M329" s="4">
        <f ca="1">IFERROR(__xludf.DUMMYFUNCTION("""COMPUTED_VALUE"""),42600.6666666666)</f>
        <v>42600.666666666599</v>
      </c>
      <c r="N329" s="3">
        <f ca="1">IFERROR(__xludf.DUMMYFUNCTION("""COMPUTED_VALUE"""),54.95)</f>
        <v>54.95</v>
      </c>
      <c r="O329" s="3">
        <f ca="1">IFERROR(__xludf.DUMMYFUNCTION("""COMPUTED_VALUE"""),55.11)</f>
        <v>55.11</v>
      </c>
      <c r="P329" s="3">
        <f ca="1">IFERROR(__xludf.DUMMYFUNCTION("""COMPUTED_VALUE"""),54.95)</f>
        <v>54.95</v>
      </c>
      <c r="Q329" s="3">
        <f ca="1">IFERROR(__xludf.DUMMYFUNCTION("""COMPUTED_VALUE"""),55.05)</f>
        <v>55.05</v>
      </c>
      <c r="R329" s="3">
        <f ca="1">IFERROR(__xludf.DUMMYFUNCTION("""COMPUTED_VALUE"""),6683841)</f>
        <v>6683841</v>
      </c>
      <c r="S329" s="4">
        <f ca="1">IFERROR(__xludf.DUMMYFUNCTION("""COMPUTED_VALUE"""),42600.6666666666)</f>
        <v>42600.666666666599</v>
      </c>
      <c r="T329" s="3">
        <f ca="1">IFERROR(__xludf.DUMMYFUNCTION("""COMPUTED_VALUE"""),69.81)</f>
        <v>69.81</v>
      </c>
      <c r="U329" s="3">
        <f ca="1">IFERROR(__xludf.DUMMYFUNCTION("""COMPUTED_VALUE"""),71)</f>
        <v>71</v>
      </c>
      <c r="V329" s="3">
        <f ca="1">IFERROR(__xludf.DUMMYFUNCTION("""COMPUTED_VALUE"""),69.74)</f>
        <v>69.739999999999995</v>
      </c>
      <c r="W329" s="3">
        <f ca="1">IFERROR(__xludf.DUMMYFUNCTION("""COMPUTED_VALUE"""),71)</f>
        <v>71</v>
      </c>
      <c r="X329" s="3">
        <f ca="1">IFERROR(__xludf.DUMMYFUNCTION("""COMPUTED_VALUE"""),24148544)</f>
        <v>24148544</v>
      </c>
      <c r="Y329" s="4">
        <f ca="1">IFERROR(__xludf.DUMMYFUNCTION("""COMPUTED_VALUE"""),42600.6666666666)</f>
        <v>42600.666666666599</v>
      </c>
      <c r="Z329" s="3">
        <f ca="1">IFERROR(__xludf.DUMMYFUNCTION("""COMPUTED_VALUE"""),19.49)</f>
        <v>19.489999999999998</v>
      </c>
      <c r="AA329" s="3">
        <f ca="1">IFERROR(__xludf.DUMMYFUNCTION("""COMPUTED_VALUE"""),19.55)</f>
        <v>19.55</v>
      </c>
      <c r="AB329" s="3">
        <f ca="1">IFERROR(__xludf.DUMMYFUNCTION("""COMPUTED_VALUE"""),19.45)</f>
        <v>19.45</v>
      </c>
      <c r="AC329" s="3">
        <f ca="1">IFERROR(__xludf.DUMMYFUNCTION("""COMPUTED_VALUE"""),19.51)</f>
        <v>19.510000000000002</v>
      </c>
      <c r="AD329" s="3">
        <f ca="1">IFERROR(__xludf.DUMMYFUNCTION("""COMPUTED_VALUE"""),21604389)</f>
        <v>21604389</v>
      </c>
      <c r="AE329" s="4">
        <f ca="1">IFERROR(__xludf.DUMMYFUNCTION("""COMPUTED_VALUE"""),42600.6666666666)</f>
        <v>42600.666666666599</v>
      </c>
      <c r="AF329" s="3">
        <f ca="1">IFERROR(__xludf.DUMMYFUNCTION("""COMPUTED_VALUE"""),74.38)</f>
        <v>74.38</v>
      </c>
      <c r="AG329" s="3">
        <f ca="1">IFERROR(__xludf.DUMMYFUNCTION("""COMPUTED_VALUE"""),74.58)</f>
        <v>74.58</v>
      </c>
      <c r="AH329" s="3">
        <f ca="1">IFERROR(__xludf.DUMMYFUNCTION("""COMPUTED_VALUE"""),74.19)</f>
        <v>74.19</v>
      </c>
      <c r="AI329" s="3">
        <f ca="1">IFERROR(__xludf.DUMMYFUNCTION("""COMPUTED_VALUE"""),74.42)</f>
        <v>74.42</v>
      </c>
      <c r="AJ329" s="3">
        <f ca="1">IFERROR(__xludf.DUMMYFUNCTION("""COMPUTED_VALUE"""),4180054)</f>
        <v>4180054</v>
      </c>
      <c r="AK329" s="4">
        <f ca="1">IFERROR(__xludf.DUMMYFUNCTION("""COMPUTED_VALUE"""),42600.6666666666)</f>
        <v>42600.666666666599</v>
      </c>
      <c r="AL329" s="3">
        <f ca="1">IFERROR(__xludf.DUMMYFUNCTION("""COMPUTED_VALUE"""),58.77)</f>
        <v>58.77</v>
      </c>
      <c r="AM329" s="3">
        <f ca="1">IFERROR(__xludf.DUMMYFUNCTION("""COMPUTED_VALUE"""),59.04)</f>
        <v>59.04</v>
      </c>
      <c r="AN329" s="3">
        <f ca="1">IFERROR(__xludf.DUMMYFUNCTION("""COMPUTED_VALUE"""),58.73)</f>
        <v>58.73</v>
      </c>
      <c r="AO329" s="3">
        <f ca="1">IFERROR(__xludf.DUMMYFUNCTION("""COMPUTED_VALUE"""),59.04)</f>
        <v>59.04</v>
      </c>
      <c r="AP329" s="3">
        <f ca="1">IFERROR(__xludf.DUMMYFUNCTION("""COMPUTED_VALUE"""),9830163)</f>
        <v>9830163</v>
      </c>
      <c r="AQ329" s="4">
        <f ca="1">IFERROR(__xludf.DUMMYFUNCTION("""COMPUTED_VALUE"""),42600.6666666666)</f>
        <v>42600.666666666599</v>
      </c>
      <c r="AR329" s="3">
        <f ca="1">IFERROR(__xludf.DUMMYFUNCTION("""COMPUTED_VALUE"""),48.63)</f>
        <v>48.63</v>
      </c>
      <c r="AS329" s="3">
        <f ca="1">IFERROR(__xludf.DUMMYFUNCTION("""COMPUTED_VALUE"""),48.92)</f>
        <v>48.92</v>
      </c>
      <c r="AT329" s="3">
        <f ca="1">IFERROR(__xludf.DUMMYFUNCTION("""COMPUTED_VALUE"""),48.61)</f>
        <v>48.61</v>
      </c>
      <c r="AU329" s="3">
        <f ca="1">IFERROR(__xludf.DUMMYFUNCTION("""COMPUTED_VALUE"""),48.92)</f>
        <v>48.92</v>
      </c>
      <c r="AV329" s="3">
        <f ca="1">IFERROR(__xludf.DUMMYFUNCTION("""COMPUTED_VALUE"""),3377924)</f>
        <v>3377924</v>
      </c>
      <c r="AW329" s="4">
        <f ca="1">IFERROR(__xludf.DUMMYFUNCTION("""COMPUTED_VALUE"""),42767.6666666666)</f>
        <v>42767.666666666599</v>
      </c>
      <c r="AX329" s="3">
        <f ca="1">IFERROR(__xludf.DUMMYFUNCTION("""COMPUTED_VALUE"""),30.67)</f>
        <v>30.67</v>
      </c>
      <c r="AY329" s="3">
        <f ca="1">IFERROR(__xludf.DUMMYFUNCTION("""COMPUTED_VALUE"""),30.87)</f>
        <v>30.87</v>
      </c>
      <c r="AZ329" s="3">
        <f ca="1">IFERROR(__xludf.DUMMYFUNCTION("""COMPUTED_VALUE"""),30.35)</f>
        <v>30.35</v>
      </c>
      <c r="BA329" s="3">
        <f ca="1">IFERROR(__xludf.DUMMYFUNCTION("""COMPUTED_VALUE"""),30.37)</f>
        <v>30.37</v>
      </c>
      <c r="BB329" s="3">
        <f ca="1">IFERROR(__xludf.DUMMYFUNCTION("""COMPUTED_VALUE"""),1835919)</f>
        <v>1835919</v>
      </c>
      <c r="BC329" s="4">
        <f ca="1">IFERROR(__xludf.DUMMYFUNCTION("""COMPUTED_VALUE"""),42600.6666666666)</f>
        <v>42600.666666666599</v>
      </c>
      <c r="BD329" s="3">
        <f ca="1">IFERROR(__xludf.DUMMYFUNCTION("""COMPUTED_VALUE"""),46.96)</f>
        <v>46.96</v>
      </c>
      <c r="BE329" s="3">
        <f ca="1">IFERROR(__xludf.DUMMYFUNCTION("""COMPUTED_VALUE"""),47.04)</f>
        <v>47.04</v>
      </c>
      <c r="BF329" s="3">
        <f ca="1">IFERROR(__xludf.DUMMYFUNCTION("""COMPUTED_VALUE"""),46.82)</f>
        <v>46.82</v>
      </c>
      <c r="BG329" s="3">
        <f ca="1">IFERROR(__xludf.DUMMYFUNCTION("""COMPUTED_VALUE"""),46.99)</f>
        <v>46.99</v>
      </c>
      <c r="BH329" s="3">
        <f ca="1">IFERROR(__xludf.DUMMYFUNCTION("""COMPUTED_VALUE"""),3543209)</f>
        <v>3543209</v>
      </c>
      <c r="BI329" s="4">
        <f ca="1">IFERROR(__xludf.DUMMYFUNCTION("""COMPUTED_VALUE"""),42600.6666666666)</f>
        <v>42600.666666666599</v>
      </c>
      <c r="BJ329" s="3">
        <f ca="1">IFERROR(__xludf.DUMMYFUNCTION("""COMPUTED_VALUE"""),50.26)</f>
        <v>50.26</v>
      </c>
      <c r="BK329" s="3">
        <f ca="1">IFERROR(__xludf.DUMMYFUNCTION("""COMPUTED_VALUE"""),50.89)</f>
        <v>50.89</v>
      </c>
      <c r="BL329" s="3">
        <f ca="1">IFERROR(__xludf.DUMMYFUNCTION("""COMPUTED_VALUE"""),50.17)</f>
        <v>50.17</v>
      </c>
      <c r="BM329" s="3">
        <f ca="1">IFERROR(__xludf.DUMMYFUNCTION("""COMPUTED_VALUE"""),50.89)</f>
        <v>50.89</v>
      </c>
      <c r="BN329" s="3">
        <f ca="1">IFERROR(__xludf.DUMMYFUNCTION("""COMPUTED_VALUE"""),13944452)</f>
        <v>13944452</v>
      </c>
    </row>
    <row r="330" spans="7:66" ht="13" x14ac:dyDescent="0.15">
      <c r="G330" s="4">
        <f ca="1">IFERROR(__xludf.DUMMYFUNCTION("""COMPUTED_VALUE"""),42601.6666666666)</f>
        <v>42601.666666666599</v>
      </c>
      <c r="H330" s="3">
        <f ca="1">IFERROR(__xludf.DUMMYFUNCTION("""COMPUTED_VALUE"""),81.35)</f>
        <v>81.349999999999994</v>
      </c>
      <c r="I330" s="3">
        <f ca="1">IFERROR(__xludf.DUMMYFUNCTION("""COMPUTED_VALUE"""),81.67)</f>
        <v>81.67</v>
      </c>
      <c r="J330" s="3">
        <f ca="1">IFERROR(__xludf.DUMMYFUNCTION("""COMPUTED_VALUE"""),81.19)</f>
        <v>81.19</v>
      </c>
      <c r="K330" s="3">
        <f ca="1">IFERROR(__xludf.DUMMYFUNCTION("""COMPUTED_VALUE"""),81.5)</f>
        <v>81.5</v>
      </c>
      <c r="L330" s="3">
        <f ca="1">IFERROR(__xludf.DUMMYFUNCTION("""COMPUTED_VALUE"""),3723871)</f>
        <v>3723871</v>
      </c>
      <c r="M330" s="4">
        <f ca="1">IFERROR(__xludf.DUMMYFUNCTION("""COMPUTED_VALUE"""),42601.6666666666)</f>
        <v>42601.666666666599</v>
      </c>
      <c r="N330" s="3">
        <f ca="1">IFERROR(__xludf.DUMMYFUNCTION("""COMPUTED_VALUE"""),54.98)</f>
        <v>54.98</v>
      </c>
      <c r="O330" s="3">
        <f ca="1">IFERROR(__xludf.DUMMYFUNCTION("""COMPUTED_VALUE"""),54.99)</f>
        <v>54.99</v>
      </c>
      <c r="P330" s="3">
        <f ca="1">IFERROR(__xludf.DUMMYFUNCTION("""COMPUTED_VALUE"""),54.81)</f>
        <v>54.81</v>
      </c>
      <c r="Q330" s="3">
        <f ca="1">IFERROR(__xludf.DUMMYFUNCTION("""COMPUTED_VALUE"""),54.92)</f>
        <v>54.92</v>
      </c>
      <c r="R330" s="3">
        <f ca="1">IFERROR(__xludf.DUMMYFUNCTION("""COMPUTED_VALUE"""),5846500)</f>
        <v>5846500</v>
      </c>
      <c r="S330" s="4">
        <f ca="1">IFERROR(__xludf.DUMMYFUNCTION("""COMPUTED_VALUE"""),42601.6666666666)</f>
        <v>42601.666666666599</v>
      </c>
      <c r="T330" s="3">
        <f ca="1">IFERROR(__xludf.DUMMYFUNCTION("""COMPUTED_VALUE"""),70.77)</f>
        <v>70.77</v>
      </c>
      <c r="U330" s="3">
        <f ca="1">IFERROR(__xludf.DUMMYFUNCTION("""COMPUTED_VALUE"""),70.77)</f>
        <v>70.77</v>
      </c>
      <c r="V330" s="3">
        <f ca="1">IFERROR(__xludf.DUMMYFUNCTION("""COMPUTED_VALUE"""),70.15)</f>
        <v>70.150000000000006</v>
      </c>
      <c r="W330" s="3">
        <f ca="1">IFERROR(__xludf.DUMMYFUNCTION("""COMPUTED_VALUE"""),70.41)</f>
        <v>70.41</v>
      </c>
      <c r="X330" s="3">
        <f ca="1">IFERROR(__xludf.DUMMYFUNCTION("""COMPUTED_VALUE"""),11045741)</f>
        <v>11045741</v>
      </c>
      <c r="Y330" s="4">
        <f ca="1">IFERROR(__xludf.DUMMYFUNCTION("""COMPUTED_VALUE"""),42601.6666666666)</f>
        <v>42601.666666666599</v>
      </c>
      <c r="Z330" s="3">
        <f ca="1">IFERROR(__xludf.DUMMYFUNCTION("""COMPUTED_VALUE"""),19.45)</f>
        <v>19.45</v>
      </c>
      <c r="AA330" s="3">
        <f ca="1">IFERROR(__xludf.DUMMYFUNCTION("""COMPUTED_VALUE"""),19.51)</f>
        <v>19.510000000000002</v>
      </c>
      <c r="AB330" s="3">
        <f ca="1">IFERROR(__xludf.DUMMYFUNCTION("""COMPUTED_VALUE"""),19.38)</f>
        <v>19.38</v>
      </c>
      <c r="AC330" s="3">
        <f ca="1">IFERROR(__xludf.DUMMYFUNCTION("""COMPUTED_VALUE"""),19.5)</f>
        <v>19.5</v>
      </c>
      <c r="AD330" s="3">
        <f ca="1">IFERROR(__xludf.DUMMYFUNCTION("""COMPUTED_VALUE"""),25597171)</f>
        <v>25597171</v>
      </c>
      <c r="AE330" s="4">
        <f ca="1">IFERROR(__xludf.DUMMYFUNCTION("""COMPUTED_VALUE"""),42601.6666666666)</f>
        <v>42601.666666666599</v>
      </c>
      <c r="AF330" s="3">
        <f ca="1">IFERROR(__xludf.DUMMYFUNCTION("""COMPUTED_VALUE"""),74.27)</f>
        <v>74.27</v>
      </c>
      <c r="AG330" s="3">
        <f ca="1">IFERROR(__xludf.DUMMYFUNCTION("""COMPUTED_VALUE"""),74.41)</f>
        <v>74.41</v>
      </c>
      <c r="AH330" s="3">
        <f ca="1">IFERROR(__xludf.DUMMYFUNCTION("""COMPUTED_VALUE"""),74.04)</f>
        <v>74.040000000000006</v>
      </c>
      <c r="AI330" s="3">
        <f ca="1">IFERROR(__xludf.DUMMYFUNCTION("""COMPUTED_VALUE"""),74.36)</f>
        <v>74.36</v>
      </c>
      <c r="AJ330" s="3">
        <f ca="1">IFERROR(__xludf.DUMMYFUNCTION("""COMPUTED_VALUE"""),4323457)</f>
        <v>4323457</v>
      </c>
      <c r="AK330" s="4">
        <f ca="1">IFERROR(__xludf.DUMMYFUNCTION("""COMPUTED_VALUE"""),42601.6666666666)</f>
        <v>42601.666666666599</v>
      </c>
      <c r="AL330" s="3">
        <f ca="1">IFERROR(__xludf.DUMMYFUNCTION("""COMPUTED_VALUE"""),58.7)</f>
        <v>58.7</v>
      </c>
      <c r="AM330" s="3">
        <f ca="1">IFERROR(__xludf.DUMMYFUNCTION("""COMPUTED_VALUE"""),59.1)</f>
        <v>59.1</v>
      </c>
      <c r="AN330" s="3">
        <f ca="1">IFERROR(__xludf.DUMMYFUNCTION("""COMPUTED_VALUE"""),58.67)</f>
        <v>58.67</v>
      </c>
      <c r="AO330" s="3">
        <f ca="1">IFERROR(__xludf.DUMMYFUNCTION("""COMPUTED_VALUE"""),59.02)</f>
        <v>59.02</v>
      </c>
      <c r="AP330" s="3">
        <f ca="1">IFERROR(__xludf.DUMMYFUNCTION("""COMPUTED_VALUE"""),8334304)</f>
        <v>8334304</v>
      </c>
      <c r="AQ330" s="4">
        <f ca="1">IFERROR(__xludf.DUMMYFUNCTION("""COMPUTED_VALUE"""),42601.6666666666)</f>
        <v>42601.666666666599</v>
      </c>
      <c r="AR330" s="3">
        <f ca="1">IFERROR(__xludf.DUMMYFUNCTION("""COMPUTED_VALUE"""),48.8)</f>
        <v>48.8</v>
      </c>
      <c r="AS330" s="3">
        <f ca="1">IFERROR(__xludf.DUMMYFUNCTION("""COMPUTED_VALUE"""),49.06)</f>
        <v>49.06</v>
      </c>
      <c r="AT330" s="3">
        <f ca="1">IFERROR(__xludf.DUMMYFUNCTION("""COMPUTED_VALUE"""),48.51)</f>
        <v>48.51</v>
      </c>
      <c r="AU330" s="3">
        <f ca="1">IFERROR(__xludf.DUMMYFUNCTION("""COMPUTED_VALUE"""),48.99)</f>
        <v>48.99</v>
      </c>
      <c r="AV330" s="3">
        <f ca="1">IFERROR(__xludf.DUMMYFUNCTION("""COMPUTED_VALUE"""),4906103)</f>
        <v>4906103</v>
      </c>
      <c r="AW330" s="4">
        <f ca="1">IFERROR(__xludf.DUMMYFUNCTION("""COMPUTED_VALUE"""),42768.6666666666)</f>
        <v>42768.666666666599</v>
      </c>
      <c r="AX330" s="3">
        <f ca="1">IFERROR(__xludf.DUMMYFUNCTION("""COMPUTED_VALUE"""),30.32)</f>
        <v>30.32</v>
      </c>
      <c r="AY330" s="3">
        <f ca="1">IFERROR(__xludf.DUMMYFUNCTION("""COMPUTED_VALUE"""),30.77)</f>
        <v>30.77</v>
      </c>
      <c r="AZ330" s="3">
        <f ca="1">IFERROR(__xludf.DUMMYFUNCTION("""COMPUTED_VALUE"""),30.32)</f>
        <v>30.32</v>
      </c>
      <c r="BA330" s="3">
        <f ca="1">IFERROR(__xludf.DUMMYFUNCTION("""COMPUTED_VALUE"""),30.73)</f>
        <v>30.73</v>
      </c>
      <c r="BB330" s="3">
        <f ca="1">IFERROR(__xludf.DUMMYFUNCTION("""COMPUTED_VALUE"""),2040588)</f>
        <v>2040588</v>
      </c>
      <c r="BC330" s="4">
        <f ca="1">IFERROR(__xludf.DUMMYFUNCTION("""COMPUTED_VALUE"""),42601.6666666666)</f>
        <v>42601.666666666599</v>
      </c>
      <c r="BD330" s="3">
        <f ca="1">IFERROR(__xludf.DUMMYFUNCTION("""COMPUTED_VALUE"""),46.86)</f>
        <v>46.86</v>
      </c>
      <c r="BE330" s="3">
        <f ca="1">IFERROR(__xludf.DUMMYFUNCTION("""COMPUTED_VALUE"""),47.06)</f>
        <v>47.06</v>
      </c>
      <c r="BF330" s="3">
        <f ca="1">IFERROR(__xludf.DUMMYFUNCTION("""COMPUTED_VALUE"""),46.75)</f>
        <v>46.75</v>
      </c>
      <c r="BG330" s="3">
        <f ca="1">IFERROR(__xludf.DUMMYFUNCTION("""COMPUTED_VALUE"""),47.02)</f>
        <v>47.02</v>
      </c>
      <c r="BH330" s="3">
        <f ca="1">IFERROR(__xludf.DUMMYFUNCTION("""COMPUTED_VALUE"""),4788309)</f>
        <v>4788309</v>
      </c>
      <c r="BI330" s="4">
        <f ca="1">IFERROR(__xludf.DUMMYFUNCTION("""COMPUTED_VALUE"""),42601.6666666666)</f>
        <v>42601.666666666599</v>
      </c>
      <c r="BJ330" s="3">
        <f ca="1">IFERROR(__xludf.DUMMYFUNCTION("""COMPUTED_VALUE"""),50.54)</f>
        <v>50.54</v>
      </c>
      <c r="BK330" s="3">
        <f ca="1">IFERROR(__xludf.DUMMYFUNCTION("""COMPUTED_VALUE"""),50.75)</f>
        <v>50.75</v>
      </c>
      <c r="BL330" s="3">
        <f ca="1">IFERROR(__xludf.DUMMYFUNCTION("""COMPUTED_VALUE"""),50)</f>
        <v>50</v>
      </c>
      <c r="BM330" s="3">
        <f ca="1">IFERROR(__xludf.DUMMYFUNCTION("""COMPUTED_VALUE"""),50.27)</f>
        <v>50.27</v>
      </c>
      <c r="BN330" s="3">
        <f ca="1">IFERROR(__xludf.DUMMYFUNCTION("""COMPUTED_VALUE"""),14698042)</f>
        <v>14698042</v>
      </c>
    </row>
    <row r="331" spans="7:66" ht="13" x14ac:dyDescent="0.15">
      <c r="G331" s="4">
        <f ca="1">IFERROR(__xludf.DUMMYFUNCTION("""COMPUTED_VALUE"""),42604.6666666666)</f>
        <v>42604.666666666599</v>
      </c>
      <c r="H331" s="3">
        <f ca="1">IFERROR(__xludf.DUMMYFUNCTION("""COMPUTED_VALUE"""),81.42)</f>
        <v>81.42</v>
      </c>
      <c r="I331" s="3">
        <f ca="1">IFERROR(__xludf.DUMMYFUNCTION("""COMPUTED_VALUE"""),81.54)</f>
        <v>81.540000000000006</v>
      </c>
      <c r="J331" s="3">
        <f ca="1">IFERROR(__xludf.DUMMYFUNCTION("""COMPUTED_VALUE"""),81.18)</f>
        <v>81.180000000000007</v>
      </c>
      <c r="K331" s="3">
        <f ca="1">IFERROR(__xludf.DUMMYFUNCTION("""COMPUTED_VALUE"""),81.42)</f>
        <v>81.42</v>
      </c>
      <c r="L331" s="3">
        <f ca="1">IFERROR(__xludf.DUMMYFUNCTION("""COMPUTED_VALUE"""),2888580)</f>
        <v>2888580</v>
      </c>
      <c r="M331" s="4">
        <f ca="1">IFERROR(__xludf.DUMMYFUNCTION("""COMPUTED_VALUE"""),42604.6666666666)</f>
        <v>42604.666666666599</v>
      </c>
      <c r="N331" s="3">
        <f ca="1">IFERROR(__xludf.DUMMYFUNCTION("""COMPUTED_VALUE"""),54.92)</f>
        <v>54.92</v>
      </c>
      <c r="O331" s="3">
        <f ca="1">IFERROR(__xludf.DUMMYFUNCTION("""COMPUTED_VALUE"""),55.06)</f>
        <v>55.06</v>
      </c>
      <c r="P331" s="3">
        <f ca="1">IFERROR(__xludf.DUMMYFUNCTION("""COMPUTED_VALUE"""),54.82)</f>
        <v>54.82</v>
      </c>
      <c r="Q331" s="3">
        <f ca="1">IFERROR(__xludf.DUMMYFUNCTION("""COMPUTED_VALUE"""),55)</f>
        <v>55</v>
      </c>
      <c r="R331" s="3">
        <f ca="1">IFERROR(__xludf.DUMMYFUNCTION("""COMPUTED_VALUE"""),9938559)</f>
        <v>9938559</v>
      </c>
      <c r="S331" s="4">
        <f ca="1">IFERROR(__xludf.DUMMYFUNCTION("""COMPUTED_VALUE"""),42604.6666666666)</f>
        <v>42604.666666666599</v>
      </c>
      <c r="T331" s="3">
        <f ca="1">IFERROR(__xludf.DUMMYFUNCTION("""COMPUTED_VALUE"""),69.8)</f>
        <v>69.8</v>
      </c>
      <c r="U331" s="3">
        <f ca="1">IFERROR(__xludf.DUMMYFUNCTION("""COMPUTED_VALUE"""),69.93)</f>
        <v>69.930000000000007</v>
      </c>
      <c r="V331" s="3">
        <f ca="1">IFERROR(__xludf.DUMMYFUNCTION("""COMPUTED_VALUE"""),69.28)</f>
        <v>69.28</v>
      </c>
      <c r="W331" s="3">
        <f ca="1">IFERROR(__xludf.DUMMYFUNCTION("""COMPUTED_VALUE"""),69.6)</f>
        <v>69.599999999999994</v>
      </c>
      <c r="X331" s="3">
        <f ca="1">IFERROR(__xludf.DUMMYFUNCTION("""COMPUTED_VALUE"""),14136701)</f>
        <v>14136701</v>
      </c>
      <c r="Y331" s="4">
        <f ca="1">IFERROR(__xludf.DUMMYFUNCTION("""COMPUTED_VALUE"""),42604.6666666666)</f>
        <v>42604.666666666599</v>
      </c>
      <c r="Z331" s="3">
        <f ca="1">IFERROR(__xludf.DUMMYFUNCTION("""COMPUTED_VALUE"""),19.46)</f>
        <v>19.46</v>
      </c>
      <c r="AA331" s="3">
        <f ca="1">IFERROR(__xludf.DUMMYFUNCTION("""COMPUTED_VALUE"""),19.51)</f>
        <v>19.510000000000002</v>
      </c>
      <c r="AB331" s="3">
        <f ca="1">IFERROR(__xludf.DUMMYFUNCTION("""COMPUTED_VALUE"""),19.42)</f>
        <v>19.420000000000002</v>
      </c>
      <c r="AC331" s="3">
        <f ca="1">IFERROR(__xludf.DUMMYFUNCTION("""COMPUTED_VALUE"""),19.5)</f>
        <v>19.5</v>
      </c>
      <c r="AD331" s="3">
        <f ca="1">IFERROR(__xludf.DUMMYFUNCTION("""COMPUTED_VALUE"""),26415478)</f>
        <v>26415478</v>
      </c>
      <c r="AE331" s="4">
        <f ca="1">IFERROR(__xludf.DUMMYFUNCTION("""COMPUTED_VALUE"""),42604.6666666666)</f>
        <v>42604.666666666599</v>
      </c>
      <c r="AF331" s="3">
        <f ca="1">IFERROR(__xludf.DUMMYFUNCTION("""COMPUTED_VALUE"""),74.39)</f>
        <v>74.39</v>
      </c>
      <c r="AG331" s="3">
        <f ca="1">IFERROR(__xludf.DUMMYFUNCTION("""COMPUTED_VALUE"""),74.79)</f>
        <v>74.790000000000006</v>
      </c>
      <c r="AH331" s="3">
        <f ca="1">IFERROR(__xludf.DUMMYFUNCTION("""COMPUTED_VALUE"""),74.31)</f>
        <v>74.31</v>
      </c>
      <c r="AI331" s="3">
        <f ca="1">IFERROR(__xludf.DUMMYFUNCTION("""COMPUTED_VALUE"""),74.51)</f>
        <v>74.510000000000005</v>
      </c>
      <c r="AJ331" s="3">
        <f ca="1">IFERROR(__xludf.DUMMYFUNCTION("""COMPUTED_VALUE"""),4090216)</f>
        <v>4090216</v>
      </c>
      <c r="AK331" s="4">
        <f ca="1">IFERROR(__xludf.DUMMYFUNCTION("""COMPUTED_VALUE"""),42604.6666666666)</f>
        <v>42604.666666666599</v>
      </c>
      <c r="AL331" s="3">
        <f ca="1">IFERROR(__xludf.DUMMYFUNCTION("""COMPUTED_VALUE"""),58.96)</f>
        <v>58.96</v>
      </c>
      <c r="AM331" s="3">
        <f ca="1">IFERROR(__xludf.DUMMYFUNCTION("""COMPUTED_VALUE"""),59.1)</f>
        <v>59.1</v>
      </c>
      <c r="AN331" s="3">
        <f ca="1">IFERROR(__xludf.DUMMYFUNCTION("""COMPUTED_VALUE"""),58.77)</f>
        <v>58.77</v>
      </c>
      <c r="AO331" s="3">
        <f ca="1">IFERROR(__xludf.DUMMYFUNCTION("""COMPUTED_VALUE"""),58.97)</f>
        <v>58.97</v>
      </c>
      <c r="AP331" s="3">
        <f ca="1">IFERROR(__xludf.DUMMYFUNCTION("""COMPUTED_VALUE"""),6624650)</f>
        <v>6624650</v>
      </c>
      <c r="AQ331" s="4">
        <f ca="1">IFERROR(__xludf.DUMMYFUNCTION("""COMPUTED_VALUE"""),42604.6666666666)</f>
        <v>42604.666666666599</v>
      </c>
      <c r="AR331" s="3">
        <f ca="1">IFERROR(__xludf.DUMMYFUNCTION("""COMPUTED_VALUE"""),48.81)</f>
        <v>48.81</v>
      </c>
      <c r="AS331" s="3">
        <f ca="1">IFERROR(__xludf.DUMMYFUNCTION("""COMPUTED_VALUE"""),48.99)</f>
        <v>48.99</v>
      </c>
      <c r="AT331" s="3">
        <f ca="1">IFERROR(__xludf.DUMMYFUNCTION("""COMPUTED_VALUE"""),48.55)</f>
        <v>48.55</v>
      </c>
      <c r="AU331" s="3">
        <f ca="1">IFERROR(__xludf.DUMMYFUNCTION("""COMPUTED_VALUE"""),48.92)</f>
        <v>48.92</v>
      </c>
      <c r="AV331" s="3">
        <f ca="1">IFERROR(__xludf.DUMMYFUNCTION("""COMPUTED_VALUE"""),3049985)</f>
        <v>3049985</v>
      </c>
      <c r="AW331" s="4">
        <f ca="1">IFERROR(__xludf.DUMMYFUNCTION("""COMPUTED_VALUE"""),42769.6666666666)</f>
        <v>42769.666666666599</v>
      </c>
      <c r="AX331" s="3">
        <f ca="1">IFERROR(__xludf.DUMMYFUNCTION("""COMPUTED_VALUE"""),30.91)</f>
        <v>30.91</v>
      </c>
      <c r="AY331" s="3">
        <f ca="1">IFERROR(__xludf.DUMMYFUNCTION("""COMPUTED_VALUE"""),31.02)</f>
        <v>31.02</v>
      </c>
      <c r="AZ331" s="3">
        <f ca="1">IFERROR(__xludf.DUMMYFUNCTION("""COMPUTED_VALUE"""),30.81)</f>
        <v>30.81</v>
      </c>
      <c r="BA331" s="3">
        <f ca="1">IFERROR(__xludf.DUMMYFUNCTION("""COMPUTED_VALUE"""),30.93)</f>
        <v>30.93</v>
      </c>
      <c r="BB331" s="3">
        <f ca="1">IFERROR(__xludf.DUMMYFUNCTION("""COMPUTED_VALUE"""),1745164)</f>
        <v>1745164</v>
      </c>
      <c r="BC331" s="4">
        <f ca="1">IFERROR(__xludf.DUMMYFUNCTION("""COMPUTED_VALUE"""),42604.6666666666)</f>
        <v>42604.666666666599</v>
      </c>
      <c r="BD331" s="3">
        <f ca="1">IFERROR(__xludf.DUMMYFUNCTION("""COMPUTED_VALUE"""),46.89)</f>
        <v>46.89</v>
      </c>
      <c r="BE331" s="3">
        <f ca="1">IFERROR(__xludf.DUMMYFUNCTION("""COMPUTED_VALUE"""),47.07)</f>
        <v>47.07</v>
      </c>
      <c r="BF331" s="3">
        <f ca="1">IFERROR(__xludf.DUMMYFUNCTION("""COMPUTED_VALUE"""),46.81)</f>
        <v>46.81</v>
      </c>
      <c r="BG331" s="3">
        <f ca="1">IFERROR(__xludf.DUMMYFUNCTION("""COMPUTED_VALUE"""),47.02)</f>
        <v>47.02</v>
      </c>
      <c r="BH331" s="3">
        <f ca="1">IFERROR(__xludf.DUMMYFUNCTION("""COMPUTED_VALUE"""),4628665)</f>
        <v>4628665</v>
      </c>
      <c r="BI331" s="4">
        <f ca="1">IFERROR(__xludf.DUMMYFUNCTION("""COMPUTED_VALUE"""),42604.6666666666)</f>
        <v>42604.666666666599</v>
      </c>
      <c r="BJ331" s="3">
        <f ca="1">IFERROR(__xludf.DUMMYFUNCTION("""COMPUTED_VALUE"""),50.35)</f>
        <v>50.35</v>
      </c>
      <c r="BK331" s="3">
        <f ca="1">IFERROR(__xludf.DUMMYFUNCTION("""COMPUTED_VALUE"""),50.62)</f>
        <v>50.62</v>
      </c>
      <c r="BL331" s="3">
        <f ca="1">IFERROR(__xludf.DUMMYFUNCTION("""COMPUTED_VALUE"""),50.25)</f>
        <v>50.25</v>
      </c>
      <c r="BM331" s="3">
        <f ca="1">IFERROR(__xludf.DUMMYFUNCTION("""COMPUTED_VALUE"""),50.4)</f>
        <v>50.4</v>
      </c>
      <c r="BN331" s="3">
        <f ca="1">IFERROR(__xludf.DUMMYFUNCTION("""COMPUTED_VALUE"""),9101763)</f>
        <v>9101763</v>
      </c>
    </row>
    <row r="332" spans="7:66" ht="13" x14ac:dyDescent="0.15">
      <c r="G332" s="4">
        <f ca="1">IFERROR(__xludf.DUMMYFUNCTION("""COMPUTED_VALUE"""),42605.6666666666)</f>
        <v>42605.666666666599</v>
      </c>
      <c r="H332" s="3">
        <f ca="1">IFERROR(__xludf.DUMMYFUNCTION("""COMPUTED_VALUE"""),81.8)</f>
        <v>81.8</v>
      </c>
      <c r="I332" s="3">
        <f ca="1">IFERROR(__xludf.DUMMYFUNCTION("""COMPUTED_VALUE"""),81.93)</f>
        <v>81.93</v>
      </c>
      <c r="J332" s="3">
        <f ca="1">IFERROR(__xludf.DUMMYFUNCTION("""COMPUTED_VALUE"""),81.69)</f>
        <v>81.69</v>
      </c>
      <c r="K332" s="3">
        <f ca="1">IFERROR(__xludf.DUMMYFUNCTION("""COMPUTED_VALUE"""),81.83)</f>
        <v>81.83</v>
      </c>
      <c r="L332" s="3">
        <f ca="1">IFERROR(__xludf.DUMMYFUNCTION("""COMPUTED_VALUE"""),5350824)</f>
        <v>5350824</v>
      </c>
      <c r="M332" s="4">
        <f ca="1">IFERROR(__xludf.DUMMYFUNCTION("""COMPUTED_VALUE"""),42605.6666666666)</f>
        <v>42605.666666666599</v>
      </c>
      <c r="N332" s="3">
        <f ca="1">IFERROR(__xludf.DUMMYFUNCTION("""COMPUTED_VALUE"""),55.03)</f>
        <v>55.03</v>
      </c>
      <c r="O332" s="3">
        <f ca="1">IFERROR(__xludf.DUMMYFUNCTION("""COMPUTED_VALUE"""),55.13)</f>
        <v>55.13</v>
      </c>
      <c r="P332" s="3">
        <f ca="1">IFERROR(__xludf.DUMMYFUNCTION("""COMPUTED_VALUE"""),54.87)</f>
        <v>54.87</v>
      </c>
      <c r="Q332" s="3">
        <f ca="1">IFERROR(__xludf.DUMMYFUNCTION("""COMPUTED_VALUE"""),54.89)</f>
        <v>54.89</v>
      </c>
      <c r="R332" s="3">
        <f ca="1">IFERROR(__xludf.DUMMYFUNCTION("""COMPUTED_VALUE"""),5687354)</f>
        <v>5687354</v>
      </c>
      <c r="S332" s="4">
        <f ca="1">IFERROR(__xludf.DUMMYFUNCTION("""COMPUTED_VALUE"""),42605.6666666666)</f>
        <v>42605.666666666599</v>
      </c>
      <c r="T332" s="3">
        <f ca="1">IFERROR(__xludf.DUMMYFUNCTION("""COMPUTED_VALUE"""),69.6)</f>
        <v>69.599999999999994</v>
      </c>
      <c r="U332" s="3">
        <f ca="1">IFERROR(__xludf.DUMMYFUNCTION("""COMPUTED_VALUE"""),70.27)</f>
        <v>70.27</v>
      </c>
      <c r="V332" s="3">
        <f ca="1">IFERROR(__xludf.DUMMYFUNCTION("""COMPUTED_VALUE"""),69.6)</f>
        <v>69.599999999999994</v>
      </c>
      <c r="W332" s="3">
        <f ca="1">IFERROR(__xludf.DUMMYFUNCTION("""COMPUTED_VALUE"""),70.09)</f>
        <v>70.09</v>
      </c>
      <c r="X332" s="3">
        <f ca="1">IFERROR(__xludf.DUMMYFUNCTION("""COMPUTED_VALUE"""),12456241)</f>
        <v>12456241</v>
      </c>
      <c r="Y332" s="4">
        <f ca="1">IFERROR(__xludf.DUMMYFUNCTION("""COMPUTED_VALUE"""),42605.6666666666)</f>
        <v>42605.666666666599</v>
      </c>
      <c r="Z332" s="3">
        <f ca="1">IFERROR(__xludf.DUMMYFUNCTION("""COMPUTED_VALUE"""),19.57)</f>
        <v>19.57</v>
      </c>
      <c r="AA332" s="3">
        <f ca="1">IFERROR(__xludf.DUMMYFUNCTION("""COMPUTED_VALUE"""),19.62)</f>
        <v>19.62</v>
      </c>
      <c r="AB332" s="3">
        <f ca="1">IFERROR(__xludf.DUMMYFUNCTION("""COMPUTED_VALUE"""),19.52)</f>
        <v>19.52</v>
      </c>
      <c r="AC332" s="3">
        <f ca="1">IFERROR(__xludf.DUMMYFUNCTION("""COMPUTED_VALUE"""),19.52)</f>
        <v>19.52</v>
      </c>
      <c r="AD332" s="3">
        <f ca="1">IFERROR(__xludf.DUMMYFUNCTION("""COMPUTED_VALUE"""),24253026)</f>
        <v>24253026</v>
      </c>
      <c r="AE332" s="4">
        <f ca="1">IFERROR(__xludf.DUMMYFUNCTION("""COMPUTED_VALUE"""),42605.6666666666)</f>
        <v>42605.666666666599</v>
      </c>
      <c r="AF332" s="3">
        <f ca="1">IFERROR(__xludf.DUMMYFUNCTION("""COMPUTED_VALUE"""),74.77)</f>
        <v>74.77</v>
      </c>
      <c r="AG332" s="3">
        <f ca="1">IFERROR(__xludf.DUMMYFUNCTION("""COMPUTED_VALUE"""),75)</f>
        <v>75</v>
      </c>
      <c r="AH332" s="3">
        <f ca="1">IFERROR(__xludf.DUMMYFUNCTION("""COMPUTED_VALUE"""),74.54)</f>
        <v>74.540000000000006</v>
      </c>
      <c r="AI332" s="3">
        <f ca="1">IFERROR(__xludf.DUMMYFUNCTION("""COMPUTED_VALUE"""),74.58)</f>
        <v>74.58</v>
      </c>
      <c r="AJ332" s="3">
        <f ca="1">IFERROR(__xludf.DUMMYFUNCTION("""COMPUTED_VALUE"""),8557869)</f>
        <v>8557869</v>
      </c>
      <c r="AK332" s="4">
        <f ca="1">IFERROR(__xludf.DUMMYFUNCTION("""COMPUTED_VALUE"""),42605.6666666666)</f>
        <v>42605.666666666599</v>
      </c>
      <c r="AL332" s="3">
        <f ca="1">IFERROR(__xludf.DUMMYFUNCTION("""COMPUTED_VALUE"""),59.15)</f>
        <v>59.15</v>
      </c>
      <c r="AM332" s="3">
        <f ca="1">IFERROR(__xludf.DUMMYFUNCTION("""COMPUTED_VALUE"""),59.34)</f>
        <v>59.34</v>
      </c>
      <c r="AN332" s="3">
        <f ca="1">IFERROR(__xludf.DUMMYFUNCTION("""COMPUTED_VALUE"""),59.02)</f>
        <v>59.02</v>
      </c>
      <c r="AO332" s="3">
        <f ca="1">IFERROR(__xludf.DUMMYFUNCTION("""COMPUTED_VALUE"""),59.02)</f>
        <v>59.02</v>
      </c>
      <c r="AP332" s="3">
        <f ca="1">IFERROR(__xludf.DUMMYFUNCTION("""COMPUTED_VALUE"""),8327265)</f>
        <v>8327265</v>
      </c>
      <c r="AQ332" s="4">
        <f ca="1">IFERROR(__xludf.DUMMYFUNCTION("""COMPUTED_VALUE"""),42605.6666666666)</f>
        <v>42605.666666666599</v>
      </c>
      <c r="AR332" s="3">
        <f ca="1">IFERROR(__xludf.DUMMYFUNCTION("""COMPUTED_VALUE"""),49.35)</f>
        <v>49.35</v>
      </c>
      <c r="AS332" s="3">
        <f ca="1">IFERROR(__xludf.DUMMYFUNCTION("""COMPUTED_VALUE"""),49.57)</f>
        <v>49.57</v>
      </c>
      <c r="AT332" s="3">
        <f ca="1">IFERROR(__xludf.DUMMYFUNCTION("""COMPUTED_VALUE"""),49.23)</f>
        <v>49.23</v>
      </c>
      <c r="AU332" s="3">
        <f ca="1">IFERROR(__xludf.DUMMYFUNCTION("""COMPUTED_VALUE"""),49.34)</f>
        <v>49.34</v>
      </c>
      <c r="AV332" s="3">
        <f ca="1">IFERROR(__xludf.DUMMYFUNCTION("""COMPUTED_VALUE"""),4129724)</f>
        <v>4129724</v>
      </c>
      <c r="AW332" s="4">
        <f ca="1">IFERROR(__xludf.DUMMYFUNCTION("""COMPUTED_VALUE"""),42772.6666666666)</f>
        <v>42772.666666666599</v>
      </c>
      <c r="AX332" s="3">
        <f ca="1">IFERROR(__xludf.DUMMYFUNCTION("""COMPUTED_VALUE"""),30.87)</f>
        <v>30.87</v>
      </c>
      <c r="AY332" s="3">
        <f ca="1">IFERROR(__xludf.DUMMYFUNCTION("""COMPUTED_VALUE"""),30.95)</f>
        <v>30.95</v>
      </c>
      <c r="AZ332" s="3">
        <f ca="1">IFERROR(__xludf.DUMMYFUNCTION("""COMPUTED_VALUE"""),30.7)</f>
        <v>30.7</v>
      </c>
      <c r="BA332" s="3">
        <f ca="1">IFERROR(__xludf.DUMMYFUNCTION("""COMPUTED_VALUE"""),30.74)</f>
        <v>30.74</v>
      </c>
      <c r="BB332" s="3">
        <f ca="1">IFERROR(__xludf.DUMMYFUNCTION("""COMPUTED_VALUE"""),1362610)</f>
        <v>1362610</v>
      </c>
      <c r="BC332" s="4">
        <f ca="1">IFERROR(__xludf.DUMMYFUNCTION("""COMPUTED_VALUE"""),42605.6666666666)</f>
        <v>42605.666666666599</v>
      </c>
      <c r="BD332" s="3">
        <f ca="1">IFERROR(__xludf.DUMMYFUNCTION("""COMPUTED_VALUE"""),47.16)</f>
        <v>47.16</v>
      </c>
      <c r="BE332" s="3">
        <f ca="1">IFERROR(__xludf.DUMMYFUNCTION("""COMPUTED_VALUE"""),47.3)</f>
        <v>47.3</v>
      </c>
      <c r="BF332" s="3">
        <f ca="1">IFERROR(__xludf.DUMMYFUNCTION("""COMPUTED_VALUE"""),47.15)</f>
        <v>47.15</v>
      </c>
      <c r="BG332" s="3">
        <f ca="1">IFERROR(__xludf.DUMMYFUNCTION("""COMPUTED_VALUE"""),47.19)</f>
        <v>47.19</v>
      </c>
      <c r="BH332" s="3">
        <f ca="1">IFERROR(__xludf.DUMMYFUNCTION("""COMPUTED_VALUE"""),8315308)</f>
        <v>8315308</v>
      </c>
      <c r="BI332" s="4">
        <f ca="1">IFERROR(__xludf.DUMMYFUNCTION("""COMPUTED_VALUE"""),42605.6666666666)</f>
        <v>42605.666666666599</v>
      </c>
      <c r="BJ332" s="3">
        <f ca="1">IFERROR(__xludf.DUMMYFUNCTION("""COMPUTED_VALUE"""),50.48)</f>
        <v>50.48</v>
      </c>
      <c r="BK332" s="3">
        <f ca="1">IFERROR(__xludf.DUMMYFUNCTION("""COMPUTED_VALUE"""),50.72)</f>
        <v>50.72</v>
      </c>
      <c r="BL332" s="3">
        <f ca="1">IFERROR(__xludf.DUMMYFUNCTION("""COMPUTED_VALUE"""),50.15)</f>
        <v>50.15</v>
      </c>
      <c r="BM332" s="3">
        <f ca="1">IFERROR(__xludf.DUMMYFUNCTION("""COMPUTED_VALUE"""),50.18)</f>
        <v>50.18</v>
      </c>
      <c r="BN332" s="3">
        <f ca="1">IFERROR(__xludf.DUMMYFUNCTION("""COMPUTED_VALUE"""),9578718)</f>
        <v>9578718</v>
      </c>
    </row>
    <row r="333" spans="7:66" ht="13" x14ac:dyDescent="0.15">
      <c r="G333" s="4">
        <f ca="1">IFERROR(__xludf.DUMMYFUNCTION("""COMPUTED_VALUE"""),42606.6666666666)</f>
        <v>42606.666666666599</v>
      </c>
      <c r="H333" s="3">
        <f ca="1">IFERROR(__xludf.DUMMYFUNCTION("""COMPUTED_VALUE"""),81.75)</f>
        <v>81.75</v>
      </c>
      <c r="I333" s="3">
        <f ca="1">IFERROR(__xludf.DUMMYFUNCTION("""COMPUTED_VALUE"""),81.95)</f>
        <v>81.95</v>
      </c>
      <c r="J333" s="3">
        <f ca="1">IFERROR(__xludf.DUMMYFUNCTION("""COMPUTED_VALUE"""),81.28)</f>
        <v>81.28</v>
      </c>
      <c r="K333" s="3">
        <f ca="1">IFERROR(__xludf.DUMMYFUNCTION("""COMPUTED_VALUE"""),81.44)</f>
        <v>81.44</v>
      </c>
      <c r="L333" s="3">
        <f ca="1">IFERROR(__xludf.DUMMYFUNCTION("""COMPUTED_VALUE"""),3233111)</f>
        <v>3233111</v>
      </c>
      <c r="M333" s="4">
        <f ca="1">IFERROR(__xludf.DUMMYFUNCTION("""COMPUTED_VALUE"""),42606.6666666666)</f>
        <v>42606.666666666599</v>
      </c>
      <c r="N333" s="3">
        <f ca="1">IFERROR(__xludf.DUMMYFUNCTION("""COMPUTED_VALUE"""),54.87)</f>
        <v>54.87</v>
      </c>
      <c r="O333" s="3">
        <f ca="1">IFERROR(__xludf.DUMMYFUNCTION("""COMPUTED_VALUE"""),54.98)</f>
        <v>54.98</v>
      </c>
      <c r="P333" s="3">
        <f ca="1">IFERROR(__xludf.DUMMYFUNCTION("""COMPUTED_VALUE"""),54.58)</f>
        <v>54.58</v>
      </c>
      <c r="Q333" s="3">
        <f ca="1">IFERROR(__xludf.DUMMYFUNCTION("""COMPUTED_VALUE"""),54.8)</f>
        <v>54.8</v>
      </c>
      <c r="R333" s="3">
        <f ca="1">IFERROR(__xludf.DUMMYFUNCTION("""COMPUTED_VALUE"""),7793780)</f>
        <v>7793780</v>
      </c>
      <c r="S333" s="4">
        <f ca="1">IFERROR(__xludf.DUMMYFUNCTION("""COMPUTED_VALUE"""),42606.6666666666)</f>
        <v>42606.666666666599</v>
      </c>
      <c r="T333" s="3">
        <f ca="1">IFERROR(__xludf.DUMMYFUNCTION("""COMPUTED_VALUE"""),69.7)</f>
        <v>69.7</v>
      </c>
      <c r="U333" s="3">
        <f ca="1">IFERROR(__xludf.DUMMYFUNCTION("""COMPUTED_VALUE"""),70.16)</f>
        <v>70.16</v>
      </c>
      <c r="V333" s="3">
        <f ca="1">IFERROR(__xludf.DUMMYFUNCTION("""COMPUTED_VALUE"""),69.63)</f>
        <v>69.63</v>
      </c>
      <c r="W333" s="3">
        <f ca="1">IFERROR(__xludf.DUMMYFUNCTION("""COMPUTED_VALUE"""),69.81)</f>
        <v>69.81</v>
      </c>
      <c r="X333" s="3">
        <f ca="1">IFERROR(__xludf.DUMMYFUNCTION("""COMPUTED_VALUE"""),16452642)</f>
        <v>16452642</v>
      </c>
      <c r="Y333" s="4">
        <f ca="1">IFERROR(__xludf.DUMMYFUNCTION("""COMPUTED_VALUE"""),42606.6666666666)</f>
        <v>42606.666666666599</v>
      </c>
      <c r="Z333" s="3">
        <f ca="1">IFERROR(__xludf.DUMMYFUNCTION("""COMPUTED_VALUE"""),19.53)</f>
        <v>19.53</v>
      </c>
      <c r="AA333" s="3">
        <f ca="1">IFERROR(__xludf.DUMMYFUNCTION("""COMPUTED_VALUE"""),19.58)</f>
        <v>19.579999999999998</v>
      </c>
      <c r="AB333" s="3">
        <f ca="1">IFERROR(__xludf.DUMMYFUNCTION("""COMPUTED_VALUE"""),19.46)</f>
        <v>19.46</v>
      </c>
      <c r="AC333" s="3">
        <f ca="1">IFERROR(__xludf.DUMMYFUNCTION("""COMPUTED_VALUE"""),19.51)</f>
        <v>19.510000000000002</v>
      </c>
      <c r="AD333" s="3">
        <f ca="1">IFERROR(__xludf.DUMMYFUNCTION("""COMPUTED_VALUE"""),19739414)</f>
        <v>19739414</v>
      </c>
      <c r="AE333" s="4">
        <f ca="1">IFERROR(__xludf.DUMMYFUNCTION("""COMPUTED_VALUE"""),42606.6666666666)</f>
        <v>42606.666666666599</v>
      </c>
      <c r="AF333" s="3">
        <f ca="1">IFERROR(__xludf.DUMMYFUNCTION("""COMPUTED_VALUE"""),74.55)</f>
        <v>74.55</v>
      </c>
      <c r="AG333" s="3">
        <f ca="1">IFERROR(__xludf.DUMMYFUNCTION("""COMPUTED_VALUE"""),74.71)</f>
        <v>74.709999999999994</v>
      </c>
      <c r="AH333" s="3">
        <f ca="1">IFERROR(__xludf.DUMMYFUNCTION("""COMPUTED_VALUE"""),73.23)</f>
        <v>73.23</v>
      </c>
      <c r="AI333" s="3">
        <f ca="1">IFERROR(__xludf.DUMMYFUNCTION("""COMPUTED_VALUE"""),73.41)</f>
        <v>73.41</v>
      </c>
      <c r="AJ333" s="3">
        <f ca="1">IFERROR(__xludf.DUMMYFUNCTION("""COMPUTED_VALUE"""),8670361)</f>
        <v>8670361</v>
      </c>
      <c r="AK333" s="4">
        <f ca="1">IFERROR(__xludf.DUMMYFUNCTION("""COMPUTED_VALUE"""),42606.6666666666)</f>
        <v>42606.666666666599</v>
      </c>
      <c r="AL333" s="3">
        <f ca="1">IFERROR(__xludf.DUMMYFUNCTION("""COMPUTED_VALUE"""),58.94)</f>
        <v>58.94</v>
      </c>
      <c r="AM333" s="3">
        <f ca="1">IFERROR(__xludf.DUMMYFUNCTION("""COMPUTED_VALUE"""),59.01)</f>
        <v>59.01</v>
      </c>
      <c r="AN333" s="3">
        <f ca="1">IFERROR(__xludf.DUMMYFUNCTION("""COMPUTED_VALUE"""),58.74)</f>
        <v>58.74</v>
      </c>
      <c r="AO333" s="3">
        <f ca="1">IFERROR(__xludf.DUMMYFUNCTION("""COMPUTED_VALUE"""),58.84)</f>
        <v>58.84</v>
      </c>
      <c r="AP333" s="3">
        <f ca="1">IFERROR(__xludf.DUMMYFUNCTION("""COMPUTED_VALUE"""),8569679)</f>
        <v>8569679</v>
      </c>
      <c r="AQ333" s="4">
        <f ca="1">IFERROR(__xludf.DUMMYFUNCTION("""COMPUTED_VALUE"""),42606.6666666666)</f>
        <v>42606.666666666599</v>
      </c>
      <c r="AR333" s="3">
        <f ca="1">IFERROR(__xludf.DUMMYFUNCTION("""COMPUTED_VALUE"""),49.27)</f>
        <v>49.27</v>
      </c>
      <c r="AS333" s="3">
        <f ca="1">IFERROR(__xludf.DUMMYFUNCTION("""COMPUTED_VALUE"""),49.27)</f>
        <v>49.27</v>
      </c>
      <c r="AT333" s="3">
        <f ca="1">IFERROR(__xludf.DUMMYFUNCTION("""COMPUTED_VALUE"""),48.71)</f>
        <v>48.71</v>
      </c>
      <c r="AU333" s="3">
        <f ca="1">IFERROR(__xludf.DUMMYFUNCTION("""COMPUTED_VALUE"""),48.77)</f>
        <v>48.77</v>
      </c>
      <c r="AV333" s="3">
        <f ca="1">IFERROR(__xludf.DUMMYFUNCTION("""COMPUTED_VALUE"""),3903916)</f>
        <v>3903916</v>
      </c>
      <c r="AW333" s="4">
        <f ca="1">IFERROR(__xludf.DUMMYFUNCTION("""COMPUTED_VALUE"""),42773.6666666666)</f>
        <v>42773.666666666599</v>
      </c>
      <c r="AX333" s="3">
        <f ca="1">IFERROR(__xludf.DUMMYFUNCTION("""COMPUTED_VALUE"""),30.8)</f>
        <v>30.8</v>
      </c>
      <c r="AY333" s="3">
        <f ca="1">IFERROR(__xludf.DUMMYFUNCTION("""COMPUTED_VALUE"""),30.87)</f>
        <v>30.87</v>
      </c>
      <c r="AZ333" s="3">
        <f ca="1">IFERROR(__xludf.DUMMYFUNCTION("""COMPUTED_VALUE"""),30.65)</f>
        <v>30.65</v>
      </c>
      <c r="BA333" s="3">
        <f ca="1">IFERROR(__xludf.DUMMYFUNCTION("""COMPUTED_VALUE"""),30.68)</f>
        <v>30.68</v>
      </c>
      <c r="BB333" s="3">
        <f ca="1">IFERROR(__xludf.DUMMYFUNCTION("""COMPUTED_VALUE"""),1496677)</f>
        <v>1496677</v>
      </c>
      <c r="BC333" s="4">
        <f ca="1">IFERROR(__xludf.DUMMYFUNCTION("""COMPUTED_VALUE"""),42606.6666666666)</f>
        <v>42606.666666666599</v>
      </c>
      <c r="BD333" s="3">
        <f ca="1">IFERROR(__xludf.DUMMYFUNCTION("""COMPUTED_VALUE"""),47.17)</f>
        <v>47.17</v>
      </c>
      <c r="BE333" s="3">
        <f ca="1">IFERROR(__xludf.DUMMYFUNCTION("""COMPUTED_VALUE"""),47.19)</f>
        <v>47.19</v>
      </c>
      <c r="BF333" s="3">
        <f ca="1">IFERROR(__xludf.DUMMYFUNCTION("""COMPUTED_VALUE"""),46.82)</f>
        <v>46.82</v>
      </c>
      <c r="BG333" s="3">
        <f ca="1">IFERROR(__xludf.DUMMYFUNCTION("""COMPUTED_VALUE"""),46.93)</f>
        <v>46.93</v>
      </c>
      <c r="BH333" s="3">
        <f ca="1">IFERROR(__xludf.DUMMYFUNCTION("""COMPUTED_VALUE"""),6824434)</f>
        <v>6824434</v>
      </c>
      <c r="BI333" s="4">
        <f ca="1">IFERROR(__xludf.DUMMYFUNCTION("""COMPUTED_VALUE"""),42606.6666666666)</f>
        <v>42606.666666666599</v>
      </c>
      <c r="BJ333" s="3">
        <f ca="1">IFERROR(__xludf.DUMMYFUNCTION("""COMPUTED_VALUE"""),50.1)</f>
        <v>50.1</v>
      </c>
      <c r="BK333" s="3">
        <f ca="1">IFERROR(__xludf.DUMMYFUNCTION("""COMPUTED_VALUE"""),50.24)</f>
        <v>50.24</v>
      </c>
      <c r="BL333" s="3">
        <f ca="1">IFERROR(__xludf.DUMMYFUNCTION("""COMPUTED_VALUE"""),49.77)</f>
        <v>49.77</v>
      </c>
      <c r="BM333" s="3">
        <f ca="1">IFERROR(__xludf.DUMMYFUNCTION("""COMPUTED_VALUE"""),50.16)</f>
        <v>50.16</v>
      </c>
      <c r="BN333" s="3">
        <f ca="1">IFERROR(__xludf.DUMMYFUNCTION("""COMPUTED_VALUE"""),8048328)</f>
        <v>8048328</v>
      </c>
    </row>
    <row r="334" spans="7:66" ht="13" x14ac:dyDescent="0.15">
      <c r="G334" s="4">
        <f ca="1">IFERROR(__xludf.DUMMYFUNCTION("""COMPUTED_VALUE"""),42607.6666666666)</f>
        <v>42607.666666666599</v>
      </c>
      <c r="H334" s="3">
        <f ca="1">IFERROR(__xludf.DUMMYFUNCTION("""COMPUTED_VALUE"""),81.14)</f>
        <v>81.14</v>
      </c>
      <c r="I334" s="3">
        <f ca="1">IFERROR(__xludf.DUMMYFUNCTION("""COMPUTED_VALUE"""),81.44)</f>
        <v>81.44</v>
      </c>
      <c r="J334" s="3">
        <f ca="1">IFERROR(__xludf.DUMMYFUNCTION("""COMPUTED_VALUE"""),81.02)</f>
        <v>81.02</v>
      </c>
      <c r="K334" s="3">
        <f ca="1">IFERROR(__xludf.DUMMYFUNCTION("""COMPUTED_VALUE"""),81.17)</f>
        <v>81.17</v>
      </c>
      <c r="L334" s="3">
        <f ca="1">IFERROR(__xludf.DUMMYFUNCTION("""COMPUTED_VALUE"""),3030748)</f>
        <v>3030748</v>
      </c>
      <c r="M334" s="4">
        <f ca="1">IFERROR(__xludf.DUMMYFUNCTION("""COMPUTED_VALUE"""),42607.6666666666)</f>
        <v>42607.666666666599</v>
      </c>
      <c r="N334" s="3">
        <f ca="1">IFERROR(__xludf.DUMMYFUNCTION("""COMPUTED_VALUE"""),54.83)</f>
        <v>54.83</v>
      </c>
      <c r="O334" s="3">
        <f ca="1">IFERROR(__xludf.DUMMYFUNCTION("""COMPUTED_VALUE"""),54.83)</f>
        <v>54.83</v>
      </c>
      <c r="P334" s="3">
        <f ca="1">IFERROR(__xludf.DUMMYFUNCTION("""COMPUTED_VALUE"""),54.48)</f>
        <v>54.48</v>
      </c>
      <c r="Q334" s="3">
        <f ca="1">IFERROR(__xludf.DUMMYFUNCTION("""COMPUTED_VALUE"""),54.59)</f>
        <v>54.59</v>
      </c>
      <c r="R334" s="3">
        <f ca="1">IFERROR(__xludf.DUMMYFUNCTION("""COMPUTED_VALUE"""),7359658)</f>
        <v>7359658</v>
      </c>
      <c r="S334" s="4">
        <f ca="1">IFERROR(__xludf.DUMMYFUNCTION("""COMPUTED_VALUE"""),42607.6666666666)</f>
        <v>42607.666666666599</v>
      </c>
      <c r="T334" s="3">
        <f ca="1">IFERROR(__xludf.DUMMYFUNCTION("""COMPUTED_VALUE"""),69.7)</f>
        <v>69.7</v>
      </c>
      <c r="U334" s="3">
        <f ca="1">IFERROR(__xludf.DUMMYFUNCTION("""COMPUTED_VALUE"""),69.91)</f>
        <v>69.91</v>
      </c>
      <c r="V334" s="3">
        <f ca="1">IFERROR(__xludf.DUMMYFUNCTION("""COMPUTED_VALUE"""),69.39)</f>
        <v>69.39</v>
      </c>
      <c r="W334" s="3">
        <f ca="1">IFERROR(__xludf.DUMMYFUNCTION("""COMPUTED_VALUE"""),69.62)</f>
        <v>69.62</v>
      </c>
      <c r="X334" s="3">
        <f ca="1">IFERROR(__xludf.DUMMYFUNCTION("""COMPUTED_VALUE"""),11895847)</f>
        <v>11895847</v>
      </c>
      <c r="Y334" s="4">
        <f ca="1">IFERROR(__xludf.DUMMYFUNCTION("""COMPUTED_VALUE"""),42607.6666666666)</f>
        <v>42607.666666666599</v>
      </c>
      <c r="Z334" s="3">
        <f ca="1">IFERROR(__xludf.DUMMYFUNCTION("""COMPUTED_VALUE"""),19.49)</f>
        <v>19.489999999999998</v>
      </c>
      <c r="AA334" s="3">
        <f ca="1">IFERROR(__xludf.DUMMYFUNCTION("""COMPUTED_VALUE"""),19.59)</f>
        <v>19.59</v>
      </c>
      <c r="AB334" s="3">
        <f ca="1">IFERROR(__xludf.DUMMYFUNCTION("""COMPUTED_VALUE"""),19.46)</f>
        <v>19.46</v>
      </c>
      <c r="AC334" s="3">
        <f ca="1">IFERROR(__xludf.DUMMYFUNCTION("""COMPUTED_VALUE"""),19.55)</f>
        <v>19.55</v>
      </c>
      <c r="AD334" s="3">
        <f ca="1">IFERROR(__xludf.DUMMYFUNCTION("""COMPUTED_VALUE"""),22136176)</f>
        <v>22136176</v>
      </c>
      <c r="AE334" s="4">
        <f ca="1">IFERROR(__xludf.DUMMYFUNCTION("""COMPUTED_VALUE"""),42607.6666666666)</f>
        <v>42607.666666666599</v>
      </c>
      <c r="AF334" s="3">
        <f ca="1">IFERROR(__xludf.DUMMYFUNCTION("""COMPUTED_VALUE"""),73.21)</f>
        <v>73.209999999999994</v>
      </c>
      <c r="AG334" s="3">
        <f ca="1">IFERROR(__xludf.DUMMYFUNCTION("""COMPUTED_VALUE"""),73.51)</f>
        <v>73.510000000000005</v>
      </c>
      <c r="AH334" s="3">
        <f ca="1">IFERROR(__xludf.DUMMYFUNCTION("""COMPUTED_VALUE"""),72.47)</f>
        <v>72.47</v>
      </c>
      <c r="AI334" s="3">
        <f ca="1">IFERROR(__xludf.DUMMYFUNCTION("""COMPUTED_VALUE"""),72.79)</f>
        <v>72.790000000000006</v>
      </c>
      <c r="AJ334" s="3">
        <f ca="1">IFERROR(__xludf.DUMMYFUNCTION("""COMPUTED_VALUE"""),8766486)</f>
        <v>8766486</v>
      </c>
      <c r="AK334" s="4">
        <f ca="1">IFERROR(__xludf.DUMMYFUNCTION("""COMPUTED_VALUE"""),42607.6666666666)</f>
        <v>42607.666666666599</v>
      </c>
      <c r="AL334" s="3">
        <f ca="1">IFERROR(__xludf.DUMMYFUNCTION("""COMPUTED_VALUE"""),58.83)</f>
        <v>58.83</v>
      </c>
      <c r="AM334" s="3">
        <f ca="1">IFERROR(__xludf.DUMMYFUNCTION("""COMPUTED_VALUE"""),58.98)</f>
        <v>58.98</v>
      </c>
      <c r="AN334" s="3">
        <f ca="1">IFERROR(__xludf.DUMMYFUNCTION("""COMPUTED_VALUE"""),58.65)</f>
        <v>58.65</v>
      </c>
      <c r="AO334" s="3">
        <f ca="1">IFERROR(__xludf.DUMMYFUNCTION("""COMPUTED_VALUE"""),58.83)</f>
        <v>58.83</v>
      </c>
      <c r="AP334" s="3">
        <f ca="1">IFERROR(__xludf.DUMMYFUNCTION("""COMPUTED_VALUE"""),8623173)</f>
        <v>8623173</v>
      </c>
      <c r="AQ334" s="4">
        <f ca="1">IFERROR(__xludf.DUMMYFUNCTION("""COMPUTED_VALUE"""),42607.6666666666)</f>
        <v>42607.666666666599</v>
      </c>
      <c r="AR334" s="3">
        <f ca="1">IFERROR(__xludf.DUMMYFUNCTION("""COMPUTED_VALUE"""),48.72)</f>
        <v>48.72</v>
      </c>
      <c r="AS334" s="3">
        <f ca="1">IFERROR(__xludf.DUMMYFUNCTION("""COMPUTED_VALUE"""),49.07)</f>
        <v>49.07</v>
      </c>
      <c r="AT334" s="3">
        <f ca="1">IFERROR(__xludf.DUMMYFUNCTION("""COMPUTED_VALUE"""),48.71)</f>
        <v>48.71</v>
      </c>
      <c r="AU334" s="3">
        <f ca="1">IFERROR(__xludf.DUMMYFUNCTION("""COMPUTED_VALUE"""),49.01)</f>
        <v>49.01</v>
      </c>
      <c r="AV334" s="3">
        <f ca="1">IFERROR(__xludf.DUMMYFUNCTION("""COMPUTED_VALUE"""),3388152)</f>
        <v>3388152</v>
      </c>
      <c r="AW334" s="4">
        <f ca="1">IFERROR(__xludf.DUMMYFUNCTION("""COMPUTED_VALUE"""),42774.6666666666)</f>
        <v>42774.666666666599</v>
      </c>
      <c r="AX334" s="3">
        <f ca="1">IFERROR(__xludf.DUMMYFUNCTION("""COMPUTED_VALUE"""),30.64)</f>
        <v>30.64</v>
      </c>
      <c r="AY334" s="3">
        <f ca="1">IFERROR(__xludf.DUMMYFUNCTION("""COMPUTED_VALUE"""),31.01)</f>
        <v>31.01</v>
      </c>
      <c r="AZ334" s="3">
        <f ca="1">IFERROR(__xludf.DUMMYFUNCTION("""COMPUTED_VALUE"""),30.64)</f>
        <v>30.64</v>
      </c>
      <c r="BA334" s="3">
        <f ca="1">IFERROR(__xludf.DUMMYFUNCTION("""COMPUTED_VALUE"""),30.94)</f>
        <v>30.94</v>
      </c>
      <c r="BB334" s="3">
        <f ca="1">IFERROR(__xludf.DUMMYFUNCTION("""COMPUTED_VALUE"""),1379123)</f>
        <v>1379123</v>
      </c>
      <c r="BC334" s="4">
        <f ca="1">IFERROR(__xludf.DUMMYFUNCTION("""COMPUTED_VALUE"""),42607.6666666666)</f>
        <v>42607.666666666599</v>
      </c>
      <c r="BD334" s="3">
        <f ca="1">IFERROR(__xludf.DUMMYFUNCTION("""COMPUTED_VALUE"""),46.85)</f>
        <v>46.85</v>
      </c>
      <c r="BE334" s="3">
        <f ca="1">IFERROR(__xludf.DUMMYFUNCTION("""COMPUTED_VALUE"""),47.09)</f>
        <v>47.09</v>
      </c>
      <c r="BF334" s="3">
        <f ca="1">IFERROR(__xludf.DUMMYFUNCTION("""COMPUTED_VALUE"""),46.77)</f>
        <v>46.77</v>
      </c>
      <c r="BG334" s="3">
        <f ca="1">IFERROR(__xludf.DUMMYFUNCTION("""COMPUTED_VALUE"""),47.03)</f>
        <v>47.03</v>
      </c>
      <c r="BH334" s="3">
        <f ca="1">IFERROR(__xludf.DUMMYFUNCTION("""COMPUTED_VALUE"""),5912652)</f>
        <v>5912652</v>
      </c>
      <c r="BI334" s="4">
        <f ca="1">IFERROR(__xludf.DUMMYFUNCTION("""COMPUTED_VALUE"""),42607.6666666666)</f>
        <v>42607.666666666599</v>
      </c>
      <c r="BJ334" s="3">
        <f ca="1">IFERROR(__xludf.DUMMYFUNCTION("""COMPUTED_VALUE"""),50.11)</f>
        <v>50.11</v>
      </c>
      <c r="BK334" s="3">
        <f ca="1">IFERROR(__xludf.DUMMYFUNCTION("""COMPUTED_VALUE"""),50.36)</f>
        <v>50.36</v>
      </c>
      <c r="BL334" s="3">
        <f ca="1">IFERROR(__xludf.DUMMYFUNCTION("""COMPUTED_VALUE"""),50.1)</f>
        <v>50.1</v>
      </c>
      <c r="BM334" s="3">
        <f ca="1">IFERROR(__xludf.DUMMYFUNCTION("""COMPUTED_VALUE"""),50.19)</f>
        <v>50.19</v>
      </c>
      <c r="BN334" s="3">
        <f ca="1">IFERROR(__xludf.DUMMYFUNCTION("""COMPUTED_VALUE"""),7222778)</f>
        <v>7222778</v>
      </c>
    </row>
    <row r="335" spans="7:66" ht="13" x14ac:dyDescent="0.15">
      <c r="G335" s="4">
        <f ca="1">IFERROR(__xludf.DUMMYFUNCTION("""COMPUTED_VALUE"""),42608.6666666666)</f>
        <v>42608.666666666599</v>
      </c>
      <c r="H335" s="3">
        <f ca="1">IFERROR(__xludf.DUMMYFUNCTION("""COMPUTED_VALUE"""),81.29)</f>
        <v>81.290000000000006</v>
      </c>
      <c r="I335" s="3">
        <f ca="1">IFERROR(__xludf.DUMMYFUNCTION("""COMPUTED_VALUE"""),81.61)</f>
        <v>81.61</v>
      </c>
      <c r="J335" s="3">
        <f ca="1">IFERROR(__xludf.DUMMYFUNCTION("""COMPUTED_VALUE"""),80.58)</f>
        <v>80.58</v>
      </c>
      <c r="K335" s="3">
        <f ca="1">IFERROR(__xludf.DUMMYFUNCTION("""COMPUTED_VALUE"""),80.94)</f>
        <v>80.94</v>
      </c>
      <c r="L335" s="3">
        <f ca="1">IFERROR(__xludf.DUMMYFUNCTION("""COMPUTED_VALUE"""),6289208)</f>
        <v>6289208</v>
      </c>
      <c r="M335" s="4">
        <f ca="1">IFERROR(__xludf.DUMMYFUNCTION("""COMPUTED_VALUE"""),42608.6666666666)</f>
        <v>42608.666666666599</v>
      </c>
      <c r="N335" s="3">
        <f ca="1">IFERROR(__xludf.DUMMYFUNCTION("""COMPUTED_VALUE"""),54.64)</f>
        <v>54.64</v>
      </c>
      <c r="O335" s="3">
        <f ca="1">IFERROR(__xludf.DUMMYFUNCTION("""COMPUTED_VALUE"""),54.86)</f>
        <v>54.86</v>
      </c>
      <c r="P335" s="3">
        <f ca="1">IFERROR(__xludf.DUMMYFUNCTION("""COMPUTED_VALUE"""),54.16)</f>
        <v>54.16</v>
      </c>
      <c r="Q335" s="3">
        <f ca="1">IFERROR(__xludf.DUMMYFUNCTION("""COMPUTED_VALUE"""),54.31)</f>
        <v>54.31</v>
      </c>
      <c r="R335" s="3">
        <f ca="1">IFERROR(__xludf.DUMMYFUNCTION("""COMPUTED_VALUE"""),13499833)</f>
        <v>13499833</v>
      </c>
      <c r="S335" s="4">
        <f ca="1">IFERROR(__xludf.DUMMYFUNCTION("""COMPUTED_VALUE"""),42608.6666666666)</f>
        <v>42608.666666666599</v>
      </c>
      <c r="T335" s="3">
        <f ca="1">IFERROR(__xludf.DUMMYFUNCTION("""COMPUTED_VALUE"""),69.74)</f>
        <v>69.739999999999995</v>
      </c>
      <c r="U335" s="3">
        <f ca="1">IFERROR(__xludf.DUMMYFUNCTION("""COMPUTED_VALUE"""),70.28)</f>
        <v>70.28</v>
      </c>
      <c r="V335" s="3">
        <f ca="1">IFERROR(__xludf.DUMMYFUNCTION("""COMPUTED_VALUE"""),69.05)</f>
        <v>69.05</v>
      </c>
      <c r="W335" s="3">
        <f ca="1">IFERROR(__xludf.DUMMYFUNCTION("""COMPUTED_VALUE"""),69.38)</f>
        <v>69.38</v>
      </c>
      <c r="X335" s="3">
        <f ca="1">IFERROR(__xludf.DUMMYFUNCTION("""COMPUTED_VALUE"""),14575065)</f>
        <v>14575065</v>
      </c>
      <c r="Y335" s="4">
        <f ca="1">IFERROR(__xludf.DUMMYFUNCTION("""COMPUTED_VALUE"""),42608.6666666666)</f>
        <v>42608.666666666599</v>
      </c>
      <c r="Z335" s="3">
        <f ca="1">IFERROR(__xludf.DUMMYFUNCTION("""COMPUTED_VALUE"""),19.61)</f>
        <v>19.61</v>
      </c>
      <c r="AA335" s="3">
        <f ca="1">IFERROR(__xludf.DUMMYFUNCTION("""COMPUTED_VALUE"""),19.72)</f>
        <v>19.72</v>
      </c>
      <c r="AB335" s="3">
        <f ca="1">IFERROR(__xludf.DUMMYFUNCTION("""COMPUTED_VALUE"""),19.46)</f>
        <v>19.46</v>
      </c>
      <c r="AC335" s="3">
        <f ca="1">IFERROR(__xludf.DUMMYFUNCTION("""COMPUTED_VALUE"""),19.58)</f>
        <v>19.579999999999998</v>
      </c>
      <c r="AD335" s="3">
        <f ca="1">IFERROR(__xludf.DUMMYFUNCTION("""COMPUTED_VALUE"""),52764703)</f>
        <v>52764703</v>
      </c>
      <c r="AE335" s="4">
        <f ca="1">IFERROR(__xludf.DUMMYFUNCTION("""COMPUTED_VALUE"""),42608.6666666666)</f>
        <v>42608.666666666599</v>
      </c>
      <c r="AF335" s="3">
        <f ca="1">IFERROR(__xludf.DUMMYFUNCTION("""COMPUTED_VALUE"""),72.87)</f>
        <v>72.87</v>
      </c>
      <c r="AG335" s="3">
        <f ca="1">IFERROR(__xludf.DUMMYFUNCTION("""COMPUTED_VALUE"""),73.45)</f>
        <v>73.45</v>
      </c>
      <c r="AH335" s="3">
        <f ca="1">IFERROR(__xludf.DUMMYFUNCTION("""COMPUTED_VALUE"""),72.63)</f>
        <v>72.63</v>
      </c>
      <c r="AI335" s="3">
        <f ca="1">IFERROR(__xludf.DUMMYFUNCTION("""COMPUTED_VALUE"""),73.07)</f>
        <v>73.069999999999993</v>
      </c>
      <c r="AJ335" s="3">
        <f ca="1">IFERROR(__xludf.DUMMYFUNCTION("""COMPUTED_VALUE"""),9974260)</f>
        <v>9974260</v>
      </c>
      <c r="AK335" s="4">
        <f ca="1">IFERROR(__xludf.DUMMYFUNCTION("""COMPUTED_VALUE"""),42608.6666666666)</f>
        <v>42608.666666666599</v>
      </c>
      <c r="AL335" s="3">
        <f ca="1">IFERROR(__xludf.DUMMYFUNCTION("""COMPUTED_VALUE"""),58.94)</f>
        <v>58.94</v>
      </c>
      <c r="AM335" s="3">
        <f ca="1">IFERROR(__xludf.DUMMYFUNCTION("""COMPUTED_VALUE"""),59.25)</f>
        <v>59.25</v>
      </c>
      <c r="AN335" s="3">
        <f ca="1">IFERROR(__xludf.DUMMYFUNCTION("""COMPUTED_VALUE"""),58.48)</f>
        <v>58.48</v>
      </c>
      <c r="AO335" s="3">
        <f ca="1">IFERROR(__xludf.DUMMYFUNCTION("""COMPUTED_VALUE"""),58.66)</f>
        <v>58.66</v>
      </c>
      <c r="AP335" s="3">
        <f ca="1">IFERROR(__xludf.DUMMYFUNCTION("""COMPUTED_VALUE"""),15676881)</f>
        <v>15676881</v>
      </c>
      <c r="AQ335" s="4">
        <f ca="1">IFERROR(__xludf.DUMMYFUNCTION("""COMPUTED_VALUE"""),42608.6666666666)</f>
        <v>42608.666666666599</v>
      </c>
      <c r="AR335" s="3">
        <f ca="1">IFERROR(__xludf.DUMMYFUNCTION("""COMPUTED_VALUE"""),49.2)</f>
        <v>49.2</v>
      </c>
      <c r="AS335" s="3">
        <f ca="1">IFERROR(__xludf.DUMMYFUNCTION("""COMPUTED_VALUE"""),49.52)</f>
        <v>49.52</v>
      </c>
      <c r="AT335" s="3">
        <f ca="1">IFERROR(__xludf.DUMMYFUNCTION("""COMPUTED_VALUE"""),48.53)</f>
        <v>48.53</v>
      </c>
      <c r="AU335" s="3">
        <f ca="1">IFERROR(__xludf.DUMMYFUNCTION("""COMPUTED_VALUE"""),48.73)</f>
        <v>48.73</v>
      </c>
      <c r="AV335" s="3">
        <f ca="1">IFERROR(__xludf.DUMMYFUNCTION("""COMPUTED_VALUE"""),5984825)</f>
        <v>5984825</v>
      </c>
      <c r="AW335" s="4">
        <f ca="1">IFERROR(__xludf.DUMMYFUNCTION("""COMPUTED_VALUE"""),42775.6666666666)</f>
        <v>42775.666666666599</v>
      </c>
      <c r="AX335" s="3">
        <f ca="1">IFERROR(__xludf.DUMMYFUNCTION("""COMPUTED_VALUE"""),30.9)</f>
        <v>30.9</v>
      </c>
      <c r="AY335" s="3">
        <f ca="1">IFERROR(__xludf.DUMMYFUNCTION("""COMPUTED_VALUE"""),31.09)</f>
        <v>31.09</v>
      </c>
      <c r="AZ335" s="3">
        <f ca="1">IFERROR(__xludf.DUMMYFUNCTION("""COMPUTED_VALUE"""),30.89)</f>
        <v>30.89</v>
      </c>
      <c r="BA335" s="3">
        <f ca="1">IFERROR(__xludf.DUMMYFUNCTION("""COMPUTED_VALUE"""),31.07)</f>
        <v>31.07</v>
      </c>
      <c r="BB335" s="3">
        <f ca="1">IFERROR(__xludf.DUMMYFUNCTION("""COMPUTED_VALUE"""),1821565)</f>
        <v>1821565</v>
      </c>
      <c r="BC335" s="4">
        <f ca="1">IFERROR(__xludf.DUMMYFUNCTION("""COMPUTED_VALUE"""),42608.6666666666)</f>
        <v>42608.666666666599</v>
      </c>
      <c r="BD335" s="3">
        <f ca="1">IFERROR(__xludf.DUMMYFUNCTION("""COMPUTED_VALUE"""),47)</f>
        <v>47</v>
      </c>
      <c r="BE335" s="3">
        <f ca="1">IFERROR(__xludf.DUMMYFUNCTION("""COMPUTED_VALUE"""),47.39)</f>
        <v>47.39</v>
      </c>
      <c r="BF335" s="3">
        <f ca="1">IFERROR(__xludf.DUMMYFUNCTION("""COMPUTED_VALUE"""),46.8)</f>
        <v>46.8</v>
      </c>
      <c r="BG335" s="3">
        <f ca="1">IFERROR(__xludf.DUMMYFUNCTION("""COMPUTED_VALUE"""),47.05)</f>
        <v>47.05</v>
      </c>
      <c r="BH335" s="3">
        <f ca="1">IFERROR(__xludf.DUMMYFUNCTION("""COMPUTED_VALUE"""),12113571)</f>
        <v>12113571</v>
      </c>
      <c r="BI335" s="4">
        <f ca="1">IFERROR(__xludf.DUMMYFUNCTION("""COMPUTED_VALUE"""),42608.6666666666)</f>
        <v>42608.666666666599</v>
      </c>
      <c r="BJ335" s="3">
        <f ca="1">IFERROR(__xludf.DUMMYFUNCTION("""COMPUTED_VALUE"""),50.22)</f>
        <v>50.22</v>
      </c>
      <c r="BK335" s="3">
        <f ca="1">IFERROR(__xludf.DUMMYFUNCTION("""COMPUTED_VALUE"""),50.56)</f>
        <v>50.56</v>
      </c>
      <c r="BL335" s="3">
        <f ca="1">IFERROR(__xludf.DUMMYFUNCTION("""COMPUTED_VALUE"""),49.11)</f>
        <v>49.11</v>
      </c>
      <c r="BM335" s="3">
        <f ca="1">IFERROR(__xludf.DUMMYFUNCTION("""COMPUTED_VALUE"""),49.15)</f>
        <v>49.15</v>
      </c>
      <c r="BN335" s="3">
        <f ca="1">IFERROR(__xludf.DUMMYFUNCTION("""COMPUTED_VALUE"""),20911235)</f>
        <v>20911235</v>
      </c>
    </row>
    <row r="336" spans="7:66" ht="13" x14ac:dyDescent="0.15">
      <c r="G336" s="4">
        <f ca="1">IFERROR(__xludf.DUMMYFUNCTION("""COMPUTED_VALUE"""),42611.6666666666)</f>
        <v>42611.666666666599</v>
      </c>
      <c r="H336" s="3">
        <f ca="1">IFERROR(__xludf.DUMMYFUNCTION("""COMPUTED_VALUE"""),80.94)</f>
        <v>80.94</v>
      </c>
      <c r="I336" s="3">
        <f ca="1">IFERROR(__xludf.DUMMYFUNCTION("""COMPUTED_VALUE"""),81.33)</f>
        <v>81.33</v>
      </c>
      <c r="J336" s="3">
        <f ca="1">IFERROR(__xludf.DUMMYFUNCTION("""COMPUTED_VALUE"""),80.94)</f>
        <v>80.94</v>
      </c>
      <c r="K336" s="3">
        <f ca="1">IFERROR(__xludf.DUMMYFUNCTION("""COMPUTED_VALUE"""),81.22)</f>
        <v>81.22</v>
      </c>
      <c r="L336" s="3">
        <f ca="1">IFERROR(__xludf.DUMMYFUNCTION("""COMPUTED_VALUE"""),3996282)</f>
        <v>3996282</v>
      </c>
      <c r="M336" s="4">
        <f ca="1">IFERROR(__xludf.DUMMYFUNCTION("""COMPUTED_VALUE"""),42611.6666666666)</f>
        <v>42611.666666666599</v>
      </c>
      <c r="N336" s="3">
        <f ca="1">IFERROR(__xludf.DUMMYFUNCTION("""COMPUTED_VALUE"""),54.41)</f>
        <v>54.41</v>
      </c>
      <c r="O336" s="3">
        <f ca="1">IFERROR(__xludf.DUMMYFUNCTION("""COMPUTED_VALUE"""),54.63)</f>
        <v>54.63</v>
      </c>
      <c r="P336" s="3">
        <f ca="1">IFERROR(__xludf.DUMMYFUNCTION("""COMPUTED_VALUE"""),54.36)</f>
        <v>54.36</v>
      </c>
      <c r="Q336" s="3">
        <f ca="1">IFERROR(__xludf.DUMMYFUNCTION("""COMPUTED_VALUE"""),54.63)</f>
        <v>54.63</v>
      </c>
      <c r="R336" s="3">
        <f ca="1">IFERROR(__xludf.DUMMYFUNCTION("""COMPUTED_VALUE"""),8202816)</f>
        <v>8202816</v>
      </c>
      <c r="S336" s="4">
        <f ca="1">IFERROR(__xludf.DUMMYFUNCTION("""COMPUTED_VALUE"""),42611.6666666666)</f>
        <v>42611.666666666599</v>
      </c>
      <c r="T336" s="3">
        <f ca="1">IFERROR(__xludf.DUMMYFUNCTION("""COMPUTED_VALUE"""),69.18)</f>
        <v>69.180000000000007</v>
      </c>
      <c r="U336" s="3">
        <f ca="1">IFERROR(__xludf.DUMMYFUNCTION("""COMPUTED_VALUE"""),69.91)</f>
        <v>69.91</v>
      </c>
      <c r="V336" s="3">
        <f ca="1">IFERROR(__xludf.DUMMYFUNCTION("""COMPUTED_VALUE"""),69.1)</f>
        <v>69.099999999999994</v>
      </c>
      <c r="W336" s="3">
        <f ca="1">IFERROR(__xludf.DUMMYFUNCTION("""COMPUTED_VALUE"""),69.85)</f>
        <v>69.849999999999994</v>
      </c>
      <c r="X336" s="3">
        <f ca="1">IFERROR(__xludf.DUMMYFUNCTION("""COMPUTED_VALUE"""),7393983)</f>
        <v>7393983</v>
      </c>
      <c r="Y336" s="4">
        <f ca="1">IFERROR(__xludf.DUMMYFUNCTION("""COMPUTED_VALUE"""),42611.6666666666)</f>
        <v>42611.666666666599</v>
      </c>
      <c r="Z336" s="3">
        <f ca="1">IFERROR(__xludf.DUMMYFUNCTION("""COMPUTED_VALUE"""),19.63)</f>
        <v>19.63</v>
      </c>
      <c r="AA336" s="3">
        <f ca="1">IFERROR(__xludf.DUMMYFUNCTION("""COMPUTED_VALUE"""),19.82)</f>
        <v>19.82</v>
      </c>
      <c r="AB336" s="3">
        <f ca="1">IFERROR(__xludf.DUMMYFUNCTION("""COMPUTED_VALUE"""),19.6)</f>
        <v>19.600000000000001</v>
      </c>
      <c r="AC336" s="3">
        <f ca="1">IFERROR(__xludf.DUMMYFUNCTION("""COMPUTED_VALUE"""),19.75)</f>
        <v>19.75</v>
      </c>
      <c r="AD336" s="3">
        <f ca="1">IFERROR(__xludf.DUMMYFUNCTION("""COMPUTED_VALUE"""),32860681)</f>
        <v>32860681</v>
      </c>
      <c r="AE336" s="4">
        <f ca="1">IFERROR(__xludf.DUMMYFUNCTION("""COMPUTED_VALUE"""),42611.6666666666)</f>
        <v>42611.666666666599</v>
      </c>
      <c r="AF336" s="3">
        <f ca="1">IFERROR(__xludf.DUMMYFUNCTION("""COMPUTED_VALUE"""),73.1)</f>
        <v>73.099999999999994</v>
      </c>
      <c r="AG336" s="3">
        <f ca="1">IFERROR(__xludf.DUMMYFUNCTION("""COMPUTED_VALUE"""),73.41)</f>
        <v>73.41</v>
      </c>
      <c r="AH336" s="3">
        <f ca="1">IFERROR(__xludf.DUMMYFUNCTION("""COMPUTED_VALUE"""),72.92)</f>
        <v>72.92</v>
      </c>
      <c r="AI336" s="3">
        <f ca="1">IFERROR(__xludf.DUMMYFUNCTION("""COMPUTED_VALUE"""),73.23)</f>
        <v>73.23</v>
      </c>
      <c r="AJ336" s="3">
        <f ca="1">IFERROR(__xludf.DUMMYFUNCTION("""COMPUTED_VALUE"""),7372084)</f>
        <v>7372084</v>
      </c>
      <c r="AK336" s="4">
        <f ca="1">IFERROR(__xludf.DUMMYFUNCTION("""COMPUTED_VALUE"""),42611.6666666666)</f>
        <v>42611.666666666599</v>
      </c>
      <c r="AL336" s="3">
        <f ca="1">IFERROR(__xludf.DUMMYFUNCTION("""COMPUTED_VALUE"""),58.67)</f>
        <v>58.67</v>
      </c>
      <c r="AM336" s="3">
        <f ca="1">IFERROR(__xludf.DUMMYFUNCTION("""COMPUTED_VALUE"""),59.09)</f>
        <v>59.09</v>
      </c>
      <c r="AN336" s="3">
        <f ca="1">IFERROR(__xludf.DUMMYFUNCTION("""COMPUTED_VALUE"""),58.67)</f>
        <v>58.67</v>
      </c>
      <c r="AO336" s="3">
        <f ca="1">IFERROR(__xludf.DUMMYFUNCTION("""COMPUTED_VALUE"""),59.08)</f>
        <v>59.08</v>
      </c>
      <c r="AP336" s="3">
        <f ca="1">IFERROR(__xludf.DUMMYFUNCTION("""COMPUTED_VALUE"""),7628192)</f>
        <v>7628192</v>
      </c>
      <c r="AQ336" s="4">
        <f ca="1">IFERROR(__xludf.DUMMYFUNCTION("""COMPUTED_VALUE"""),42611.6666666666)</f>
        <v>42611.666666666599</v>
      </c>
      <c r="AR336" s="3">
        <f ca="1">IFERROR(__xludf.DUMMYFUNCTION("""COMPUTED_VALUE"""),48.66)</f>
        <v>48.66</v>
      </c>
      <c r="AS336" s="3">
        <f ca="1">IFERROR(__xludf.DUMMYFUNCTION("""COMPUTED_VALUE"""),49.28)</f>
        <v>49.28</v>
      </c>
      <c r="AT336" s="3">
        <f ca="1">IFERROR(__xludf.DUMMYFUNCTION("""COMPUTED_VALUE"""),48.65)</f>
        <v>48.65</v>
      </c>
      <c r="AU336" s="3">
        <f ca="1">IFERROR(__xludf.DUMMYFUNCTION("""COMPUTED_VALUE"""),49.17)</f>
        <v>49.17</v>
      </c>
      <c r="AV336" s="3">
        <f ca="1">IFERROR(__xludf.DUMMYFUNCTION("""COMPUTED_VALUE"""),2983773)</f>
        <v>2983773</v>
      </c>
      <c r="AW336" s="4">
        <f ca="1">IFERROR(__xludf.DUMMYFUNCTION("""COMPUTED_VALUE"""),42776.6666666666)</f>
        <v>42776.666666666599</v>
      </c>
      <c r="AX336" s="3">
        <f ca="1">IFERROR(__xludf.DUMMYFUNCTION("""COMPUTED_VALUE"""),31.02)</f>
        <v>31.02</v>
      </c>
      <c r="AY336" s="3">
        <f ca="1">IFERROR(__xludf.DUMMYFUNCTION("""COMPUTED_VALUE"""),31.3)</f>
        <v>31.3</v>
      </c>
      <c r="AZ336" s="3">
        <f ca="1">IFERROR(__xludf.DUMMYFUNCTION("""COMPUTED_VALUE"""),30.98)</f>
        <v>30.98</v>
      </c>
      <c r="BA336" s="3">
        <f ca="1">IFERROR(__xludf.DUMMYFUNCTION("""COMPUTED_VALUE"""),31.28)</f>
        <v>31.28</v>
      </c>
      <c r="BB336" s="3">
        <f ca="1">IFERROR(__xludf.DUMMYFUNCTION("""COMPUTED_VALUE"""),1524535)</f>
        <v>1524535</v>
      </c>
      <c r="BC336" s="4">
        <f ca="1">IFERROR(__xludf.DUMMYFUNCTION("""COMPUTED_VALUE"""),42611.6666666666)</f>
        <v>42611.666666666599</v>
      </c>
      <c r="BD336" s="3">
        <f ca="1">IFERROR(__xludf.DUMMYFUNCTION("""COMPUTED_VALUE"""),47.03)</f>
        <v>47.03</v>
      </c>
      <c r="BE336" s="3">
        <f ca="1">IFERROR(__xludf.DUMMYFUNCTION("""COMPUTED_VALUE"""),47.3)</f>
        <v>47.3</v>
      </c>
      <c r="BF336" s="3">
        <f ca="1">IFERROR(__xludf.DUMMYFUNCTION("""COMPUTED_VALUE"""),47.03)</f>
        <v>47.03</v>
      </c>
      <c r="BG336" s="3">
        <f ca="1">IFERROR(__xludf.DUMMYFUNCTION("""COMPUTED_VALUE"""),47.23)</f>
        <v>47.23</v>
      </c>
      <c r="BH336" s="3">
        <f ca="1">IFERROR(__xludf.DUMMYFUNCTION("""COMPUTED_VALUE"""),6982772)</f>
        <v>6982772</v>
      </c>
      <c r="BI336" s="4">
        <f ca="1">IFERROR(__xludf.DUMMYFUNCTION("""COMPUTED_VALUE"""),42611.6666666666)</f>
        <v>42611.666666666599</v>
      </c>
      <c r="BJ336" s="3">
        <f ca="1">IFERROR(__xludf.DUMMYFUNCTION("""COMPUTED_VALUE"""),49.3)</f>
        <v>49.3</v>
      </c>
      <c r="BK336" s="3">
        <f ca="1">IFERROR(__xludf.DUMMYFUNCTION("""COMPUTED_VALUE"""),49.67)</f>
        <v>49.67</v>
      </c>
      <c r="BL336" s="3">
        <f ca="1">IFERROR(__xludf.DUMMYFUNCTION("""COMPUTED_VALUE"""),49.25)</f>
        <v>49.25</v>
      </c>
      <c r="BM336" s="3">
        <f ca="1">IFERROR(__xludf.DUMMYFUNCTION("""COMPUTED_VALUE"""),49.55)</f>
        <v>49.55</v>
      </c>
      <c r="BN336" s="3">
        <f ca="1">IFERROR(__xludf.DUMMYFUNCTION("""COMPUTED_VALUE"""),13015722)</f>
        <v>13015722</v>
      </c>
    </row>
    <row r="337" spans="7:66" ht="13" x14ac:dyDescent="0.15">
      <c r="G337" s="4">
        <f ca="1">IFERROR(__xludf.DUMMYFUNCTION("""COMPUTED_VALUE"""),42612.6666666666)</f>
        <v>42612.666666666599</v>
      </c>
      <c r="H337" s="3">
        <f ca="1">IFERROR(__xludf.DUMMYFUNCTION("""COMPUTED_VALUE"""),81.14)</f>
        <v>81.14</v>
      </c>
      <c r="I337" s="3">
        <f ca="1">IFERROR(__xludf.DUMMYFUNCTION("""COMPUTED_VALUE"""),81.24)</f>
        <v>81.239999999999995</v>
      </c>
      <c r="J337" s="3">
        <f ca="1">IFERROR(__xludf.DUMMYFUNCTION("""COMPUTED_VALUE"""),80.64)</f>
        <v>80.64</v>
      </c>
      <c r="K337" s="3">
        <f ca="1">IFERROR(__xludf.DUMMYFUNCTION("""COMPUTED_VALUE"""),80.77)</f>
        <v>80.77</v>
      </c>
      <c r="L337" s="3">
        <f ca="1">IFERROR(__xludf.DUMMYFUNCTION("""COMPUTED_VALUE"""),2452905)</f>
        <v>2452905</v>
      </c>
      <c r="M337" s="4">
        <f ca="1">IFERROR(__xludf.DUMMYFUNCTION("""COMPUTED_VALUE"""),42612.6666666666)</f>
        <v>42612.666666666599</v>
      </c>
      <c r="N337" s="3">
        <f ca="1">IFERROR(__xludf.DUMMYFUNCTION("""COMPUTED_VALUE"""),54.53)</f>
        <v>54.53</v>
      </c>
      <c r="O337" s="3">
        <f ca="1">IFERROR(__xludf.DUMMYFUNCTION("""COMPUTED_VALUE"""),54.61)</f>
        <v>54.61</v>
      </c>
      <c r="P337" s="3">
        <f ca="1">IFERROR(__xludf.DUMMYFUNCTION("""COMPUTED_VALUE"""),54.23)</f>
        <v>54.23</v>
      </c>
      <c r="Q337" s="3">
        <f ca="1">IFERROR(__xludf.DUMMYFUNCTION("""COMPUTED_VALUE"""),54.31)</f>
        <v>54.31</v>
      </c>
      <c r="R337" s="3">
        <f ca="1">IFERROR(__xludf.DUMMYFUNCTION("""COMPUTED_VALUE"""),7950912)</f>
        <v>7950912</v>
      </c>
      <c r="S337" s="4">
        <f ca="1">IFERROR(__xludf.DUMMYFUNCTION("""COMPUTED_VALUE"""),42612.6666666666)</f>
        <v>42612.666666666599</v>
      </c>
      <c r="T337" s="3">
        <f ca="1">IFERROR(__xludf.DUMMYFUNCTION("""COMPUTED_VALUE"""),70.01)</f>
        <v>70.010000000000005</v>
      </c>
      <c r="U337" s="3">
        <f ca="1">IFERROR(__xludf.DUMMYFUNCTION("""COMPUTED_VALUE"""),70.28)</f>
        <v>70.28</v>
      </c>
      <c r="V337" s="3">
        <f ca="1">IFERROR(__xludf.DUMMYFUNCTION("""COMPUTED_VALUE"""),69.35)</f>
        <v>69.349999999999994</v>
      </c>
      <c r="W337" s="3">
        <f ca="1">IFERROR(__xludf.DUMMYFUNCTION("""COMPUTED_VALUE"""),69.61)</f>
        <v>69.61</v>
      </c>
      <c r="X337" s="3">
        <f ca="1">IFERROR(__xludf.DUMMYFUNCTION("""COMPUTED_VALUE"""),7132867)</f>
        <v>7132867</v>
      </c>
      <c r="Y337" s="4">
        <f ca="1">IFERROR(__xludf.DUMMYFUNCTION("""COMPUTED_VALUE"""),42612.6666666666)</f>
        <v>42612.666666666599</v>
      </c>
      <c r="Z337" s="3">
        <f ca="1">IFERROR(__xludf.DUMMYFUNCTION("""COMPUTED_VALUE"""),19.78)</f>
        <v>19.78</v>
      </c>
      <c r="AA337" s="3">
        <f ca="1">IFERROR(__xludf.DUMMYFUNCTION("""COMPUTED_VALUE"""),19.93)</f>
        <v>19.93</v>
      </c>
      <c r="AB337" s="3">
        <f ca="1">IFERROR(__xludf.DUMMYFUNCTION("""COMPUTED_VALUE"""),19.76)</f>
        <v>19.760000000000002</v>
      </c>
      <c r="AC337" s="3">
        <f ca="1">IFERROR(__xludf.DUMMYFUNCTION("""COMPUTED_VALUE"""),19.93)</f>
        <v>19.93</v>
      </c>
      <c r="AD337" s="3">
        <f ca="1">IFERROR(__xludf.DUMMYFUNCTION("""COMPUTED_VALUE"""),31973297)</f>
        <v>31973297</v>
      </c>
      <c r="AE337" s="4">
        <f ca="1">IFERROR(__xludf.DUMMYFUNCTION("""COMPUTED_VALUE"""),42612.6666666666)</f>
        <v>42612.666666666599</v>
      </c>
      <c r="AF337" s="3">
        <f ca="1">IFERROR(__xludf.DUMMYFUNCTION("""COMPUTED_VALUE"""),73.32)</f>
        <v>73.319999999999993</v>
      </c>
      <c r="AG337" s="3">
        <f ca="1">IFERROR(__xludf.DUMMYFUNCTION("""COMPUTED_VALUE"""),73.32)</f>
        <v>73.319999999999993</v>
      </c>
      <c r="AH337" s="3">
        <f ca="1">IFERROR(__xludf.DUMMYFUNCTION("""COMPUTED_VALUE"""),72.8)</f>
        <v>72.8</v>
      </c>
      <c r="AI337" s="3">
        <f ca="1">IFERROR(__xludf.DUMMYFUNCTION("""COMPUTED_VALUE"""),72.98)</f>
        <v>72.98</v>
      </c>
      <c r="AJ337" s="3">
        <f ca="1">IFERROR(__xludf.DUMMYFUNCTION("""COMPUTED_VALUE"""),5497785)</f>
        <v>5497785</v>
      </c>
      <c r="AK337" s="4">
        <f ca="1">IFERROR(__xludf.DUMMYFUNCTION("""COMPUTED_VALUE"""),42612.6666666666)</f>
        <v>42612.666666666599</v>
      </c>
      <c r="AL337" s="3">
        <f ca="1">IFERROR(__xludf.DUMMYFUNCTION("""COMPUTED_VALUE"""),59.04)</f>
        <v>59.04</v>
      </c>
      <c r="AM337" s="3">
        <f ca="1">IFERROR(__xludf.DUMMYFUNCTION("""COMPUTED_VALUE"""),59.08)</f>
        <v>59.08</v>
      </c>
      <c r="AN337" s="3">
        <f ca="1">IFERROR(__xludf.DUMMYFUNCTION("""COMPUTED_VALUE"""),58.77)</f>
        <v>58.77</v>
      </c>
      <c r="AO337" s="3">
        <f ca="1">IFERROR(__xludf.DUMMYFUNCTION("""COMPUTED_VALUE"""),58.92)</f>
        <v>58.92</v>
      </c>
      <c r="AP337" s="3">
        <f ca="1">IFERROR(__xludf.DUMMYFUNCTION("""COMPUTED_VALUE"""),5953765)</f>
        <v>5953765</v>
      </c>
      <c r="AQ337" s="4">
        <f ca="1">IFERROR(__xludf.DUMMYFUNCTION("""COMPUTED_VALUE"""),42612.6666666666)</f>
        <v>42612.666666666599</v>
      </c>
      <c r="AR337" s="3">
        <f ca="1">IFERROR(__xludf.DUMMYFUNCTION("""COMPUTED_VALUE"""),49.15)</f>
        <v>49.15</v>
      </c>
      <c r="AS337" s="3">
        <f ca="1">IFERROR(__xludf.DUMMYFUNCTION("""COMPUTED_VALUE"""),49.41)</f>
        <v>49.41</v>
      </c>
      <c r="AT337" s="3">
        <f ca="1">IFERROR(__xludf.DUMMYFUNCTION("""COMPUTED_VALUE"""),48.96)</f>
        <v>48.96</v>
      </c>
      <c r="AU337" s="3">
        <f ca="1">IFERROR(__xludf.DUMMYFUNCTION("""COMPUTED_VALUE"""),49.05)</f>
        <v>49.05</v>
      </c>
      <c r="AV337" s="3">
        <f ca="1">IFERROR(__xludf.DUMMYFUNCTION("""COMPUTED_VALUE"""),3765845)</f>
        <v>3765845</v>
      </c>
      <c r="AW337" s="4">
        <f ca="1">IFERROR(__xludf.DUMMYFUNCTION("""COMPUTED_VALUE"""),42779.6666666666)</f>
        <v>42779.666666666599</v>
      </c>
      <c r="AX337" s="3">
        <f ca="1">IFERROR(__xludf.DUMMYFUNCTION("""COMPUTED_VALUE"""),31.34)</f>
        <v>31.34</v>
      </c>
      <c r="AY337" s="3">
        <f ca="1">IFERROR(__xludf.DUMMYFUNCTION("""COMPUTED_VALUE"""),31.48)</f>
        <v>31.48</v>
      </c>
      <c r="AZ337" s="3">
        <f ca="1">IFERROR(__xludf.DUMMYFUNCTION("""COMPUTED_VALUE"""),31.18)</f>
        <v>31.18</v>
      </c>
      <c r="BA337" s="3">
        <f ca="1">IFERROR(__xludf.DUMMYFUNCTION("""COMPUTED_VALUE"""),31.43)</f>
        <v>31.43</v>
      </c>
      <c r="BB337" s="3">
        <f ca="1">IFERROR(__xludf.DUMMYFUNCTION("""COMPUTED_VALUE"""),1896700)</f>
        <v>1896700</v>
      </c>
      <c r="BC337" s="4">
        <f ca="1">IFERROR(__xludf.DUMMYFUNCTION("""COMPUTED_VALUE"""),42612.6666666666)</f>
        <v>42612.666666666599</v>
      </c>
      <c r="BD337" s="3">
        <f ca="1">IFERROR(__xludf.DUMMYFUNCTION("""COMPUTED_VALUE"""),47.14)</f>
        <v>47.14</v>
      </c>
      <c r="BE337" s="3">
        <f ca="1">IFERROR(__xludf.DUMMYFUNCTION("""COMPUTED_VALUE"""),47.24)</f>
        <v>47.24</v>
      </c>
      <c r="BF337" s="3">
        <f ca="1">IFERROR(__xludf.DUMMYFUNCTION("""COMPUTED_VALUE"""),46.91)</f>
        <v>46.91</v>
      </c>
      <c r="BG337" s="3">
        <f ca="1">IFERROR(__xludf.DUMMYFUNCTION("""COMPUTED_VALUE"""),47.07)</f>
        <v>47.07</v>
      </c>
      <c r="BH337" s="3">
        <f ca="1">IFERROR(__xludf.DUMMYFUNCTION("""COMPUTED_VALUE"""),5718155)</f>
        <v>5718155</v>
      </c>
      <c r="BI337" s="4">
        <f ca="1">IFERROR(__xludf.DUMMYFUNCTION("""COMPUTED_VALUE"""),42612.6666666666)</f>
        <v>42612.666666666599</v>
      </c>
      <c r="BJ337" s="3">
        <f ca="1">IFERROR(__xludf.DUMMYFUNCTION("""COMPUTED_VALUE"""),49.51)</f>
        <v>49.51</v>
      </c>
      <c r="BK337" s="3">
        <f ca="1">IFERROR(__xludf.DUMMYFUNCTION("""COMPUTED_VALUE"""),49.75)</f>
        <v>49.75</v>
      </c>
      <c r="BL337" s="3">
        <f ca="1">IFERROR(__xludf.DUMMYFUNCTION("""COMPUTED_VALUE"""),48.97)</f>
        <v>48.97</v>
      </c>
      <c r="BM337" s="3">
        <f ca="1">IFERROR(__xludf.DUMMYFUNCTION("""COMPUTED_VALUE"""),49.03)</f>
        <v>49.03</v>
      </c>
      <c r="BN337" s="3">
        <f ca="1">IFERROR(__xludf.DUMMYFUNCTION("""COMPUTED_VALUE"""),12261517)</f>
        <v>12261517</v>
      </c>
    </row>
    <row r="338" spans="7:66" ht="13" x14ac:dyDescent="0.15">
      <c r="G338" s="4">
        <f ca="1">IFERROR(__xludf.DUMMYFUNCTION("""COMPUTED_VALUE"""),42613.6666666666)</f>
        <v>42613.666666666599</v>
      </c>
      <c r="H338" s="3">
        <f ca="1">IFERROR(__xludf.DUMMYFUNCTION("""COMPUTED_VALUE"""),80.71)</f>
        <v>80.709999999999994</v>
      </c>
      <c r="I338" s="3">
        <f ca="1">IFERROR(__xludf.DUMMYFUNCTION("""COMPUTED_VALUE"""),80.84)</f>
        <v>80.84</v>
      </c>
      <c r="J338" s="3">
        <f ca="1">IFERROR(__xludf.DUMMYFUNCTION("""COMPUTED_VALUE"""),80.26)</f>
        <v>80.260000000000005</v>
      </c>
      <c r="K338" s="3">
        <f ca="1">IFERROR(__xludf.DUMMYFUNCTION("""COMPUTED_VALUE"""),80.56)</f>
        <v>80.56</v>
      </c>
      <c r="L338" s="3">
        <f ca="1">IFERROR(__xludf.DUMMYFUNCTION("""COMPUTED_VALUE"""),3500937)</f>
        <v>3500937</v>
      </c>
      <c r="M338" s="4">
        <f ca="1">IFERROR(__xludf.DUMMYFUNCTION("""COMPUTED_VALUE"""),42613.6666666666)</f>
        <v>42613.666666666599</v>
      </c>
      <c r="N338" s="3">
        <f ca="1">IFERROR(__xludf.DUMMYFUNCTION("""COMPUTED_VALUE"""),54.26)</f>
        <v>54.26</v>
      </c>
      <c r="O338" s="3">
        <f ca="1">IFERROR(__xludf.DUMMYFUNCTION("""COMPUTED_VALUE"""),54.44)</f>
        <v>54.44</v>
      </c>
      <c r="P338" s="3">
        <f ca="1">IFERROR(__xludf.DUMMYFUNCTION("""COMPUTED_VALUE"""),54.19)</f>
        <v>54.19</v>
      </c>
      <c r="Q338" s="3">
        <f ca="1">IFERROR(__xludf.DUMMYFUNCTION("""COMPUTED_VALUE"""),54.38)</f>
        <v>54.38</v>
      </c>
      <c r="R338" s="3">
        <f ca="1">IFERROR(__xludf.DUMMYFUNCTION("""COMPUTED_VALUE"""),8154863)</f>
        <v>8154863</v>
      </c>
      <c r="S338" s="4">
        <f ca="1">IFERROR(__xludf.DUMMYFUNCTION("""COMPUTED_VALUE"""),42613.6666666666)</f>
        <v>42613.666666666599</v>
      </c>
      <c r="T338" s="3">
        <f ca="1">IFERROR(__xludf.DUMMYFUNCTION("""COMPUTED_VALUE"""),69.22)</f>
        <v>69.22</v>
      </c>
      <c r="U338" s="3">
        <f ca="1">IFERROR(__xludf.DUMMYFUNCTION("""COMPUTED_VALUE"""),69.32)</f>
        <v>69.319999999999993</v>
      </c>
      <c r="V338" s="3">
        <f ca="1">IFERROR(__xludf.DUMMYFUNCTION("""COMPUTED_VALUE"""),68.13)</f>
        <v>68.13</v>
      </c>
      <c r="W338" s="3">
        <f ca="1">IFERROR(__xludf.DUMMYFUNCTION("""COMPUTED_VALUE"""),68.51)</f>
        <v>68.510000000000005</v>
      </c>
      <c r="X338" s="3">
        <f ca="1">IFERROR(__xludf.DUMMYFUNCTION("""COMPUTED_VALUE"""),13232792)</f>
        <v>13232792</v>
      </c>
      <c r="Y338" s="4">
        <f ca="1">IFERROR(__xludf.DUMMYFUNCTION("""COMPUTED_VALUE"""),42613.6666666666)</f>
        <v>42613.666666666599</v>
      </c>
      <c r="Z338" s="3">
        <f ca="1">IFERROR(__xludf.DUMMYFUNCTION("""COMPUTED_VALUE"""),19.94)</f>
        <v>19.940000000000001</v>
      </c>
      <c r="AA338" s="3">
        <f ca="1">IFERROR(__xludf.DUMMYFUNCTION("""COMPUTED_VALUE"""),19.96)</f>
        <v>19.96</v>
      </c>
      <c r="AB338" s="3">
        <f ca="1">IFERROR(__xludf.DUMMYFUNCTION("""COMPUTED_VALUE"""),19.78)</f>
        <v>19.78</v>
      </c>
      <c r="AC338" s="3">
        <f ca="1">IFERROR(__xludf.DUMMYFUNCTION("""COMPUTED_VALUE"""),19.94)</f>
        <v>19.940000000000001</v>
      </c>
      <c r="AD338" s="3">
        <f ca="1">IFERROR(__xludf.DUMMYFUNCTION("""COMPUTED_VALUE"""),45805079)</f>
        <v>45805079</v>
      </c>
      <c r="AE338" s="4">
        <f ca="1">IFERROR(__xludf.DUMMYFUNCTION("""COMPUTED_VALUE"""),42613.6666666666)</f>
        <v>42613.666666666599</v>
      </c>
      <c r="AF338" s="3">
        <f ca="1">IFERROR(__xludf.DUMMYFUNCTION("""COMPUTED_VALUE"""),72.88)</f>
        <v>72.88</v>
      </c>
      <c r="AG338" s="3">
        <f ca="1">IFERROR(__xludf.DUMMYFUNCTION("""COMPUTED_VALUE"""),72.97)</f>
        <v>72.97</v>
      </c>
      <c r="AH338" s="3">
        <f ca="1">IFERROR(__xludf.DUMMYFUNCTION("""COMPUTED_VALUE"""),72.48)</f>
        <v>72.48</v>
      </c>
      <c r="AI338" s="3">
        <f ca="1">IFERROR(__xludf.DUMMYFUNCTION("""COMPUTED_VALUE"""),72.76)</f>
        <v>72.760000000000005</v>
      </c>
      <c r="AJ338" s="3">
        <f ca="1">IFERROR(__xludf.DUMMYFUNCTION("""COMPUTED_VALUE"""),4756812)</f>
        <v>4756812</v>
      </c>
      <c r="AK338" s="4">
        <f ca="1">IFERROR(__xludf.DUMMYFUNCTION("""COMPUTED_VALUE"""),42613.6666666666)</f>
        <v>42613.666666666599</v>
      </c>
      <c r="AL338" s="3">
        <f ca="1">IFERROR(__xludf.DUMMYFUNCTION("""COMPUTED_VALUE"""),58.77)</f>
        <v>58.77</v>
      </c>
      <c r="AM338" s="3">
        <f ca="1">IFERROR(__xludf.DUMMYFUNCTION("""COMPUTED_VALUE"""),58.82)</f>
        <v>58.82</v>
      </c>
      <c r="AN338" s="3">
        <f ca="1">IFERROR(__xludf.DUMMYFUNCTION("""COMPUTED_VALUE"""),58.37)</f>
        <v>58.37</v>
      </c>
      <c r="AO338" s="3">
        <f ca="1">IFERROR(__xludf.DUMMYFUNCTION("""COMPUTED_VALUE"""),58.59)</f>
        <v>58.59</v>
      </c>
      <c r="AP338" s="3">
        <f ca="1">IFERROR(__xludf.DUMMYFUNCTION("""COMPUTED_VALUE"""),9592234)</f>
        <v>9592234</v>
      </c>
      <c r="AQ338" s="4">
        <f ca="1">IFERROR(__xludf.DUMMYFUNCTION("""COMPUTED_VALUE"""),42613.6666666666)</f>
        <v>42613.666666666599</v>
      </c>
      <c r="AR338" s="3">
        <f ca="1">IFERROR(__xludf.DUMMYFUNCTION("""COMPUTED_VALUE"""),48.8)</f>
        <v>48.8</v>
      </c>
      <c r="AS338" s="3">
        <f ca="1">IFERROR(__xludf.DUMMYFUNCTION("""COMPUTED_VALUE"""),48.88)</f>
        <v>48.88</v>
      </c>
      <c r="AT338" s="3">
        <f ca="1">IFERROR(__xludf.DUMMYFUNCTION("""COMPUTED_VALUE"""),48.45)</f>
        <v>48.45</v>
      </c>
      <c r="AU338" s="3">
        <f ca="1">IFERROR(__xludf.DUMMYFUNCTION("""COMPUTED_VALUE"""),48.56)</f>
        <v>48.56</v>
      </c>
      <c r="AV338" s="3">
        <f ca="1">IFERROR(__xludf.DUMMYFUNCTION("""COMPUTED_VALUE"""),4190169)</f>
        <v>4190169</v>
      </c>
      <c r="AW338" s="4">
        <f ca="1">IFERROR(__xludf.DUMMYFUNCTION("""COMPUTED_VALUE"""),42780.6666666666)</f>
        <v>42780.666666666599</v>
      </c>
      <c r="AX338" s="3">
        <f ca="1">IFERROR(__xludf.DUMMYFUNCTION("""COMPUTED_VALUE"""),31.35)</f>
        <v>31.35</v>
      </c>
      <c r="AY338" s="3">
        <f ca="1">IFERROR(__xludf.DUMMYFUNCTION("""COMPUTED_VALUE"""),31.37)</f>
        <v>31.37</v>
      </c>
      <c r="AZ338" s="3">
        <f ca="1">IFERROR(__xludf.DUMMYFUNCTION("""COMPUTED_VALUE"""),30.99)</f>
        <v>30.99</v>
      </c>
      <c r="BA338" s="3">
        <f ca="1">IFERROR(__xludf.DUMMYFUNCTION("""COMPUTED_VALUE"""),31.27)</f>
        <v>31.27</v>
      </c>
      <c r="BB338" s="3">
        <f ca="1">IFERROR(__xludf.DUMMYFUNCTION("""COMPUTED_VALUE"""),2444835)</f>
        <v>2444835</v>
      </c>
      <c r="BC338" s="4">
        <f ca="1">IFERROR(__xludf.DUMMYFUNCTION("""COMPUTED_VALUE"""),42613.6666666666)</f>
        <v>42613.666666666599</v>
      </c>
      <c r="BD338" s="3">
        <f ca="1">IFERROR(__xludf.DUMMYFUNCTION("""COMPUTED_VALUE"""),47.01)</f>
        <v>47.01</v>
      </c>
      <c r="BE338" s="3">
        <f ca="1">IFERROR(__xludf.DUMMYFUNCTION("""COMPUTED_VALUE"""),47.06)</f>
        <v>47.06</v>
      </c>
      <c r="BF338" s="3">
        <f ca="1">IFERROR(__xludf.DUMMYFUNCTION("""COMPUTED_VALUE"""),46.84)</f>
        <v>46.84</v>
      </c>
      <c r="BG338" s="3">
        <f ca="1">IFERROR(__xludf.DUMMYFUNCTION("""COMPUTED_VALUE"""),46.99)</f>
        <v>46.99</v>
      </c>
      <c r="BH338" s="3">
        <f ca="1">IFERROR(__xludf.DUMMYFUNCTION("""COMPUTED_VALUE"""),11161161)</f>
        <v>11161161</v>
      </c>
      <c r="BI338" s="4">
        <f ca="1">IFERROR(__xludf.DUMMYFUNCTION("""COMPUTED_VALUE"""),42613.6666666666)</f>
        <v>42613.666666666599</v>
      </c>
      <c r="BJ338" s="3">
        <f ca="1">IFERROR(__xludf.DUMMYFUNCTION("""COMPUTED_VALUE"""),48.98)</f>
        <v>48.98</v>
      </c>
      <c r="BK338" s="3">
        <f ca="1">IFERROR(__xludf.DUMMYFUNCTION("""COMPUTED_VALUE"""),49.25)</f>
        <v>49.25</v>
      </c>
      <c r="BL338" s="3">
        <f ca="1">IFERROR(__xludf.DUMMYFUNCTION("""COMPUTED_VALUE"""),48.87)</f>
        <v>48.87</v>
      </c>
      <c r="BM338" s="3">
        <f ca="1">IFERROR(__xludf.DUMMYFUNCTION("""COMPUTED_VALUE"""),49.23)</f>
        <v>49.23</v>
      </c>
      <c r="BN338" s="3">
        <f ca="1">IFERROR(__xludf.DUMMYFUNCTION("""COMPUTED_VALUE"""),11502087)</f>
        <v>11502087</v>
      </c>
    </row>
    <row r="339" spans="7:66" ht="13" x14ac:dyDescent="0.15">
      <c r="G339" s="4">
        <f ca="1">IFERROR(__xludf.DUMMYFUNCTION("""COMPUTED_VALUE"""),42614.6666666666)</f>
        <v>42614.666666666599</v>
      </c>
      <c r="H339" s="3">
        <f ca="1">IFERROR(__xludf.DUMMYFUNCTION("""COMPUTED_VALUE"""),80.65)</f>
        <v>80.650000000000006</v>
      </c>
      <c r="I339" s="3">
        <f ca="1">IFERROR(__xludf.DUMMYFUNCTION("""COMPUTED_VALUE"""),80.9)</f>
        <v>80.900000000000006</v>
      </c>
      <c r="J339" s="3">
        <f ca="1">IFERROR(__xludf.DUMMYFUNCTION("""COMPUTED_VALUE"""),80.28)</f>
        <v>80.28</v>
      </c>
      <c r="K339" s="3">
        <f ca="1">IFERROR(__xludf.DUMMYFUNCTION("""COMPUTED_VALUE"""),80.72)</f>
        <v>80.72</v>
      </c>
      <c r="L339" s="3">
        <f ca="1">IFERROR(__xludf.DUMMYFUNCTION("""COMPUTED_VALUE"""),5416837)</f>
        <v>5416837</v>
      </c>
      <c r="M339" s="4">
        <f ca="1">IFERROR(__xludf.DUMMYFUNCTION("""COMPUTED_VALUE"""),42614.6666666666)</f>
        <v>42614.666666666599</v>
      </c>
      <c r="N339" s="3">
        <f ca="1">IFERROR(__xludf.DUMMYFUNCTION("""COMPUTED_VALUE"""),54.16)</f>
        <v>54.16</v>
      </c>
      <c r="O339" s="3">
        <f ca="1">IFERROR(__xludf.DUMMYFUNCTION("""COMPUTED_VALUE"""),54.45)</f>
        <v>54.45</v>
      </c>
      <c r="P339" s="3">
        <f ca="1">IFERROR(__xludf.DUMMYFUNCTION("""COMPUTED_VALUE"""),54.11)</f>
        <v>54.11</v>
      </c>
      <c r="Q339" s="3">
        <f ca="1">IFERROR(__xludf.DUMMYFUNCTION("""COMPUTED_VALUE"""),54.4)</f>
        <v>54.4</v>
      </c>
      <c r="R339" s="3">
        <f ca="1">IFERROR(__xludf.DUMMYFUNCTION("""COMPUTED_VALUE"""),16677600)</f>
        <v>16677600</v>
      </c>
      <c r="S339" s="4">
        <f ca="1">IFERROR(__xludf.DUMMYFUNCTION("""COMPUTED_VALUE"""),42614.6666666666)</f>
        <v>42614.666666666599</v>
      </c>
      <c r="T339" s="3">
        <f ca="1">IFERROR(__xludf.DUMMYFUNCTION("""COMPUTED_VALUE"""),68.22)</f>
        <v>68.22</v>
      </c>
      <c r="U339" s="3">
        <f ca="1">IFERROR(__xludf.DUMMYFUNCTION("""COMPUTED_VALUE"""),68.47)</f>
        <v>68.47</v>
      </c>
      <c r="V339" s="3">
        <f ca="1">IFERROR(__xludf.DUMMYFUNCTION("""COMPUTED_VALUE"""),67.77)</f>
        <v>67.77</v>
      </c>
      <c r="W339" s="3">
        <f ca="1">IFERROR(__xludf.DUMMYFUNCTION("""COMPUTED_VALUE"""),68.31)</f>
        <v>68.31</v>
      </c>
      <c r="X339" s="3">
        <f ca="1">IFERROR(__xludf.DUMMYFUNCTION("""COMPUTED_VALUE"""),16668518)</f>
        <v>16668518</v>
      </c>
      <c r="Y339" s="4">
        <f ca="1">IFERROR(__xludf.DUMMYFUNCTION("""COMPUTED_VALUE"""),42614.6666666666)</f>
        <v>42614.666666666599</v>
      </c>
      <c r="Z339" s="3">
        <f ca="1">IFERROR(__xludf.DUMMYFUNCTION("""COMPUTED_VALUE"""),19.99)</f>
        <v>19.989999999999998</v>
      </c>
      <c r="AA339" s="3">
        <f ca="1">IFERROR(__xludf.DUMMYFUNCTION("""COMPUTED_VALUE"""),20.01)</f>
        <v>20.010000000000002</v>
      </c>
      <c r="AB339" s="3">
        <f ca="1">IFERROR(__xludf.DUMMYFUNCTION("""COMPUTED_VALUE"""),19.71)</f>
        <v>19.71</v>
      </c>
      <c r="AC339" s="3">
        <f ca="1">IFERROR(__xludf.DUMMYFUNCTION("""COMPUTED_VALUE"""),19.86)</f>
        <v>19.86</v>
      </c>
      <c r="AD339" s="3">
        <f ca="1">IFERROR(__xludf.DUMMYFUNCTION("""COMPUTED_VALUE"""),51145757)</f>
        <v>51145757</v>
      </c>
      <c r="AE339" s="4">
        <f ca="1">IFERROR(__xludf.DUMMYFUNCTION("""COMPUTED_VALUE"""),42614.6666666666)</f>
        <v>42614.666666666599</v>
      </c>
      <c r="AF339" s="3">
        <f ca="1">IFERROR(__xludf.DUMMYFUNCTION("""COMPUTED_VALUE"""),72.76)</f>
        <v>72.760000000000005</v>
      </c>
      <c r="AG339" s="3">
        <f ca="1">IFERROR(__xludf.DUMMYFUNCTION("""COMPUTED_VALUE"""),72.85)</f>
        <v>72.849999999999994</v>
      </c>
      <c r="AH339" s="3">
        <f ca="1">IFERROR(__xludf.DUMMYFUNCTION("""COMPUTED_VALUE"""),72.24)</f>
        <v>72.239999999999995</v>
      </c>
      <c r="AI339" s="3">
        <f ca="1">IFERROR(__xludf.DUMMYFUNCTION("""COMPUTED_VALUE"""),72.57)</f>
        <v>72.569999999999993</v>
      </c>
      <c r="AJ339" s="3">
        <f ca="1">IFERROR(__xludf.DUMMYFUNCTION("""COMPUTED_VALUE"""),9501445)</f>
        <v>9501445</v>
      </c>
      <c r="AK339" s="4">
        <f ca="1">IFERROR(__xludf.DUMMYFUNCTION("""COMPUTED_VALUE"""),42614.6666666666)</f>
        <v>42614.666666666599</v>
      </c>
      <c r="AL339" s="3">
        <f ca="1">IFERROR(__xludf.DUMMYFUNCTION("""COMPUTED_VALUE"""),58.69)</f>
        <v>58.69</v>
      </c>
      <c r="AM339" s="3">
        <f ca="1">IFERROR(__xludf.DUMMYFUNCTION("""COMPUTED_VALUE"""),58.81)</f>
        <v>58.81</v>
      </c>
      <c r="AN339" s="3">
        <f ca="1">IFERROR(__xludf.DUMMYFUNCTION("""COMPUTED_VALUE"""),58.19)</f>
        <v>58.19</v>
      </c>
      <c r="AO339" s="3">
        <f ca="1">IFERROR(__xludf.DUMMYFUNCTION("""COMPUTED_VALUE"""),58.64)</f>
        <v>58.64</v>
      </c>
      <c r="AP339" s="3">
        <f ca="1">IFERROR(__xludf.DUMMYFUNCTION("""COMPUTED_VALUE"""),9397627)</f>
        <v>9397627</v>
      </c>
      <c r="AQ339" s="4">
        <f ca="1">IFERROR(__xludf.DUMMYFUNCTION("""COMPUTED_VALUE"""),42614.6666666666)</f>
        <v>42614.666666666599</v>
      </c>
      <c r="AR339" s="3">
        <f ca="1">IFERROR(__xludf.DUMMYFUNCTION("""COMPUTED_VALUE"""),48.71)</f>
        <v>48.71</v>
      </c>
      <c r="AS339" s="3">
        <f ca="1">IFERROR(__xludf.DUMMYFUNCTION("""COMPUTED_VALUE"""),48.82)</f>
        <v>48.82</v>
      </c>
      <c r="AT339" s="3">
        <f ca="1">IFERROR(__xludf.DUMMYFUNCTION("""COMPUTED_VALUE"""),48.4)</f>
        <v>48.4</v>
      </c>
      <c r="AU339" s="3">
        <f ca="1">IFERROR(__xludf.DUMMYFUNCTION("""COMPUTED_VALUE"""),48.76)</f>
        <v>48.76</v>
      </c>
      <c r="AV339" s="3">
        <f ca="1">IFERROR(__xludf.DUMMYFUNCTION("""COMPUTED_VALUE"""),4731848)</f>
        <v>4731848</v>
      </c>
      <c r="AW339" s="4">
        <f ca="1">IFERROR(__xludf.DUMMYFUNCTION("""COMPUTED_VALUE"""),42781.6666666666)</f>
        <v>42781.666666666599</v>
      </c>
      <c r="AX339" s="3">
        <f ca="1">IFERROR(__xludf.DUMMYFUNCTION("""COMPUTED_VALUE"""),31.05)</f>
        <v>31.05</v>
      </c>
      <c r="AY339" s="3">
        <f ca="1">IFERROR(__xludf.DUMMYFUNCTION("""COMPUTED_VALUE"""),31.25)</f>
        <v>31.25</v>
      </c>
      <c r="AZ339" s="3">
        <f ca="1">IFERROR(__xludf.DUMMYFUNCTION("""COMPUTED_VALUE"""),30.9)</f>
        <v>30.9</v>
      </c>
      <c r="BA339" s="3">
        <f ca="1">IFERROR(__xludf.DUMMYFUNCTION("""COMPUTED_VALUE"""),31.18)</f>
        <v>31.18</v>
      </c>
      <c r="BB339" s="3">
        <f ca="1">IFERROR(__xludf.DUMMYFUNCTION("""COMPUTED_VALUE"""),3360343)</f>
        <v>3360343</v>
      </c>
      <c r="BC339" s="4">
        <f ca="1">IFERROR(__xludf.DUMMYFUNCTION("""COMPUTED_VALUE"""),42614.6666666666)</f>
        <v>42614.666666666599</v>
      </c>
      <c r="BD339" s="3">
        <f ca="1">IFERROR(__xludf.DUMMYFUNCTION("""COMPUTED_VALUE"""),46.98)</f>
        <v>46.98</v>
      </c>
      <c r="BE339" s="3">
        <f ca="1">IFERROR(__xludf.DUMMYFUNCTION("""COMPUTED_VALUE"""),47.18)</f>
        <v>47.18</v>
      </c>
      <c r="BF339" s="3">
        <f ca="1">IFERROR(__xludf.DUMMYFUNCTION("""COMPUTED_VALUE"""),46.77)</f>
        <v>46.77</v>
      </c>
      <c r="BG339" s="3">
        <f ca="1">IFERROR(__xludf.DUMMYFUNCTION("""COMPUTED_VALUE"""),47.14)</f>
        <v>47.14</v>
      </c>
      <c r="BH339" s="3">
        <f ca="1">IFERROR(__xludf.DUMMYFUNCTION("""COMPUTED_VALUE"""),9239600)</f>
        <v>9239600</v>
      </c>
      <c r="BI339" s="4">
        <f ca="1">IFERROR(__xludf.DUMMYFUNCTION("""COMPUTED_VALUE"""),42614.6666666666)</f>
        <v>42614.666666666599</v>
      </c>
      <c r="BJ339" s="3">
        <f ca="1">IFERROR(__xludf.DUMMYFUNCTION("""COMPUTED_VALUE"""),49.1)</f>
        <v>49.1</v>
      </c>
      <c r="BK339" s="3">
        <f ca="1">IFERROR(__xludf.DUMMYFUNCTION("""COMPUTED_VALUE"""),49.27)</f>
        <v>49.27</v>
      </c>
      <c r="BL339" s="3">
        <f ca="1">IFERROR(__xludf.DUMMYFUNCTION("""COMPUTED_VALUE"""),48.92)</f>
        <v>48.92</v>
      </c>
      <c r="BM339" s="3">
        <f ca="1">IFERROR(__xludf.DUMMYFUNCTION("""COMPUTED_VALUE"""),48.98)</f>
        <v>48.98</v>
      </c>
      <c r="BN339" s="3">
        <f ca="1">IFERROR(__xludf.DUMMYFUNCTION("""COMPUTED_VALUE"""),15981961)</f>
        <v>15981961</v>
      </c>
    </row>
    <row r="340" spans="7:66" ht="13" x14ac:dyDescent="0.15">
      <c r="G340" s="4">
        <f ca="1">IFERROR(__xludf.DUMMYFUNCTION("""COMPUTED_VALUE"""),42615.6666666666)</f>
        <v>42615.666666666599</v>
      </c>
      <c r="H340" s="3">
        <f ca="1">IFERROR(__xludf.DUMMYFUNCTION("""COMPUTED_VALUE"""),81.11)</f>
        <v>81.11</v>
      </c>
      <c r="I340" s="3">
        <f ca="1">IFERROR(__xludf.DUMMYFUNCTION("""COMPUTED_VALUE"""),81.19)</f>
        <v>81.19</v>
      </c>
      <c r="J340" s="3">
        <f ca="1">IFERROR(__xludf.DUMMYFUNCTION("""COMPUTED_VALUE"""),80.69)</f>
        <v>80.69</v>
      </c>
      <c r="K340" s="3">
        <f ca="1">IFERROR(__xludf.DUMMYFUNCTION("""COMPUTED_VALUE"""),80.88)</f>
        <v>80.88</v>
      </c>
      <c r="L340" s="3">
        <f ca="1">IFERROR(__xludf.DUMMYFUNCTION("""COMPUTED_VALUE"""),3352425)</f>
        <v>3352425</v>
      </c>
      <c r="M340" s="4">
        <f ca="1">IFERROR(__xludf.DUMMYFUNCTION("""COMPUTED_VALUE"""),42615.6666666666)</f>
        <v>42615.666666666599</v>
      </c>
      <c r="N340" s="3">
        <f ca="1">IFERROR(__xludf.DUMMYFUNCTION("""COMPUTED_VALUE"""),54.6)</f>
        <v>54.6</v>
      </c>
      <c r="O340" s="3">
        <f ca="1">IFERROR(__xludf.DUMMYFUNCTION("""COMPUTED_VALUE"""),54.95)</f>
        <v>54.95</v>
      </c>
      <c r="P340" s="3">
        <f ca="1">IFERROR(__xludf.DUMMYFUNCTION("""COMPUTED_VALUE"""),54.56)</f>
        <v>54.56</v>
      </c>
      <c r="Q340" s="3">
        <f ca="1">IFERROR(__xludf.DUMMYFUNCTION("""COMPUTED_VALUE"""),54.82)</f>
        <v>54.82</v>
      </c>
      <c r="R340" s="3">
        <f ca="1">IFERROR(__xludf.DUMMYFUNCTION("""COMPUTED_VALUE"""),10966741)</f>
        <v>10966741</v>
      </c>
      <c r="S340" s="4">
        <f ca="1">IFERROR(__xludf.DUMMYFUNCTION("""COMPUTED_VALUE"""),42615.6666666666)</f>
        <v>42615.666666666599</v>
      </c>
      <c r="T340" s="3">
        <f ca="1">IFERROR(__xludf.DUMMYFUNCTION("""COMPUTED_VALUE"""),68.98)</f>
        <v>68.98</v>
      </c>
      <c r="U340" s="3">
        <f ca="1">IFERROR(__xludf.DUMMYFUNCTION("""COMPUTED_VALUE"""),69.25)</f>
        <v>69.25</v>
      </c>
      <c r="V340" s="3">
        <f ca="1">IFERROR(__xludf.DUMMYFUNCTION("""COMPUTED_VALUE"""),68.65)</f>
        <v>68.650000000000006</v>
      </c>
      <c r="W340" s="3">
        <f ca="1">IFERROR(__xludf.DUMMYFUNCTION("""COMPUTED_VALUE"""),69.08)</f>
        <v>69.08</v>
      </c>
      <c r="X340" s="3">
        <f ca="1">IFERROR(__xludf.DUMMYFUNCTION("""COMPUTED_VALUE"""),10794394)</f>
        <v>10794394</v>
      </c>
      <c r="Y340" s="4">
        <f ca="1">IFERROR(__xludf.DUMMYFUNCTION("""COMPUTED_VALUE"""),42615.6666666666)</f>
        <v>42615.666666666599</v>
      </c>
      <c r="Z340" s="3">
        <f ca="1">IFERROR(__xludf.DUMMYFUNCTION("""COMPUTED_VALUE"""),19.89)</f>
        <v>19.89</v>
      </c>
      <c r="AA340" s="3">
        <f ca="1">IFERROR(__xludf.DUMMYFUNCTION("""COMPUTED_VALUE"""),20.01)</f>
        <v>20.010000000000002</v>
      </c>
      <c r="AB340" s="3">
        <f ca="1">IFERROR(__xludf.DUMMYFUNCTION("""COMPUTED_VALUE"""),19.86)</f>
        <v>19.86</v>
      </c>
      <c r="AC340" s="3">
        <f ca="1">IFERROR(__xludf.DUMMYFUNCTION("""COMPUTED_VALUE"""),19.95)</f>
        <v>19.95</v>
      </c>
      <c r="AD340" s="3">
        <f ca="1">IFERROR(__xludf.DUMMYFUNCTION("""COMPUTED_VALUE"""),54360950)</f>
        <v>54360950</v>
      </c>
      <c r="AE340" s="4">
        <f ca="1">IFERROR(__xludf.DUMMYFUNCTION("""COMPUTED_VALUE"""),42615.6666666666)</f>
        <v>42615.666666666599</v>
      </c>
      <c r="AF340" s="3">
        <f ca="1">IFERROR(__xludf.DUMMYFUNCTION("""COMPUTED_VALUE"""),72.72)</f>
        <v>72.72</v>
      </c>
      <c r="AG340" s="3">
        <f ca="1">IFERROR(__xludf.DUMMYFUNCTION("""COMPUTED_VALUE"""),72.87)</f>
        <v>72.87</v>
      </c>
      <c r="AH340" s="3">
        <f ca="1">IFERROR(__xludf.DUMMYFUNCTION("""COMPUTED_VALUE"""),72.45)</f>
        <v>72.45</v>
      </c>
      <c r="AI340" s="3">
        <f ca="1">IFERROR(__xludf.DUMMYFUNCTION("""COMPUTED_VALUE"""),72.65)</f>
        <v>72.650000000000006</v>
      </c>
      <c r="AJ340" s="3">
        <f ca="1">IFERROR(__xludf.DUMMYFUNCTION("""COMPUTED_VALUE"""),8052275)</f>
        <v>8052275</v>
      </c>
      <c r="AK340" s="4">
        <f ca="1">IFERROR(__xludf.DUMMYFUNCTION("""COMPUTED_VALUE"""),42615.6666666666)</f>
        <v>42615.666666666599</v>
      </c>
      <c r="AL340" s="3">
        <f ca="1">IFERROR(__xludf.DUMMYFUNCTION("""COMPUTED_VALUE"""),58.91)</f>
        <v>58.91</v>
      </c>
      <c r="AM340" s="3">
        <f ca="1">IFERROR(__xludf.DUMMYFUNCTION("""COMPUTED_VALUE"""),59.13)</f>
        <v>59.13</v>
      </c>
      <c r="AN340" s="3">
        <f ca="1">IFERROR(__xludf.DUMMYFUNCTION("""COMPUTED_VALUE"""),58.74)</f>
        <v>58.74</v>
      </c>
      <c r="AO340" s="3">
        <f ca="1">IFERROR(__xludf.DUMMYFUNCTION("""COMPUTED_VALUE"""),58.93)</f>
        <v>58.93</v>
      </c>
      <c r="AP340" s="3">
        <f ca="1">IFERROR(__xludf.DUMMYFUNCTION("""COMPUTED_VALUE"""),11405371)</f>
        <v>11405371</v>
      </c>
      <c r="AQ340" s="4">
        <f ca="1">IFERROR(__xludf.DUMMYFUNCTION("""COMPUTED_VALUE"""),42615.6666666666)</f>
        <v>42615.666666666599</v>
      </c>
      <c r="AR340" s="3">
        <f ca="1">IFERROR(__xludf.DUMMYFUNCTION("""COMPUTED_VALUE"""),49.13)</f>
        <v>49.13</v>
      </c>
      <c r="AS340" s="3">
        <f ca="1">IFERROR(__xludf.DUMMYFUNCTION("""COMPUTED_VALUE"""),49.25)</f>
        <v>49.25</v>
      </c>
      <c r="AT340" s="3">
        <f ca="1">IFERROR(__xludf.DUMMYFUNCTION("""COMPUTED_VALUE"""),48.98)</f>
        <v>48.98</v>
      </c>
      <c r="AU340" s="3">
        <f ca="1">IFERROR(__xludf.DUMMYFUNCTION("""COMPUTED_VALUE"""),49.25)</f>
        <v>49.25</v>
      </c>
      <c r="AV340" s="3">
        <f ca="1">IFERROR(__xludf.DUMMYFUNCTION("""COMPUTED_VALUE"""),3304483)</f>
        <v>3304483</v>
      </c>
      <c r="AW340" s="4">
        <f ca="1">IFERROR(__xludf.DUMMYFUNCTION("""COMPUTED_VALUE"""),42782.6666666666)</f>
        <v>42782.666666666599</v>
      </c>
      <c r="AX340" s="3">
        <f ca="1">IFERROR(__xludf.DUMMYFUNCTION("""COMPUTED_VALUE"""),31.15)</f>
        <v>31.15</v>
      </c>
      <c r="AY340" s="3">
        <f ca="1">IFERROR(__xludf.DUMMYFUNCTION("""COMPUTED_VALUE"""),31.55)</f>
        <v>31.55</v>
      </c>
      <c r="AZ340" s="3">
        <f ca="1">IFERROR(__xludf.DUMMYFUNCTION("""COMPUTED_VALUE"""),31.14)</f>
        <v>31.14</v>
      </c>
      <c r="BA340" s="3">
        <f ca="1">IFERROR(__xludf.DUMMYFUNCTION("""COMPUTED_VALUE"""),31.31)</f>
        <v>31.31</v>
      </c>
      <c r="BB340" s="3">
        <f ca="1">IFERROR(__xludf.DUMMYFUNCTION("""COMPUTED_VALUE"""),3238257)</f>
        <v>3238257</v>
      </c>
      <c r="BC340" s="4">
        <f ca="1">IFERROR(__xludf.DUMMYFUNCTION("""COMPUTED_VALUE"""),42615.6666666666)</f>
        <v>42615.666666666599</v>
      </c>
      <c r="BD340" s="3">
        <f ca="1">IFERROR(__xludf.DUMMYFUNCTION("""COMPUTED_VALUE"""),47.37)</f>
        <v>47.37</v>
      </c>
      <c r="BE340" s="3">
        <f ca="1">IFERROR(__xludf.DUMMYFUNCTION("""COMPUTED_VALUE"""),47.48)</f>
        <v>47.48</v>
      </c>
      <c r="BF340" s="3">
        <f ca="1">IFERROR(__xludf.DUMMYFUNCTION("""COMPUTED_VALUE"""),47.14)</f>
        <v>47.14</v>
      </c>
      <c r="BG340" s="3">
        <f ca="1">IFERROR(__xludf.DUMMYFUNCTION("""COMPUTED_VALUE"""),47.35)</f>
        <v>47.35</v>
      </c>
      <c r="BH340" s="3">
        <f ca="1">IFERROR(__xludf.DUMMYFUNCTION("""COMPUTED_VALUE"""),6907176)</f>
        <v>6907176</v>
      </c>
      <c r="BI340" s="4">
        <f ca="1">IFERROR(__xludf.DUMMYFUNCTION("""COMPUTED_VALUE"""),42615.6666666666)</f>
        <v>42615.666666666599</v>
      </c>
      <c r="BJ340" s="3">
        <f ca="1">IFERROR(__xludf.DUMMYFUNCTION("""COMPUTED_VALUE"""),49.16)</f>
        <v>49.16</v>
      </c>
      <c r="BK340" s="3">
        <f ca="1">IFERROR(__xludf.DUMMYFUNCTION("""COMPUTED_VALUE"""),49.68)</f>
        <v>49.68</v>
      </c>
      <c r="BL340" s="3">
        <f ca="1">IFERROR(__xludf.DUMMYFUNCTION("""COMPUTED_VALUE"""),49.06)</f>
        <v>49.06</v>
      </c>
      <c r="BM340" s="3">
        <f ca="1">IFERROR(__xludf.DUMMYFUNCTION("""COMPUTED_VALUE"""),49.63)</f>
        <v>49.63</v>
      </c>
      <c r="BN340" s="3">
        <f ca="1">IFERROR(__xludf.DUMMYFUNCTION("""COMPUTED_VALUE"""),16270965)</f>
        <v>16270965</v>
      </c>
    </row>
    <row r="341" spans="7:66" ht="13" x14ac:dyDescent="0.15">
      <c r="G341" s="4">
        <f ca="1">IFERROR(__xludf.DUMMYFUNCTION("""COMPUTED_VALUE"""),42619.6666666666)</f>
        <v>42619.666666666599</v>
      </c>
      <c r="H341" s="3">
        <f ca="1">IFERROR(__xludf.DUMMYFUNCTION("""COMPUTED_VALUE"""),80.88)</f>
        <v>80.88</v>
      </c>
      <c r="I341" s="3">
        <f ca="1">IFERROR(__xludf.DUMMYFUNCTION("""COMPUTED_VALUE"""),81.03)</f>
        <v>81.03</v>
      </c>
      <c r="J341" s="3">
        <f ca="1">IFERROR(__xludf.DUMMYFUNCTION("""COMPUTED_VALUE"""),80.48)</f>
        <v>80.48</v>
      </c>
      <c r="K341" s="3">
        <f ca="1">IFERROR(__xludf.DUMMYFUNCTION("""COMPUTED_VALUE"""),81.03)</f>
        <v>81.03</v>
      </c>
      <c r="L341" s="3">
        <f ca="1">IFERROR(__xludf.DUMMYFUNCTION("""COMPUTED_VALUE"""),6177982)</f>
        <v>6177982</v>
      </c>
      <c r="M341" s="4">
        <f ca="1">IFERROR(__xludf.DUMMYFUNCTION("""COMPUTED_VALUE"""),42619.6666666666)</f>
        <v>42619.666666666599</v>
      </c>
      <c r="N341" s="3">
        <f ca="1">IFERROR(__xludf.DUMMYFUNCTION("""COMPUTED_VALUE"""),54.83)</f>
        <v>54.83</v>
      </c>
      <c r="O341" s="3">
        <f ca="1">IFERROR(__xludf.DUMMYFUNCTION("""COMPUTED_VALUE"""),54.96)</f>
        <v>54.96</v>
      </c>
      <c r="P341" s="3">
        <f ca="1">IFERROR(__xludf.DUMMYFUNCTION("""COMPUTED_VALUE"""),54.56)</f>
        <v>54.56</v>
      </c>
      <c r="Q341" s="3">
        <f ca="1">IFERROR(__xludf.DUMMYFUNCTION("""COMPUTED_VALUE"""),54.94)</f>
        <v>54.94</v>
      </c>
      <c r="R341" s="3">
        <f ca="1">IFERROR(__xludf.DUMMYFUNCTION("""COMPUTED_VALUE"""),9273315)</f>
        <v>9273315</v>
      </c>
      <c r="S341" s="4">
        <f ca="1">IFERROR(__xludf.DUMMYFUNCTION("""COMPUTED_VALUE"""),42619.6666666666)</f>
        <v>42619.666666666599</v>
      </c>
      <c r="T341" s="3">
        <f ca="1">IFERROR(__xludf.DUMMYFUNCTION("""COMPUTED_VALUE"""),69.26)</f>
        <v>69.260000000000005</v>
      </c>
      <c r="U341" s="3">
        <f ca="1">IFERROR(__xludf.DUMMYFUNCTION("""COMPUTED_VALUE"""),70.18)</f>
        <v>70.180000000000007</v>
      </c>
      <c r="V341" s="3">
        <f ca="1">IFERROR(__xludf.DUMMYFUNCTION("""COMPUTED_VALUE"""),69.2)</f>
        <v>69.2</v>
      </c>
      <c r="W341" s="3">
        <f ca="1">IFERROR(__xludf.DUMMYFUNCTION("""COMPUTED_VALUE"""),70.12)</f>
        <v>70.12</v>
      </c>
      <c r="X341" s="3">
        <f ca="1">IFERROR(__xludf.DUMMYFUNCTION("""COMPUTED_VALUE"""),12844055)</f>
        <v>12844055</v>
      </c>
      <c r="Y341" s="4">
        <f ca="1">IFERROR(__xludf.DUMMYFUNCTION("""COMPUTED_VALUE"""),42619.6666666666)</f>
        <v>42619.666666666599</v>
      </c>
      <c r="Z341" s="3">
        <f ca="1">IFERROR(__xludf.DUMMYFUNCTION("""COMPUTED_VALUE"""),19.94)</f>
        <v>19.940000000000001</v>
      </c>
      <c r="AA341" s="3">
        <f ca="1">IFERROR(__xludf.DUMMYFUNCTION("""COMPUTED_VALUE"""),19.97)</f>
        <v>19.97</v>
      </c>
      <c r="AB341" s="3">
        <f ca="1">IFERROR(__xludf.DUMMYFUNCTION("""COMPUTED_VALUE"""),19.77)</f>
        <v>19.77</v>
      </c>
      <c r="AC341" s="3">
        <f ca="1">IFERROR(__xludf.DUMMYFUNCTION("""COMPUTED_VALUE"""),19.92)</f>
        <v>19.920000000000002</v>
      </c>
      <c r="AD341" s="3">
        <f ca="1">IFERROR(__xludf.DUMMYFUNCTION("""COMPUTED_VALUE"""),48984520)</f>
        <v>48984520</v>
      </c>
      <c r="AE341" s="4">
        <f ca="1">IFERROR(__xludf.DUMMYFUNCTION("""COMPUTED_VALUE"""),42619.6666666666)</f>
        <v>42619.666666666599</v>
      </c>
      <c r="AF341" s="3">
        <f ca="1">IFERROR(__xludf.DUMMYFUNCTION("""COMPUTED_VALUE"""),72.77)</f>
        <v>72.77</v>
      </c>
      <c r="AG341" s="3">
        <f ca="1">IFERROR(__xludf.DUMMYFUNCTION("""COMPUTED_VALUE"""),73.07)</f>
        <v>73.069999999999993</v>
      </c>
      <c r="AH341" s="3">
        <f ca="1">IFERROR(__xludf.DUMMYFUNCTION("""COMPUTED_VALUE"""),72.66)</f>
        <v>72.66</v>
      </c>
      <c r="AI341" s="3">
        <f ca="1">IFERROR(__xludf.DUMMYFUNCTION("""COMPUTED_VALUE"""),72.91)</f>
        <v>72.91</v>
      </c>
      <c r="AJ341" s="3">
        <f ca="1">IFERROR(__xludf.DUMMYFUNCTION("""COMPUTED_VALUE"""),8735819)</f>
        <v>8735819</v>
      </c>
      <c r="AK341" s="4">
        <f ca="1">IFERROR(__xludf.DUMMYFUNCTION("""COMPUTED_VALUE"""),42619.6666666666)</f>
        <v>42619.666666666599</v>
      </c>
      <c r="AL341" s="3">
        <f ca="1">IFERROR(__xludf.DUMMYFUNCTION("""COMPUTED_VALUE"""),58.84)</f>
        <v>58.84</v>
      </c>
      <c r="AM341" s="3">
        <f ca="1">IFERROR(__xludf.DUMMYFUNCTION("""COMPUTED_VALUE"""),58.99)</f>
        <v>58.99</v>
      </c>
      <c r="AN341" s="3">
        <f ca="1">IFERROR(__xludf.DUMMYFUNCTION("""COMPUTED_VALUE"""),58.48)</f>
        <v>58.48</v>
      </c>
      <c r="AO341" s="3">
        <f ca="1">IFERROR(__xludf.DUMMYFUNCTION("""COMPUTED_VALUE"""),58.76)</f>
        <v>58.76</v>
      </c>
      <c r="AP341" s="3">
        <f ca="1">IFERROR(__xludf.DUMMYFUNCTION("""COMPUTED_VALUE"""),11028371)</f>
        <v>11028371</v>
      </c>
      <c r="AQ341" s="4">
        <f ca="1">IFERROR(__xludf.DUMMYFUNCTION("""COMPUTED_VALUE"""),42619.6666666666)</f>
        <v>42619.666666666599</v>
      </c>
      <c r="AR341" s="3">
        <f ca="1">IFERROR(__xludf.DUMMYFUNCTION("""COMPUTED_VALUE"""),49.3)</f>
        <v>49.3</v>
      </c>
      <c r="AS341" s="3">
        <f ca="1">IFERROR(__xludf.DUMMYFUNCTION("""COMPUTED_VALUE"""),49.43)</f>
        <v>49.43</v>
      </c>
      <c r="AT341" s="3">
        <f ca="1">IFERROR(__xludf.DUMMYFUNCTION("""COMPUTED_VALUE"""),48.93)</f>
        <v>48.93</v>
      </c>
      <c r="AU341" s="3">
        <f ca="1">IFERROR(__xludf.DUMMYFUNCTION("""COMPUTED_VALUE"""),49.14)</f>
        <v>49.14</v>
      </c>
      <c r="AV341" s="3">
        <f ca="1">IFERROR(__xludf.DUMMYFUNCTION("""COMPUTED_VALUE"""),3204293)</f>
        <v>3204293</v>
      </c>
      <c r="AW341" s="4">
        <f ca="1">IFERROR(__xludf.DUMMYFUNCTION("""COMPUTED_VALUE"""),42783.6666666666)</f>
        <v>42783.666666666599</v>
      </c>
      <c r="AX341" s="3">
        <f ca="1">IFERROR(__xludf.DUMMYFUNCTION("""COMPUTED_VALUE"""),31.28)</f>
        <v>31.28</v>
      </c>
      <c r="AY341" s="3">
        <f ca="1">IFERROR(__xludf.DUMMYFUNCTION("""COMPUTED_VALUE"""),31.49)</f>
        <v>31.49</v>
      </c>
      <c r="AZ341" s="3">
        <f ca="1">IFERROR(__xludf.DUMMYFUNCTION("""COMPUTED_VALUE"""),31.22)</f>
        <v>31.22</v>
      </c>
      <c r="BA341" s="3">
        <f ca="1">IFERROR(__xludf.DUMMYFUNCTION("""COMPUTED_VALUE"""),31.4)</f>
        <v>31.4</v>
      </c>
      <c r="BB341" s="3">
        <f ca="1">IFERROR(__xludf.DUMMYFUNCTION("""COMPUTED_VALUE"""),3247948)</f>
        <v>3247948</v>
      </c>
      <c r="BC341" s="4">
        <f ca="1">IFERROR(__xludf.DUMMYFUNCTION("""COMPUTED_VALUE"""),42619.6666666666)</f>
        <v>42619.666666666599</v>
      </c>
      <c r="BD341" s="3">
        <f ca="1">IFERROR(__xludf.DUMMYFUNCTION("""COMPUTED_VALUE"""),47.38)</f>
        <v>47.38</v>
      </c>
      <c r="BE341" s="3">
        <f ca="1">IFERROR(__xludf.DUMMYFUNCTION("""COMPUTED_VALUE"""),47.59)</f>
        <v>47.59</v>
      </c>
      <c r="BF341" s="3">
        <f ca="1">IFERROR(__xludf.DUMMYFUNCTION("""COMPUTED_VALUE"""),47.32)</f>
        <v>47.32</v>
      </c>
      <c r="BG341" s="3">
        <f ca="1">IFERROR(__xludf.DUMMYFUNCTION("""COMPUTED_VALUE"""),47.59)</f>
        <v>47.59</v>
      </c>
      <c r="BH341" s="3">
        <f ca="1">IFERROR(__xludf.DUMMYFUNCTION("""COMPUTED_VALUE"""),15107377)</f>
        <v>15107377</v>
      </c>
      <c r="BI341" s="4">
        <f ca="1">IFERROR(__xludf.DUMMYFUNCTION("""COMPUTED_VALUE"""),42619.6666666666)</f>
        <v>42619.666666666599</v>
      </c>
      <c r="BJ341" s="3">
        <f ca="1">IFERROR(__xludf.DUMMYFUNCTION("""COMPUTED_VALUE"""),49.89)</f>
        <v>49.89</v>
      </c>
      <c r="BK341" s="3">
        <f ca="1">IFERROR(__xludf.DUMMYFUNCTION("""COMPUTED_VALUE"""),50.23)</f>
        <v>50.23</v>
      </c>
      <c r="BL341" s="3">
        <f ca="1">IFERROR(__xludf.DUMMYFUNCTION("""COMPUTED_VALUE"""),49.75)</f>
        <v>49.75</v>
      </c>
      <c r="BM341" s="3">
        <f ca="1">IFERROR(__xludf.DUMMYFUNCTION("""COMPUTED_VALUE"""),50.17)</f>
        <v>50.17</v>
      </c>
      <c r="BN341" s="3">
        <f ca="1">IFERROR(__xludf.DUMMYFUNCTION("""COMPUTED_VALUE"""),15259141)</f>
        <v>15259141</v>
      </c>
    </row>
    <row r="342" spans="7:66" ht="13" x14ac:dyDescent="0.15">
      <c r="G342" s="4">
        <f ca="1">IFERROR(__xludf.DUMMYFUNCTION("""COMPUTED_VALUE"""),42620.6666666666)</f>
        <v>42620.666666666599</v>
      </c>
      <c r="H342" s="3">
        <f ca="1">IFERROR(__xludf.DUMMYFUNCTION("""COMPUTED_VALUE"""),80.87)</f>
        <v>80.87</v>
      </c>
      <c r="I342" s="3">
        <f ca="1">IFERROR(__xludf.DUMMYFUNCTION("""COMPUTED_VALUE"""),81.08)</f>
        <v>81.08</v>
      </c>
      <c r="J342" s="3">
        <f ca="1">IFERROR(__xludf.DUMMYFUNCTION("""COMPUTED_VALUE"""),80.72)</f>
        <v>80.72</v>
      </c>
      <c r="K342" s="3">
        <f ca="1">IFERROR(__xludf.DUMMYFUNCTION("""COMPUTED_VALUE"""),81.07)</f>
        <v>81.069999999999993</v>
      </c>
      <c r="L342" s="3">
        <f ca="1">IFERROR(__xludf.DUMMYFUNCTION("""COMPUTED_VALUE"""),5364303)</f>
        <v>5364303</v>
      </c>
      <c r="M342" s="4">
        <f ca="1">IFERROR(__xludf.DUMMYFUNCTION("""COMPUTED_VALUE"""),42620.6666666666)</f>
        <v>42620.666666666599</v>
      </c>
      <c r="N342" s="3">
        <f ca="1">IFERROR(__xludf.DUMMYFUNCTION("""COMPUTED_VALUE"""),54.84)</f>
        <v>54.84</v>
      </c>
      <c r="O342" s="3">
        <f ca="1">IFERROR(__xludf.DUMMYFUNCTION("""COMPUTED_VALUE"""),54.94)</f>
        <v>54.94</v>
      </c>
      <c r="P342" s="3">
        <f ca="1">IFERROR(__xludf.DUMMYFUNCTION("""COMPUTED_VALUE"""),54.35)</f>
        <v>54.35</v>
      </c>
      <c r="Q342" s="3">
        <f ca="1">IFERROR(__xludf.DUMMYFUNCTION("""COMPUTED_VALUE"""),54.46)</f>
        <v>54.46</v>
      </c>
      <c r="R342" s="3">
        <f ca="1">IFERROR(__xludf.DUMMYFUNCTION("""COMPUTED_VALUE"""),13418458)</f>
        <v>13418458</v>
      </c>
      <c r="S342" s="4">
        <f ca="1">IFERROR(__xludf.DUMMYFUNCTION("""COMPUTED_VALUE"""),42620.6666666666)</f>
        <v>42620.666666666599</v>
      </c>
      <c r="T342" s="3">
        <f ca="1">IFERROR(__xludf.DUMMYFUNCTION("""COMPUTED_VALUE"""),70.44)</f>
        <v>70.44</v>
      </c>
      <c r="U342" s="3">
        <f ca="1">IFERROR(__xludf.DUMMYFUNCTION("""COMPUTED_VALUE"""),70.67)</f>
        <v>70.67</v>
      </c>
      <c r="V342" s="3">
        <f ca="1">IFERROR(__xludf.DUMMYFUNCTION("""COMPUTED_VALUE"""),70.13)</f>
        <v>70.13</v>
      </c>
      <c r="W342" s="3">
        <f ca="1">IFERROR(__xludf.DUMMYFUNCTION("""COMPUTED_VALUE"""),70.52)</f>
        <v>70.52</v>
      </c>
      <c r="X342" s="3">
        <f ca="1">IFERROR(__xludf.DUMMYFUNCTION("""COMPUTED_VALUE"""),15094546)</f>
        <v>15094546</v>
      </c>
      <c r="Y342" s="4">
        <f ca="1">IFERROR(__xludf.DUMMYFUNCTION("""COMPUTED_VALUE"""),42620.6666666666)</f>
        <v>42620.666666666599</v>
      </c>
      <c r="Z342" s="3">
        <f ca="1">IFERROR(__xludf.DUMMYFUNCTION("""COMPUTED_VALUE"""),19.85)</f>
        <v>19.850000000000001</v>
      </c>
      <c r="AA342" s="3">
        <f ca="1">IFERROR(__xludf.DUMMYFUNCTION("""COMPUTED_VALUE"""),19.94)</f>
        <v>19.940000000000001</v>
      </c>
      <c r="AB342" s="3">
        <f ca="1">IFERROR(__xludf.DUMMYFUNCTION("""COMPUTED_VALUE"""),19.81)</f>
        <v>19.809999999999999</v>
      </c>
      <c r="AC342" s="3">
        <f ca="1">IFERROR(__xludf.DUMMYFUNCTION("""COMPUTED_VALUE"""),19.91)</f>
        <v>19.91</v>
      </c>
      <c r="AD342" s="3">
        <f ca="1">IFERROR(__xludf.DUMMYFUNCTION("""COMPUTED_VALUE"""),31414344)</f>
        <v>31414344</v>
      </c>
      <c r="AE342" s="4">
        <f ca="1">IFERROR(__xludf.DUMMYFUNCTION("""COMPUTED_VALUE"""),42620.6666666666)</f>
        <v>42620.666666666599</v>
      </c>
      <c r="AF342" s="3">
        <f ca="1">IFERROR(__xludf.DUMMYFUNCTION("""COMPUTED_VALUE"""),72.85)</f>
        <v>72.849999999999994</v>
      </c>
      <c r="AG342" s="3">
        <f ca="1">IFERROR(__xludf.DUMMYFUNCTION("""COMPUTED_VALUE"""),73.17)</f>
        <v>73.17</v>
      </c>
      <c r="AH342" s="3">
        <f ca="1">IFERROR(__xludf.DUMMYFUNCTION("""COMPUTED_VALUE"""),72.7)</f>
        <v>72.7</v>
      </c>
      <c r="AI342" s="3">
        <f ca="1">IFERROR(__xludf.DUMMYFUNCTION("""COMPUTED_VALUE"""),72.91)</f>
        <v>72.91</v>
      </c>
      <c r="AJ342" s="3">
        <f ca="1">IFERROR(__xludf.DUMMYFUNCTION("""COMPUTED_VALUE"""),7561580)</f>
        <v>7561580</v>
      </c>
      <c r="AK342" s="4">
        <f ca="1">IFERROR(__xludf.DUMMYFUNCTION("""COMPUTED_VALUE"""),42620.6666666666)</f>
        <v>42620.666666666599</v>
      </c>
      <c r="AL342" s="3">
        <f ca="1">IFERROR(__xludf.DUMMYFUNCTION("""COMPUTED_VALUE"""),58.56)</f>
        <v>58.56</v>
      </c>
      <c r="AM342" s="3">
        <f ca="1">IFERROR(__xludf.DUMMYFUNCTION("""COMPUTED_VALUE"""),58.91)</f>
        <v>58.91</v>
      </c>
      <c r="AN342" s="3">
        <f ca="1">IFERROR(__xludf.DUMMYFUNCTION("""COMPUTED_VALUE"""),58.56)</f>
        <v>58.56</v>
      </c>
      <c r="AO342" s="3">
        <f ca="1">IFERROR(__xludf.DUMMYFUNCTION("""COMPUTED_VALUE"""),58.83)</f>
        <v>58.83</v>
      </c>
      <c r="AP342" s="3">
        <f ca="1">IFERROR(__xludf.DUMMYFUNCTION("""COMPUTED_VALUE"""),6686796)</f>
        <v>6686796</v>
      </c>
      <c r="AQ342" s="4">
        <f ca="1">IFERROR(__xludf.DUMMYFUNCTION("""COMPUTED_VALUE"""),42620.6666666666)</f>
        <v>42620.666666666599</v>
      </c>
      <c r="AR342" s="3">
        <f ca="1">IFERROR(__xludf.DUMMYFUNCTION("""COMPUTED_VALUE"""),49.03)</f>
        <v>49.03</v>
      </c>
      <c r="AS342" s="3">
        <f ca="1">IFERROR(__xludf.DUMMYFUNCTION("""COMPUTED_VALUE"""),49.21)</f>
        <v>49.21</v>
      </c>
      <c r="AT342" s="3">
        <f ca="1">IFERROR(__xludf.DUMMYFUNCTION("""COMPUTED_VALUE"""),48.76)</f>
        <v>48.76</v>
      </c>
      <c r="AU342" s="3">
        <f ca="1">IFERROR(__xludf.DUMMYFUNCTION("""COMPUTED_VALUE"""),49.07)</f>
        <v>49.07</v>
      </c>
      <c r="AV342" s="3">
        <f ca="1">IFERROR(__xludf.DUMMYFUNCTION("""COMPUTED_VALUE"""),5742053)</f>
        <v>5742053</v>
      </c>
      <c r="AW342" s="4">
        <f ca="1">IFERROR(__xludf.DUMMYFUNCTION("""COMPUTED_VALUE"""),42787.6666666666)</f>
        <v>42787.666666666599</v>
      </c>
      <c r="AX342" s="3">
        <f ca="1">IFERROR(__xludf.DUMMYFUNCTION("""COMPUTED_VALUE"""),31.35)</f>
        <v>31.35</v>
      </c>
      <c r="AY342" s="3">
        <f ca="1">IFERROR(__xludf.DUMMYFUNCTION("""COMPUTED_VALUE"""),31.87)</f>
        <v>31.87</v>
      </c>
      <c r="AZ342" s="3">
        <f ca="1">IFERROR(__xludf.DUMMYFUNCTION("""COMPUTED_VALUE"""),31.34)</f>
        <v>31.34</v>
      </c>
      <c r="BA342" s="3">
        <f ca="1">IFERROR(__xludf.DUMMYFUNCTION("""COMPUTED_VALUE"""),31.83)</f>
        <v>31.83</v>
      </c>
      <c r="BB342" s="3">
        <f ca="1">IFERROR(__xludf.DUMMYFUNCTION("""COMPUTED_VALUE"""),4280834)</f>
        <v>4280834</v>
      </c>
      <c r="BC342" s="4">
        <f ca="1">IFERROR(__xludf.DUMMYFUNCTION("""COMPUTED_VALUE"""),42620.6666666666)</f>
        <v>42620.666666666599</v>
      </c>
      <c r="BD342" s="3">
        <f ca="1">IFERROR(__xludf.DUMMYFUNCTION("""COMPUTED_VALUE"""),47.59)</f>
        <v>47.59</v>
      </c>
      <c r="BE342" s="3">
        <f ca="1">IFERROR(__xludf.DUMMYFUNCTION("""COMPUTED_VALUE"""),47.72)</f>
        <v>47.72</v>
      </c>
      <c r="BF342" s="3">
        <f ca="1">IFERROR(__xludf.DUMMYFUNCTION("""COMPUTED_VALUE"""),47.46)</f>
        <v>47.46</v>
      </c>
      <c r="BG342" s="3">
        <f ca="1">IFERROR(__xludf.DUMMYFUNCTION("""COMPUTED_VALUE"""),47.71)</f>
        <v>47.71</v>
      </c>
      <c r="BH342" s="3">
        <f ca="1">IFERROR(__xludf.DUMMYFUNCTION("""COMPUTED_VALUE"""),11584977)</f>
        <v>11584977</v>
      </c>
      <c r="BI342" s="4">
        <f ca="1">IFERROR(__xludf.DUMMYFUNCTION("""COMPUTED_VALUE"""),42620.6666666666)</f>
        <v>42620.666666666599</v>
      </c>
      <c r="BJ342" s="3">
        <f ca="1">IFERROR(__xludf.DUMMYFUNCTION("""COMPUTED_VALUE"""),50.2)</f>
        <v>50.2</v>
      </c>
      <c r="BK342" s="3">
        <f ca="1">IFERROR(__xludf.DUMMYFUNCTION("""COMPUTED_VALUE"""),50.29)</f>
        <v>50.29</v>
      </c>
      <c r="BL342" s="3">
        <f ca="1">IFERROR(__xludf.DUMMYFUNCTION("""COMPUTED_VALUE"""),49.89)</f>
        <v>49.89</v>
      </c>
      <c r="BM342" s="3">
        <f ca="1">IFERROR(__xludf.DUMMYFUNCTION("""COMPUTED_VALUE"""),50.18)</f>
        <v>50.18</v>
      </c>
      <c r="BN342" s="3">
        <f ca="1">IFERROR(__xludf.DUMMYFUNCTION("""COMPUTED_VALUE"""),11490670)</f>
        <v>11490670</v>
      </c>
    </row>
    <row r="343" spans="7:66" ht="13" x14ac:dyDescent="0.15">
      <c r="G343" s="4">
        <f ca="1">IFERROR(__xludf.DUMMYFUNCTION("""COMPUTED_VALUE"""),42621.6666666666)</f>
        <v>42621.666666666599</v>
      </c>
      <c r="H343" s="3">
        <f ca="1">IFERROR(__xludf.DUMMYFUNCTION("""COMPUTED_VALUE"""),80.65)</f>
        <v>80.650000000000006</v>
      </c>
      <c r="I343" s="3">
        <f ca="1">IFERROR(__xludf.DUMMYFUNCTION("""COMPUTED_VALUE"""),80.81)</f>
        <v>80.81</v>
      </c>
      <c r="J343" s="3">
        <f ca="1">IFERROR(__xludf.DUMMYFUNCTION("""COMPUTED_VALUE"""),80.27)</f>
        <v>80.27</v>
      </c>
      <c r="K343" s="3">
        <f ca="1">IFERROR(__xludf.DUMMYFUNCTION("""COMPUTED_VALUE"""),80.37)</f>
        <v>80.37</v>
      </c>
      <c r="L343" s="3">
        <f ca="1">IFERROR(__xludf.DUMMYFUNCTION("""COMPUTED_VALUE"""),4459104)</f>
        <v>4459104</v>
      </c>
      <c r="M343" s="4">
        <f ca="1">IFERROR(__xludf.DUMMYFUNCTION("""COMPUTED_VALUE"""),42621.6666666666)</f>
        <v>42621.666666666599</v>
      </c>
      <c r="N343" s="3">
        <f ca="1">IFERROR(__xludf.DUMMYFUNCTION("""COMPUTED_VALUE"""),54.25)</f>
        <v>54.25</v>
      </c>
      <c r="O343" s="3">
        <f ca="1">IFERROR(__xludf.DUMMYFUNCTION("""COMPUTED_VALUE"""),54.41)</f>
        <v>54.41</v>
      </c>
      <c r="P343" s="3">
        <f ca="1">IFERROR(__xludf.DUMMYFUNCTION("""COMPUTED_VALUE"""),54.06)</f>
        <v>54.06</v>
      </c>
      <c r="Q343" s="3">
        <f ca="1">IFERROR(__xludf.DUMMYFUNCTION("""COMPUTED_VALUE"""),54.16)</f>
        <v>54.16</v>
      </c>
      <c r="R343" s="3">
        <f ca="1">IFERROR(__xludf.DUMMYFUNCTION("""COMPUTED_VALUE"""),13344386)</f>
        <v>13344386</v>
      </c>
      <c r="S343" s="4">
        <f ca="1">IFERROR(__xludf.DUMMYFUNCTION("""COMPUTED_VALUE"""),42621.6666666666)</f>
        <v>42621.666666666599</v>
      </c>
      <c r="T343" s="3">
        <f ca="1">IFERROR(__xludf.DUMMYFUNCTION("""COMPUTED_VALUE"""),70.97)</f>
        <v>70.97</v>
      </c>
      <c r="U343" s="3">
        <f ca="1">IFERROR(__xludf.DUMMYFUNCTION("""COMPUTED_VALUE"""),71.94)</f>
        <v>71.94</v>
      </c>
      <c r="V343" s="3">
        <f ca="1">IFERROR(__xludf.DUMMYFUNCTION("""COMPUTED_VALUE"""),70.63)</f>
        <v>70.63</v>
      </c>
      <c r="W343" s="3">
        <f ca="1">IFERROR(__xludf.DUMMYFUNCTION("""COMPUTED_VALUE"""),71.84)</f>
        <v>71.84</v>
      </c>
      <c r="X343" s="3">
        <f ca="1">IFERROR(__xludf.DUMMYFUNCTION("""COMPUTED_VALUE"""),18005348)</f>
        <v>18005348</v>
      </c>
      <c r="Y343" s="4">
        <f ca="1">IFERROR(__xludf.DUMMYFUNCTION("""COMPUTED_VALUE"""),42621.6666666666)</f>
        <v>42621.666666666599</v>
      </c>
      <c r="Z343" s="3">
        <f ca="1">IFERROR(__xludf.DUMMYFUNCTION("""COMPUTED_VALUE"""),19.91)</f>
        <v>19.91</v>
      </c>
      <c r="AA343" s="3">
        <f ca="1">IFERROR(__xludf.DUMMYFUNCTION("""COMPUTED_VALUE"""),19.97)</f>
        <v>19.97</v>
      </c>
      <c r="AB343" s="3">
        <f ca="1">IFERROR(__xludf.DUMMYFUNCTION("""COMPUTED_VALUE"""),19.85)</f>
        <v>19.850000000000001</v>
      </c>
      <c r="AC343" s="3">
        <f ca="1">IFERROR(__xludf.DUMMYFUNCTION("""COMPUTED_VALUE"""),19.9)</f>
        <v>19.899999999999999</v>
      </c>
      <c r="AD343" s="3">
        <f ca="1">IFERROR(__xludf.DUMMYFUNCTION("""COMPUTED_VALUE"""),58542690)</f>
        <v>58542690</v>
      </c>
      <c r="AE343" s="4">
        <f ca="1">IFERROR(__xludf.DUMMYFUNCTION("""COMPUTED_VALUE"""),42621.6666666666)</f>
        <v>42621.666666666599</v>
      </c>
      <c r="AF343" s="3">
        <f ca="1">IFERROR(__xludf.DUMMYFUNCTION("""COMPUTED_VALUE"""),72.68)</f>
        <v>72.680000000000007</v>
      </c>
      <c r="AG343" s="3">
        <f ca="1">IFERROR(__xludf.DUMMYFUNCTION("""COMPUTED_VALUE"""),73.03)</f>
        <v>73.03</v>
      </c>
      <c r="AH343" s="3">
        <f ca="1">IFERROR(__xludf.DUMMYFUNCTION("""COMPUTED_VALUE"""),72.61)</f>
        <v>72.61</v>
      </c>
      <c r="AI343" s="3">
        <f ca="1">IFERROR(__xludf.DUMMYFUNCTION("""COMPUTED_VALUE"""),72.97)</f>
        <v>72.97</v>
      </c>
      <c r="AJ343" s="3">
        <f ca="1">IFERROR(__xludf.DUMMYFUNCTION("""COMPUTED_VALUE"""),4822216)</f>
        <v>4822216</v>
      </c>
      <c r="AK343" s="4">
        <f ca="1">IFERROR(__xludf.DUMMYFUNCTION("""COMPUTED_VALUE"""),42621.6666666666)</f>
        <v>42621.666666666599</v>
      </c>
      <c r="AL343" s="3">
        <f ca="1">IFERROR(__xludf.DUMMYFUNCTION("""COMPUTED_VALUE"""),58.73)</f>
        <v>58.73</v>
      </c>
      <c r="AM343" s="3">
        <f ca="1">IFERROR(__xludf.DUMMYFUNCTION("""COMPUTED_VALUE"""),58.81)</f>
        <v>58.81</v>
      </c>
      <c r="AN343" s="3">
        <f ca="1">IFERROR(__xludf.DUMMYFUNCTION("""COMPUTED_VALUE"""),58.6)</f>
        <v>58.6</v>
      </c>
      <c r="AO343" s="3">
        <f ca="1">IFERROR(__xludf.DUMMYFUNCTION("""COMPUTED_VALUE"""),58.78)</f>
        <v>58.78</v>
      </c>
      <c r="AP343" s="3">
        <f ca="1">IFERROR(__xludf.DUMMYFUNCTION("""COMPUTED_VALUE"""),8202826)</f>
        <v>8202826</v>
      </c>
      <c r="AQ343" s="4">
        <f ca="1">IFERROR(__xludf.DUMMYFUNCTION("""COMPUTED_VALUE"""),42621.6666666666)</f>
        <v>42621.666666666599</v>
      </c>
      <c r="AR343" s="3">
        <f ca="1">IFERROR(__xludf.DUMMYFUNCTION("""COMPUTED_VALUE"""),48.98)</f>
        <v>48.98</v>
      </c>
      <c r="AS343" s="3">
        <f ca="1">IFERROR(__xludf.DUMMYFUNCTION("""COMPUTED_VALUE"""),49.09)</f>
        <v>49.09</v>
      </c>
      <c r="AT343" s="3">
        <f ca="1">IFERROR(__xludf.DUMMYFUNCTION("""COMPUTED_VALUE"""),48.71)</f>
        <v>48.71</v>
      </c>
      <c r="AU343" s="3">
        <f ca="1">IFERROR(__xludf.DUMMYFUNCTION("""COMPUTED_VALUE"""),48.86)</f>
        <v>48.86</v>
      </c>
      <c r="AV343" s="3">
        <f ca="1">IFERROR(__xludf.DUMMYFUNCTION("""COMPUTED_VALUE"""),2865123)</f>
        <v>2865123</v>
      </c>
      <c r="AW343" s="4">
        <f ca="1">IFERROR(__xludf.DUMMYFUNCTION("""COMPUTED_VALUE"""),42788.6666666666)</f>
        <v>42788.666666666599</v>
      </c>
      <c r="AX343" s="3">
        <f ca="1">IFERROR(__xludf.DUMMYFUNCTION("""COMPUTED_VALUE"""),31.84)</f>
        <v>31.84</v>
      </c>
      <c r="AY343" s="3">
        <f ca="1">IFERROR(__xludf.DUMMYFUNCTION("""COMPUTED_VALUE"""),31.97)</f>
        <v>31.97</v>
      </c>
      <c r="AZ343" s="3">
        <f ca="1">IFERROR(__xludf.DUMMYFUNCTION("""COMPUTED_VALUE"""),31.58)</f>
        <v>31.58</v>
      </c>
      <c r="BA343" s="3">
        <f ca="1">IFERROR(__xludf.DUMMYFUNCTION("""COMPUTED_VALUE"""),31.71)</f>
        <v>31.71</v>
      </c>
      <c r="BB343" s="3">
        <f ca="1">IFERROR(__xludf.DUMMYFUNCTION("""COMPUTED_VALUE"""),2463190)</f>
        <v>2463190</v>
      </c>
      <c r="BC343" s="4">
        <f ca="1">IFERROR(__xludf.DUMMYFUNCTION("""COMPUTED_VALUE"""),42621.6666666666)</f>
        <v>42621.666666666599</v>
      </c>
      <c r="BD343" s="3">
        <f ca="1">IFERROR(__xludf.DUMMYFUNCTION("""COMPUTED_VALUE"""),47.54)</f>
        <v>47.54</v>
      </c>
      <c r="BE343" s="3">
        <f ca="1">IFERROR(__xludf.DUMMYFUNCTION("""COMPUTED_VALUE"""),47.55)</f>
        <v>47.55</v>
      </c>
      <c r="BF343" s="3">
        <f ca="1">IFERROR(__xludf.DUMMYFUNCTION("""COMPUTED_VALUE"""),47.2)</f>
        <v>47.2</v>
      </c>
      <c r="BG343" s="3">
        <f ca="1">IFERROR(__xludf.DUMMYFUNCTION("""COMPUTED_VALUE"""),47.32)</f>
        <v>47.32</v>
      </c>
      <c r="BH343" s="3">
        <f ca="1">IFERROR(__xludf.DUMMYFUNCTION("""COMPUTED_VALUE"""),8302600)</f>
        <v>8302600</v>
      </c>
      <c r="BI343" s="4">
        <f ca="1">IFERROR(__xludf.DUMMYFUNCTION("""COMPUTED_VALUE"""),42621.6666666666)</f>
        <v>42621.666666666599</v>
      </c>
      <c r="BJ343" s="3">
        <f ca="1">IFERROR(__xludf.DUMMYFUNCTION("""COMPUTED_VALUE"""),49.84)</f>
        <v>49.84</v>
      </c>
      <c r="BK343" s="3">
        <f ca="1">IFERROR(__xludf.DUMMYFUNCTION("""COMPUTED_VALUE"""),50.41)</f>
        <v>50.41</v>
      </c>
      <c r="BL343" s="3">
        <f ca="1">IFERROR(__xludf.DUMMYFUNCTION("""COMPUTED_VALUE"""),49.84)</f>
        <v>49.84</v>
      </c>
      <c r="BM343" s="3">
        <f ca="1">IFERROR(__xludf.DUMMYFUNCTION("""COMPUTED_VALUE"""),50.35)</f>
        <v>50.35</v>
      </c>
      <c r="BN343" s="3">
        <f ca="1">IFERROR(__xludf.DUMMYFUNCTION("""COMPUTED_VALUE"""),12841630)</f>
        <v>12841630</v>
      </c>
    </row>
    <row r="344" spans="7:66" ht="13" x14ac:dyDescent="0.15">
      <c r="G344" s="4">
        <f ca="1">IFERROR(__xludf.DUMMYFUNCTION("""COMPUTED_VALUE"""),42622.6666666666)</f>
        <v>42622.666666666599</v>
      </c>
      <c r="H344" s="3">
        <f ca="1">IFERROR(__xludf.DUMMYFUNCTION("""COMPUTED_VALUE"""),79.8)</f>
        <v>79.8</v>
      </c>
      <c r="I344" s="3">
        <f ca="1">IFERROR(__xludf.DUMMYFUNCTION("""COMPUTED_VALUE"""),79.96)</f>
        <v>79.959999999999994</v>
      </c>
      <c r="J344" s="3">
        <f ca="1">IFERROR(__xludf.DUMMYFUNCTION("""COMPUTED_VALUE"""),78.43)</f>
        <v>78.430000000000007</v>
      </c>
      <c r="K344" s="3">
        <f ca="1">IFERROR(__xludf.DUMMYFUNCTION("""COMPUTED_VALUE"""),78.43)</f>
        <v>78.430000000000007</v>
      </c>
      <c r="L344" s="3">
        <f ca="1">IFERROR(__xludf.DUMMYFUNCTION("""COMPUTED_VALUE"""),9562492)</f>
        <v>9562492</v>
      </c>
      <c r="M344" s="4">
        <f ca="1">IFERROR(__xludf.DUMMYFUNCTION("""COMPUTED_VALUE"""),42622.6666666666)</f>
        <v>42622.666666666599</v>
      </c>
      <c r="N344" s="3">
        <f ca="1">IFERROR(__xludf.DUMMYFUNCTION("""COMPUTED_VALUE"""),53.69)</f>
        <v>53.69</v>
      </c>
      <c r="O344" s="3">
        <f ca="1">IFERROR(__xludf.DUMMYFUNCTION("""COMPUTED_VALUE"""),53.79)</f>
        <v>53.79</v>
      </c>
      <c r="P344" s="3">
        <f ca="1">IFERROR(__xludf.DUMMYFUNCTION("""COMPUTED_VALUE"""),52.69)</f>
        <v>52.69</v>
      </c>
      <c r="Q344" s="3">
        <f ca="1">IFERROR(__xludf.DUMMYFUNCTION("""COMPUTED_VALUE"""),52.69)</f>
        <v>52.69</v>
      </c>
      <c r="R344" s="3">
        <f ca="1">IFERROR(__xludf.DUMMYFUNCTION("""COMPUTED_VALUE"""),24921562)</f>
        <v>24921562</v>
      </c>
      <c r="S344" s="4">
        <f ca="1">IFERROR(__xludf.DUMMYFUNCTION("""COMPUTED_VALUE"""),42622.6666666666)</f>
        <v>42622.666666666599</v>
      </c>
      <c r="T344" s="3">
        <f ca="1">IFERROR(__xludf.DUMMYFUNCTION("""COMPUTED_VALUE"""),71.17)</f>
        <v>71.17</v>
      </c>
      <c r="U344" s="3">
        <f ca="1">IFERROR(__xludf.DUMMYFUNCTION("""COMPUTED_VALUE"""),71.39)</f>
        <v>71.39</v>
      </c>
      <c r="V344" s="3">
        <f ca="1">IFERROR(__xludf.DUMMYFUNCTION("""COMPUTED_VALUE"""),69.7)</f>
        <v>69.7</v>
      </c>
      <c r="W344" s="3">
        <f ca="1">IFERROR(__xludf.DUMMYFUNCTION("""COMPUTED_VALUE"""),69.7)</f>
        <v>69.7</v>
      </c>
      <c r="X344" s="3">
        <f ca="1">IFERROR(__xludf.DUMMYFUNCTION("""COMPUTED_VALUE"""),21771832)</f>
        <v>21771832</v>
      </c>
      <c r="Y344" s="4">
        <f ca="1">IFERROR(__xludf.DUMMYFUNCTION("""COMPUTED_VALUE"""),42622.6666666666)</f>
        <v>42622.666666666599</v>
      </c>
      <c r="Z344" s="3">
        <f ca="1">IFERROR(__xludf.DUMMYFUNCTION("""COMPUTED_VALUE"""),19.78)</f>
        <v>19.78</v>
      </c>
      <c r="AA344" s="3">
        <f ca="1">IFERROR(__xludf.DUMMYFUNCTION("""COMPUTED_VALUE"""),19.85)</f>
        <v>19.850000000000001</v>
      </c>
      <c r="AB344" s="3">
        <f ca="1">IFERROR(__xludf.DUMMYFUNCTION("""COMPUTED_VALUE"""),19.52)</f>
        <v>19.52</v>
      </c>
      <c r="AC344" s="3">
        <f ca="1">IFERROR(__xludf.DUMMYFUNCTION("""COMPUTED_VALUE"""),19.52)</f>
        <v>19.52</v>
      </c>
      <c r="AD344" s="3">
        <f ca="1">IFERROR(__xludf.DUMMYFUNCTION("""COMPUTED_VALUE"""),54002281)</f>
        <v>54002281</v>
      </c>
      <c r="AE344" s="4">
        <f ca="1">IFERROR(__xludf.DUMMYFUNCTION("""COMPUTED_VALUE"""),42622.6666666666)</f>
        <v>42622.666666666599</v>
      </c>
      <c r="AF344" s="3">
        <f ca="1">IFERROR(__xludf.DUMMYFUNCTION("""COMPUTED_VALUE"""),72.56)</f>
        <v>72.56</v>
      </c>
      <c r="AG344" s="3">
        <f ca="1">IFERROR(__xludf.DUMMYFUNCTION("""COMPUTED_VALUE"""),72.56)</f>
        <v>72.56</v>
      </c>
      <c r="AH344" s="3">
        <f ca="1">IFERROR(__xludf.DUMMYFUNCTION("""COMPUTED_VALUE"""),71.49)</f>
        <v>71.489999999999995</v>
      </c>
      <c r="AI344" s="3">
        <f ca="1">IFERROR(__xludf.DUMMYFUNCTION("""COMPUTED_VALUE"""),71.51)</f>
        <v>71.510000000000005</v>
      </c>
      <c r="AJ344" s="3">
        <f ca="1">IFERROR(__xludf.DUMMYFUNCTION("""COMPUTED_VALUE"""),14135544)</f>
        <v>14135544</v>
      </c>
      <c r="AK344" s="4">
        <f ca="1">IFERROR(__xludf.DUMMYFUNCTION("""COMPUTED_VALUE"""),42622.6666666666)</f>
        <v>42622.666666666599</v>
      </c>
      <c r="AL344" s="3">
        <f ca="1">IFERROR(__xludf.DUMMYFUNCTION("""COMPUTED_VALUE"""),58.25)</f>
        <v>58.25</v>
      </c>
      <c r="AM344" s="3">
        <f ca="1">IFERROR(__xludf.DUMMYFUNCTION("""COMPUTED_VALUE"""),58.37)</f>
        <v>58.37</v>
      </c>
      <c r="AN344" s="3">
        <f ca="1">IFERROR(__xludf.DUMMYFUNCTION("""COMPUTED_VALUE"""),57.12)</f>
        <v>57.12</v>
      </c>
      <c r="AO344" s="3">
        <f ca="1">IFERROR(__xludf.DUMMYFUNCTION("""COMPUTED_VALUE"""),57.12)</f>
        <v>57.12</v>
      </c>
      <c r="AP344" s="3">
        <f ca="1">IFERROR(__xludf.DUMMYFUNCTION("""COMPUTED_VALUE"""),19609082)</f>
        <v>19609082</v>
      </c>
      <c r="AQ344" s="4">
        <f ca="1">IFERROR(__xludf.DUMMYFUNCTION("""COMPUTED_VALUE"""),42622.6666666666)</f>
        <v>42622.666666666599</v>
      </c>
      <c r="AR344" s="3">
        <f ca="1">IFERROR(__xludf.DUMMYFUNCTION("""COMPUTED_VALUE"""),48.5)</f>
        <v>48.5</v>
      </c>
      <c r="AS344" s="3">
        <f ca="1">IFERROR(__xludf.DUMMYFUNCTION("""COMPUTED_VALUE"""),48.53)</f>
        <v>48.53</v>
      </c>
      <c r="AT344" s="3">
        <f ca="1">IFERROR(__xludf.DUMMYFUNCTION("""COMPUTED_VALUE"""),47.39)</f>
        <v>47.39</v>
      </c>
      <c r="AU344" s="3">
        <f ca="1">IFERROR(__xludf.DUMMYFUNCTION("""COMPUTED_VALUE"""),47.44)</f>
        <v>47.44</v>
      </c>
      <c r="AV344" s="3">
        <f ca="1">IFERROR(__xludf.DUMMYFUNCTION("""COMPUTED_VALUE"""),8673660)</f>
        <v>8673660</v>
      </c>
      <c r="AW344" s="4">
        <f ca="1">IFERROR(__xludf.DUMMYFUNCTION("""COMPUTED_VALUE"""),42789.6666666666)</f>
        <v>42789.666666666599</v>
      </c>
      <c r="AX344" s="3">
        <f ca="1">IFERROR(__xludf.DUMMYFUNCTION("""COMPUTED_VALUE"""),31.84)</f>
        <v>31.84</v>
      </c>
      <c r="AY344" s="3">
        <f ca="1">IFERROR(__xludf.DUMMYFUNCTION("""COMPUTED_VALUE"""),31.96)</f>
        <v>31.96</v>
      </c>
      <c r="AZ344" s="3">
        <f ca="1">IFERROR(__xludf.DUMMYFUNCTION("""COMPUTED_VALUE"""),31.67)</f>
        <v>31.67</v>
      </c>
      <c r="BA344" s="3">
        <f ca="1">IFERROR(__xludf.DUMMYFUNCTION("""COMPUTED_VALUE"""),31.92)</f>
        <v>31.92</v>
      </c>
      <c r="BB344" s="3">
        <f ca="1">IFERROR(__xludf.DUMMYFUNCTION("""COMPUTED_VALUE"""),1938411)</f>
        <v>1938411</v>
      </c>
      <c r="BC344" s="4">
        <f ca="1">IFERROR(__xludf.DUMMYFUNCTION("""COMPUTED_VALUE"""),42622.6666666666)</f>
        <v>42622.666666666599</v>
      </c>
      <c r="BD344" s="3">
        <f ca="1">IFERROR(__xludf.DUMMYFUNCTION("""COMPUTED_VALUE"""),46.89)</f>
        <v>46.89</v>
      </c>
      <c r="BE344" s="3">
        <f ca="1">IFERROR(__xludf.DUMMYFUNCTION("""COMPUTED_VALUE"""),47.06)</f>
        <v>47.06</v>
      </c>
      <c r="BF344" s="3">
        <f ca="1">IFERROR(__xludf.DUMMYFUNCTION("""COMPUTED_VALUE"""),46.16)</f>
        <v>46.16</v>
      </c>
      <c r="BG344" s="3">
        <f ca="1">IFERROR(__xludf.DUMMYFUNCTION("""COMPUTED_VALUE"""),46.16)</f>
        <v>46.16</v>
      </c>
      <c r="BH344" s="3">
        <f ca="1">IFERROR(__xludf.DUMMYFUNCTION("""COMPUTED_VALUE"""),16809191)</f>
        <v>16809191</v>
      </c>
      <c r="BI344" s="4">
        <f ca="1">IFERROR(__xludf.DUMMYFUNCTION("""COMPUTED_VALUE"""),42622.6666666666)</f>
        <v>42622.666666666599</v>
      </c>
      <c r="BJ344" s="3">
        <f ca="1">IFERROR(__xludf.DUMMYFUNCTION("""COMPUTED_VALUE"""),49.85)</f>
        <v>49.85</v>
      </c>
      <c r="BK344" s="3">
        <f ca="1">IFERROR(__xludf.DUMMYFUNCTION("""COMPUTED_VALUE"""),49.91)</f>
        <v>49.91</v>
      </c>
      <c r="BL344" s="3">
        <f ca="1">IFERROR(__xludf.DUMMYFUNCTION("""COMPUTED_VALUE"""),48.44)</f>
        <v>48.44</v>
      </c>
      <c r="BM344" s="3">
        <f ca="1">IFERROR(__xludf.DUMMYFUNCTION("""COMPUTED_VALUE"""),48.46)</f>
        <v>48.46</v>
      </c>
      <c r="BN344" s="3">
        <f ca="1">IFERROR(__xludf.DUMMYFUNCTION("""COMPUTED_VALUE"""),25759114)</f>
        <v>25759114</v>
      </c>
    </row>
    <row r="345" spans="7:66" ht="13" x14ac:dyDescent="0.15">
      <c r="G345" s="4">
        <f ca="1">IFERROR(__xludf.DUMMYFUNCTION("""COMPUTED_VALUE"""),42625.6666666666)</f>
        <v>42625.666666666599</v>
      </c>
      <c r="H345" s="3">
        <f ca="1">IFERROR(__xludf.DUMMYFUNCTION("""COMPUTED_VALUE"""),78.12)</f>
        <v>78.12</v>
      </c>
      <c r="I345" s="3">
        <f ca="1">IFERROR(__xludf.DUMMYFUNCTION("""COMPUTED_VALUE"""),79.73)</f>
        <v>79.73</v>
      </c>
      <c r="J345" s="3">
        <f ca="1">IFERROR(__xludf.DUMMYFUNCTION("""COMPUTED_VALUE"""),78.01)</f>
        <v>78.010000000000005</v>
      </c>
      <c r="K345" s="3">
        <f ca="1">IFERROR(__xludf.DUMMYFUNCTION("""COMPUTED_VALUE"""),79.53)</f>
        <v>79.53</v>
      </c>
      <c r="L345" s="3">
        <f ca="1">IFERROR(__xludf.DUMMYFUNCTION("""COMPUTED_VALUE"""),10876558)</f>
        <v>10876558</v>
      </c>
      <c r="M345" s="4">
        <f ca="1">IFERROR(__xludf.DUMMYFUNCTION("""COMPUTED_VALUE"""),42625.6666666666)</f>
        <v>42625.666666666599</v>
      </c>
      <c r="N345" s="3">
        <f ca="1">IFERROR(__xludf.DUMMYFUNCTION("""COMPUTED_VALUE"""),52.63)</f>
        <v>52.63</v>
      </c>
      <c r="O345" s="3">
        <f ca="1">IFERROR(__xludf.DUMMYFUNCTION("""COMPUTED_VALUE"""),53.76)</f>
        <v>53.76</v>
      </c>
      <c r="P345" s="3">
        <f ca="1">IFERROR(__xludf.DUMMYFUNCTION("""COMPUTED_VALUE"""),52.63)</f>
        <v>52.63</v>
      </c>
      <c r="Q345" s="3">
        <f ca="1">IFERROR(__xludf.DUMMYFUNCTION("""COMPUTED_VALUE"""),53.68)</f>
        <v>53.68</v>
      </c>
      <c r="R345" s="3">
        <f ca="1">IFERROR(__xludf.DUMMYFUNCTION("""COMPUTED_VALUE"""),23542651)</f>
        <v>23542651</v>
      </c>
      <c r="S345" s="4">
        <f ca="1">IFERROR(__xludf.DUMMYFUNCTION("""COMPUTED_VALUE"""),42625.6666666666)</f>
        <v>42625.666666666599</v>
      </c>
      <c r="T345" s="3">
        <f ca="1">IFERROR(__xludf.DUMMYFUNCTION("""COMPUTED_VALUE"""),69.21)</f>
        <v>69.209999999999994</v>
      </c>
      <c r="U345" s="3">
        <f ca="1">IFERROR(__xludf.DUMMYFUNCTION("""COMPUTED_VALUE"""),70.75)</f>
        <v>70.75</v>
      </c>
      <c r="V345" s="3">
        <f ca="1">IFERROR(__xludf.DUMMYFUNCTION("""COMPUTED_VALUE"""),69.08)</f>
        <v>69.08</v>
      </c>
      <c r="W345" s="3">
        <f ca="1">IFERROR(__xludf.DUMMYFUNCTION("""COMPUTED_VALUE"""),70.39)</f>
        <v>70.39</v>
      </c>
      <c r="X345" s="3">
        <f ca="1">IFERROR(__xludf.DUMMYFUNCTION("""COMPUTED_VALUE"""),21972895)</f>
        <v>21972895</v>
      </c>
      <c r="Y345" s="4">
        <f ca="1">IFERROR(__xludf.DUMMYFUNCTION("""COMPUTED_VALUE"""),42625.6666666666)</f>
        <v>42625.666666666599</v>
      </c>
      <c r="Z345" s="3">
        <f ca="1">IFERROR(__xludf.DUMMYFUNCTION("""COMPUTED_VALUE"""),19.43)</f>
        <v>19.43</v>
      </c>
      <c r="AA345" s="3">
        <f ca="1">IFERROR(__xludf.DUMMYFUNCTION("""COMPUTED_VALUE"""),19.81)</f>
        <v>19.809999999999999</v>
      </c>
      <c r="AB345" s="3">
        <f ca="1">IFERROR(__xludf.DUMMYFUNCTION("""COMPUTED_VALUE"""),19.34)</f>
        <v>19.34</v>
      </c>
      <c r="AC345" s="3">
        <f ca="1">IFERROR(__xludf.DUMMYFUNCTION("""COMPUTED_VALUE"""),19.74)</f>
        <v>19.739999999999998</v>
      </c>
      <c r="AD345" s="3">
        <f ca="1">IFERROR(__xludf.DUMMYFUNCTION("""COMPUTED_VALUE"""),70798636)</f>
        <v>70798636</v>
      </c>
      <c r="AE345" s="4">
        <f ca="1">IFERROR(__xludf.DUMMYFUNCTION("""COMPUTED_VALUE"""),42625.6666666666)</f>
        <v>42625.666666666599</v>
      </c>
      <c r="AF345" s="3">
        <f ca="1">IFERROR(__xludf.DUMMYFUNCTION("""COMPUTED_VALUE"""),71.11)</f>
        <v>71.11</v>
      </c>
      <c r="AG345" s="3">
        <f ca="1">IFERROR(__xludf.DUMMYFUNCTION("""COMPUTED_VALUE"""),72.76)</f>
        <v>72.760000000000005</v>
      </c>
      <c r="AH345" s="3">
        <f ca="1">IFERROR(__xludf.DUMMYFUNCTION("""COMPUTED_VALUE"""),71.09)</f>
        <v>71.09</v>
      </c>
      <c r="AI345" s="3">
        <f ca="1">IFERROR(__xludf.DUMMYFUNCTION("""COMPUTED_VALUE"""),72.57)</f>
        <v>72.569999999999993</v>
      </c>
      <c r="AJ345" s="3">
        <f ca="1">IFERROR(__xludf.DUMMYFUNCTION("""COMPUTED_VALUE"""),13023429)</f>
        <v>13023429</v>
      </c>
      <c r="AK345" s="4">
        <f ca="1">IFERROR(__xludf.DUMMYFUNCTION("""COMPUTED_VALUE"""),42625.6666666666)</f>
        <v>42625.666666666599</v>
      </c>
      <c r="AL345" s="3">
        <f ca="1">IFERROR(__xludf.DUMMYFUNCTION("""COMPUTED_VALUE"""),56.81)</f>
        <v>56.81</v>
      </c>
      <c r="AM345" s="3">
        <f ca="1">IFERROR(__xludf.DUMMYFUNCTION("""COMPUTED_VALUE"""),58.03)</f>
        <v>58.03</v>
      </c>
      <c r="AN345" s="3">
        <f ca="1">IFERROR(__xludf.DUMMYFUNCTION("""COMPUTED_VALUE"""),56.71)</f>
        <v>56.71</v>
      </c>
      <c r="AO345" s="3">
        <f ca="1">IFERROR(__xludf.DUMMYFUNCTION("""COMPUTED_VALUE"""),57.85)</f>
        <v>57.85</v>
      </c>
      <c r="AP345" s="3">
        <f ca="1">IFERROR(__xludf.DUMMYFUNCTION("""COMPUTED_VALUE"""),18644858)</f>
        <v>18644858</v>
      </c>
      <c r="AQ345" s="4">
        <f ca="1">IFERROR(__xludf.DUMMYFUNCTION("""COMPUTED_VALUE"""),42625.6666666666)</f>
        <v>42625.666666666599</v>
      </c>
      <c r="AR345" s="3">
        <f ca="1">IFERROR(__xludf.DUMMYFUNCTION("""COMPUTED_VALUE"""),47.16)</f>
        <v>47.16</v>
      </c>
      <c r="AS345" s="3">
        <f ca="1">IFERROR(__xludf.DUMMYFUNCTION("""COMPUTED_VALUE"""),48.02)</f>
        <v>48.02</v>
      </c>
      <c r="AT345" s="3">
        <f ca="1">IFERROR(__xludf.DUMMYFUNCTION("""COMPUTED_VALUE"""),47.07)</f>
        <v>47.07</v>
      </c>
      <c r="AU345" s="3">
        <f ca="1">IFERROR(__xludf.DUMMYFUNCTION("""COMPUTED_VALUE"""),47.89)</f>
        <v>47.89</v>
      </c>
      <c r="AV345" s="3">
        <f ca="1">IFERROR(__xludf.DUMMYFUNCTION("""COMPUTED_VALUE"""),6512770)</f>
        <v>6512770</v>
      </c>
      <c r="AW345" s="4">
        <f ca="1">IFERROR(__xludf.DUMMYFUNCTION("""COMPUTED_VALUE"""),42790.6666666666)</f>
        <v>42790.666666666599</v>
      </c>
      <c r="AX345" s="3">
        <f ca="1">IFERROR(__xludf.DUMMYFUNCTION("""COMPUTED_VALUE"""),31.92)</f>
        <v>31.92</v>
      </c>
      <c r="AY345" s="3">
        <f ca="1">IFERROR(__xludf.DUMMYFUNCTION("""COMPUTED_VALUE"""),32.1)</f>
        <v>32.1</v>
      </c>
      <c r="AZ345" s="3">
        <f ca="1">IFERROR(__xludf.DUMMYFUNCTION("""COMPUTED_VALUE"""),31.77)</f>
        <v>31.77</v>
      </c>
      <c r="BA345" s="3">
        <f ca="1">IFERROR(__xludf.DUMMYFUNCTION("""COMPUTED_VALUE"""),32.08)</f>
        <v>32.08</v>
      </c>
      <c r="BB345" s="3">
        <f ca="1">IFERROR(__xludf.DUMMYFUNCTION("""COMPUTED_VALUE"""),2542772)</f>
        <v>2542772</v>
      </c>
      <c r="BC345" s="4">
        <f ca="1">IFERROR(__xludf.DUMMYFUNCTION("""COMPUTED_VALUE"""),42625.6666666666)</f>
        <v>42625.666666666599</v>
      </c>
      <c r="BD345" s="3">
        <f ca="1">IFERROR(__xludf.DUMMYFUNCTION("""COMPUTED_VALUE"""),45.93)</f>
        <v>45.93</v>
      </c>
      <c r="BE345" s="3">
        <f ca="1">IFERROR(__xludf.DUMMYFUNCTION("""COMPUTED_VALUE"""),47.03)</f>
        <v>47.03</v>
      </c>
      <c r="BF345" s="3">
        <f ca="1">IFERROR(__xludf.DUMMYFUNCTION("""COMPUTED_VALUE"""),45.86)</f>
        <v>45.86</v>
      </c>
      <c r="BG345" s="3">
        <f ca="1">IFERROR(__xludf.DUMMYFUNCTION("""COMPUTED_VALUE"""),46.93)</f>
        <v>46.93</v>
      </c>
      <c r="BH345" s="3">
        <f ca="1">IFERROR(__xludf.DUMMYFUNCTION("""COMPUTED_VALUE"""),19010477)</f>
        <v>19010477</v>
      </c>
      <c r="BI345" s="4">
        <f ca="1">IFERROR(__xludf.DUMMYFUNCTION("""COMPUTED_VALUE"""),42625.6666666666)</f>
        <v>42625.666666666599</v>
      </c>
      <c r="BJ345" s="3">
        <f ca="1">IFERROR(__xludf.DUMMYFUNCTION("""COMPUTED_VALUE"""),48.38)</f>
        <v>48.38</v>
      </c>
      <c r="BK345" s="3">
        <f ca="1">IFERROR(__xludf.DUMMYFUNCTION("""COMPUTED_VALUE"""),49.42)</f>
        <v>49.42</v>
      </c>
      <c r="BL345" s="3">
        <f ca="1">IFERROR(__xludf.DUMMYFUNCTION("""COMPUTED_VALUE"""),48.38)</f>
        <v>48.38</v>
      </c>
      <c r="BM345" s="3">
        <f ca="1">IFERROR(__xludf.DUMMYFUNCTION("""COMPUTED_VALUE"""),49.32)</f>
        <v>49.32</v>
      </c>
      <c r="BN345" s="3">
        <f ca="1">IFERROR(__xludf.DUMMYFUNCTION("""COMPUTED_VALUE"""),25532258)</f>
        <v>25532258</v>
      </c>
    </row>
    <row r="346" spans="7:66" ht="13" x14ac:dyDescent="0.15">
      <c r="G346" s="4">
        <f ca="1">IFERROR(__xludf.DUMMYFUNCTION("""COMPUTED_VALUE"""),42626.6666666666)</f>
        <v>42626.666666666599</v>
      </c>
      <c r="H346" s="3">
        <f ca="1">IFERROR(__xludf.DUMMYFUNCTION("""COMPUTED_VALUE"""),78.95)</f>
        <v>78.95</v>
      </c>
      <c r="I346" s="3">
        <f ca="1">IFERROR(__xludf.DUMMYFUNCTION("""COMPUTED_VALUE"""),79.18)</f>
        <v>79.180000000000007</v>
      </c>
      <c r="J346" s="3">
        <f ca="1">IFERROR(__xludf.DUMMYFUNCTION("""COMPUTED_VALUE"""),78.15)</f>
        <v>78.150000000000006</v>
      </c>
      <c r="K346" s="3">
        <f ca="1">IFERROR(__xludf.DUMMYFUNCTION("""COMPUTED_VALUE"""),78.4)</f>
        <v>78.400000000000006</v>
      </c>
      <c r="L346" s="3">
        <f ca="1">IFERROR(__xludf.DUMMYFUNCTION("""COMPUTED_VALUE"""),9237180)</f>
        <v>9237180</v>
      </c>
      <c r="M346" s="4">
        <f ca="1">IFERROR(__xludf.DUMMYFUNCTION("""COMPUTED_VALUE"""),42626.6666666666)</f>
        <v>42626.666666666599</v>
      </c>
      <c r="N346" s="3">
        <f ca="1">IFERROR(__xludf.DUMMYFUNCTION("""COMPUTED_VALUE"""),53.4)</f>
        <v>53.4</v>
      </c>
      <c r="O346" s="3">
        <f ca="1">IFERROR(__xludf.DUMMYFUNCTION("""COMPUTED_VALUE"""),53.46)</f>
        <v>53.46</v>
      </c>
      <c r="P346" s="3">
        <f ca="1">IFERROR(__xludf.DUMMYFUNCTION("""COMPUTED_VALUE"""),52.91)</f>
        <v>52.91</v>
      </c>
      <c r="Q346" s="3">
        <f ca="1">IFERROR(__xludf.DUMMYFUNCTION("""COMPUTED_VALUE"""),53.02)</f>
        <v>53.02</v>
      </c>
      <c r="R346" s="3">
        <f ca="1">IFERROR(__xludf.DUMMYFUNCTION("""COMPUTED_VALUE"""),21780467)</f>
        <v>21780467</v>
      </c>
      <c r="S346" s="4">
        <f ca="1">IFERROR(__xludf.DUMMYFUNCTION("""COMPUTED_VALUE"""),42626.6666666666)</f>
        <v>42626.666666666599</v>
      </c>
      <c r="T346" s="3">
        <f ca="1">IFERROR(__xludf.DUMMYFUNCTION("""COMPUTED_VALUE"""),69.62)</f>
        <v>69.62</v>
      </c>
      <c r="U346" s="3">
        <f ca="1">IFERROR(__xludf.DUMMYFUNCTION("""COMPUTED_VALUE"""),69.65)</f>
        <v>69.650000000000006</v>
      </c>
      <c r="V346" s="3">
        <f ca="1">IFERROR(__xludf.DUMMYFUNCTION("""COMPUTED_VALUE"""),68.18)</f>
        <v>68.180000000000007</v>
      </c>
      <c r="W346" s="3">
        <f ca="1">IFERROR(__xludf.DUMMYFUNCTION("""COMPUTED_VALUE"""),68.38)</f>
        <v>68.38</v>
      </c>
      <c r="X346" s="3">
        <f ca="1">IFERROR(__xludf.DUMMYFUNCTION("""COMPUTED_VALUE"""),24580364)</f>
        <v>24580364</v>
      </c>
      <c r="Y346" s="4">
        <f ca="1">IFERROR(__xludf.DUMMYFUNCTION("""COMPUTED_VALUE"""),42626.6666666666)</f>
        <v>42626.666666666599</v>
      </c>
      <c r="Z346" s="3">
        <f ca="1">IFERROR(__xludf.DUMMYFUNCTION("""COMPUTED_VALUE"""),19.51)</f>
        <v>19.510000000000002</v>
      </c>
      <c r="AA346" s="3">
        <f ca="1">IFERROR(__xludf.DUMMYFUNCTION("""COMPUTED_VALUE"""),19.56)</f>
        <v>19.559999999999999</v>
      </c>
      <c r="AB346" s="3">
        <f ca="1">IFERROR(__xludf.DUMMYFUNCTION("""COMPUTED_VALUE"""),19.32)</f>
        <v>19.32</v>
      </c>
      <c r="AC346" s="3">
        <f ca="1">IFERROR(__xludf.DUMMYFUNCTION("""COMPUTED_VALUE"""),19.39)</f>
        <v>19.39</v>
      </c>
      <c r="AD346" s="3">
        <f ca="1">IFERROR(__xludf.DUMMYFUNCTION("""COMPUTED_VALUE"""),67612411)</f>
        <v>67612411</v>
      </c>
      <c r="AE346" s="4">
        <f ca="1">IFERROR(__xludf.DUMMYFUNCTION("""COMPUTED_VALUE"""),42626.6666666666)</f>
        <v>42626.666666666599</v>
      </c>
      <c r="AF346" s="3">
        <f ca="1">IFERROR(__xludf.DUMMYFUNCTION("""COMPUTED_VALUE"""),72.12)</f>
        <v>72.12</v>
      </c>
      <c r="AG346" s="3">
        <f ca="1">IFERROR(__xludf.DUMMYFUNCTION("""COMPUTED_VALUE"""),72.12)</f>
        <v>72.12</v>
      </c>
      <c r="AH346" s="3">
        <f ca="1">IFERROR(__xludf.DUMMYFUNCTION("""COMPUTED_VALUE"""),71.22)</f>
        <v>71.22</v>
      </c>
      <c r="AI346" s="3">
        <f ca="1">IFERROR(__xludf.DUMMYFUNCTION("""COMPUTED_VALUE"""),71.6)</f>
        <v>71.599999999999994</v>
      </c>
      <c r="AJ346" s="3">
        <f ca="1">IFERROR(__xludf.DUMMYFUNCTION("""COMPUTED_VALUE"""),12194203)</f>
        <v>12194203</v>
      </c>
      <c r="AK346" s="4">
        <f ca="1">IFERROR(__xludf.DUMMYFUNCTION("""COMPUTED_VALUE"""),42626.6666666666)</f>
        <v>42626.666666666599</v>
      </c>
      <c r="AL346" s="3">
        <f ca="1">IFERROR(__xludf.DUMMYFUNCTION("""COMPUTED_VALUE"""),57.41)</f>
        <v>57.41</v>
      </c>
      <c r="AM346" s="3">
        <f ca="1">IFERROR(__xludf.DUMMYFUNCTION("""COMPUTED_VALUE"""),57.61)</f>
        <v>57.61</v>
      </c>
      <c r="AN346" s="3">
        <f ca="1">IFERROR(__xludf.DUMMYFUNCTION("""COMPUTED_VALUE"""),56.88)</f>
        <v>56.88</v>
      </c>
      <c r="AO346" s="3">
        <f ca="1">IFERROR(__xludf.DUMMYFUNCTION("""COMPUTED_VALUE"""),57)</f>
        <v>57</v>
      </c>
      <c r="AP346" s="3">
        <f ca="1">IFERROR(__xludf.DUMMYFUNCTION("""COMPUTED_VALUE"""),21760619)</f>
        <v>21760619</v>
      </c>
      <c r="AQ346" s="4">
        <f ca="1">IFERROR(__xludf.DUMMYFUNCTION("""COMPUTED_VALUE"""),42626.6666666666)</f>
        <v>42626.666666666599</v>
      </c>
      <c r="AR346" s="3">
        <f ca="1">IFERROR(__xludf.DUMMYFUNCTION("""COMPUTED_VALUE"""),47.4)</f>
        <v>47.4</v>
      </c>
      <c r="AS346" s="3">
        <f ca="1">IFERROR(__xludf.DUMMYFUNCTION("""COMPUTED_VALUE"""),47.59)</f>
        <v>47.59</v>
      </c>
      <c r="AT346" s="3">
        <f ca="1">IFERROR(__xludf.DUMMYFUNCTION("""COMPUTED_VALUE"""),46.69)</f>
        <v>46.69</v>
      </c>
      <c r="AU346" s="3">
        <f ca="1">IFERROR(__xludf.DUMMYFUNCTION("""COMPUTED_VALUE"""),47)</f>
        <v>47</v>
      </c>
      <c r="AV346" s="3">
        <f ca="1">IFERROR(__xludf.DUMMYFUNCTION("""COMPUTED_VALUE"""),10473968)</f>
        <v>10473968</v>
      </c>
      <c r="AW346" s="4">
        <f ca="1">IFERROR(__xludf.DUMMYFUNCTION("""COMPUTED_VALUE"""),42793.6666666666)</f>
        <v>42793.666666666599</v>
      </c>
      <c r="AX346" s="3">
        <f ca="1">IFERROR(__xludf.DUMMYFUNCTION("""COMPUTED_VALUE"""),32.09)</f>
        <v>32.090000000000003</v>
      </c>
      <c r="AY346" s="3">
        <f ca="1">IFERROR(__xludf.DUMMYFUNCTION("""COMPUTED_VALUE"""),32.35)</f>
        <v>32.35</v>
      </c>
      <c r="AZ346" s="3">
        <f ca="1">IFERROR(__xludf.DUMMYFUNCTION("""COMPUTED_VALUE"""),32.09)</f>
        <v>32.090000000000003</v>
      </c>
      <c r="BA346" s="3">
        <f ca="1">IFERROR(__xludf.DUMMYFUNCTION("""COMPUTED_VALUE"""),32.24)</f>
        <v>32.24</v>
      </c>
      <c r="BB346" s="3">
        <f ca="1">IFERROR(__xludf.DUMMYFUNCTION("""COMPUTED_VALUE"""),1902354)</f>
        <v>1902354</v>
      </c>
      <c r="BC346" s="4">
        <f ca="1">IFERROR(__xludf.DUMMYFUNCTION("""COMPUTED_VALUE"""),42626.6666666666)</f>
        <v>42626.666666666599</v>
      </c>
      <c r="BD346" s="3">
        <f ca="1">IFERROR(__xludf.DUMMYFUNCTION("""COMPUTED_VALUE"""),46.75)</f>
        <v>46.75</v>
      </c>
      <c r="BE346" s="3">
        <f ca="1">IFERROR(__xludf.DUMMYFUNCTION("""COMPUTED_VALUE"""),46.92)</f>
        <v>46.92</v>
      </c>
      <c r="BF346" s="3">
        <f ca="1">IFERROR(__xludf.DUMMYFUNCTION("""COMPUTED_VALUE"""),46.4)</f>
        <v>46.4</v>
      </c>
      <c r="BG346" s="3">
        <f ca="1">IFERROR(__xludf.DUMMYFUNCTION("""COMPUTED_VALUE"""),46.59)</f>
        <v>46.59</v>
      </c>
      <c r="BH346" s="3">
        <f ca="1">IFERROR(__xludf.DUMMYFUNCTION("""COMPUTED_VALUE"""),17358765)</f>
        <v>17358765</v>
      </c>
      <c r="BI346" s="4">
        <f ca="1">IFERROR(__xludf.DUMMYFUNCTION("""COMPUTED_VALUE"""),42626.6666666666)</f>
        <v>42626.666666666599</v>
      </c>
      <c r="BJ346" s="3">
        <f ca="1">IFERROR(__xludf.DUMMYFUNCTION("""COMPUTED_VALUE"""),49.16)</f>
        <v>49.16</v>
      </c>
      <c r="BK346" s="3">
        <f ca="1">IFERROR(__xludf.DUMMYFUNCTION("""COMPUTED_VALUE"""),49.22)</f>
        <v>49.22</v>
      </c>
      <c r="BL346" s="3">
        <f ca="1">IFERROR(__xludf.DUMMYFUNCTION("""COMPUTED_VALUE"""),48.42)</f>
        <v>48.42</v>
      </c>
      <c r="BM346" s="3">
        <f ca="1">IFERROR(__xludf.DUMMYFUNCTION("""COMPUTED_VALUE"""),48.64)</f>
        <v>48.64</v>
      </c>
      <c r="BN346" s="3">
        <f ca="1">IFERROR(__xludf.DUMMYFUNCTION("""COMPUTED_VALUE"""),22296877)</f>
        <v>22296877</v>
      </c>
    </row>
    <row r="347" spans="7:66" ht="13" x14ac:dyDescent="0.15">
      <c r="G347" s="4">
        <f ca="1">IFERROR(__xludf.DUMMYFUNCTION("""COMPUTED_VALUE"""),42627.6666666666)</f>
        <v>42627.666666666599</v>
      </c>
      <c r="H347" s="3">
        <f ca="1">IFERROR(__xludf.DUMMYFUNCTION("""COMPUTED_VALUE"""),78.42)</f>
        <v>78.42</v>
      </c>
      <c r="I347" s="3">
        <f ca="1">IFERROR(__xludf.DUMMYFUNCTION("""COMPUTED_VALUE"""),78.87)</f>
        <v>78.87</v>
      </c>
      <c r="J347" s="3">
        <f ca="1">IFERROR(__xludf.DUMMYFUNCTION("""COMPUTED_VALUE"""),78.18)</f>
        <v>78.180000000000007</v>
      </c>
      <c r="K347" s="3">
        <f ca="1">IFERROR(__xludf.DUMMYFUNCTION("""COMPUTED_VALUE"""),78.41)</f>
        <v>78.41</v>
      </c>
      <c r="L347" s="3">
        <f ca="1">IFERROR(__xludf.DUMMYFUNCTION("""COMPUTED_VALUE"""),7355708)</f>
        <v>7355708</v>
      </c>
      <c r="M347" s="4">
        <f ca="1">IFERROR(__xludf.DUMMYFUNCTION("""COMPUTED_VALUE"""),42627.6666666666)</f>
        <v>42627.666666666599</v>
      </c>
      <c r="N347" s="3">
        <f ca="1">IFERROR(__xludf.DUMMYFUNCTION("""COMPUTED_VALUE"""),53.05)</f>
        <v>53.05</v>
      </c>
      <c r="O347" s="3">
        <f ca="1">IFERROR(__xludf.DUMMYFUNCTION("""COMPUTED_VALUE"""),53.24)</f>
        <v>53.24</v>
      </c>
      <c r="P347" s="3">
        <f ca="1">IFERROR(__xludf.DUMMYFUNCTION("""COMPUTED_VALUE"""),52.71)</f>
        <v>52.71</v>
      </c>
      <c r="Q347" s="3">
        <f ca="1">IFERROR(__xludf.DUMMYFUNCTION("""COMPUTED_VALUE"""),52.86)</f>
        <v>52.86</v>
      </c>
      <c r="R347" s="3">
        <f ca="1">IFERROR(__xludf.DUMMYFUNCTION("""COMPUTED_VALUE"""),19396233)</f>
        <v>19396233</v>
      </c>
      <c r="S347" s="4">
        <f ca="1">IFERROR(__xludf.DUMMYFUNCTION("""COMPUTED_VALUE"""),42627.6666666666)</f>
        <v>42627.666666666599</v>
      </c>
      <c r="T347" s="3">
        <f ca="1">IFERROR(__xludf.DUMMYFUNCTION("""COMPUTED_VALUE"""),68.3)</f>
        <v>68.3</v>
      </c>
      <c r="U347" s="3">
        <f ca="1">IFERROR(__xludf.DUMMYFUNCTION("""COMPUTED_VALUE"""),69.12)</f>
        <v>69.12</v>
      </c>
      <c r="V347" s="3">
        <f ca="1">IFERROR(__xludf.DUMMYFUNCTION("""COMPUTED_VALUE"""),67.4)</f>
        <v>67.400000000000006</v>
      </c>
      <c r="W347" s="3">
        <f ca="1">IFERROR(__xludf.DUMMYFUNCTION("""COMPUTED_VALUE"""),67.57)</f>
        <v>67.569999999999993</v>
      </c>
      <c r="X347" s="3">
        <f ca="1">IFERROR(__xludf.DUMMYFUNCTION("""COMPUTED_VALUE"""),26470159)</f>
        <v>26470159</v>
      </c>
      <c r="Y347" s="4">
        <f ca="1">IFERROR(__xludf.DUMMYFUNCTION("""COMPUTED_VALUE"""),42627.6666666666)</f>
        <v>42627.666666666599</v>
      </c>
      <c r="Z347" s="3">
        <f ca="1">IFERROR(__xludf.DUMMYFUNCTION("""COMPUTED_VALUE"""),19.39)</f>
        <v>19.39</v>
      </c>
      <c r="AA347" s="3">
        <f ca="1">IFERROR(__xludf.DUMMYFUNCTION("""COMPUTED_VALUE"""),19.52)</f>
        <v>19.52</v>
      </c>
      <c r="AB347" s="3">
        <f ca="1">IFERROR(__xludf.DUMMYFUNCTION("""COMPUTED_VALUE"""),19.29)</f>
        <v>19.29</v>
      </c>
      <c r="AC347" s="3">
        <f ca="1">IFERROR(__xludf.DUMMYFUNCTION("""COMPUTED_VALUE"""),19.34)</f>
        <v>19.34</v>
      </c>
      <c r="AD347" s="3">
        <f ca="1">IFERROR(__xludf.DUMMYFUNCTION("""COMPUTED_VALUE"""),67324760)</f>
        <v>67324760</v>
      </c>
      <c r="AE347" s="4">
        <f ca="1">IFERROR(__xludf.DUMMYFUNCTION("""COMPUTED_VALUE"""),42627.6666666666)</f>
        <v>42627.666666666599</v>
      </c>
      <c r="AF347" s="3">
        <f ca="1">IFERROR(__xludf.DUMMYFUNCTION("""COMPUTED_VALUE"""),71.57)</f>
        <v>71.569999999999993</v>
      </c>
      <c r="AG347" s="3">
        <f ca="1">IFERROR(__xludf.DUMMYFUNCTION("""COMPUTED_VALUE"""),72.07)</f>
        <v>72.069999999999993</v>
      </c>
      <c r="AH347" s="3">
        <f ca="1">IFERROR(__xludf.DUMMYFUNCTION("""COMPUTED_VALUE"""),71.31)</f>
        <v>71.31</v>
      </c>
      <c r="AI347" s="3">
        <f ca="1">IFERROR(__xludf.DUMMYFUNCTION("""COMPUTED_VALUE"""),71.6)</f>
        <v>71.599999999999994</v>
      </c>
      <c r="AJ347" s="3">
        <f ca="1">IFERROR(__xludf.DUMMYFUNCTION("""COMPUTED_VALUE"""),13108529)</f>
        <v>13108529</v>
      </c>
      <c r="AK347" s="4">
        <f ca="1">IFERROR(__xludf.DUMMYFUNCTION("""COMPUTED_VALUE"""),42627.6666666666)</f>
        <v>42627.666666666599</v>
      </c>
      <c r="AL347" s="3">
        <f ca="1">IFERROR(__xludf.DUMMYFUNCTION("""COMPUTED_VALUE"""),56.99)</f>
        <v>56.99</v>
      </c>
      <c r="AM347" s="3">
        <f ca="1">IFERROR(__xludf.DUMMYFUNCTION("""COMPUTED_VALUE"""),57.37)</f>
        <v>57.37</v>
      </c>
      <c r="AN347" s="3">
        <f ca="1">IFERROR(__xludf.DUMMYFUNCTION("""COMPUTED_VALUE"""),56.78)</f>
        <v>56.78</v>
      </c>
      <c r="AO347" s="3">
        <f ca="1">IFERROR(__xludf.DUMMYFUNCTION("""COMPUTED_VALUE"""),56.95)</f>
        <v>56.95</v>
      </c>
      <c r="AP347" s="3">
        <f ca="1">IFERROR(__xludf.DUMMYFUNCTION("""COMPUTED_VALUE"""),13591690)</f>
        <v>13591690</v>
      </c>
      <c r="AQ347" s="4">
        <f ca="1">IFERROR(__xludf.DUMMYFUNCTION("""COMPUTED_VALUE"""),42627.6666666666)</f>
        <v>42627.666666666599</v>
      </c>
      <c r="AR347" s="3">
        <f ca="1">IFERROR(__xludf.DUMMYFUNCTION("""COMPUTED_VALUE"""),47)</f>
        <v>47</v>
      </c>
      <c r="AS347" s="3">
        <f ca="1">IFERROR(__xludf.DUMMYFUNCTION("""COMPUTED_VALUE"""),47.18)</f>
        <v>47.18</v>
      </c>
      <c r="AT347" s="3">
        <f ca="1">IFERROR(__xludf.DUMMYFUNCTION("""COMPUTED_VALUE"""),46.75)</f>
        <v>46.75</v>
      </c>
      <c r="AU347" s="3">
        <f ca="1">IFERROR(__xludf.DUMMYFUNCTION("""COMPUTED_VALUE"""),46.89)</f>
        <v>46.89</v>
      </c>
      <c r="AV347" s="3">
        <f ca="1">IFERROR(__xludf.DUMMYFUNCTION("""COMPUTED_VALUE"""),7789753)</f>
        <v>7789753</v>
      </c>
      <c r="AW347" s="4">
        <f ca="1">IFERROR(__xludf.DUMMYFUNCTION("""COMPUTED_VALUE"""),42794.6666666666)</f>
        <v>42794.666666666599</v>
      </c>
      <c r="AX347" s="3">
        <f ca="1">IFERROR(__xludf.DUMMYFUNCTION("""COMPUTED_VALUE"""),32.15)</f>
        <v>32.15</v>
      </c>
      <c r="AY347" s="3">
        <f ca="1">IFERROR(__xludf.DUMMYFUNCTION("""COMPUTED_VALUE"""),32.29)</f>
        <v>32.29</v>
      </c>
      <c r="AZ347" s="3">
        <f ca="1">IFERROR(__xludf.DUMMYFUNCTION("""COMPUTED_VALUE"""),32.07)</f>
        <v>32.07</v>
      </c>
      <c r="BA347" s="3">
        <f ca="1">IFERROR(__xludf.DUMMYFUNCTION("""COMPUTED_VALUE"""),32.14)</f>
        <v>32.14</v>
      </c>
      <c r="BB347" s="3">
        <f ca="1">IFERROR(__xludf.DUMMYFUNCTION("""COMPUTED_VALUE"""),2041107)</f>
        <v>2041107</v>
      </c>
      <c r="BC347" s="4">
        <f ca="1">IFERROR(__xludf.DUMMYFUNCTION("""COMPUTED_VALUE"""),42627.6666666666)</f>
        <v>42627.666666666599</v>
      </c>
      <c r="BD347" s="3">
        <f ca="1">IFERROR(__xludf.DUMMYFUNCTION("""COMPUTED_VALUE"""),46.6)</f>
        <v>46.6</v>
      </c>
      <c r="BE347" s="3">
        <f ca="1">IFERROR(__xludf.DUMMYFUNCTION("""COMPUTED_VALUE"""),47.1)</f>
        <v>47.1</v>
      </c>
      <c r="BF347" s="3">
        <f ca="1">IFERROR(__xludf.DUMMYFUNCTION("""COMPUTED_VALUE"""),46.59)</f>
        <v>46.59</v>
      </c>
      <c r="BG347" s="3">
        <f ca="1">IFERROR(__xludf.DUMMYFUNCTION("""COMPUTED_VALUE"""),46.81)</f>
        <v>46.81</v>
      </c>
      <c r="BH347" s="3">
        <f ca="1">IFERROR(__xludf.DUMMYFUNCTION("""COMPUTED_VALUE"""),17108742)</f>
        <v>17108742</v>
      </c>
      <c r="BI347" s="4">
        <f ca="1">IFERROR(__xludf.DUMMYFUNCTION("""COMPUTED_VALUE"""),42627.6666666666)</f>
        <v>42627.666666666599</v>
      </c>
      <c r="BJ347" s="3">
        <f ca="1">IFERROR(__xludf.DUMMYFUNCTION("""COMPUTED_VALUE"""),48.82)</f>
        <v>48.82</v>
      </c>
      <c r="BK347" s="3">
        <f ca="1">IFERROR(__xludf.DUMMYFUNCTION("""COMPUTED_VALUE"""),49.22)</f>
        <v>49.22</v>
      </c>
      <c r="BL347" s="3">
        <f ca="1">IFERROR(__xludf.DUMMYFUNCTION("""COMPUTED_VALUE"""),48.61)</f>
        <v>48.61</v>
      </c>
      <c r="BM347" s="3">
        <f ca="1">IFERROR(__xludf.DUMMYFUNCTION("""COMPUTED_VALUE"""),48.83)</f>
        <v>48.83</v>
      </c>
      <c r="BN347" s="3">
        <f ca="1">IFERROR(__xludf.DUMMYFUNCTION("""COMPUTED_VALUE"""),15229846)</f>
        <v>15229846</v>
      </c>
    </row>
    <row r="348" spans="7:66" ht="13" x14ac:dyDescent="0.15">
      <c r="G348" s="4">
        <f ca="1">IFERROR(__xludf.DUMMYFUNCTION("""COMPUTED_VALUE"""),42628.6666666666)</f>
        <v>42628.666666666599</v>
      </c>
      <c r="H348" s="3">
        <f ca="1">IFERROR(__xludf.DUMMYFUNCTION("""COMPUTED_VALUE"""),78.17)</f>
        <v>78.17</v>
      </c>
      <c r="I348" s="3">
        <f ca="1">IFERROR(__xludf.DUMMYFUNCTION("""COMPUTED_VALUE"""),79.03)</f>
        <v>79.03</v>
      </c>
      <c r="J348" s="3">
        <f ca="1">IFERROR(__xludf.DUMMYFUNCTION("""COMPUTED_VALUE"""),78.05)</f>
        <v>78.05</v>
      </c>
      <c r="K348" s="3">
        <f ca="1">IFERROR(__xludf.DUMMYFUNCTION("""COMPUTED_VALUE"""),78.98)</f>
        <v>78.98</v>
      </c>
      <c r="L348" s="3">
        <f ca="1">IFERROR(__xludf.DUMMYFUNCTION("""COMPUTED_VALUE"""),5772560)</f>
        <v>5772560</v>
      </c>
      <c r="M348" s="4">
        <f ca="1">IFERROR(__xludf.DUMMYFUNCTION("""COMPUTED_VALUE"""),42628.6666666666)</f>
        <v>42628.666666666599</v>
      </c>
      <c r="N348" s="3">
        <f ca="1">IFERROR(__xludf.DUMMYFUNCTION("""COMPUTED_VALUE"""),52.74)</f>
        <v>52.74</v>
      </c>
      <c r="O348" s="3">
        <f ca="1">IFERROR(__xludf.DUMMYFUNCTION("""COMPUTED_VALUE"""),53.35)</f>
        <v>53.35</v>
      </c>
      <c r="P348" s="3">
        <f ca="1">IFERROR(__xludf.DUMMYFUNCTION("""COMPUTED_VALUE"""),52.69)</f>
        <v>52.69</v>
      </c>
      <c r="Q348" s="3">
        <f ca="1">IFERROR(__xludf.DUMMYFUNCTION("""COMPUTED_VALUE"""),53.29)</f>
        <v>53.29</v>
      </c>
      <c r="R348" s="3">
        <f ca="1">IFERROR(__xludf.DUMMYFUNCTION("""COMPUTED_VALUE"""),10903004)</f>
        <v>10903004</v>
      </c>
      <c r="S348" s="4">
        <f ca="1">IFERROR(__xludf.DUMMYFUNCTION("""COMPUTED_VALUE"""),42628.6666666666)</f>
        <v>42628.666666666599</v>
      </c>
      <c r="T348" s="3">
        <f ca="1">IFERROR(__xludf.DUMMYFUNCTION("""COMPUTED_VALUE"""),67.84)</f>
        <v>67.84</v>
      </c>
      <c r="U348" s="3">
        <f ca="1">IFERROR(__xludf.DUMMYFUNCTION("""COMPUTED_VALUE"""),68.91)</f>
        <v>68.91</v>
      </c>
      <c r="V348" s="3">
        <f ca="1">IFERROR(__xludf.DUMMYFUNCTION("""COMPUTED_VALUE"""),67.73)</f>
        <v>67.73</v>
      </c>
      <c r="W348" s="3">
        <f ca="1">IFERROR(__xludf.DUMMYFUNCTION("""COMPUTED_VALUE"""),68.41)</f>
        <v>68.41</v>
      </c>
      <c r="X348" s="3">
        <f ca="1">IFERROR(__xludf.DUMMYFUNCTION("""COMPUTED_VALUE"""),17233999)</f>
        <v>17233999</v>
      </c>
      <c r="Y348" s="4">
        <f ca="1">IFERROR(__xludf.DUMMYFUNCTION("""COMPUTED_VALUE"""),42628.6666666666)</f>
        <v>42628.666666666599</v>
      </c>
      <c r="Z348" s="3">
        <f ca="1">IFERROR(__xludf.DUMMYFUNCTION("""COMPUTED_VALUE"""),19.3)</f>
        <v>19.3</v>
      </c>
      <c r="AA348" s="3">
        <f ca="1">IFERROR(__xludf.DUMMYFUNCTION("""COMPUTED_VALUE"""),19.51)</f>
        <v>19.510000000000002</v>
      </c>
      <c r="AB348" s="3">
        <f ca="1">IFERROR(__xludf.DUMMYFUNCTION("""COMPUTED_VALUE"""),19.26)</f>
        <v>19.260000000000002</v>
      </c>
      <c r="AC348" s="3">
        <f ca="1">IFERROR(__xludf.DUMMYFUNCTION("""COMPUTED_VALUE"""),19.46)</f>
        <v>19.46</v>
      </c>
      <c r="AD348" s="3">
        <f ca="1">IFERROR(__xludf.DUMMYFUNCTION("""COMPUTED_VALUE"""),62132889)</f>
        <v>62132889</v>
      </c>
      <c r="AE348" s="4">
        <f ca="1">IFERROR(__xludf.DUMMYFUNCTION("""COMPUTED_VALUE"""),42628.6666666666)</f>
        <v>42628.666666666599</v>
      </c>
      <c r="AF348" s="3">
        <f ca="1">IFERROR(__xludf.DUMMYFUNCTION("""COMPUTED_VALUE"""),71.47)</f>
        <v>71.47</v>
      </c>
      <c r="AG348" s="3">
        <f ca="1">IFERROR(__xludf.DUMMYFUNCTION("""COMPUTED_VALUE"""),72.54)</f>
        <v>72.540000000000006</v>
      </c>
      <c r="AH348" s="3">
        <f ca="1">IFERROR(__xludf.DUMMYFUNCTION("""COMPUTED_VALUE"""),71.3)</f>
        <v>71.3</v>
      </c>
      <c r="AI348" s="3">
        <f ca="1">IFERROR(__xludf.DUMMYFUNCTION("""COMPUTED_VALUE"""),72.34)</f>
        <v>72.34</v>
      </c>
      <c r="AJ348" s="3">
        <f ca="1">IFERROR(__xludf.DUMMYFUNCTION("""COMPUTED_VALUE"""),9636862)</f>
        <v>9636862</v>
      </c>
      <c r="AK348" s="4">
        <f ca="1">IFERROR(__xludf.DUMMYFUNCTION("""COMPUTED_VALUE"""),42628.6666666666)</f>
        <v>42628.666666666599</v>
      </c>
      <c r="AL348" s="3">
        <f ca="1">IFERROR(__xludf.DUMMYFUNCTION("""COMPUTED_VALUE"""),56.84)</f>
        <v>56.84</v>
      </c>
      <c r="AM348" s="3">
        <f ca="1">IFERROR(__xludf.DUMMYFUNCTION("""COMPUTED_VALUE"""),57.51)</f>
        <v>57.51</v>
      </c>
      <c r="AN348" s="3">
        <f ca="1">IFERROR(__xludf.DUMMYFUNCTION("""COMPUTED_VALUE"""),56.75)</f>
        <v>56.75</v>
      </c>
      <c r="AO348" s="3">
        <f ca="1">IFERROR(__xludf.DUMMYFUNCTION("""COMPUTED_VALUE"""),57.4)</f>
        <v>57.4</v>
      </c>
      <c r="AP348" s="3">
        <f ca="1">IFERROR(__xludf.DUMMYFUNCTION("""COMPUTED_VALUE"""),15587525)</f>
        <v>15587525</v>
      </c>
      <c r="AQ348" s="4">
        <f ca="1">IFERROR(__xludf.DUMMYFUNCTION("""COMPUTED_VALUE"""),42628.6666666666)</f>
        <v>42628.666666666599</v>
      </c>
      <c r="AR348" s="3">
        <f ca="1">IFERROR(__xludf.DUMMYFUNCTION("""COMPUTED_VALUE"""),46.82)</f>
        <v>46.82</v>
      </c>
      <c r="AS348" s="3">
        <f ca="1">IFERROR(__xludf.DUMMYFUNCTION("""COMPUTED_VALUE"""),47.29)</f>
        <v>47.29</v>
      </c>
      <c r="AT348" s="3">
        <f ca="1">IFERROR(__xludf.DUMMYFUNCTION("""COMPUTED_VALUE"""),46.71)</f>
        <v>46.71</v>
      </c>
      <c r="AU348" s="3">
        <f ca="1">IFERROR(__xludf.DUMMYFUNCTION("""COMPUTED_VALUE"""),47.19)</f>
        <v>47.19</v>
      </c>
      <c r="AV348" s="3">
        <f ca="1">IFERROR(__xludf.DUMMYFUNCTION("""COMPUTED_VALUE"""),6125024)</f>
        <v>6125024</v>
      </c>
      <c r="AW348" s="4">
        <f ca="1">IFERROR(__xludf.DUMMYFUNCTION("""COMPUTED_VALUE"""),42795.6666666666)</f>
        <v>42795.666666666599</v>
      </c>
      <c r="AX348" s="3">
        <f ca="1">IFERROR(__xludf.DUMMYFUNCTION("""COMPUTED_VALUE"""),32.06)</f>
        <v>32.06</v>
      </c>
      <c r="AY348" s="3">
        <f ca="1">IFERROR(__xludf.DUMMYFUNCTION("""COMPUTED_VALUE"""),32.25)</f>
        <v>32.25</v>
      </c>
      <c r="AZ348" s="3">
        <f ca="1">IFERROR(__xludf.DUMMYFUNCTION("""COMPUTED_VALUE"""),31.92)</f>
        <v>31.92</v>
      </c>
      <c r="BA348" s="3">
        <f ca="1">IFERROR(__xludf.DUMMYFUNCTION("""COMPUTED_VALUE"""),32.06)</f>
        <v>32.06</v>
      </c>
      <c r="BB348" s="3">
        <f ca="1">IFERROR(__xludf.DUMMYFUNCTION("""COMPUTED_VALUE"""),3039798)</f>
        <v>3039798</v>
      </c>
      <c r="BC348" s="4">
        <f ca="1">IFERROR(__xludf.DUMMYFUNCTION("""COMPUTED_VALUE"""),42628.6666666666)</f>
        <v>42628.666666666599</v>
      </c>
      <c r="BD348" s="3">
        <f ca="1">IFERROR(__xludf.DUMMYFUNCTION("""COMPUTED_VALUE"""),46.91)</f>
        <v>46.91</v>
      </c>
      <c r="BE348" s="3">
        <f ca="1">IFERROR(__xludf.DUMMYFUNCTION("""COMPUTED_VALUE"""),47.67)</f>
        <v>47.67</v>
      </c>
      <c r="BF348" s="3">
        <f ca="1">IFERROR(__xludf.DUMMYFUNCTION("""COMPUTED_VALUE"""),46.81)</f>
        <v>46.81</v>
      </c>
      <c r="BG348" s="3">
        <f ca="1">IFERROR(__xludf.DUMMYFUNCTION("""COMPUTED_VALUE"""),47.58)</f>
        <v>47.58</v>
      </c>
      <c r="BH348" s="3">
        <f ca="1">IFERROR(__xludf.DUMMYFUNCTION("""COMPUTED_VALUE"""),16319148)</f>
        <v>16319148</v>
      </c>
      <c r="BI348" s="4">
        <f ca="1">IFERROR(__xludf.DUMMYFUNCTION("""COMPUTED_VALUE"""),42628.6666666666)</f>
        <v>42628.666666666599</v>
      </c>
      <c r="BJ348" s="3">
        <f ca="1">IFERROR(__xludf.DUMMYFUNCTION("""COMPUTED_VALUE"""),48.78)</f>
        <v>48.78</v>
      </c>
      <c r="BK348" s="3">
        <f ca="1">IFERROR(__xludf.DUMMYFUNCTION("""COMPUTED_VALUE"""),49.29)</f>
        <v>49.29</v>
      </c>
      <c r="BL348" s="3">
        <f ca="1">IFERROR(__xludf.DUMMYFUNCTION("""COMPUTED_VALUE"""),48.66)</f>
        <v>48.66</v>
      </c>
      <c r="BM348" s="3">
        <f ca="1">IFERROR(__xludf.DUMMYFUNCTION("""COMPUTED_VALUE"""),49.2)</f>
        <v>49.2</v>
      </c>
      <c r="BN348" s="3">
        <f ca="1">IFERROR(__xludf.DUMMYFUNCTION("""COMPUTED_VALUE"""),30969756)</f>
        <v>30969756</v>
      </c>
    </row>
    <row r="349" spans="7:66" ht="13" x14ac:dyDescent="0.15">
      <c r="G349" s="4">
        <f ca="1">IFERROR(__xludf.DUMMYFUNCTION("""COMPUTED_VALUE"""),42629.6666666666)</f>
        <v>42629.666666666599</v>
      </c>
      <c r="H349" s="3">
        <f ca="1">IFERROR(__xludf.DUMMYFUNCTION("""COMPUTED_VALUE"""),78.41)</f>
        <v>78.41</v>
      </c>
      <c r="I349" s="3">
        <f ca="1">IFERROR(__xludf.DUMMYFUNCTION("""COMPUTED_VALUE"""),78.58)</f>
        <v>78.58</v>
      </c>
      <c r="J349" s="3">
        <f ca="1">IFERROR(__xludf.DUMMYFUNCTION("""COMPUTED_VALUE"""),78.17)</f>
        <v>78.17</v>
      </c>
      <c r="K349" s="3">
        <f ca="1">IFERROR(__xludf.DUMMYFUNCTION("""COMPUTED_VALUE"""),78.51)</f>
        <v>78.510000000000005</v>
      </c>
      <c r="L349" s="3">
        <f ca="1">IFERROR(__xludf.DUMMYFUNCTION("""COMPUTED_VALUE"""),5351536)</f>
        <v>5351536</v>
      </c>
      <c r="M349" s="4">
        <f ca="1">IFERROR(__xludf.DUMMYFUNCTION("""COMPUTED_VALUE"""),42629.6666666666)</f>
        <v>42629.666666666599</v>
      </c>
      <c r="N349" s="3">
        <f ca="1">IFERROR(__xludf.DUMMYFUNCTION("""COMPUTED_VALUE"""),52.9)</f>
        <v>52.9</v>
      </c>
      <c r="O349" s="3">
        <f ca="1">IFERROR(__xludf.DUMMYFUNCTION("""COMPUTED_VALUE"""),52.95)</f>
        <v>52.95</v>
      </c>
      <c r="P349" s="3">
        <f ca="1">IFERROR(__xludf.DUMMYFUNCTION("""COMPUTED_VALUE"""),52.48)</f>
        <v>52.48</v>
      </c>
      <c r="Q349" s="3">
        <f ca="1">IFERROR(__xludf.DUMMYFUNCTION("""COMPUTED_VALUE"""),52.79)</f>
        <v>52.79</v>
      </c>
      <c r="R349" s="3">
        <f ca="1">IFERROR(__xludf.DUMMYFUNCTION("""COMPUTED_VALUE"""),14475119)</f>
        <v>14475119</v>
      </c>
      <c r="S349" s="4">
        <f ca="1">IFERROR(__xludf.DUMMYFUNCTION("""COMPUTED_VALUE"""),42629.6666666666)</f>
        <v>42629.666666666599</v>
      </c>
      <c r="T349" s="3">
        <f ca="1">IFERROR(__xludf.DUMMYFUNCTION("""COMPUTED_VALUE"""),67.01)</f>
        <v>67.010000000000005</v>
      </c>
      <c r="U349" s="3">
        <f ca="1">IFERROR(__xludf.DUMMYFUNCTION("""COMPUTED_VALUE"""),67.7)</f>
        <v>67.7</v>
      </c>
      <c r="V349" s="3">
        <f ca="1">IFERROR(__xludf.DUMMYFUNCTION("""COMPUTED_VALUE"""),67.01)</f>
        <v>67.010000000000005</v>
      </c>
      <c r="W349" s="3">
        <f ca="1">IFERROR(__xludf.DUMMYFUNCTION("""COMPUTED_VALUE"""),67.45)</f>
        <v>67.45</v>
      </c>
      <c r="X349" s="3">
        <f ca="1">IFERROR(__xludf.DUMMYFUNCTION("""COMPUTED_VALUE"""),17394405)</f>
        <v>17394405</v>
      </c>
      <c r="Y349" s="4">
        <f ca="1">IFERROR(__xludf.DUMMYFUNCTION("""COMPUTED_VALUE"""),42629.6666666666)</f>
        <v>42629.666666666599</v>
      </c>
      <c r="Z349" s="3">
        <f ca="1">IFERROR(__xludf.DUMMYFUNCTION("""COMPUTED_VALUE"""),19.29)</f>
        <v>19.29</v>
      </c>
      <c r="AA349" s="3">
        <f ca="1">IFERROR(__xludf.DUMMYFUNCTION("""COMPUTED_VALUE"""),19.29)</f>
        <v>19.29</v>
      </c>
      <c r="AB349" s="3">
        <f ca="1">IFERROR(__xludf.DUMMYFUNCTION("""COMPUTED_VALUE"""),19.12)</f>
        <v>19.12</v>
      </c>
      <c r="AC349" s="3">
        <f ca="1">IFERROR(__xludf.DUMMYFUNCTION("""COMPUTED_VALUE"""),19.18)</f>
        <v>19.18</v>
      </c>
      <c r="AD349" s="3">
        <f ca="1">IFERROR(__xludf.DUMMYFUNCTION("""COMPUTED_VALUE"""),61117567)</f>
        <v>61117567</v>
      </c>
      <c r="AE349" s="4">
        <f ca="1">IFERROR(__xludf.DUMMYFUNCTION("""COMPUTED_VALUE"""),42629.6666666666)</f>
        <v>42629.666666666599</v>
      </c>
      <c r="AF349" s="3">
        <f ca="1">IFERROR(__xludf.DUMMYFUNCTION("""COMPUTED_VALUE"""),71.99)</f>
        <v>71.989999999999995</v>
      </c>
      <c r="AG349" s="3">
        <f ca="1">IFERROR(__xludf.DUMMYFUNCTION("""COMPUTED_VALUE"""),72.21)</f>
        <v>72.209999999999994</v>
      </c>
      <c r="AH349" s="3">
        <f ca="1">IFERROR(__xludf.DUMMYFUNCTION("""COMPUTED_VALUE"""),71.83)</f>
        <v>71.83</v>
      </c>
      <c r="AI349" s="3">
        <f ca="1">IFERROR(__xludf.DUMMYFUNCTION("""COMPUTED_VALUE"""),72.11)</f>
        <v>72.11</v>
      </c>
      <c r="AJ349" s="3">
        <f ca="1">IFERROR(__xludf.DUMMYFUNCTION("""COMPUTED_VALUE"""),8690989)</f>
        <v>8690989</v>
      </c>
      <c r="AK349" s="4">
        <f ca="1">IFERROR(__xludf.DUMMYFUNCTION("""COMPUTED_VALUE"""),42629.6666666666)</f>
        <v>42629.666666666599</v>
      </c>
      <c r="AL349" s="3">
        <f ca="1">IFERROR(__xludf.DUMMYFUNCTION("""COMPUTED_VALUE"""),56.83)</f>
        <v>56.83</v>
      </c>
      <c r="AM349" s="3">
        <f ca="1">IFERROR(__xludf.DUMMYFUNCTION("""COMPUTED_VALUE"""),57.05)</f>
        <v>57.05</v>
      </c>
      <c r="AN349" s="3">
        <f ca="1">IFERROR(__xludf.DUMMYFUNCTION("""COMPUTED_VALUE"""),56.5)</f>
        <v>56.5</v>
      </c>
      <c r="AO349" s="3">
        <f ca="1">IFERROR(__xludf.DUMMYFUNCTION("""COMPUTED_VALUE"""),56.61)</f>
        <v>56.61</v>
      </c>
      <c r="AP349" s="3">
        <f ca="1">IFERROR(__xludf.DUMMYFUNCTION("""COMPUTED_VALUE"""),15706422)</f>
        <v>15706422</v>
      </c>
      <c r="AQ349" s="4">
        <f ca="1">IFERROR(__xludf.DUMMYFUNCTION("""COMPUTED_VALUE"""),42629.6666666666)</f>
        <v>42629.666666666599</v>
      </c>
      <c r="AR349" s="3">
        <f ca="1">IFERROR(__xludf.DUMMYFUNCTION("""COMPUTED_VALUE"""),46.63)</f>
        <v>46.63</v>
      </c>
      <c r="AS349" s="3">
        <f ca="1">IFERROR(__xludf.DUMMYFUNCTION("""COMPUTED_VALUE"""),46.84)</f>
        <v>46.84</v>
      </c>
      <c r="AT349" s="3">
        <f ca="1">IFERROR(__xludf.DUMMYFUNCTION("""COMPUTED_VALUE"""),46.55)</f>
        <v>46.55</v>
      </c>
      <c r="AU349" s="3">
        <f ca="1">IFERROR(__xludf.DUMMYFUNCTION("""COMPUTED_VALUE"""),46.76)</f>
        <v>46.76</v>
      </c>
      <c r="AV349" s="3">
        <f ca="1">IFERROR(__xludf.DUMMYFUNCTION("""COMPUTED_VALUE"""),8579002)</f>
        <v>8579002</v>
      </c>
      <c r="AW349" s="4">
        <f ca="1">IFERROR(__xludf.DUMMYFUNCTION("""COMPUTED_VALUE"""),42796.6666666666)</f>
        <v>42796.666666666599</v>
      </c>
      <c r="AX349" s="3">
        <f ca="1">IFERROR(__xludf.DUMMYFUNCTION("""COMPUTED_VALUE"""),32)</f>
        <v>32</v>
      </c>
      <c r="AY349" s="3">
        <f ca="1">IFERROR(__xludf.DUMMYFUNCTION("""COMPUTED_VALUE"""),32.09)</f>
        <v>32.090000000000003</v>
      </c>
      <c r="AZ349" s="3">
        <f ca="1">IFERROR(__xludf.DUMMYFUNCTION("""COMPUTED_VALUE"""),31.87)</f>
        <v>31.87</v>
      </c>
      <c r="BA349" s="3">
        <f ca="1">IFERROR(__xludf.DUMMYFUNCTION("""COMPUTED_VALUE"""),31.96)</f>
        <v>31.96</v>
      </c>
      <c r="BB349" s="3">
        <f ca="1">IFERROR(__xludf.DUMMYFUNCTION("""COMPUTED_VALUE"""),2142754)</f>
        <v>2142754</v>
      </c>
      <c r="BC349" s="4">
        <f ca="1">IFERROR(__xludf.DUMMYFUNCTION("""COMPUTED_VALUE"""),42629.6666666666)</f>
        <v>42629.666666666599</v>
      </c>
      <c r="BD349" s="3">
        <f ca="1">IFERROR(__xludf.DUMMYFUNCTION("""COMPUTED_VALUE"""),47.4)</f>
        <v>47.4</v>
      </c>
      <c r="BE349" s="3">
        <f ca="1">IFERROR(__xludf.DUMMYFUNCTION("""COMPUTED_VALUE"""),47.4)</f>
        <v>47.4</v>
      </c>
      <c r="BF349" s="3">
        <f ca="1">IFERROR(__xludf.DUMMYFUNCTION("""COMPUTED_VALUE"""),47)</f>
        <v>47</v>
      </c>
      <c r="BG349" s="3">
        <f ca="1">IFERROR(__xludf.DUMMYFUNCTION("""COMPUTED_VALUE"""),47.21)</f>
        <v>47.21</v>
      </c>
      <c r="BH349" s="3">
        <f ca="1">IFERROR(__xludf.DUMMYFUNCTION("""COMPUTED_VALUE"""),15883059)</f>
        <v>15883059</v>
      </c>
      <c r="BI349" s="4">
        <f ca="1">IFERROR(__xludf.DUMMYFUNCTION("""COMPUTED_VALUE"""),42629.6666666666)</f>
        <v>42629.666666666599</v>
      </c>
      <c r="BJ349" s="3">
        <f ca="1">IFERROR(__xludf.DUMMYFUNCTION("""COMPUTED_VALUE"""),48.85)</f>
        <v>48.85</v>
      </c>
      <c r="BK349" s="3">
        <f ca="1">IFERROR(__xludf.DUMMYFUNCTION("""COMPUTED_VALUE"""),49.33)</f>
        <v>49.33</v>
      </c>
      <c r="BL349" s="3">
        <f ca="1">IFERROR(__xludf.DUMMYFUNCTION("""COMPUTED_VALUE"""),48.49)</f>
        <v>48.49</v>
      </c>
      <c r="BM349" s="3">
        <f ca="1">IFERROR(__xludf.DUMMYFUNCTION("""COMPUTED_VALUE"""),49.26)</f>
        <v>49.26</v>
      </c>
      <c r="BN349" s="3">
        <f ca="1">IFERROR(__xludf.DUMMYFUNCTION("""COMPUTED_VALUE"""),21724181)</f>
        <v>21724181</v>
      </c>
    </row>
    <row r="350" spans="7:66" ht="13" x14ac:dyDescent="0.15">
      <c r="G350" s="4">
        <f ca="1">IFERROR(__xludf.DUMMYFUNCTION("""COMPUTED_VALUE"""),42632.6666666666)</f>
        <v>42632.666666666599</v>
      </c>
      <c r="H350" s="3">
        <f ca="1">IFERROR(__xludf.DUMMYFUNCTION("""COMPUTED_VALUE"""),78.64)</f>
        <v>78.64</v>
      </c>
      <c r="I350" s="3">
        <f ca="1">IFERROR(__xludf.DUMMYFUNCTION("""COMPUTED_VALUE"""),78.99)</f>
        <v>78.989999999999995</v>
      </c>
      <c r="J350" s="3">
        <f ca="1">IFERROR(__xludf.DUMMYFUNCTION("""COMPUTED_VALUE"""),78.27)</f>
        <v>78.27</v>
      </c>
      <c r="K350" s="3">
        <f ca="1">IFERROR(__xludf.DUMMYFUNCTION("""COMPUTED_VALUE"""),78.45)</f>
        <v>78.45</v>
      </c>
      <c r="L350" s="3">
        <f ca="1">IFERROR(__xludf.DUMMYFUNCTION("""COMPUTED_VALUE"""),3127433)</f>
        <v>3127433</v>
      </c>
      <c r="M350" s="4">
        <f ca="1">IFERROR(__xludf.DUMMYFUNCTION("""COMPUTED_VALUE"""),42632.6666666666)</f>
        <v>42632.666666666599</v>
      </c>
      <c r="N350" s="3">
        <f ca="1">IFERROR(__xludf.DUMMYFUNCTION("""COMPUTED_VALUE"""),52.8)</f>
        <v>52.8</v>
      </c>
      <c r="O350" s="3">
        <f ca="1">IFERROR(__xludf.DUMMYFUNCTION("""COMPUTED_VALUE"""),52.99)</f>
        <v>52.99</v>
      </c>
      <c r="P350" s="3">
        <f ca="1">IFERROR(__xludf.DUMMYFUNCTION("""COMPUTED_VALUE"""),52.68)</f>
        <v>52.68</v>
      </c>
      <c r="Q350" s="3">
        <f ca="1">IFERROR(__xludf.DUMMYFUNCTION("""COMPUTED_VALUE"""),52.68)</f>
        <v>52.68</v>
      </c>
      <c r="R350" s="3">
        <f ca="1">IFERROR(__xludf.DUMMYFUNCTION("""COMPUTED_VALUE"""),9579434)</f>
        <v>9579434</v>
      </c>
      <c r="S350" s="4">
        <f ca="1">IFERROR(__xludf.DUMMYFUNCTION("""COMPUTED_VALUE"""),42632.6666666666)</f>
        <v>42632.666666666599</v>
      </c>
      <c r="T350" s="3">
        <f ca="1">IFERROR(__xludf.DUMMYFUNCTION("""COMPUTED_VALUE"""),68)</f>
        <v>68</v>
      </c>
      <c r="U350" s="3">
        <f ca="1">IFERROR(__xludf.DUMMYFUNCTION("""COMPUTED_VALUE"""),68.19)</f>
        <v>68.19</v>
      </c>
      <c r="V350" s="3">
        <f ca="1">IFERROR(__xludf.DUMMYFUNCTION("""COMPUTED_VALUE"""),67.4)</f>
        <v>67.400000000000006</v>
      </c>
      <c r="W350" s="3">
        <f ca="1">IFERROR(__xludf.DUMMYFUNCTION("""COMPUTED_VALUE"""),67.41)</f>
        <v>67.41</v>
      </c>
      <c r="X350" s="3">
        <f ca="1">IFERROR(__xludf.DUMMYFUNCTION("""COMPUTED_VALUE"""),11797513)</f>
        <v>11797513</v>
      </c>
      <c r="Y350" s="4">
        <f ca="1">IFERROR(__xludf.DUMMYFUNCTION("""COMPUTED_VALUE"""),42632.6666666666)</f>
        <v>42632.666666666599</v>
      </c>
      <c r="Z350" s="3">
        <f ca="1">IFERROR(__xludf.DUMMYFUNCTION("""COMPUTED_VALUE"""),19.35)</f>
        <v>19.350000000000001</v>
      </c>
      <c r="AA350" s="3">
        <f ca="1">IFERROR(__xludf.DUMMYFUNCTION("""COMPUTED_VALUE"""),19.45)</f>
        <v>19.45</v>
      </c>
      <c r="AB350" s="3">
        <f ca="1">IFERROR(__xludf.DUMMYFUNCTION("""COMPUTED_VALUE"""),19.23)</f>
        <v>19.23</v>
      </c>
      <c r="AC350" s="3">
        <f ca="1">IFERROR(__xludf.DUMMYFUNCTION("""COMPUTED_VALUE"""),19.31)</f>
        <v>19.309999999999999</v>
      </c>
      <c r="AD350" s="3">
        <f ca="1">IFERROR(__xludf.DUMMYFUNCTION("""COMPUTED_VALUE"""),50396136)</f>
        <v>50396136</v>
      </c>
      <c r="AE350" s="4">
        <f ca="1">IFERROR(__xludf.DUMMYFUNCTION("""COMPUTED_VALUE"""),42632.6666666666)</f>
        <v>42632.666666666599</v>
      </c>
      <c r="AF350" s="3">
        <f ca="1">IFERROR(__xludf.DUMMYFUNCTION("""COMPUTED_VALUE"""),72.29)</f>
        <v>72.290000000000006</v>
      </c>
      <c r="AG350" s="3">
        <f ca="1">IFERROR(__xludf.DUMMYFUNCTION("""COMPUTED_VALUE"""),72.44)</f>
        <v>72.44</v>
      </c>
      <c r="AH350" s="3">
        <f ca="1">IFERROR(__xludf.DUMMYFUNCTION("""COMPUTED_VALUE"""),71.76)</f>
        <v>71.760000000000005</v>
      </c>
      <c r="AI350" s="3">
        <f ca="1">IFERROR(__xludf.DUMMYFUNCTION("""COMPUTED_VALUE"""),71.85)</f>
        <v>71.849999999999994</v>
      </c>
      <c r="AJ350" s="3">
        <f ca="1">IFERROR(__xludf.DUMMYFUNCTION("""COMPUTED_VALUE"""),9919663)</f>
        <v>9919663</v>
      </c>
      <c r="AK350" s="4">
        <f ca="1">IFERROR(__xludf.DUMMYFUNCTION("""COMPUTED_VALUE"""),42632.6666666666)</f>
        <v>42632.666666666599</v>
      </c>
      <c r="AL350" s="3">
        <f ca="1">IFERROR(__xludf.DUMMYFUNCTION("""COMPUTED_VALUE"""),56.87)</f>
        <v>56.87</v>
      </c>
      <c r="AM350" s="3">
        <f ca="1">IFERROR(__xludf.DUMMYFUNCTION("""COMPUTED_VALUE"""),57.24)</f>
        <v>57.24</v>
      </c>
      <c r="AN350" s="3">
        <f ca="1">IFERROR(__xludf.DUMMYFUNCTION("""COMPUTED_VALUE"""),56.74)</f>
        <v>56.74</v>
      </c>
      <c r="AO350" s="3">
        <f ca="1">IFERROR(__xludf.DUMMYFUNCTION("""COMPUTED_VALUE"""),56.86)</f>
        <v>56.86</v>
      </c>
      <c r="AP350" s="3">
        <f ca="1">IFERROR(__xludf.DUMMYFUNCTION("""COMPUTED_VALUE"""),8811033)</f>
        <v>8811033</v>
      </c>
      <c r="AQ350" s="4">
        <f ca="1">IFERROR(__xludf.DUMMYFUNCTION("""COMPUTED_VALUE"""),42632.6666666666)</f>
        <v>42632.666666666599</v>
      </c>
      <c r="AR350" s="3">
        <f ca="1">IFERROR(__xludf.DUMMYFUNCTION("""COMPUTED_VALUE"""),46.97)</f>
        <v>46.97</v>
      </c>
      <c r="AS350" s="3">
        <f ca="1">IFERROR(__xludf.DUMMYFUNCTION("""COMPUTED_VALUE"""),47.14)</f>
        <v>47.14</v>
      </c>
      <c r="AT350" s="3">
        <f ca="1">IFERROR(__xludf.DUMMYFUNCTION("""COMPUTED_VALUE"""),46.75)</f>
        <v>46.75</v>
      </c>
      <c r="AU350" s="3">
        <f ca="1">IFERROR(__xludf.DUMMYFUNCTION("""COMPUTED_VALUE"""),46.83)</f>
        <v>46.83</v>
      </c>
      <c r="AV350" s="3">
        <f ca="1">IFERROR(__xludf.DUMMYFUNCTION("""COMPUTED_VALUE"""),3676521)</f>
        <v>3676521</v>
      </c>
      <c r="AW350" s="4">
        <f ca="1">IFERROR(__xludf.DUMMYFUNCTION("""COMPUTED_VALUE"""),42797.6666666666)</f>
        <v>42797.666666666599</v>
      </c>
      <c r="AX350" s="3">
        <f ca="1">IFERROR(__xludf.DUMMYFUNCTION("""COMPUTED_VALUE"""),31.89)</f>
        <v>31.89</v>
      </c>
      <c r="AY350" s="3">
        <f ca="1">IFERROR(__xludf.DUMMYFUNCTION("""COMPUTED_VALUE"""),31.96)</f>
        <v>31.96</v>
      </c>
      <c r="AZ350" s="3">
        <f ca="1">IFERROR(__xludf.DUMMYFUNCTION("""COMPUTED_VALUE"""),31.57)</f>
        <v>31.57</v>
      </c>
      <c r="BA350" s="3">
        <f ca="1">IFERROR(__xludf.DUMMYFUNCTION("""COMPUTED_VALUE"""),31.86)</f>
        <v>31.86</v>
      </c>
      <c r="BB350" s="3">
        <f ca="1">IFERROR(__xludf.DUMMYFUNCTION("""COMPUTED_VALUE"""),1804457)</f>
        <v>1804457</v>
      </c>
      <c r="BC350" s="4">
        <f ca="1">IFERROR(__xludf.DUMMYFUNCTION("""COMPUTED_VALUE"""),42632.6666666666)</f>
        <v>42632.666666666599</v>
      </c>
      <c r="BD350" s="3">
        <f ca="1">IFERROR(__xludf.DUMMYFUNCTION("""COMPUTED_VALUE"""),47.33)</f>
        <v>47.33</v>
      </c>
      <c r="BE350" s="3">
        <f ca="1">IFERROR(__xludf.DUMMYFUNCTION("""COMPUTED_VALUE"""),47.56)</f>
        <v>47.56</v>
      </c>
      <c r="BF350" s="3">
        <f ca="1">IFERROR(__xludf.DUMMYFUNCTION("""COMPUTED_VALUE"""),46.99)</f>
        <v>46.99</v>
      </c>
      <c r="BG350" s="3">
        <f ca="1">IFERROR(__xludf.DUMMYFUNCTION("""COMPUTED_VALUE"""),47.12)</f>
        <v>47.12</v>
      </c>
      <c r="BH350" s="3">
        <f ca="1">IFERROR(__xludf.DUMMYFUNCTION("""COMPUTED_VALUE"""),7121315)</f>
        <v>7121315</v>
      </c>
      <c r="BI350" s="4">
        <f ca="1">IFERROR(__xludf.DUMMYFUNCTION("""COMPUTED_VALUE"""),42632.6666666666)</f>
        <v>42632.666666666599</v>
      </c>
      <c r="BJ350" s="3">
        <f ca="1">IFERROR(__xludf.DUMMYFUNCTION("""COMPUTED_VALUE"""),49.42)</f>
        <v>49.42</v>
      </c>
      <c r="BK350" s="3">
        <f ca="1">IFERROR(__xludf.DUMMYFUNCTION("""COMPUTED_VALUE"""),49.77)</f>
        <v>49.77</v>
      </c>
      <c r="BL350" s="3">
        <f ca="1">IFERROR(__xludf.DUMMYFUNCTION("""COMPUTED_VALUE"""),49.3)</f>
        <v>49.3</v>
      </c>
      <c r="BM350" s="3">
        <f ca="1">IFERROR(__xludf.DUMMYFUNCTION("""COMPUTED_VALUE"""),49.75)</f>
        <v>49.75</v>
      </c>
      <c r="BN350" s="3">
        <f ca="1">IFERROR(__xludf.DUMMYFUNCTION("""COMPUTED_VALUE"""),12530771)</f>
        <v>12530771</v>
      </c>
    </row>
    <row r="351" spans="7:66" ht="13" x14ac:dyDescent="0.15">
      <c r="G351" s="4">
        <f ca="1">IFERROR(__xludf.DUMMYFUNCTION("""COMPUTED_VALUE"""),42633.6666666666)</f>
        <v>42633.666666666599</v>
      </c>
      <c r="H351" s="3">
        <f ca="1">IFERROR(__xludf.DUMMYFUNCTION("""COMPUTED_VALUE"""),78.77)</f>
        <v>78.77</v>
      </c>
      <c r="I351" s="3">
        <f ca="1">IFERROR(__xludf.DUMMYFUNCTION("""COMPUTED_VALUE"""),78.88)</f>
        <v>78.88</v>
      </c>
      <c r="J351" s="3">
        <f ca="1">IFERROR(__xludf.DUMMYFUNCTION("""COMPUTED_VALUE"""),78.31)</f>
        <v>78.31</v>
      </c>
      <c r="K351" s="3">
        <f ca="1">IFERROR(__xludf.DUMMYFUNCTION("""COMPUTED_VALUE"""),78.51)</f>
        <v>78.510000000000005</v>
      </c>
      <c r="L351" s="3">
        <f ca="1">IFERROR(__xludf.DUMMYFUNCTION("""COMPUTED_VALUE"""),3342216)</f>
        <v>3342216</v>
      </c>
      <c r="M351" s="4">
        <f ca="1">IFERROR(__xludf.DUMMYFUNCTION("""COMPUTED_VALUE"""),42633.6666666666)</f>
        <v>42633.666666666599</v>
      </c>
      <c r="N351" s="3">
        <f ca="1">IFERROR(__xludf.DUMMYFUNCTION("""COMPUTED_VALUE"""),52.93)</f>
        <v>52.93</v>
      </c>
      <c r="O351" s="3">
        <f ca="1">IFERROR(__xludf.DUMMYFUNCTION("""COMPUTED_VALUE"""),53.02)</f>
        <v>53.02</v>
      </c>
      <c r="P351" s="3">
        <f ca="1">IFERROR(__xludf.DUMMYFUNCTION("""COMPUTED_VALUE"""),52.81)</f>
        <v>52.81</v>
      </c>
      <c r="Q351" s="3">
        <f ca="1">IFERROR(__xludf.DUMMYFUNCTION("""COMPUTED_VALUE"""),52.82)</f>
        <v>52.82</v>
      </c>
      <c r="R351" s="3">
        <f ca="1">IFERROR(__xludf.DUMMYFUNCTION("""COMPUTED_VALUE"""),9705899)</f>
        <v>9705899</v>
      </c>
      <c r="S351" s="4">
        <f ca="1">IFERROR(__xludf.DUMMYFUNCTION("""COMPUTED_VALUE"""),42633.6666666666)</f>
        <v>42633.666666666599</v>
      </c>
      <c r="T351" s="3">
        <f ca="1">IFERROR(__xludf.DUMMYFUNCTION("""COMPUTED_VALUE"""),67.33)</f>
        <v>67.33</v>
      </c>
      <c r="U351" s="3">
        <f ca="1">IFERROR(__xludf.DUMMYFUNCTION("""COMPUTED_VALUE"""),67.79)</f>
        <v>67.790000000000006</v>
      </c>
      <c r="V351" s="3">
        <f ca="1">IFERROR(__xludf.DUMMYFUNCTION("""COMPUTED_VALUE"""),66.87)</f>
        <v>66.87</v>
      </c>
      <c r="W351" s="3">
        <f ca="1">IFERROR(__xludf.DUMMYFUNCTION("""COMPUTED_VALUE"""),66.92)</f>
        <v>66.92</v>
      </c>
      <c r="X351" s="3">
        <f ca="1">IFERROR(__xludf.DUMMYFUNCTION("""COMPUTED_VALUE"""),14132935)</f>
        <v>14132935</v>
      </c>
      <c r="Y351" s="4">
        <f ca="1">IFERROR(__xludf.DUMMYFUNCTION("""COMPUTED_VALUE"""),42633.6666666666)</f>
        <v>42633.666666666599</v>
      </c>
      <c r="Z351" s="3">
        <f ca="1">IFERROR(__xludf.DUMMYFUNCTION("""COMPUTED_VALUE"""),19.45)</f>
        <v>19.45</v>
      </c>
      <c r="AA351" s="3">
        <f ca="1">IFERROR(__xludf.DUMMYFUNCTION("""COMPUTED_VALUE"""),19.48)</f>
        <v>19.48</v>
      </c>
      <c r="AB351" s="3">
        <f ca="1">IFERROR(__xludf.DUMMYFUNCTION("""COMPUTED_VALUE"""),19.29)</f>
        <v>19.29</v>
      </c>
      <c r="AC351" s="3">
        <f ca="1">IFERROR(__xludf.DUMMYFUNCTION("""COMPUTED_VALUE"""),19.32)</f>
        <v>19.32</v>
      </c>
      <c r="AD351" s="3">
        <f ca="1">IFERROR(__xludf.DUMMYFUNCTION("""COMPUTED_VALUE"""),39903177)</f>
        <v>39903177</v>
      </c>
      <c r="AE351" s="4">
        <f ca="1">IFERROR(__xludf.DUMMYFUNCTION("""COMPUTED_VALUE"""),42633.6666666666)</f>
        <v>42633.666666666599</v>
      </c>
      <c r="AF351" s="3">
        <f ca="1">IFERROR(__xludf.DUMMYFUNCTION("""COMPUTED_VALUE"""),72.16)</f>
        <v>72.16</v>
      </c>
      <c r="AG351" s="3">
        <f ca="1">IFERROR(__xludf.DUMMYFUNCTION("""COMPUTED_VALUE"""),72.34)</f>
        <v>72.34</v>
      </c>
      <c r="AH351" s="3">
        <f ca="1">IFERROR(__xludf.DUMMYFUNCTION("""COMPUTED_VALUE"""),72.04)</f>
        <v>72.040000000000006</v>
      </c>
      <c r="AI351" s="3">
        <f ca="1">IFERROR(__xludf.DUMMYFUNCTION("""COMPUTED_VALUE"""),72.07)</f>
        <v>72.069999999999993</v>
      </c>
      <c r="AJ351" s="3">
        <f ca="1">IFERROR(__xludf.DUMMYFUNCTION("""COMPUTED_VALUE"""),5286599)</f>
        <v>5286599</v>
      </c>
      <c r="AK351" s="4">
        <f ca="1">IFERROR(__xludf.DUMMYFUNCTION("""COMPUTED_VALUE"""),42633.6666666666)</f>
        <v>42633.666666666599</v>
      </c>
      <c r="AL351" s="3">
        <f ca="1">IFERROR(__xludf.DUMMYFUNCTION("""COMPUTED_VALUE"""),57.16)</f>
        <v>57.16</v>
      </c>
      <c r="AM351" s="3">
        <f ca="1">IFERROR(__xludf.DUMMYFUNCTION("""COMPUTED_VALUE"""),57.33)</f>
        <v>57.33</v>
      </c>
      <c r="AN351" s="3">
        <f ca="1">IFERROR(__xludf.DUMMYFUNCTION("""COMPUTED_VALUE"""),56.9)</f>
        <v>56.9</v>
      </c>
      <c r="AO351" s="3">
        <f ca="1">IFERROR(__xludf.DUMMYFUNCTION("""COMPUTED_VALUE"""),56.91)</f>
        <v>56.91</v>
      </c>
      <c r="AP351" s="3">
        <f ca="1">IFERROR(__xludf.DUMMYFUNCTION("""COMPUTED_VALUE"""),8007515)</f>
        <v>8007515</v>
      </c>
      <c r="AQ351" s="4">
        <f ca="1">IFERROR(__xludf.DUMMYFUNCTION("""COMPUTED_VALUE"""),42633.6666666666)</f>
        <v>42633.666666666599</v>
      </c>
      <c r="AR351" s="3">
        <f ca="1">IFERROR(__xludf.DUMMYFUNCTION("""COMPUTED_VALUE"""),47.18)</f>
        <v>47.18</v>
      </c>
      <c r="AS351" s="3">
        <f ca="1">IFERROR(__xludf.DUMMYFUNCTION("""COMPUTED_VALUE"""),47.24)</f>
        <v>47.24</v>
      </c>
      <c r="AT351" s="3">
        <f ca="1">IFERROR(__xludf.DUMMYFUNCTION("""COMPUTED_VALUE"""),46.68)</f>
        <v>46.68</v>
      </c>
      <c r="AU351" s="3">
        <f ca="1">IFERROR(__xludf.DUMMYFUNCTION("""COMPUTED_VALUE"""),46.69)</f>
        <v>46.69</v>
      </c>
      <c r="AV351" s="3">
        <f ca="1">IFERROR(__xludf.DUMMYFUNCTION("""COMPUTED_VALUE"""),3999387)</f>
        <v>3999387</v>
      </c>
      <c r="AW351" s="4">
        <f ca="1">IFERROR(__xludf.DUMMYFUNCTION("""COMPUTED_VALUE"""),42800.6666666666)</f>
        <v>42800.666666666599</v>
      </c>
      <c r="AX351" s="3">
        <f ca="1">IFERROR(__xludf.DUMMYFUNCTION("""COMPUTED_VALUE"""),31.72)</f>
        <v>31.72</v>
      </c>
      <c r="AY351" s="3">
        <f ca="1">IFERROR(__xludf.DUMMYFUNCTION("""COMPUTED_VALUE"""),31.8)</f>
        <v>31.8</v>
      </c>
      <c r="AZ351" s="3">
        <f ca="1">IFERROR(__xludf.DUMMYFUNCTION("""COMPUTED_VALUE"""),31.59)</f>
        <v>31.59</v>
      </c>
      <c r="BA351" s="3">
        <f ca="1">IFERROR(__xludf.DUMMYFUNCTION("""COMPUTED_VALUE"""),31.73)</f>
        <v>31.73</v>
      </c>
      <c r="BB351" s="3">
        <f ca="1">IFERROR(__xludf.DUMMYFUNCTION("""COMPUTED_VALUE"""),2279630)</f>
        <v>2279630</v>
      </c>
      <c r="BC351" s="4">
        <f ca="1">IFERROR(__xludf.DUMMYFUNCTION("""COMPUTED_VALUE"""),42633.6666666666)</f>
        <v>42633.666666666599</v>
      </c>
      <c r="BD351" s="3">
        <f ca="1">IFERROR(__xludf.DUMMYFUNCTION("""COMPUTED_VALUE"""),47.28)</f>
        <v>47.28</v>
      </c>
      <c r="BE351" s="3">
        <f ca="1">IFERROR(__xludf.DUMMYFUNCTION("""COMPUTED_VALUE"""),47.37)</f>
        <v>47.37</v>
      </c>
      <c r="BF351" s="3">
        <f ca="1">IFERROR(__xludf.DUMMYFUNCTION("""COMPUTED_VALUE"""),47.03)</f>
        <v>47.03</v>
      </c>
      <c r="BG351" s="3">
        <f ca="1">IFERROR(__xludf.DUMMYFUNCTION("""COMPUTED_VALUE"""),47.09)</f>
        <v>47.09</v>
      </c>
      <c r="BH351" s="3">
        <f ca="1">IFERROR(__xludf.DUMMYFUNCTION("""COMPUTED_VALUE"""),5001096)</f>
        <v>5001096</v>
      </c>
      <c r="BI351" s="4">
        <f ca="1">IFERROR(__xludf.DUMMYFUNCTION("""COMPUTED_VALUE"""),42633.6666666666)</f>
        <v>42633.666666666599</v>
      </c>
      <c r="BJ351" s="3">
        <f ca="1">IFERROR(__xludf.DUMMYFUNCTION("""COMPUTED_VALUE"""),49.95)</f>
        <v>49.95</v>
      </c>
      <c r="BK351" s="3">
        <f ca="1">IFERROR(__xludf.DUMMYFUNCTION("""COMPUTED_VALUE"""),50.03)</f>
        <v>50.03</v>
      </c>
      <c r="BL351" s="3">
        <f ca="1">IFERROR(__xludf.DUMMYFUNCTION("""COMPUTED_VALUE"""),49.63)</f>
        <v>49.63</v>
      </c>
      <c r="BM351" s="3">
        <f ca="1">IFERROR(__xludf.DUMMYFUNCTION("""COMPUTED_VALUE"""),49.66)</f>
        <v>49.66</v>
      </c>
      <c r="BN351" s="3">
        <f ca="1">IFERROR(__xludf.DUMMYFUNCTION("""COMPUTED_VALUE"""),12857900)</f>
        <v>12857900</v>
      </c>
    </row>
    <row r="352" spans="7:66" ht="13" x14ac:dyDescent="0.15">
      <c r="G352" s="4">
        <f ca="1">IFERROR(__xludf.DUMMYFUNCTION("""COMPUTED_VALUE"""),42634.6666666666)</f>
        <v>42634.666666666599</v>
      </c>
      <c r="H352" s="3">
        <f ca="1">IFERROR(__xludf.DUMMYFUNCTION("""COMPUTED_VALUE"""),78.63)</f>
        <v>78.63</v>
      </c>
      <c r="I352" s="3">
        <f ca="1">IFERROR(__xludf.DUMMYFUNCTION("""COMPUTED_VALUE"""),79.31)</f>
        <v>79.31</v>
      </c>
      <c r="J352" s="3">
        <f ca="1">IFERROR(__xludf.DUMMYFUNCTION("""COMPUTED_VALUE"""),78.4)</f>
        <v>78.400000000000006</v>
      </c>
      <c r="K352" s="3">
        <f ca="1">IFERROR(__xludf.DUMMYFUNCTION("""COMPUTED_VALUE"""),79.27)</f>
        <v>79.27</v>
      </c>
      <c r="L352" s="3">
        <f ca="1">IFERROR(__xludf.DUMMYFUNCTION("""COMPUTED_VALUE"""),6015908)</f>
        <v>6015908</v>
      </c>
      <c r="M352" s="4">
        <f ca="1">IFERROR(__xludf.DUMMYFUNCTION("""COMPUTED_VALUE"""),42634.6666666666)</f>
        <v>42634.666666666599</v>
      </c>
      <c r="N352" s="3">
        <f ca="1">IFERROR(__xludf.DUMMYFUNCTION("""COMPUTED_VALUE"""),52.83)</f>
        <v>52.83</v>
      </c>
      <c r="O352" s="3">
        <f ca="1">IFERROR(__xludf.DUMMYFUNCTION("""COMPUTED_VALUE"""),53.24)</f>
        <v>53.24</v>
      </c>
      <c r="P352" s="3">
        <f ca="1">IFERROR(__xludf.DUMMYFUNCTION("""COMPUTED_VALUE"""),52.55)</f>
        <v>52.55</v>
      </c>
      <c r="Q352" s="3">
        <f ca="1">IFERROR(__xludf.DUMMYFUNCTION("""COMPUTED_VALUE"""),53.11)</f>
        <v>53.11</v>
      </c>
      <c r="R352" s="3">
        <f ca="1">IFERROR(__xludf.DUMMYFUNCTION("""COMPUTED_VALUE"""),24882717)</f>
        <v>24882717</v>
      </c>
      <c r="S352" s="4">
        <f ca="1">IFERROR(__xludf.DUMMYFUNCTION("""COMPUTED_VALUE"""),42634.6666666666)</f>
        <v>42634.666666666599</v>
      </c>
      <c r="T352" s="3">
        <f ca="1">IFERROR(__xludf.DUMMYFUNCTION("""COMPUTED_VALUE"""),67.5)</f>
        <v>67.5</v>
      </c>
      <c r="U352" s="3">
        <f ca="1">IFERROR(__xludf.DUMMYFUNCTION("""COMPUTED_VALUE"""),68.5)</f>
        <v>68.5</v>
      </c>
      <c r="V352" s="3">
        <f ca="1">IFERROR(__xludf.DUMMYFUNCTION("""COMPUTED_VALUE"""),67.42)</f>
        <v>67.42</v>
      </c>
      <c r="W352" s="3">
        <f ca="1">IFERROR(__xludf.DUMMYFUNCTION("""COMPUTED_VALUE"""),68.47)</f>
        <v>68.47</v>
      </c>
      <c r="X352" s="3">
        <f ca="1">IFERROR(__xludf.DUMMYFUNCTION("""COMPUTED_VALUE"""),20260887)</f>
        <v>20260887</v>
      </c>
      <c r="Y352" s="4">
        <f ca="1">IFERROR(__xludf.DUMMYFUNCTION("""COMPUTED_VALUE"""),42634.6666666666)</f>
        <v>42634.666666666599</v>
      </c>
      <c r="Z352" s="3">
        <f ca="1">IFERROR(__xludf.DUMMYFUNCTION("""COMPUTED_VALUE"""),19.41)</f>
        <v>19.41</v>
      </c>
      <c r="AA352" s="3">
        <f ca="1">IFERROR(__xludf.DUMMYFUNCTION("""COMPUTED_VALUE"""),19.46)</f>
        <v>19.46</v>
      </c>
      <c r="AB352" s="3">
        <f ca="1">IFERROR(__xludf.DUMMYFUNCTION("""COMPUTED_VALUE"""),19.25)</f>
        <v>19.25</v>
      </c>
      <c r="AC352" s="3">
        <f ca="1">IFERROR(__xludf.DUMMYFUNCTION("""COMPUTED_VALUE"""),19.44)</f>
        <v>19.440000000000001</v>
      </c>
      <c r="AD352" s="3">
        <f ca="1">IFERROR(__xludf.DUMMYFUNCTION("""COMPUTED_VALUE"""),64029726)</f>
        <v>64029726</v>
      </c>
      <c r="AE352" s="4">
        <f ca="1">IFERROR(__xludf.DUMMYFUNCTION("""COMPUTED_VALUE"""),42634.6666666666)</f>
        <v>42634.666666666599</v>
      </c>
      <c r="AF352" s="3">
        <f ca="1">IFERROR(__xludf.DUMMYFUNCTION("""COMPUTED_VALUE"""),72.31)</f>
        <v>72.31</v>
      </c>
      <c r="AG352" s="3">
        <f ca="1">IFERROR(__xludf.DUMMYFUNCTION("""COMPUTED_VALUE"""),72.93)</f>
        <v>72.930000000000007</v>
      </c>
      <c r="AH352" s="3">
        <f ca="1">IFERROR(__xludf.DUMMYFUNCTION("""COMPUTED_VALUE"""),71.87)</f>
        <v>71.87</v>
      </c>
      <c r="AI352" s="3">
        <f ca="1">IFERROR(__xludf.DUMMYFUNCTION("""COMPUTED_VALUE"""),72.79)</f>
        <v>72.790000000000006</v>
      </c>
      <c r="AJ352" s="3">
        <f ca="1">IFERROR(__xludf.DUMMYFUNCTION("""COMPUTED_VALUE"""),8485850)</f>
        <v>8485850</v>
      </c>
      <c r="AK352" s="4">
        <f ca="1">IFERROR(__xludf.DUMMYFUNCTION("""COMPUTED_VALUE"""),42634.6666666666)</f>
        <v>42634.666666666599</v>
      </c>
      <c r="AL352" s="3">
        <f ca="1">IFERROR(__xludf.DUMMYFUNCTION("""COMPUTED_VALUE"""),57.14)</f>
        <v>57.14</v>
      </c>
      <c r="AM352" s="3">
        <f ca="1">IFERROR(__xludf.DUMMYFUNCTION("""COMPUTED_VALUE"""),57.73)</f>
        <v>57.73</v>
      </c>
      <c r="AN352" s="3">
        <f ca="1">IFERROR(__xludf.DUMMYFUNCTION("""COMPUTED_VALUE"""),56.98)</f>
        <v>56.98</v>
      </c>
      <c r="AO352" s="3">
        <f ca="1">IFERROR(__xludf.DUMMYFUNCTION("""COMPUTED_VALUE"""),57.65)</f>
        <v>57.65</v>
      </c>
      <c r="AP352" s="3">
        <f ca="1">IFERROR(__xludf.DUMMYFUNCTION("""COMPUTED_VALUE"""),14979817)</f>
        <v>14979817</v>
      </c>
      <c r="AQ352" s="4">
        <f ca="1">IFERROR(__xludf.DUMMYFUNCTION("""COMPUTED_VALUE"""),42634.6666666666)</f>
        <v>42634.666666666599</v>
      </c>
      <c r="AR352" s="3">
        <f ca="1">IFERROR(__xludf.DUMMYFUNCTION("""COMPUTED_VALUE"""),46.95)</f>
        <v>46.95</v>
      </c>
      <c r="AS352" s="3">
        <f ca="1">IFERROR(__xludf.DUMMYFUNCTION("""COMPUTED_VALUE"""),47.46)</f>
        <v>47.46</v>
      </c>
      <c r="AT352" s="3">
        <f ca="1">IFERROR(__xludf.DUMMYFUNCTION("""COMPUTED_VALUE"""),46.86)</f>
        <v>46.86</v>
      </c>
      <c r="AU352" s="3">
        <f ca="1">IFERROR(__xludf.DUMMYFUNCTION("""COMPUTED_VALUE"""),47.4)</f>
        <v>47.4</v>
      </c>
      <c r="AV352" s="3">
        <f ca="1">IFERROR(__xludf.DUMMYFUNCTION("""COMPUTED_VALUE"""),5596234)</f>
        <v>5596234</v>
      </c>
      <c r="AW352" s="4">
        <f ca="1">IFERROR(__xludf.DUMMYFUNCTION("""COMPUTED_VALUE"""),42801.6666666666)</f>
        <v>42801.666666666599</v>
      </c>
      <c r="AX352" s="3">
        <f ca="1">IFERROR(__xludf.DUMMYFUNCTION("""COMPUTED_VALUE"""),31.71)</f>
        <v>31.71</v>
      </c>
      <c r="AY352" s="3">
        <f ca="1">IFERROR(__xludf.DUMMYFUNCTION("""COMPUTED_VALUE"""),31.72)</f>
        <v>31.72</v>
      </c>
      <c r="AZ352" s="3">
        <f ca="1">IFERROR(__xludf.DUMMYFUNCTION("""COMPUTED_VALUE"""),31.45)</f>
        <v>31.45</v>
      </c>
      <c r="BA352" s="3">
        <f ca="1">IFERROR(__xludf.DUMMYFUNCTION("""COMPUTED_VALUE"""),31.62)</f>
        <v>31.62</v>
      </c>
      <c r="BB352" s="3">
        <f ca="1">IFERROR(__xludf.DUMMYFUNCTION("""COMPUTED_VALUE"""),1645922)</f>
        <v>1645922</v>
      </c>
      <c r="BC352" s="4">
        <f ca="1">IFERROR(__xludf.DUMMYFUNCTION("""COMPUTED_VALUE"""),42634.6666666666)</f>
        <v>42634.666666666599</v>
      </c>
      <c r="BD352" s="3">
        <f ca="1">IFERROR(__xludf.DUMMYFUNCTION("""COMPUTED_VALUE"""),47.27)</f>
        <v>47.27</v>
      </c>
      <c r="BE352" s="3">
        <f ca="1">IFERROR(__xludf.DUMMYFUNCTION("""COMPUTED_VALUE"""),47.65)</f>
        <v>47.65</v>
      </c>
      <c r="BF352" s="3">
        <f ca="1">IFERROR(__xludf.DUMMYFUNCTION("""COMPUTED_VALUE"""),47.09)</f>
        <v>47.09</v>
      </c>
      <c r="BG352" s="3">
        <f ca="1">IFERROR(__xludf.DUMMYFUNCTION("""COMPUTED_VALUE"""),47.62)</f>
        <v>47.62</v>
      </c>
      <c r="BH352" s="3">
        <f ca="1">IFERROR(__xludf.DUMMYFUNCTION("""COMPUTED_VALUE"""),12047883)</f>
        <v>12047883</v>
      </c>
      <c r="BI352" s="4">
        <f ca="1">IFERROR(__xludf.DUMMYFUNCTION("""COMPUTED_VALUE"""),42634.6666666666)</f>
        <v>42634.666666666599</v>
      </c>
      <c r="BJ352" s="3">
        <f ca="1">IFERROR(__xludf.DUMMYFUNCTION("""COMPUTED_VALUE"""),49.75)</f>
        <v>49.75</v>
      </c>
      <c r="BK352" s="3">
        <f ca="1">IFERROR(__xludf.DUMMYFUNCTION("""COMPUTED_VALUE"""),50.71)</f>
        <v>50.71</v>
      </c>
      <c r="BL352" s="3">
        <f ca="1">IFERROR(__xludf.DUMMYFUNCTION("""COMPUTED_VALUE"""),49.65)</f>
        <v>49.65</v>
      </c>
      <c r="BM352" s="3">
        <f ca="1">IFERROR(__xludf.DUMMYFUNCTION("""COMPUTED_VALUE"""),50.67)</f>
        <v>50.67</v>
      </c>
      <c r="BN352" s="3">
        <f ca="1">IFERROR(__xludf.DUMMYFUNCTION("""COMPUTED_VALUE"""),19405131)</f>
        <v>19405131</v>
      </c>
    </row>
    <row r="353" spans="7:66" ht="13" x14ac:dyDescent="0.15">
      <c r="G353" s="4">
        <f ca="1">IFERROR(__xludf.DUMMYFUNCTION("""COMPUTED_VALUE"""),42635.6666666666)</f>
        <v>42635.666666666599</v>
      </c>
      <c r="H353" s="3">
        <f ca="1">IFERROR(__xludf.DUMMYFUNCTION("""COMPUTED_VALUE"""),79.73)</f>
        <v>79.73</v>
      </c>
      <c r="I353" s="3">
        <f ca="1">IFERROR(__xludf.DUMMYFUNCTION("""COMPUTED_VALUE"""),80)</f>
        <v>80</v>
      </c>
      <c r="J353" s="3">
        <f ca="1">IFERROR(__xludf.DUMMYFUNCTION("""COMPUTED_VALUE"""),79.6)</f>
        <v>79.599999999999994</v>
      </c>
      <c r="K353" s="3">
        <f ca="1">IFERROR(__xludf.DUMMYFUNCTION("""COMPUTED_VALUE"""),79.85)</f>
        <v>79.849999999999994</v>
      </c>
      <c r="L353" s="3">
        <f ca="1">IFERROR(__xludf.DUMMYFUNCTION("""COMPUTED_VALUE"""),4821435)</f>
        <v>4821435</v>
      </c>
      <c r="M353" s="4">
        <f ca="1">IFERROR(__xludf.DUMMYFUNCTION("""COMPUTED_VALUE"""),42635.6666666666)</f>
        <v>42635.666666666599</v>
      </c>
      <c r="N353" s="3">
        <f ca="1">IFERROR(__xludf.DUMMYFUNCTION("""COMPUTED_VALUE"""),53.3)</f>
        <v>53.3</v>
      </c>
      <c r="O353" s="3">
        <f ca="1">IFERROR(__xludf.DUMMYFUNCTION("""COMPUTED_VALUE"""),53.68)</f>
        <v>53.68</v>
      </c>
      <c r="P353" s="3">
        <f ca="1">IFERROR(__xludf.DUMMYFUNCTION("""COMPUTED_VALUE"""),53.3)</f>
        <v>53.3</v>
      </c>
      <c r="Q353" s="3">
        <f ca="1">IFERROR(__xludf.DUMMYFUNCTION("""COMPUTED_VALUE"""),53.58)</f>
        <v>53.58</v>
      </c>
      <c r="R353" s="3">
        <f ca="1">IFERROR(__xludf.DUMMYFUNCTION("""COMPUTED_VALUE"""),17315981)</f>
        <v>17315981</v>
      </c>
      <c r="S353" s="4">
        <f ca="1">IFERROR(__xludf.DUMMYFUNCTION("""COMPUTED_VALUE"""),42635.6666666666)</f>
        <v>42635.666666666599</v>
      </c>
      <c r="T353" s="3">
        <f ca="1">IFERROR(__xludf.DUMMYFUNCTION("""COMPUTED_VALUE"""),69.21)</f>
        <v>69.209999999999994</v>
      </c>
      <c r="U353" s="3">
        <f ca="1">IFERROR(__xludf.DUMMYFUNCTION("""COMPUTED_VALUE"""),69.46)</f>
        <v>69.459999999999994</v>
      </c>
      <c r="V353" s="3">
        <f ca="1">IFERROR(__xludf.DUMMYFUNCTION("""COMPUTED_VALUE"""),68.49)</f>
        <v>68.489999999999995</v>
      </c>
      <c r="W353" s="3">
        <f ca="1">IFERROR(__xludf.DUMMYFUNCTION("""COMPUTED_VALUE"""),68.55)</f>
        <v>68.55</v>
      </c>
      <c r="X353" s="3">
        <f ca="1">IFERROR(__xludf.DUMMYFUNCTION("""COMPUTED_VALUE"""),13315915)</f>
        <v>13315915</v>
      </c>
      <c r="Y353" s="4">
        <f ca="1">IFERROR(__xludf.DUMMYFUNCTION("""COMPUTED_VALUE"""),42635.6666666666)</f>
        <v>42635.666666666599</v>
      </c>
      <c r="Z353" s="3">
        <f ca="1">IFERROR(__xludf.DUMMYFUNCTION("""COMPUTED_VALUE"""),19.54)</f>
        <v>19.54</v>
      </c>
      <c r="AA353" s="3">
        <f ca="1">IFERROR(__xludf.DUMMYFUNCTION("""COMPUTED_VALUE"""),19.56)</f>
        <v>19.559999999999999</v>
      </c>
      <c r="AB353" s="3">
        <f ca="1">IFERROR(__xludf.DUMMYFUNCTION("""COMPUTED_VALUE"""),19.44)</f>
        <v>19.440000000000001</v>
      </c>
      <c r="AC353" s="3">
        <f ca="1">IFERROR(__xludf.DUMMYFUNCTION("""COMPUTED_VALUE"""),19.48)</f>
        <v>19.48</v>
      </c>
      <c r="AD353" s="3">
        <f ca="1">IFERROR(__xludf.DUMMYFUNCTION("""COMPUTED_VALUE"""),38355740)</f>
        <v>38355740</v>
      </c>
      <c r="AE353" s="4">
        <f ca="1">IFERROR(__xludf.DUMMYFUNCTION("""COMPUTED_VALUE"""),42635.6666666666)</f>
        <v>42635.666666666599</v>
      </c>
      <c r="AF353" s="3">
        <f ca="1">IFERROR(__xludf.DUMMYFUNCTION("""COMPUTED_VALUE"""),73.09)</f>
        <v>73.09</v>
      </c>
      <c r="AG353" s="3">
        <f ca="1">IFERROR(__xludf.DUMMYFUNCTION("""COMPUTED_VALUE"""),73.47)</f>
        <v>73.47</v>
      </c>
      <c r="AH353" s="3">
        <f ca="1">IFERROR(__xludf.DUMMYFUNCTION("""COMPUTED_VALUE"""),73.05)</f>
        <v>73.05</v>
      </c>
      <c r="AI353" s="3">
        <f ca="1">IFERROR(__xludf.DUMMYFUNCTION("""COMPUTED_VALUE"""),73.34)</f>
        <v>73.34</v>
      </c>
      <c r="AJ353" s="3">
        <f ca="1">IFERROR(__xludf.DUMMYFUNCTION("""COMPUTED_VALUE"""),6502150)</f>
        <v>6502150</v>
      </c>
      <c r="AK353" s="4">
        <f ca="1">IFERROR(__xludf.DUMMYFUNCTION("""COMPUTED_VALUE"""),42635.6666666666)</f>
        <v>42635.666666666599</v>
      </c>
      <c r="AL353" s="3">
        <f ca="1">IFERROR(__xludf.DUMMYFUNCTION("""COMPUTED_VALUE"""),58.03)</f>
        <v>58.03</v>
      </c>
      <c r="AM353" s="3">
        <f ca="1">IFERROR(__xludf.DUMMYFUNCTION("""COMPUTED_VALUE"""),58.26)</f>
        <v>58.26</v>
      </c>
      <c r="AN353" s="3">
        <f ca="1">IFERROR(__xludf.DUMMYFUNCTION("""COMPUTED_VALUE"""),57.95)</f>
        <v>57.95</v>
      </c>
      <c r="AO353" s="3">
        <f ca="1">IFERROR(__xludf.DUMMYFUNCTION("""COMPUTED_VALUE"""),58.06)</f>
        <v>58.06</v>
      </c>
      <c r="AP353" s="3">
        <f ca="1">IFERROR(__xludf.DUMMYFUNCTION("""COMPUTED_VALUE"""),9377155)</f>
        <v>9377155</v>
      </c>
      <c r="AQ353" s="4">
        <f ca="1">IFERROR(__xludf.DUMMYFUNCTION("""COMPUTED_VALUE"""),42635.6666666666)</f>
        <v>42635.666666666599</v>
      </c>
      <c r="AR353" s="3">
        <f ca="1">IFERROR(__xludf.DUMMYFUNCTION("""COMPUTED_VALUE"""),47.74)</f>
        <v>47.74</v>
      </c>
      <c r="AS353" s="3">
        <f ca="1">IFERROR(__xludf.DUMMYFUNCTION("""COMPUTED_VALUE"""),47.96)</f>
        <v>47.96</v>
      </c>
      <c r="AT353" s="3">
        <f ca="1">IFERROR(__xludf.DUMMYFUNCTION("""COMPUTED_VALUE"""),47.43)</f>
        <v>47.43</v>
      </c>
      <c r="AU353" s="3">
        <f ca="1">IFERROR(__xludf.DUMMYFUNCTION("""COMPUTED_VALUE"""),47.55)</f>
        <v>47.55</v>
      </c>
      <c r="AV353" s="3">
        <f ca="1">IFERROR(__xludf.DUMMYFUNCTION("""COMPUTED_VALUE"""),2995691)</f>
        <v>2995691</v>
      </c>
      <c r="AW353" s="4">
        <f ca="1">IFERROR(__xludf.DUMMYFUNCTION("""COMPUTED_VALUE"""),42802.6666666666)</f>
        <v>42802.666666666599</v>
      </c>
      <c r="AX353" s="3">
        <f ca="1">IFERROR(__xludf.DUMMYFUNCTION("""COMPUTED_VALUE"""),31.45)</f>
        <v>31.45</v>
      </c>
      <c r="AY353" s="3">
        <f ca="1">IFERROR(__xludf.DUMMYFUNCTION("""COMPUTED_VALUE"""),31.54)</f>
        <v>31.54</v>
      </c>
      <c r="AZ353" s="3">
        <f ca="1">IFERROR(__xludf.DUMMYFUNCTION("""COMPUTED_VALUE"""),31.14)</f>
        <v>31.14</v>
      </c>
      <c r="BA353" s="3">
        <f ca="1">IFERROR(__xludf.DUMMYFUNCTION("""COMPUTED_VALUE"""),31.15)</f>
        <v>31.15</v>
      </c>
      <c r="BB353" s="3">
        <f ca="1">IFERROR(__xludf.DUMMYFUNCTION("""COMPUTED_VALUE"""),1665941)</f>
        <v>1665941</v>
      </c>
      <c r="BC353" s="4">
        <f ca="1">IFERROR(__xludf.DUMMYFUNCTION("""COMPUTED_VALUE"""),42635.6666666666)</f>
        <v>42635.666666666599</v>
      </c>
      <c r="BD353" s="3">
        <f ca="1">IFERROR(__xludf.DUMMYFUNCTION("""COMPUTED_VALUE"""),47.9)</f>
        <v>47.9</v>
      </c>
      <c r="BE353" s="3">
        <f ca="1">IFERROR(__xludf.DUMMYFUNCTION("""COMPUTED_VALUE"""),47.97)</f>
        <v>47.97</v>
      </c>
      <c r="BF353" s="3">
        <f ca="1">IFERROR(__xludf.DUMMYFUNCTION("""COMPUTED_VALUE"""),47.79)</f>
        <v>47.79</v>
      </c>
      <c r="BG353" s="3">
        <f ca="1">IFERROR(__xludf.DUMMYFUNCTION("""COMPUTED_VALUE"""),47.91)</f>
        <v>47.91</v>
      </c>
      <c r="BH353" s="3">
        <f ca="1">IFERROR(__xludf.DUMMYFUNCTION("""COMPUTED_VALUE"""),10498539)</f>
        <v>10498539</v>
      </c>
      <c r="BI353" s="4">
        <f ca="1">IFERROR(__xludf.DUMMYFUNCTION("""COMPUTED_VALUE"""),42635.6666666666)</f>
        <v>42635.666666666599</v>
      </c>
      <c r="BJ353" s="3">
        <f ca="1">IFERROR(__xludf.DUMMYFUNCTION("""COMPUTED_VALUE"""),51.08)</f>
        <v>51.08</v>
      </c>
      <c r="BK353" s="3">
        <f ca="1">IFERROR(__xludf.DUMMYFUNCTION("""COMPUTED_VALUE"""),51.09)</f>
        <v>51.09</v>
      </c>
      <c r="BL353" s="3">
        <f ca="1">IFERROR(__xludf.DUMMYFUNCTION("""COMPUTED_VALUE"""),50.61)</f>
        <v>50.61</v>
      </c>
      <c r="BM353" s="3">
        <f ca="1">IFERROR(__xludf.DUMMYFUNCTION("""COMPUTED_VALUE"""),50.98)</f>
        <v>50.98</v>
      </c>
      <c r="BN353" s="3">
        <f ca="1">IFERROR(__xludf.DUMMYFUNCTION("""COMPUTED_VALUE"""),12035330)</f>
        <v>12035330</v>
      </c>
    </row>
    <row r="354" spans="7:66" ht="13" x14ac:dyDescent="0.15">
      <c r="G354" s="4">
        <f ca="1">IFERROR(__xludf.DUMMYFUNCTION("""COMPUTED_VALUE"""),42636.6666666666)</f>
        <v>42636.666666666599</v>
      </c>
      <c r="H354" s="3">
        <f ca="1">IFERROR(__xludf.DUMMYFUNCTION("""COMPUTED_VALUE"""),79.63)</f>
        <v>79.63</v>
      </c>
      <c r="I354" s="3">
        <f ca="1">IFERROR(__xludf.DUMMYFUNCTION("""COMPUTED_VALUE"""),79.93)</f>
        <v>79.930000000000007</v>
      </c>
      <c r="J354" s="3">
        <f ca="1">IFERROR(__xludf.DUMMYFUNCTION("""COMPUTED_VALUE"""),79.63)</f>
        <v>79.63</v>
      </c>
      <c r="K354" s="3">
        <f ca="1">IFERROR(__xludf.DUMMYFUNCTION("""COMPUTED_VALUE"""),79.67)</f>
        <v>79.67</v>
      </c>
      <c r="L354" s="3">
        <f ca="1">IFERROR(__xludf.DUMMYFUNCTION("""COMPUTED_VALUE"""),3891172)</f>
        <v>3891172</v>
      </c>
      <c r="M354" s="4">
        <f ca="1">IFERROR(__xludf.DUMMYFUNCTION("""COMPUTED_VALUE"""),42636.6666666666)</f>
        <v>42636.666666666599</v>
      </c>
      <c r="N354" s="3">
        <f ca="1">IFERROR(__xludf.DUMMYFUNCTION("""COMPUTED_VALUE"""),53.59)</f>
        <v>53.59</v>
      </c>
      <c r="O354" s="3">
        <f ca="1">IFERROR(__xludf.DUMMYFUNCTION("""COMPUTED_VALUE"""),53.6)</f>
        <v>53.6</v>
      </c>
      <c r="P354" s="3">
        <f ca="1">IFERROR(__xludf.DUMMYFUNCTION("""COMPUTED_VALUE"""),53.32)</f>
        <v>53.32</v>
      </c>
      <c r="Q354" s="3">
        <f ca="1">IFERROR(__xludf.DUMMYFUNCTION("""COMPUTED_VALUE"""),53.34)</f>
        <v>53.34</v>
      </c>
      <c r="R354" s="3">
        <f ca="1">IFERROR(__xludf.DUMMYFUNCTION("""COMPUTED_VALUE"""),12930969)</f>
        <v>12930969</v>
      </c>
      <c r="S354" s="4">
        <f ca="1">IFERROR(__xludf.DUMMYFUNCTION("""COMPUTED_VALUE"""),42636.6666666666)</f>
        <v>42636.666666666599</v>
      </c>
      <c r="T354" s="3">
        <f ca="1">IFERROR(__xludf.DUMMYFUNCTION("""COMPUTED_VALUE"""),68.22)</f>
        <v>68.22</v>
      </c>
      <c r="U354" s="3">
        <f ca="1">IFERROR(__xludf.DUMMYFUNCTION("""COMPUTED_VALUE"""),68.84)</f>
        <v>68.84</v>
      </c>
      <c r="V354" s="3">
        <f ca="1">IFERROR(__xludf.DUMMYFUNCTION("""COMPUTED_VALUE"""),67.25)</f>
        <v>67.25</v>
      </c>
      <c r="W354" s="3">
        <f ca="1">IFERROR(__xludf.DUMMYFUNCTION("""COMPUTED_VALUE"""),67.64)</f>
        <v>67.64</v>
      </c>
      <c r="X354" s="3">
        <f ca="1">IFERROR(__xludf.DUMMYFUNCTION("""COMPUTED_VALUE"""),23075178)</f>
        <v>23075178</v>
      </c>
      <c r="Y354" s="4">
        <f ca="1">IFERROR(__xludf.DUMMYFUNCTION("""COMPUTED_VALUE"""),42636.6666666666)</f>
        <v>42636.666666666599</v>
      </c>
      <c r="Z354" s="3">
        <f ca="1">IFERROR(__xludf.DUMMYFUNCTION("""COMPUTED_VALUE"""),19.41)</f>
        <v>19.41</v>
      </c>
      <c r="AA354" s="3">
        <f ca="1">IFERROR(__xludf.DUMMYFUNCTION("""COMPUTED_VALUE"""),19.51)</f>
        <v>19.510000000000002</v>
      </c>
      <c r="AB354" s="3">
        <f ca="1">IFERROR(__xludf.DUMMYFUNCTION("""COMPUTED_VALUE"""),19.35)</f>
        <v>19.350000000000001</v>
      </c>
      <c r="AC354" s="3">
        <f ca="1">IFERROR(__xludf.DUMMYFUNCTION("""COMPUTED_VALUE"""),19.38)</f>
        <v>19.38</v>
      </c>
      <c r="AD354" s="3">
        <f ca="1">IFERROR(__xludf.DUMMYFUNCTION("""COMPUTED_VALUE"""),59009524)</f>
        <v>59009524</v>
      </c>
      <c r="AE354" s="4">
        <f ca="1">IFERROR(__xludf.DUMMYFUNCTION("""COMPUTED_VALUE"""),42636.6666666666)</f>
        <v>42636.666666666599</v>
      </c>
      <c r="AF354" s="3">
        <f ca="1">IFERROR(__xludf.DUMMYFUNCTION("""COMPUTED_VALUE"""),73.23)</f>
        <v>73.23</v>
      </c>
      <c r="AG354" s="3">
        <f ca="1">IFERROR(__xludf.DUMMYFUNCTION("""COMPUTED_VALUE"""),73.41)</f>
        <v>73.41</v>
      </c>
      <c r="AH354" s="3">
        <f ca="1">IFERROR(__xludf.DUMMYFUNCTION("""COMPUTED_VALUE"""),73.1)</f>
        <v>73.099999999999994</v>
      </c>
      <c r="AI354" s="3">
        <f ca="1">IFERROR(__xludf.DUMMYFUNCTION("""COMPUTED_VALUE"""),73.11)</f>
        <v>73.11</v>
      </c>
      <c r="AJ354" s="3">
        <f ca="1">IFERROR(__xludf.DUMMYFUNCTION("""COMPUTED_VALUE"""),5420444)</f>
        <v>5420444</v>
      </c>
      <c r="AK354" s="4">
        <f ca="1">IFERROR(__xludf.DUMMYFUNCTION("""COMPUTED_VALUE"""),42636.6666666666)</f>
        <v>42636.666666666599</v>
      </c>
      <c r="AL354" s="3">
        <f ca="1">IFERROR(__xludf.DUMMYFUNCTION("""COMPUTED_VALUE"""),57.99)</f>
        <v>57.99</v>
      </c>
      <c r="AM354" s="3">
        <f ca="1">IFERROR(__xludf.DUMMYFUNCTION("""COMPUTED_VALUE"""),57.99)</f>
        <v>57.99</v>
      </c>
      <c r="AN354" s="3">
        <f ca="1">IFERROR(__xludf.DUMMYFUNCTION("""COMPUTED_VALUE"""),57.67)</f>
        <v>57.67</v>
      </c>
      <c r="AO354" s="3">
        <f ca="1">IFERROR(__xludf.DUMMYFUNCTION("""COMPUTED_VALUE"""),57.72)</f>
        <v>57.72</v>
      </c>
      <c r="AP354" s="3">
        <f ca="1">IFERROR(__xludf.DUMMYFUNCTION("""COMPUTED_VALUE"""),11269594)</f>
        <v>11269594</v>
      </c>
      <c r="AQ354" s="4">
        <f ca="1">IFERROR(__xludf.DUMMYFUNCTION("""COMPUTED_VALUE"""),42636.6666666666)</f>
        <v>42636.666666666599</v>
      </c>
      <c r="AR354" s="3">
        <f ca="1">IFERROR(__xludf.DUMMYFUNCTION("""COMPUTED_VALUE"""),47.39)</f>
        <v>47.39</v>
      </c>
      <c r="AS354" s="3">
        <f ca="1">IFERROR(__xludf.DUMMYFUNCTION("""COMPUTED_VALUE"""),47.62)</f>
        <v>47.62</v>
      </c>
      <c r="AT354" s="3">
        <f ca="1">IFERROR(__xludf.DUMMYFUNCTION("""COMPUTED_VALUE"""),47.3)</f>
        <v>47.3</v>
      </c>
      <c r="AU354" s="3">
        <f ca="1">IFERROR(__xludf.DUMMYFUNCTION("""COMPUTED_VALUE"""),47.31)</f>
        <v>47.31</v>
      </c>
      <c r="AV354" s="3">
        <f ca="1">IFERROR(__xludf.DUMMYFUNCTION("""COMPUTED_VALUE"""),4310207)</f>
        <v>4310207</v>
      </c>
      <c r="AW354" s="4">
        <f ca="1">IFERROR(__xludf.DUMMYFUNCTION("""COMPUTED_VALUE"""),42803.6666666666)</f>
        <v>42803.666666666599</v>
      </c>
      <c r="AX354" s="3">
        <f ca="1">IFERROR(__xludf.DUMMYFUNCTION("""COMPUTED_VALUE"""),31.14)</f>
        <v>31.14</v>
      </c>
      <c r="AY354" s="3">
        <f ca="1">IFERROR(__xludf.DUMMYFUNCTION("""COMPUTED_VALUE"""),31.27)</f>
        <v>31.27</v>
      </c>
      <c r="AZ354" s="3">
        <f ca="1">IFERROR(__xludf.DUMMYFUNCTION("""COMPUTED_VALUE"""),30.7)</f>
        <v>30.7</v>
      </c>
      <c r="BA354" s="3">
        <f ca="1">IFERROR(__xludf.DUMMYFUNCTION("""COMPUTED_VALUE"""),30.75)</f>
        <v>30.75</v>
      </c>
      <c r="BB354" s="3">
        <f ca="1">IFERROR(__xludf.DUMMYFUNCTION("""COMPUTED_VALUE"""),3171586)</f>
        <v>3171586</v>
      </c>
      <c r="BC354" s="4">
        <f ca="1">IFERROR(__xludf.DUMMYFUNCTION("""COMPUTED_VALUE"""),42636.6666666666)</f>
        <v>42636.666666666599</v>
      </c>
      <c r="BD354" s="3">
        <f ca="1">IFERROR(__xludf.DUMMYFUNCTION("""COMPUTED_VALUE"""),47.9)</f>
        <v>47.9</v>
      </c>
      <c r="BE354" s="3">
        <f ca="1">IFERROR(__xludf.DUMMYFUNCTION("""COMPUTED_VALUE"""),47.9)</f>
        <v>47.9</v>
      </c>
      <c r="BF354" s="3">
        <f ca="1">IFERROR(__xludf.DUMMYFUNCTION("""COMPUTED_VALUE"""),47.41)</f>
        <v>47.41</v>
      </c>
      <c r="BG354" s="3">
        <f ca="1">IFERROR(__xludf.DUMMYFUNCTION("""COMPUTED_VALUE"""),47.49)</f>
        <v>47.49</v>
      </c>
      <c r="BH354" s="3">
        <f ca="1">IFERROR(__xludf.DUMMYFUNCTION("""COMPUTED_VALUE"""),11986538)</f>
        <v>11986538</v>
      </c>
      <c r="BI354" s="4">
        <f ca="1">IFERROR(__xludf.DUMMYFUNCTION("""COMPUTED_VALUE"""),42636.6666666666)</f>
        <v>42636.666666666599</v>
      </c>
      <c r="BJ354" s="3">
        <f ca="1">IFERROR(__xludf.DUMMYFUNCTION("""COMPUTED_VALUE"""),50.83)</f>
        <v>50.83</v>
      </c>
      <c r="BK354" s="3">
        <f ca="1">IFERROR(__xludf.DUMMYFUNCTION("""COMPUTED_VALUE"""),51.08)</f>
        <v>51.08</v>
      </c>
      <c r="BL354" s="3">
        <f ca="1">IFERROR(__xludf.DUMMYFUNCTION("""COMPUTED_VALUE"""),50.59)</f>
        <v>50.59</v>
      </c>
      <c r="BM354" s="3">
        <f ca="1">IFERROR(__xludf.DUMMYFUNCTION("""COMPUTED_VALUE"""),50.94)</f>
        <v>50.94</v>
      </c>
      <c r="BN354" s="3">
        <f ca="1">IFERROR(__xludf.DUMMYFUNCTION("""COMPUTED_VALUE"""),11003441)</f>
        <v>11003441</v>
      </c>
    </row>
    <row r="355" spans="7:66" ht="13" x14ac:dyDescent="0.15">
      <c r="G355" s="4">
        <f ca="1">IFERROR(__xludf.DUMMYFUNCTION("""COMPUTED_VALUE"""),42639.6666666666)</f>
        <v>42639.666666666599</v>
      </c>
      <c r="H355" s="3">
        <f ca="1">IFERROR(__xludf.DUMMYFUNCTION("""COMPUTED_VALUE"""),79.45)</f>
        <v>79.45</v>
      </c>
      <c r="I355" s="3">
        <f ca="1">IFERROR(__xludf.DUMMYFUNCTION("""COMPUTED_VALUE"""),79.45)</f>
        <v>79.45</v>
      </c>
      <c r="J355" s="3">
        <f ca="1">IFERROR(__xludf.DUMMYFUNCTION("""COMPUTED_VALUE"""),78.69)</f>
        <v>78.69</v>
      </c>
      <c r="K355" s="3">
        <f ca="1">IFERROR(__xludf.DUMMYFUNCTION("""COMPUTED_VALUE"""),78.79)</f>
        <v>78.790000000000006</v>
      </c>
      <c r="L355" s="3">
        <f ca="1">IFERROR(__xludf.DUMMYFUNCTION("""COMPUTED_VALUE"""),5928319)</f>
        <v>5928319</v>
      </c>
      <c r="M355" s="4">
        <f ca="1">IFERROR(__xludf.DUMMYFUNCTION("""COMPUTED_VALUE"""),42639.6666666666)</f>
        <v>42639.666666666599</v>
      </c>
      <c r="N355" s="3">
        <f ca="1">IFERROR(__xludf.DUMMYFUNCTION("""COMPUTED_VALUE"""),53.2)</f>
        <v>53.2</v>
      </c>
      <c r="O355" s="3">
        <f ca="1">IFERROR(__xludf.DUMMYFUNCTION("""COMPUTED_VALUE"""),53.22)</f>
        <v>53.22</v>
      </c>
      <c r="P355" s="3">
        <f ca="1">IFERROR(__xludf.DUMMYFUNCTION("""COMPUTED_VALUE"""),52.84)</f>
        <v>52.84</v>
      </c>
      <c r="Q355" s="3">
        <f ca="1">IFERROR(__xludf.DUMMYFUNCTION("""COMPUTED_VALUE"""),52.89)</f>
        <v>52.89</v>
      </c>
      <c r="R355" s="3">
        <f ca="1">IFERROR(__xludf.DUMMYFUNCTION("""COMPUTED_VALUE"""),12797243)</f>
        <v>12797243</v>
      </c>
      <c r="S355" s="4">
        <f ca="1">IFERROR(__xludf.DUMMYFUNCTION("""COMPUTED_VALUE"""),42639.6666666666)</f>
        <v>42639.666666666599</v>
      </c>
      <c r="T355" s="3">
        <f ca="1">IFERROR(__xludf.DUMMYFUNCTION("""COMPUTED_VALUE"""),67.87)</f>
        <v>67.87</v>
      </c>
      <c r="U355" s="3">
        <f ca="1">IFERROR(__xludf.DUMMYFUNCTION("""COMPUTED_VALUE"""),68.23)</f>
        <v>68.23</v>
      </c>
      <c r="V355" s="3">
        <f ca="1">IFERROR(__xludf.DUMMYFUNCTION("""COMPUTED_VALUE"""),67.21)</f>
        <v>67.209999999999994</v>
      </c>
      <c r="W355" s="3">
        <f ca="1">IFERROR(__xludf.DUMMYFUNCTION("""COMPUTED_VALUE"""),67.34)</f>
        <v>67.34</v>
      </c>
      <c r="X355" s="3">
        <f ca="1">IFERROR(__xludf.DUMMYFUNCTION("""COMPUTED_VALUE"""),13240154)</f>
        <v>13240154</v>
      </c>
      <c r="Y355" s="4">
        <f ca="1">IFERROR(__xludf.DUMMYFUNCTION("""COMPUTED_VALUE"""),42639.6666666666)</f>
        <v>42639.666666666599</v>
      </c>
      <c r="Z355" s="3">
        <f ca="1">IFERROR(__xludf.DUMMYFUNCTION("""COMPUTED_VALUE"""),19.26)</f>
        <v>19.260000000000002</v>
      </c>
      <c r="AA355" s="3">
        <f ca="1">IFERROR(__xludf.DUMMYFUNCTION("""COMPUTED_VALUE"""),19.27)</f>
        <v>19.27</v>
      </c>
      <c r="AB355" s="3">
        <f ca="1">IFERROR(__xludf.DUMMYFUNCTION("""COMPUTED_VALUE"""),19.02)</f>
        <v>19.02</v>
      </c>
      <c r="AC355" s="3">
        <f ca="1">IFERROR(__xludf.DUMMYFUNCTION("""COMPUTED_VALUE"""),19.07)</f>
        <v>19.07</v>
      </c>
      <c r="AD355" s="3">
        <f ca="1">IFERROR(__xludf.DUMMYFUNCTION("""COMPUTED_VALUE"""),54188999)</f>
        <v>54188999</v>
      </c>
      <c r="AE355" s="4">
        <f ca="1">IFERROR(__xludf.DUMMYFUNCTION("""COMPUTED_VALUE"""),42639.6666666666)</f>
        <v>42639.666666666599</v>
      </c>
      <c r="AF355" s="3">
        <f ca="1">IFERROR(__xludf.DUMMYFUNCTION("""COMPUTED_VALUE"""),72.84)</f>
        <v>72.84</v>
      </c>
      <c r="AG355" s="3">
        <f ca="1">IFERROR(__xludf.DUMMYFUNCTION("""COMPUTED_VALUE"""),72.9)</f>
        <v>72.900000000000006</v>
      </c>
      <c r="AH355" s="3">
        <f ca="1">IFERROR(__xludf.DUMMYFUNCTION("""COMPUTED_VALUE"""),72.09)</f>
        <v>72.09</v>
      </c>
      <c r="AI355" s="3">
        <f ca="1">IFERROR(__xludf.DUMMYFUNCTION("""COMPUTED_VALUE"""),72.26)</f>
        <v>72.260000000000005</v>
      </c>
      <c r="AJ355" s="3">
        <f ca="1">IFERROR(__xludf.DUMMYFUNCTION("""COMPUTED_VALUE"""),5534058)</f>
        <v>5534058</v>
      </c>
      <c r="AK355" s="4">
        <f ca="1">IFERROR(__xludf.DUMMYFUNCTION("""COMPUTED_VALUE"""),42639.6666666666)</f>
        <v>42639.666666666599</v>
      </c>
      <c r="AL355" s="3">
        <f ca="1">IFERROR(__xludf.DUMMYFUNCTION("""COMPUTED_VALUE"""),57.5)</f>
        <v>57.5</v>
      </c>
      <c r="AM355" s="3">
        <f ca="1">IFERROR(__xludf.DUMMYFUNCTION("""COMPUTED_VALUE"""),57.69)</f>
        <v>57.69</v>
      </c>
      <c r="AN355" s="3">
        <f ca="1">IFERROR(__xludf.DUMMYFUNCTION("""COMPUTED_VALUE"""),57.34)</f>
        <v>57.34</v>
      </c>
      <c r="AO355" s="3">
        <f ca="1">IFERROR(__xludf.DUMMYFUNCTION("""COMPUTED_VALUE"""),57.47)</f>
        <v>57.47</v>
      </c>
      <c r="AP355" s="3">
        <f ca="1">IFERROR(__xludf.DUMMYFUNCTION("""COMPUTED_VALUE"""),9560417)</f>
        <v>9560417</v>
      </c>
      <c r="AQ355" s="4">
        <f ca="1">IFERROR(__xludf.DUMMYFUNCTION("""COMPUTED_VALUE"""),42639.6666666666)</f>
        <v>42639.666666666599</v>
      </c>
      <c r="AR355" s="3">
        <f ca="1">IFERROR(__xludf.DUMMYFUNCTION("""COMPUTED_VALUE"""),47.34)</f>
        <v>47.34</v>
      </c>
      <c r="AS355" s="3">
        <f ca="1">IFERROR(__xludf.DUMMYFUNCTION("""COMPUTED_VALUE"""),47.41)</f>
        <v>47.41</v>
      </c>
      <c r="AT355" s="3">
        <f ca="1">IFERROR(__xludf.DUMMYFUNCTION("""COMPUTED_VALUE"""),47.03)</f>
        <v>47.03</v>
      </c>
      <c r="AU355" s="3">
        <f ca="1">IFERROR(__xludf.DUMMYFUNCTION("""COMPUTED_VALUE"""),47.09)</f>
        <v>47.09</v>
      </c>
      <c r="AV355" s="3">
        <f ca="1">IFERROR(__xludf.DUMMYFUNCTION("""COMPUTED_VALUE"""),3757813)</f>
        <v>3757813</v>
      </c>
      <c r="AW355" s="4">
        <f ca="1">IFERROR(__xludf.DUMMYFUNCTION("""COMPUTED_VALUE"""),42804.6666666666)</f>
        <v>42804.666666666599</v>
      </c>
      <c r="AX355" s="3">
        <f ca="1">IFERROR(__xludf.DUMMYFUNCTION("""COMPUTED_VALUE"""),30.91)</f>
        <v>30.91</v>
      </c>
      <c r="AY355" s="3">
        <f ca="1">IFERROR(__xludf.DUMMYFUNCTION("""COMPUTED_VALUE"""),31.16)</f>
        <v>31.16</v>
      </c>
      <c r="AZ355" s="3">
        <f ca="1">IFERROR(__xludf.DUMMYFUNCTION("""COMPUTED_VALUE"""),30.54)</f>
        <v>30.54</v>
      </c>
      <c r="BA355" s="3">
        <f ca="1">IFERROR(__xludf.DUMMYFUNCTION("""COMPUTED_VALUE"""),30.72)</f>
        <v>30.72</v>
      </c>
      <c r="BB355" s="3">
        <f ca="1">IFERROR(__xludf.DUMMYFUNCTION("""COMPUTED_VALUE"""),1691120)</f>
        <v>1691120</v>
      </c>
      <c r="BC355" s="4">
        <f ca="1">IFERROR(__xludf.DUMMYFUNCTION("""COMPUTED_VALUE"""),42639.6666666666)</f>
        <v>42639.666666666599</v>
      </c>
      <c r="BD355" s="3">
        <f ca="1">IFERROR(__xludf.DUMMYFUNCTION("""COMPUTED_VALUE"""),47.29)</f>
        <v>47.29</v>
      </c>
      <c r="BE355" s="3">
        <f ca="1">IFERROR(__xludf.DUMMYFUNCTION("""COMPUTED_VALUE"""),47.37)</f>
        <v>47.37</v>
      </c>
      <c r="BF355" s="3">
        <f ca="1">IFERROR(__xludf.DUMMYFUNCTION("""COMPUTED_VALUE"""),47.12)</f>
        <v>47.12</v>
      </c>
      <c r="BG355" s="3">
        <f ca="1">IFERROR(__xludf.DUMMYFUNCTION("""COMPUTED_VALUE"""),47.21)</f>
        <v>47.21</v>
      </c>
      <c r="BH355" s="3">
        <f ca="1">IFERROR(__xludf.DUMMYFUNCTION("""COMPUTED_VALUE"""),9620379)</f>
        <v>9620379</v>
      </c>
      <c r="BI355" s="4">
        <f ca="1">IFERROR(__xludf.DUMMYFUNCTION("""COMPUTED_VALUE"""),42639.6666666666)</f>
        <v>42639.666666666599</v>
      </c>
      <c r="BJ355" s="3">
        <f ca="1">IFERROR(__xludf.DUMMYFUNCTION("""COMPUTED_VALUE"""),50.94)</f>
        <v>50.94</v>
      </c>
      <c r="BK355" s="3">
        <f ca="1">IFERROR(__xludf.DUMMYFUNCTION("""COMPUTED_VALUE"""),51.02)</f>
        <v>51.02</v>
      </c>
      <c r="BL355" s="3">
        <f ca="1">IFERROR(__xludf.DUMMYFUNCTION("""COMPUTED_VALUE"""),50.64)</f>
        <v>50.64</v>
      </c>
      <c r="BM355" s="3">
        <f ca="1">IFERROR(__xludf.DUMMYFUNCTION("""COMPUTED_VALUE"""),50.81)</f>
        <v>50.81</v>
      </c>
      <c r="BN355" s="3">
        <f ca="1">IFERROR(__xludf.DUMMYFUNCTION("""COMPUTED_VALUE"""),8052839)</f>
        <v>8052839</v>
      </c>
    </row>
    <row r="356" spans="7:66" ht="13" x14ac:dyDescent="0.15">
      <c r="G356" s="4">
        <f ca="1">IFERROR(__xludf.DUMMYFUNCTION("""COMPUTED_VALUE"""),42640.6666666666)</f>
        <v>42640.666666666599</v>
      </c>
      <c r="H356" s="3">
        <f ca="1">IFERROR(__xludf.DUMMYFUNCTION("""COMPUTED_VALUE"""),78.89)</f>
        <v>78.89</v>
      </c>
      <c r="I356" s="3">
        <f ca="1">IFERROR(__xludf.DUMMYFUNCTION("""COMPUTED_VALUE"""),79.59)</f>
        <v>79.59</v>
      </c>
      <c r="J356" s="3">
        <f ca="1">IFERROR(__xludf.DUMMYFUNCTION("""COMPUTED_VALUE"""),78.76)</f>
        <v>78.760000000000005</v>
      </c>
      <c r="K356" s="3">
        <f ca="1">IFERROR(__xludf.DUMMYFUNCTION("""COMPUTED_VALUE"""),79.59)</f>
        <v>79.59</v>
      </c>
      <c r="L356" s="3">
        <f ca="1">IFERROR(__xludf.DUMMYFUNCTION("""COMPUTED_VALUE"""),5137461)</f>
        <v>5137461</v>
      </c>
      <c r="M356" s="4">
        <f ca="1">IFERROR(__xludf.DUMMYFUNCTION("""COMPUTED_VALUE"""),42640.6666666666)</f>
        <v>42640.666666666599</v>
      </c>
      <c r="N356" s="3">
        <f ca="1">IFERROR(__xludf.DUMMYFUNCTION("""COMPUTED_VALUE"""),52.89)</f>
        <v>52.89</v>
      </c>
      <c r="O356" s="3">
        <f ca="1">IFERROR(__xludf.DUMMYFUNCTION("""COMPUTED_VALUE"""),53.26)</f>
        <v>53.26</v>
      </c>
      <c r="P356" s="3">
        <f ca="1">IFERROR(__xludf.DUMMYFUNCTION("""COMPUTED_VALUE"""),52.86)</f>
        <v>52.86</v>
      </c>
      <c r="Q356" s="3">
        <f ca="1">IFERROR(__xludf.DUMMYFUNCTION("""COMPUTED_VALUE"""),53.11)</f>
        <v>53.11</v>
      </c>
      <c r="R356" s="3">
        <f ca="1">IFERROR(__xludf.DUMMYFUNCTION("""COMPUTED_VALUE"""),12608728)</f>
        <v>12608728</v>
      </c>
      <c r="S356" s="4">
        <f ca="1">IFERROR(__xludf.DUMMYFUNCTION("""COMPUTED_VALUE"""),42640.6666666666)</f>
        <v>42640.666666666599</v>
      </c>
      <c r="T356" s="3">
        <f ca="1">IFERROR(__xludf.DUMMYFUNCTION("""COMPUTED_VALUE"""),66.67)</f>
        <v>66.67</v>
      </c>
      <c r="U356" s="3">
        <f ca="1">IFERROR(__xludf.DUMMYFUNCTION("""COMPUTED_VALUE"""),67.07)</f>
        <v>67.069999999999993</v>
      </c>
      <c r="V356" s="3">
        <f ca="1">IFERROR(__xludf.DUMMYFUNCTION("""COMPUTED_VALUE"""),66.14)</f>
        <v>66.14</v>
      </c>
      <c r="W356" s="3">
        <f ca="1">IFERROR(__xludf.DUMMYFUNCTION("""COMPUTED_VALUE"""),66.89)</f>
        <v>66.89</v>
      </c>
      <c r="X356" s="3">
        <f ca="1">IFERROR(__xludf.DUMMYFUNCTION("""COMPUTED_VALUE"""),19410216)</f>
        <v>19410216</v>
      </c>
      <c r="Y356" s="4">
        <f ca="1">IFERROR(__xludf.DUMMYFUNCTION("""COMPUTED_VALUE"""),42640.6666666666)</f>
        <v>42640.666666666599</v>
      </c>
      <c r="Z356" s="3">
        <f ca="1">IFERROR(__xludf.DUMMYFUNCTION("""COMPUTED_VALUE"""),19)</f>
        <v>19</v>
      </c>
      <c r="AA356" s="3">
        <f ca="1">IFERROR(__xludf.DUMMYFUNCTION("""COMPUTED_VALUE"""),19.24)</f>
        <v>19.239999999999998</v>
      </c>
      <c r="AB356" s="3">
        <f ca="1">IFERROR(__xludf.DUMMYFUNCTION("""COMPUTED_VALUE"""),18.94)</f>
        <v>18.940000000000001</v>
      </c>
      <c r="AC356" s="3">
        <f ca="1">IFERROR(__xludf.DUMMYFUNCTION("""COMPUTED_VALUE"""),19.22)</f>
        <v>19.22</v>
      </c>
      <c r="AD356" s="3">
        <f ca="1">IFERROR(__xludf.DUMMYFUNCTION("""COMPUTED_VALUE"""),47620011)</f>
        <v>47620011</v>
      </c>
      <c r="AE356" s="4">
        <f ca="1">IFERROR(__xludf.DUMMYFUNCTION("""COMPUTED_VALUE"""),42640.6666666666)</f>
        <v>42640.666666666599</v>
      </c>
      <c r="AF356" s="3">
        <f ca="1">IFERROR(__xludf.DUMMYFUNCTION("""COMPUTED_VALUE"""),72.17)</f>
        <v>72.17</v>
      </c>
      <c r="AG356" s="3">
        <f ca="1">IFERROR(__xludf.DUMMYFUNCTION("""COMPUTED_VALUE"""),72.78)</f>
        <v>72.78</v>
      </c>
      <c r="AH356" s="3">
        <f ca="1">IFERROR(__xludf.DUMMYFUNCTION("""COMPUTED_VALUE"""),72.01)</f>
        <v>72.010000000000005</v>
      </c>
      <c r="AI356" s="3">
        <f ca="1">IFERROR(__xludf.DUMMYFUNCTION("""COMPUTED_VALUE"""),72.77)</f>
        <v>72.77</v>
      </c>
      <c r="AJ356" s="3">
        <f ca="1">IFERROR(__xludf.DUMMYFUNCTION("""COMPUTED_VALUE"""),7839016)</f>
        <v>7839016</v>
      </c>
      <c r="AK356" s="4">
        <f ca="1">IFERROR(__xludf.DUMMYFUNCTION("""COMPUTED_VALUE"""),42640.6666666666)</f>
        <v>42640.666666666599</v>
      </c>
      <c r="AL356" s="3">
        <f ca="1">IFERROR(__xludf.DUMMYFUNCTION("""COMPUTED_VALUE"""),57.38)</f>
        <v>57.38</v>
      </c>
      <c r="AM356" s="3">
        <f ca="1">IFERROR(__xludf.DUMMYFUNCTION("""COMPUTED_VALUE"""),57.95)</f>
        <v>57.95</v>
      </c>
      <c r="AN356" s="3">
        <f ca="1">IFERROR(__xludf.DUMMYFUNCTION("""COMPUTED_VALUE"""),57.29)</f>
        <v>57.29</v>
      </c>
      <c r="AO356" s="3">
        <f ca="1">IFERROR(__xludf.DUMMYFUNCTION("""COMPUTED_VALUE"""),57.87)</f>
        <v>57.87</v>
      </c>
      <c r="AP356" s="3">
        <f ca="1">IFERROR(__xludf.DUMMYFUNCTION("""COMPUTED_VALUE"""),6882690)</f>
        <v>6882690</v>
      </c>
      <c r="AQ356" s="4">
        <f ca="1">IFERROR(__xludf.DUMMYFUNCTION("""COMPUTED_VALUE"""),42640.6666666666)</f>
        <v>42640.666666666599</v>
      </c>
      <c r="AR356" s="3">
        <f ca="1">IFERROR(__xludf.DUMMYFUNCTION("""COMPUTED_VALUE"""),46.93)</f>
        <v>46.93</v>
      </c>
      <c r="AS356" s="3">
        <f ca="1">IFERROR(__xludf.DUMMYFUNCTION("""COMPUTED_VALUE"""),47.27)</f>
        <v>47.27</v>
      </c>
      <c r="AT356" s="3">
        <f ca="1">IFERROR(__xludf.DUMMYFUNCTION("""COMPUTED_VALUE"""),46.85)</f>
        <v>46.85</v>
      </c>
      <c r="AU356" s="3">
        <f ca="1">IFERROR(__xludf.DUMMYFUNCTION("""COMPUTED_VALUE"""),47.23)</f>
        <v>47.23</v>
      </c>
      <c r="AV356" s="3">
        <f ca="1">IFERROR(__xludf.DUMMYFUNCTION("""COMPUTED_VALUE"""),3321752)</f>
        <v>3321752</v>
      </c>
      <c r="AW356" s="4">
        <f ca="1">IFERROR(__xludf.DUMMYFUNCTION("""COMPUTED_VALUE"""),42807.6666666666)</f>
        <v>42807.666666666599</v>
      </c>
      <c r="AX356" s="3">
        <f ca="1">IFERROR(__xludf.DUMMYFUNCTION("""COMPUTED_VALUE"""),30.72)</f>
        <v>30.72</v>
      </c>
      <c r="AY356" s="3">
        <f ca="1">IFERROR(__xludf.DUMMYFUNCTION("""COMPUTED_VALUE"""),30.91)</f>
        <v>30.91</v>
      </c>
      <c r="AZ356" s="3">
        <f ca="1">IFERROR(__xludf.DUMMYFUNCTION("""COMPUTED_VALUE"""),30.67)</f>
        <v>30.67</v>
      </c>
      <c r="BA356" s="3">
        <f ca="1">IFERROR(__xludf.DUMMYFUNCTION("""COMPUTED_VALUE"""),30.76)</f>
        <v>30.76</v>
      </c>
      <c r="BB356" s="3">
        <f ca="1">IFERROR(__xludf.DUMMYFUNCTION("""COMPUTED_VALUE"""),1929393)</f>
        <v>1929393</v>
      </c>
      <c r="BC356" s="4">
        <f ca="1">IFERROR(__xludf.DUMMYFUNCTION("""COMPUTED_VALUE"""),42640.6666666666)</f>
        <v>42640.666666666599</v>
      </c>
      <c r="BD356" s="3">
        <f ca="1">IFERROR(__xludf.DUMMYFUNCTION("""COMPUTED_VALUE"""),47.27)</f>
        <v>47.27</v>
      </c>
      <c r="BE356" s="3">
        <f ca="1">IFERROR(__xludf.DUMMYFUNCTION("""COMPUTED_VALUE"""),47.75)</f>
        <v>47.75</v>
      </c>
      <c r="BF356" s="3">
        <f ca="1">IFERROR(__xludf.DUMMYFUNCTION("""COMPUTED_VALUE"""),47.15)</f>
        <v>47.15</v>
      </c>
      <c r="BG356" s="3">
        <f ca="1">IFERROR(__xludf.DUMMYFUNCTION("""COMPUTED_VALUE"""),47.73)</f>
        <v>47.73</v>
      </c>
      <c r="BH356" s="3">
        <f ca="1">IFERROR(__xludf.DUMMYFUNCTION("""COMPUTED_VALUE"""),8784549)</f>
        <v>8784549</v>
      </c>
      <c r="BI356" s="4">
        <f ca="1">IFERROR(__xludf.DUMMYFUNCTION("""COMPUTED_VALUE"""),42640.6666666666)</f>
        <v>42640.666666666599</v>
      </c>
      <c r="BJ356" s="3">
        <f ca="1">IFERROR(__xludf.DUMMYFUNCTION("""COMPUTED_VALUE"""),50.98)</f>
        <v>50.98</v>
      </c>
      <c r="BK356" s="3">
        <f ca="1">IFERROR(__xludf.DUMMYFUNCTION("""COMPUTED_VALUE"""),51.23)</f>
        <v>51.23</v>
      </c>
      <c r="BL356" s="3">
        <f ca="1">IFERROR(__xludf.DUMMYFUNCTION("""COMPUTED_VALUE"""),50.1)</f>
        <v>50.1</v>
      </c>
      <c r="BM356" s="3">
        <f ca="1">IFERROR(__xludf.DUMMYFUNCTION("""COMPUTED_VALUE"""),50.15)</f>
        <v>50.15</v>
      </c>
      <c r="BN356" s="3">
        <f ca="1">IFERROR(__xludf.DUMMYFUNCTION("""COMPUTED_VALUE"""),17939557)</f>
        <v>17939557</v>
      </c>
    </row>
    <row r="357" spans="7:66" ht="13" x14ac:dyDescent="0.15">
      <c r="G357" s="4">
        <f ca="1">IFERROR(__xludf.DUMMYFUNCTION("""COMPUTED_VALUE"""),42641.6666666666)</f>
        <v>42641.666666666599</v>
      </c>
      <c r="H357" s="3">
        <f ca="1">IFERROR(__xludf.DUMMYFUNCTION("""COMPUTED_VALUE"""),79.64)</f>
        <v>79.64</v>
      </c>
      <c r="I357" s="3">
        <f ca="1">IFERROR(__xludf.DUMMYFUNCTION("""COMPUTED_VALUE"""),79.85)</f>
        <v>79.849999999999994</v>
      </c>
      <c r="J357" s="3">
        <f ca="1">IFERROR(__xludf.DUMMYFUNCTION("""COMPUTED_VALUE"""),79.34)</f>
        <v>79.34</v>
      </c>
      <c r="K357" s="3">
        <f ca="1">IFERROR(__xludf.DUMMYFUNCTION("""COMPUTED_VALUE"""),79.81)</f>
        <v>79.81</v>
      </c>
      <c r="L357" s="3">
        <f ca="1">IFERROR(__xludf.DUMMYFUNCTION("""COMPUTED_VALUE"""),4130322)</f>
        <v>4130322</v>
      </c>
      <c r="M357" s="4">
        <f ca="1">IFERROR(__xludf.DUMMYFUNCTION("""COMPUTED_VALUE"""),42641.6666666666)</f>
        <v>42641.666666666599</v>
      </c>
      <c r="N357" s="3">
        <f ca="1">IFERROR(__xludf.DUMMYFUNCTION("""COMPUTED_VALUE"""),53.22)</f>
        <v>53.22</v>
      </c>
      <c r="O357" s="3">
        <f ca="1">IFERROR(__xludf.DUMMYFUNCTION("""COMPUTED_VALUE"""),53.32)</f>
        <v>53.32</v>
      </c>
      <c r="P357" s="3">
        <f ca="1">IFERROR(__xludf.DUMMYFUNCTION("""COMPUTED_VALUE"""),52.96)</f>
        <v>52.96</v>
      </c>
      <c r="Q357" s="3">
        <f ca="1">IFERROR(__xludf.DUMMYFUNCTION("""COMPUTED_VALUE"""),53.2)</f>
        <v>53.2</v>
      </c>
      <c r="R357" s="3">
        <f ca="1">IFERROR(__xludf.DUMMYFUNCTION("""COMPUTED_VALUE"""),9757545)</f>
        <v>9757545</v>
      </c>
      <c r="S357" s="4">
        <f ca="1">IFERROR(__xludf.DUMMYFUNCTION("""COMPUTED_VALUE"""),42641.6666666666)</f>
        <v>42641.666666666599</v>
      </c>
      <c r="T357" s="3">
        <f ca="1">IFERROR(__xludf.DUMMYFUNCTION("""COMPUTED_VALUE"""),67.28)</f>
        <v>67.28</v>
      </c>
      <c r="U357" s="3">
        <f ca="1">IFERROR(__xludf.DUMMYFUNCTION("""COMPUTED_VALUE"""),69.88)</f>
        <v>69.88</v>
      </c>
      <c r="V357" s="3">
        <f ca="1">IFERROR(__xludf.DUMMYFUNCTION("""COMPUTED_VALUE"""),66.71)</f>
        <v>66.709999999999994</v>
      </c>
      <c r="W357" s="3">
        <f ca="1">IFERROR(__xludf.DUMMYFUNCTION("""COMPUTED_VALUE"""),69.78)</f>
        <v>69.78</v>
      </c>
      <c r="X357" s="3">
        <f ca="1">IFERROR(__xludf.DUMMYFUNCTION("""COMPUTED_VALUE"""),41143437)</f>
        <v>41143437</v>
      </c>
      <c r="Y357" s="4">
        <f ca="1">IFERROR(__xludf.DUMMYFUNCTION("""COMPUTED_VALUE"""),42641.6666666666)</f>
        <v>42641.666666666599</v>
      </c>
      <c r="Z357" s="3">
        <f ca="1">IFERROR(__xludf.DUMMYFUNCTION("""COMPUTED_VALUE"""),19.3)</f>
        <v>19.3</v>
      </c>
      <c r="AA357" s="3">
        <f ca="1">IFERROR(__xludf.DUMMYFUNCTION("""COMPUTED_VALUE"""),19.34)</f>
        <v>19.34</v>
      </c>
      <c r="AB357" s="3">
        <f ca="1">IFERROR(__xludf.DUMMYFUNCTION("""COMPUTED_VALUE"""),19.12)</f>
        <v>19.12</v>
      </c>
      <c r="AC357" s="3">
        <f ca="1">IFERROR(__xludf.DUMMYFUNCTION("""COMPUTED_VALUE"""),19.31)</f>
        <v>19.309999999999999</v>
      </c>
      <c r="AD357" s="3">
        <f ca="1">IFERROR(__xludf.DUMMYFUNCTION("""COMPUTED_VALUE"""),42936410)</f>
        <v>42936410</v>
      </c>
      <c r="AE357" s="4">
        <f ca="1">IFERROR(__xludf.DUMMYFUNCTION("""COMPUTED_VALUE"""),42641.6666666666)</f>
        <v>42641.666666666599</v>
      </c>
      <c r="AF357" s="3">
        <f ca="1">IFERROR(__xludf.DUMMYFUNCTION("""COMPUTED_VALUE"""),72.84)</f>
        <v>72.84</v>
      </c>
      <c r="AG357" s="3">
        <f ca="1">IFERROR(__xludf.DUMMYFUNCTION("""COMPUTED_VALUE"""),72.85)</f>
        <v>72.849999999999994</v>
      </c>
      <c r="AH357" s="3">
        <f ca="1">IFERROR(__xludf.DUMMYFUNCTION("""COMPUTED_VALUE"""),72.28)</f>
        <v>72.28</v>
      </c>
      <c r="AI357" s="3">
        <f ca="1">IFERROR(__xludf.DUMMYFUNCTION("""COMPUTED_VALUE"""),72.66)</f>
        <v>72.66</v>
      </c>
      <c r="AJ357" s="3">
        <f ca="1">IFERROR(__xludf.DUMMYFUNCTION("""COMPUTED_VALUE"""),6522589)</f>
        <v>6522589</v>
      </c>
      <c r="AK357" s="4">
        <f ca="1">IFERROR(__xludf.DUMMYFUNCTION("""COMPUTED_VALUE"""),42641.6666666666)</f>
        <v>42641.666666666599</v>
      </c>
      <c r="AL357" s="3">
        <f ca="1">IFERROR(__xludf.DUMMYFUNCTION("""COMPUTED_VALUE"""),57.92)</f>
        <v>57.92</v>
      </c>
      <c r="AM357" s="3">
        <f ca="1">IFERROR(__xludf.DUMMYFUNCTION("""COMPUTED_VALUE"""),58.35)</f>
        <v>58.35</v>
      </c>
      <c r="AN357" s="3">
        <f ca="1">IFERROR(__xludf.DUMMYFUNCTION("""COMPUTED_VALUE"""),57.81)</f>
        <v>57.81</v>
      </c>
      <c r="AO357" s="3">
        <f ca="1">IFERROR(__xludf.DUMMYFUNCTION("""COMPUTED_VALUE"""),58.32)</f>
        <v>58.32</v>
      </c>
      <c r="AP357" s="3">
        <f ca="1">IFERROR(__xludf.DUMMYFUNCTION("""COMPUTED_VALUE"""),7366551)</f>
        <v>7366551</v>
      </c>
      <c r="AQ357" s="4">
        <f ca="1">IFERROR(__xludf.DUMMYFUNCTION("""COMPUTED_VALUE"""),42641.6666666666)</f>
        <v>42641.666666666599</v>
      </c>
      <c r="AR357" s="3">
        <f ca="1">IFERROR(__xludf.DUMMYFUNCTION("""COMPUTED_VALUE"""),47.34)</f>
        <v>47.34</v>
      </c>
      <c r="AS357" s="3">
        <f ca="1">IFERROR(__xludf.DUMMYFUNCTION("""COMPUTED_VALUE"""),47.82)</f>
        <v>47.82</v>
      </c>
      <c r="AT357" s="3">
        <f ca="1">IFERROR(__xludf.DUMMYFUNCTION("""COMPUTED_VALUE"""),47.12)</f>
        <v>47.12</v>
      </c>
      <c r="AU357" s="3">
        <f ca="1">IFERROR(__xludf.DUMMYFUNCTION("""COMPUTED_VALUE"""),47.77)</f>
        <v>47.77</v>
      </c>
      <c r="AV357" s="3">
        <f ca="1">IFERROR(__xludf.DUMMYFUNCTION("""COMPUTED_VALUE"""),4566609)</f>
        <v>4566609</v>
      </c>
      <c r="AW357" s="4">
        <f ca="1">IFERROR(__xludf.DUMMYFUNCTION("""COMPUTED_VALUE"""),42808.6666666666)</f>
        <v>42808.666666666599</v>
      </c>
      <c r="AX357" s="3">
        <f ca="1">IFERROR(__xludf.DUMMYFUNCTION("""COMPUTED_VALUE"""),30.72)</f>
        <v>30.72</v>
      </c>
      <c r="AY357" s="3">
        <f ca="1">IFERROR(__xludf.DUMMYFUNCTION("""COMPUTED_VALUE"""),30.82)</f>
        <v>30.82</v>
      </c>
      <c r="AZ357" s="3">
        <f ca="1">IFERROR(__xludf.DUMMYFUNCTION("""COMPUTED_VALUE"""),30.6)</f>
        <v>30.6</v>
      </c>
      <c r="BA357" s="3">
        <f ca="1">IFERROR(__xludf.DUMMYFUNCTION("""COMPUTED_VALUE"""),30.72)</f>
        <v>30.72</v>
      </c>
      <c r="BB357" s="3">
        <f ca="1">IFERROR(__xludf.DUMMYFUNCTION("""COMPUTED_VALUE"""),2139581)</f>
        <v>2139581</v>
      </c>
      <c r="BC357" s="4">
        <f ca="1">IFERROR(__xludf.DUMMYFUNCTION("""COMPUTED_VALUE"""),42641.6666666666)</f>
        <v>42641.666666666599</v>
      </c>
      <c r="BD357" s="3">
        <f ca="1">IFERROR(__xludf.DUMMYFUNCTION("""COMPUTED_VALUE"""),47.77)</f>
        <v>47.77</v>
      </c>
      <c r="BE357" s="3">
        <f ca="1">IFERROR(__xludf.DUMMYFUNCTION("""COMPUTED_VALUE"""),47.84)</f>
        <v>47.84</v>
      </c>
      <c r="BF357" s="3">
        <f ca="1">IFERROR(__xludf.DUMMYFUNCTION("""COMPUTED_VALUE"""),47.52)</f>
        <v>47.52</v>
      </c>
      <c r="BG357" s="3">
        <f ca="1">IFERROR(__xludf.DUMMYFUNCTION("""COMPUTED_VALUE"""),47.82)</f>
        <v>47.82</v>
      </c>
      <c r="BH357" s="3">
        <f ca="1">IFERROR(__xludf.DUMMYFUNCTION("""COMPUTED_VALUE"""),9048720)</f>
        <v>9048720</v>
      </c>
      <c r="BI357" s="4">
        <f ca="1">IFERROR(__xludf.DUMMYFUNCTION("""COMPUTED_VALUE"""),42641.6666666666)</f>
        <v>42641.666666666599</v>
      </c>
      <c r="BJ357" s="3">
        <f ca="1">IFERROR(__xludf.DUMMYFUNCTION("""COMPUTED_VALUE"""),50.18)</f>
        <v>50.18</v>
      </c>
      <c r="BK357" s="3">
        <f ca="1">IFERROR(__xludf.DUMMYFUNCTION("""COMPUTED_VALUE"""),50.34)</f>
        <v>50.34</v>
      </c>
      <c r="BL357" s="3">
        <f ca="1">IFERROR(__xludf.DUMMYFUNCTION("""COMPUTED_VALUE"""),49.65)</f>
        <v>49.65</v>
      </c>
      <c r="BM357" s="3">
        <f ca="1">IFERROR(__xludf.DUMMYFUNCTION("""COMPUTED_VALUE"""),50.08)</f>
        <v>50.08</v>
      </c>
      <c r="BN357" s="3">
        <f ca="1">IFERROR(__xludf.DUMMYFUNCTION("""COMPUTED_VALUE"""),16619187)</f>
        <v>16619187</v>
      </c>
    </row>
    <row r="358" spans="7:66" ht="13" x14ac:dyDescent="0.15">
      <c r="G358" s="4">
        <f ca="1">IFERROR(__xludf.DUMMYFUNCTION("""COMPUTED_VALUE"""),42642.6666666666)</f>
        <v>42642.666666666599</v>
      </c>
      <c r="H358" s="3">
        <f ca="1">IFERROR(__xludf.DUMMYFUNCTION("""COMPUTED_VALUE"""),79.72)</f>
        <v>79.72</v>
      </c>
      <c r="I358" s="3">
        <f ca="1">IFERROR(__xludf.DUMMYFUNCTION("""COMPUTED_VALUE"""),80.18)</f>
        <v>80.180000000000007</v>
      </c>
      <c r="J358" s="3">
        <f ca="1">IFERROR(__xludf.DUMMYFUNCTION("""COMPUTED_VALUE"""),79.17)</f>
        <v>79.17</v>
      </c>
      <c r="K358" s="3">
        <f ca="1">IFERROR(__xludf.DUMMYFUNCTION("""COMPUTED_VALUE"""),79.4)</f>
        <v>79.400000000000006</v>
      </c>
      <c r="L358" s="3">
        <f ca="1">IFERROR(__xludf.DUMMYFUNCTION("""COMPUTED_VALUE"""),6361080)</f>
        <v>6361080</v>
      </c>
      <c r="M358" s="4">
        <f ca="1">IFERROR(__xludf.DUMMYFUNCTION("""COMPUTED_VALUE"""),42642.6666666666)</f>
        <v>42642.666666666599</v>
      </c>
      <c r="N358" s="3">
        <f ca="1">IFERROR(__xludf.DUMMYFUNCTION("""COMPUTED_VALUE"""),53.17)</f>
        <v>53.17</v>
      </c>
      <c r="O358" s="3">
        <f ca="1">IFERROR(__xludf.DUMMYFUNCTION("""COMPUTED_VALUE"""),53.2)</f>
        <v>53.2</v>
      </c>
      <c r="P358" s="3">
        <f ca="1">IFERROR(__xludf.DUMMYFUNCTION("""COMPUTED_VALUE"""),52.64)</f>
        <v>52.64</v>
      </c>
      <c r="Q358" s="3">
        <f ca="1">IFERROR(__xludf.DUMMYFUNCTION("""COMPUTED_VALUE"""),52.68)</f>
        <v>52.68</v>
      </c>
      <c r="R358" s="3">
        <f ca="1">IFERROR(__xludf.DUMMYFUNCTION("""COMPUTED_VALUE"""),15093971)</f>
        <v>15093971</v>
      </c>
      <c r="S358" s="4">
        <f ca="1">IFERROR(__xludf.DUMMYFUNCTION("""COMPUTED_VALUE"""),42642.6666666666)</f>
        <v>42642.666666666599</v>
      </c>
      <c r="T358" s="3">
        <f ca="1">IFERROR(__xludf.DUMMYFUNCTION("""COMPUTED_VALUE"""),69.73)</f>
        <v>69.73</v>
      </c>
      <c r="U358" s="3">
        <f ca="1">IFERROR(__xludf.DUMMYFUNCTION("""COMPUTED_VALUE"""),70.45)</f>
        <v>70.45</v>
      </c>
      <c r="V358" s="3">
        <f ca="1">IFERROR(__xludf.DUMMYFUNCTION("""COMPUTED_VALUE"""),69.03)</f>
        <v>69.03</v>
      </c>
      <c r="W358" s="3">
        <f ca="1">IFERROR(__xludf.DUMMYFUNCTION("""COMPUTED_VALUE"""),69.66)</f>
        <v>69.66</v>
      </c>
      <c r="X358" s="3">
        <f ca="1">IFERROR(__xludf.DUMMYFUNCTION("""COMPUTED_VALUE"""),27001560)</f>
        <v>27001560</v>
      </c>
      <c r="Y358" s="4">
        <f ca="1">IFERROR(__xludf.DUMMYFUNCTION("""COMPUTED_VALUE"""),42642.6666666666)</f>
        <v>42642.666666666599</v>
      </c>
      <c r="Z358" s="3">
        <f ca="1">IFERROR(__xludf.DUMMYFUNCTION("""COMPUTED_VALUE"""),19.3)</f>
        <v>19.3</v>
      </c>
      <c r="AA358" s="3">
        <f ca="1">IFERROR(__xludf.DUMMYFUNCTION("""COMPUTED_VALUE"""),19.4)</f>
        <v>19.399999999999999</v>
      </c>
      <c r="AB358" s="3">
        <f ca="1">IFERROR(__xludf.DUMMYFUNCTION("""COMPUTED_VALUE"""),18.94)</f>
        <v>18.940000000000001</v>
      </c>
      <c r="AC358" s="3">
        <f ca="1">IFERROR(__xludf.DUMMYFUNCTION("""COMPUTED_VALUE"""),19.04)</f>
        <v>19.04</v>
      </c>
      <c r="AD358" s="3">
        <f ca="1">IFERROR(__xludf.DUMMYFUNCTION("""COMPUTED_VALUE"""),62580775)</f>
        <v>62580775</v>
      </c>
      <c r="AE358" s="4">
        <f ca="1">IFERROR(__xludf.DUMMYFUNCTION("""COMPUTED_VALUE"""),42642.6666666666)</f>
        <v>42642.666666666599</v>
      </c>
      <c r="AF358" s="3">
        <f ca="1">IFERROR(__xludf.DUMMYFUNCTION("""COMPUTED_VALUE"""),72.57)</f>
        <v>72.569999999999993</v>
      </c>
      <c r="AG358" s="3">
        <f ca="1">IFERROR(__xludf.DUMMYFUNCTION("""COMPUTED_VALUE"""),72.66)</f>
        <v>72.66</v>
      </c>
      <c r="AH358" s="3">
        <f ca="1">IFERROR(__xludf.DUMMYFUNCTION("""COMPUTED_VALUE"""),71.17)</f>
        <v>71.17</v>
      </c>
      <c r="AI358" s="3">
        <f ca="1">IFERROR(__xludf.DUMMYFUNCTION("""COMPUTED_VALUE"""),71.38)</f>
        <v>71.38</v>
      </c>
      <c r="AJ358" s="3">
        <f ca="1">IFERROR(__xludf.DUMMYFUNCTION("""COMPUTED_VALUE"""),8857866)</f>
        <v>8857866</v>
      </c>
      <c r="AK358" s="4">
        <f ca="1">IFERROR(__xludf.DUMMYFUNCTION("""COMPUTED_VALUE"""),42642.6666666666)</f>
        <v>42642.666666666599</v>
      </c>
      <c r="AL358" s="3">
        <f ca="1">IFERROR(__xludf.DUMMYFUNCTION("""COMPUTED_VALUE"""),58.19)</f>
        <v>58.19</v>
      </c>
      <c r="AM358" s="3">
        <f ca="1">IFERROR(__xludf.DUMMYFUNCTION("""COMPUTED_VALUE"""),58.52)</f>
        <v>58.52</v>
      </c>
      <c r="AN358" s="3">
        <f ca="1">IFERROR(__xludf.DUMMYFUNCTION("""COMPUTED_VALUE"""),57.75)</f>
        <v>57.75</v>
      </c>
      <c r="AO358" s="3">
        <f ca="1">IFERROR(__xludf.DUMMYFUNCTION("""COMPUTED_VALUE"""),57.86)</f>
        <v>57.86</v>
      </c>
      <c r="AP358" s="3">
        <f ca="1">IFERROR(__xludf.DUMMYFUNCTION("""COMPUTED_VALUE"""),11584232)</f>
        <v>11584232</v>
      </c>
      <c r="AQ358" s="4">
        <f ca="1">IFERROR(__xludf.DUMMYFUNCTION("""COMPUTED_VALUE"""),42642.6666666666)</f>
        <v>42642.666666666599</v>
      </c>
      <c r="AR358" s="3">
        <f ca="1">IFERROR(__xludf.DUMMYFUNCTION("""COMPUTED_VALUE"""),47.58)</f>
        <v>47.58</v>
      </c>
      <c r="AS358" s="3">
        <f ca="1">IFERROR(__xludf.DUMMYFUNCTION("""COMPUTED_VALUE"""),47.9)</f>
        <v>47.9</v>
      </c>
      <c r="AT358" s="3">
        <f ca="1">IFERROR(__xludf.DUMMYFUNCTION("""COMPUTED_VALUE"""),47.25)</f>
        <v>47.25</v>
      </c>
      <c r="AU358" s="3">
        <f ca="1">IFERROR(__xludf.DUMMYFUNCTION("""COMPUTED_VALUE"""),47.4)</f>
        <v>47.4</v>
      </c>
      <c r="AV358" s="3">
        <f ca="1">IFERROR(__xludf.DUMMYFUNCTION("""COMPUTED_VALUE"""),4661351)</f>
        <v>4661351</v>
      </c>
      <c r="AW358" s="4">
        <f ca="1">IFERROR(__xludf.DUMMYFUNCTION("""COMPUTED_VALUE"""),42809.6666666666)</f>
        <v>42809.666666666599</v>
      </c>
      <c r="AX358" s="3">
        <f ca="1">IFERROR(__xludf.DUMMYFUNCTION("""COMPUTED_VALUE"""),30.79)</f>
        <v>30.79</v>
      </c>
      <c r="AY358" s="3">
        <f ca="1">IFERROR(__xludf.DUMMYFUNCTION("""COMPUTED_VALUE"""),31.45)</f>
        <v>31.45</v>
      </c>
      <c r="AZ358" s="3">
        <f ca="1">IFERROR(__xludf.DUMMYFUNCTION("""COMPUTED_VALUE"""),30.79)</f>
        <v>30.79</v>
      </c>
      <c r="BA358" s="3">
        <f ca="1">IFERROR(__xludf.DUMMYFUNCTION("""COMPUTED_VALUE"""),31.31)</f>
        <v>31.31</v>
      </c>
      <c r="BB358" s="3">
        <f ca="1">IFERROR(__xludf.DUMMYFUNCTION("""COMPUTED_VALUE"""),3130235)</f>
        <v>3130235</v>
      </c>
      <c r="BC358" s="4">
        <f ca="1">IFERROR(__xludf.DUMMYFUNCTION("""COMPUTED_VALUE"""),42642.6666666666)</f>
        <v>42642.666666666599</v>
      </c>
      <c r="BD358" s="3">
        <f ca="1">IFERROR(__xludf.DUMMYFUNCTION("""COMPUTED_VALUE"""),47.76)</f>
        <v>47.76</v>
      </c>
      <c r="BE358" s="3">
        <f ca="1">IFERROR(__xludf.DUMMYFUNCTION("""COMPUTED_VALUE"""),47.88)</f>
        <v>47.88</v>
      </c>
      <c r="BF358" s="3">
        <f ca="1">IFERROR(__xludf.DUMMYFUNCTION("""COMPUTED_VALUE"""),47.39)</f>
        <v>47.39</v>
      </c>
      <c r="BG358" s="3">
        <f ca="1">IFERROR(__xludf.DUMMYFUNCTION("""COMPUTED_VALUE"""),47.53)</f>
        <v>47.53</v>
      </c>
      <c r="BH358" s="3">
        <f ca="1">IFERROR(__xludf.DUMMYFUNCTION("""COMPUTED_VALUE"""),11406897)</f>
        <v>11406897</v>
      </c>
      <c r="BI358" s="4">
        <f ca="1">IFERROR(__xludf.DUMMYFUNCTION("""COMPUTED_VALUE"""),42642.6666666666)</f>
        <v>42642.666666666599</v>
      </c>
      <c r="BJ358" s="3">
        <f ca="1">IFERROR(__xludf.DUMMYFUNCTION("""COMPUTED_VALUE"""),49.97)</f>
        <v>49.97</v>
      </c>
      <c r="BK358" s="3">
        <f ca="1">IFERROR(__xludf.DUMMYFUNCTION("""COMPUTED_VALUE"""),49.99)</f>
        <v>49.99</v>
      </c>
      <c r="BL358" s="3">
        <f ca="1">IFERROR(__xludf.DUMMYFUNCTION("""COMPUTED_VALUE"""),49.08)</f>
        <v>49.08</v>
      </c>
      <c r="BM358" s="3">
        <f ca="1">IFERROR(__xludf.DUMMYFUNCTION("""COMPUTED_VALUE"""),49.33)</f>
        <v>49.33</v>
      </c>
      <c r="BN358" s="3">
        <f ca="1">IFERROR(__xludf.DUMMYFUNCTION("""COMPUTED_VALUE"""),19247313)</f>
        <v>19247313</v>
      </c>
    </row>
    <row r="359" spans="7:66" ht="13" x14ac:dyDescent="0.15">
      <c r="G359" s="4">
        <f ca="1">IFERROR(__xludf.DUMMYFUNCTION("""COMPUTED_VALUE"""),42643.6666666666)</f>
        <v>42643.666666666599</v>
      </c>
      <c r="H359" s="3">
        <f ca="1">IFERROR(__xludf.DUMMYFUNCTION("""COMPUTED_VALUE"""),79.75)</f>
        <v>79.75</v>
      </c>
      <c r="I359" s="3">
        <f ca="1">IFERROR(__xludf.DUMMYFUNCTION("""COMPUTED_VALUE"""),80.28)</f>
        <v>80.28</v>
      </c>
      <c r="J359" s="3">
        <f ca="1">IFERROR(__xludf.DUMMYFUNCTION("""COMPUTED_VALUE"""),79.6)</f>
        <v>79.599999999999994</v>
      </c>
      <c r="K359" s="3">
        <f ca="1">IFERROR(__xludf.DUMMYFUNCTION("""COMPUTED_VALUE"""),80.04)</f>
        <v>80.040000000000006</v>
      </c>
      <c r="L359" s="3">
        <f ca="1">IFERROR(__xludf.DUMMYFUNCTION("""COMPUTED_VALUE"""),4789737)</f>
        <v>4789737</v>
      </c>
      <c r="M359" s="4">
        <f ca="1">IFERROR(__xludf.DUMMYFUNCTION("""COMPUTED_VALUE"""),42643.6666666666)</f>
        <v>42643.666666666599</v>
      </c>
      <c r="N359" s="3">
        <f ca="1">IFERROR(__xludf.DUMMYFUNCTION("""COMPUTED_VALUE"""),52.93)</f>
        <v>52.93</v>
      </c>
      <c r="O359" s="3">
        <f ca="1">IFERROR(__xludf.DUMMYFUNCTION("""COMPUTED_VALUE"""),53.39)</f>
        <v>53.39</v>
      </c>
      <c r="P359" s="3">
        <f ca="1">IFERROR(__xludf.DUMMYFUNCTION("""COMPUTED_VALUE"""),52.93)</f>
        <v>52.93</v>
      </c>
      <c r="Q359" s="3">
        <f ca="1">IFERROR(__xludf.DUMMYFUNCTION("""COMPUTED_VALUE"""),53.21)</f>
        <v>53.21</v>
      </c>
      <c r="R359" s="3">
        <f ca="1">IFERROR(__xludf.DUMMYFUNCTION("""COMPUTED_VALUE"""),17343111)</f>
        <v>17343111</v>
      </c>
      <c r="S359" s="4">
        <f ca="1">IFERROR(__xludf.DUMMYFUNCTION("""COMPUTED_VALUE"""),42643.6666666666)</f>
        <v>42643.666666666599</v>
      </c>
      <c r="T359" s="3">
        <f ca="1">IFERROR(__xludf.DUMMYFUNCTION("""COMPUTED_VALUE"""),70.15)</f>
        <v>70.150000000000006</v>
      </c>
      <c r="U359" s="3">
        <f ca="1">IFERROR(__xludf.DUMMYFUNCTION("""COMPUTED_VALUE"""),70.98)</f>
        <v>70.98</v>
      </c>
      <c r="V359" s="3">
        <f ca="1">IFERROR(__xludf.DUMMYFUNCTION("""COMPUTED_VALUE"""),69.7)</f>
        <v>69.7</v>
      </c>
      <c r="W359" s="3">
        <f ca="1">IFERROR(__xludf.DUMMYFUNCTION("""COMPUTED_VALUE"""),70.61)</f>
        <v>70.61</v>
      </c>
      <c r="X359" s="3">
        <f ca="1">IFERROR(__xludf.DUMMYFUNCTION("""COMPUTED_VALUE"""),14714527)</f>
        <v>14714527</v>
      </c>
      <c r="Y359" s="4">
        <f ca="1">IFERROR(__xludf.DUMMYFUNCTION("""COMPUTED_VALUE"""),42643.6666666666)</f>
        <v>42643.666666666599</v>
      </c>
      <c r="Z359" s="3">
        <f ca="1">IFERROR(__xludf.DUMMYFUNCTION("""COMPUTED_VALUE"""),19.14)</f>
        <v>19.14</v>
      </c>
      <c r="AA359" s="3">
        <f ca="1">IFERROR(__xludf.DUMMYFUNCTION("""COMPUTED_VALUE"""),19.4)</f>
        <v>19.399999999999999</v>
      </c>
      <c r="AB359" s="3">
        <f ca="1">IFERROR(__xludf.DUMMYFUNCTION("""COMPUTED_VALUE"""),19.11)</f>
        <v>19.11</v>
      </c>
      <c r="AC359" s="3">
        <f ca="1">IFERROR(__xludf.DUMMYFUNCTION("""COMPUTED_VALUE"""),19.3)</f>
        <v>19.3</v>
      </c>
      <c r="AD359" s="3">
        <f ca="1">IFERROR(__xludf.DUMMYFUNCTION("""COMPUTED_VALUE"""),47336889)</f>
        <v>47336889</v>
      </c>
      <c r="AE359" s="4">
        <f ca="1">IFERROR(__xludf.DUMMYFUNCTION("""COMPUTED_VALUE"""),42643.6666666666)</f>
        <v>42643.666666666599</v>
      </c>
      <c r="AF359" s="3">
        <f ca="1">IFERROR(__xludf.DUMMYFUNCTION("""COMPUTED_VALUE"""),71.53)</f>
        <v>71.53</v>
      </c>
      <c r="AG359" s="3">
        <f ca="1">IFERROR(__xludf.DUMMYFUNCTION("""COMPUTED_VALUE"""),72.31)</f>
        <v>72.31</v>
      </c>
      <c r="AH359" s="3">
        <f ca="1">IFERROR(__xludf.DUMMYFUNCTION("""COMPUTED_VALUE"""),71.49)</f>
        <v>71.489999999999995</v>
      </c>
      <c r="AI359" s="3">
        <f ca="1">IFERROR(__xludf.DUMMYFUNCTION("""COMPUTED_VALUE"""),72.11)</f>
        <v>72.11</v>
      </c>
      <c r="AJ359" s="3">
        <f ca="1">IFERROR(__xludf.DUMMYFUNCTION("""COMPUTED_VALUE"""),7453463)</f>
        <v>7453463</v>
      </c>
      <c r="AK359" s="4">
        <f ca="1">IFERROR(__xludf.DUMMYFUNCTION("""COMPUTED_VALUE"""),42643.6666666666)</f>
        <v>42643.666666666599</v>
      </c>
      <c r="AL359" s="3">
        <f ca="1">IFERROR(__xludf.DUMMYFUNCTION("""COMPUTED_VALUE"""),58.12)</f>
        <v>58.12</v>
      </c>
      <c r="AM359" s="3">
        <f ca="1">IFERROR(__xludf.DUMMYFUNCTION("""COMPUTED_VALUE"""),58.6)</f>
        <v>58.6</v>
      </c>
      <c r="AN359" s="3">
        <f ca="1">IFERROR(__xludf.DUMMYFUNCTION("""COMPUTED_VALUE"""),58.06)</f>
        <v>58.06</v>
      </c>
      <c r="AO359" s="3">
        <f ca="1">IFERROR(__xludf.DUMMYFUNCTION("""COMPUTED_VALUE"""),58.38)</f>
        <v>58.38</v>
      </c>
      <c r="AP359" s="3">
        <f ca="1">IFERROR(__xludf.DUMMYFUNCTION("""COMPUTED_VALUE"""),11206774)</f>
        <v>11206774</v>
      </c>
      <c r="AQ359" s="4">
        <f ca="1">IFERROR(__xludf.DUMMYFUNCTION("""COMPUTED_VALUE"""),42643.6666666666)</f>
        <v>42643.666666666599</v>
      </c>
      <c r="AR359" s="3">
        <f ca="1">IFERROR(__xludf.DUMMYFUNCTION("""COMPUTED_VALUE"""),47.69)</f>
        <v>47.69</v>
      </c>
      <c r="AS359" s="3">
        <f ca="1">IFERROR(__xludf.DUMMYFUNCTION("""COMPUTED_VALUE"""),47.92)</f>
        <v>47.92</v>
      </c>
      <c r="AT359" s="3">
        <f ca="1">IFERROR(__xludf.DUMMYFUNCTION("""COMPUTED_VALUE"""),47.54)</f>
        <v>47.54</v>
      </c>
      <c r="AU359" s="3">
        <f ca="1">IFERROR(__xludf.DUMMYFUNCTION("""COMPUTED_VALUE"""),47.75)</f>
        <v>47.75</v>
      </c>
      <c r="AV359" s="3">
        <f ca="1">IFERROR(__xludf.DUMMYFUNCTION("""COMPUTED_VALUE"""),4695270)</f>
        <v>4695270</v>
      </c>
      <c r="AW359" s="4">
        <f ca="1">IFERROR(__xludf.DUMMYFUNCTION("""COMPUTED_VALUE"""),42810.6666666666)</f>
        <v>42810.666666666599</v>
      </c>
      <c r="AX359" s="3">
        <f ca="1">IFERROR(__xludf.DUMMYFUNCTION("""COMPUTED_VALUE"""),31.3)</f>
        <v>31.3</v>
      </c>
      <c r="AY359" s="3">
        <f ca="1">IFERROR(__xludf.DUMMYFUNCTION("""COMPUTED_VALUE"""),31.44)</f>
        <v>31.44</v>
      </c>
      <c r="AZ359" s="3">
        <f ca="1">IFERROR(__xludf.DUMMYFUNCTION("""COMPUTED_VALUE"""),31.16)</f>
        <v>31.16</v>
      </c>
      <c r="BA359" s="3">
        <f ca="1">IFERROR(__xludf.DUMMYFUNCTION("""COMPUTED_VALUE"""),31.24)</f>
        <v>31.24</v>
      </c>
      <c r="BB359" s="3">
        <f ca="1">IFERROR(__xludf.DUMMYFUNCTION("""COMPUTED_VALUE"""),1667726)</f>
        <v>1667726</v>
      </c>
      <c r="BC359" s="4">
        <f ca="1">IFERROR(__xludf.DUMMYFUNCTION("""COMPUTED_VALUE"""),42643.6666666666)</f>
        <v>42643.666666666599</v>
      </c>
      <c r="BD359" s="3">
        <f ca="1">IFERROR(__xludf.DUMMYFUNCTION("""COMPUTED_VALUE"""),47.64)</f>
        <v>47.64</v>
      </c>
      <c r="BE359" s="3">
        <f ca="1">IFERROR(__xludf.DUMMYFUNCTION("""COMPUTED_VALUE"""),47.93)</f>
        <v>47.93</v>
      </c>
      <c r="BF359" s="3">
        <f ca="1">IFERROR(__xludf.DUMMYFUNCTION("""COMPUTED_VALUE"""),47.6)</f>
        <v>47.6</v>
      </c>
      <c r="BG359" s="3">
        <f ca="1">IFERROR(__xludf.DUMMYFUNCTION("""COMPUTED_VALUE"""),47.78)</f>
        <v>47.78</v>
      </c>
      <c r="BH359" s="3">
        <f ca="1">IFERROR(__xludf.DUMMYFUNCTION("""COMPUTED_VALUE"""),9255328)</f>
        <v>9255328</v>
      </c>
      <c r="BI359" s="4">
        <f ca="1">IFERROR(__xludf.DUMMYFUNCTION("""COMPUTED_VALUE"""),42643.6666666666)</f>
        <v>42643.666666666599</v>
      </c>
      <c r="BJ359" s="3">
        <f ca="1">IFERROR(__xludf.DUMMYFUNCTION("""COMPUTED_VALUE"""),49.37)</f>
        <v>49.37</v>
      </c>
      <c r="BK359" s="3">
        <f ca="1">IFERROR(__xludf.DUMMYFUNCTION("""COMPUTED_VALUE"""),49.73)</f>
        <v>49.73</v>
      </c>
      <c r="BL359" s="3">
        <f ca="1">IFERROR(__xludf.DUMMYFUNCTION("""COMPUTED_VALUE"""),48.74)</f>
        <v>48.74</v>
      </c>
      <c r="BM359" s="3">
        <f ca="1">IFERROR(__xludf.DUMMYFUNCTION("""COMPUTED_VALUE"""),48.99)</f>
        <v>48.99</v>
      </c>
      <c r="BN359" s="3">
        <f ca="1">IFERROR(__xludf.DUMMYFUNCTION("""COMPUTED_VALUE"""),14836286)</f>
        <v>14836286</v>
      </c>
    </row>
    <row r="360" spans="7:66" ht="13" x14ac:dyDescent="0.15">
      <c r="G360" s="4">
        <f ca="1">IFERROR(__xludf.DUMMYFUNCTION("""COMPUTED_VALUE"""),42646.6666666666)</f>
        <v>42646.666666666599</v>
      </c>
      <c r="H360" s="3">
        <f ca="1">IFERROR(__xludf.DUMMYFUNCTION("""COMPUTED_VALUE"""),79.73)</f>
        <v>79.73</v>
      </c>
      <c r="I360" s="3">
        <f ca="1">IFERROR(__xludf.DUMMYFUNCTION("""COMPUTED_VALUE"""),80.17)</f>
        <v>80.17</v>
      </c>
      <c r="J360" s="3">
        <f ca="1">IFERROR(__xludf.DUMMYFUNCTION("""COMPUTED_VALUE"""),79.65)</f>
        <v>79.650000000000006</v>
      </c>
      <c r="K360" s="3">
        <f ca="1">IFERROR(__xludf.DUMMYFUNCTION("""COMPUTED_VALUE"""),79.99)</f>
        <v>79.989999999999995</v>
      </c>
      <c r="L360" s="3">
        <f ca="1">IFERROR(__xludf.DUMMYFUNCTION("""COMPUTED_VALUE"""),7726052)</f>
        <v>7726052</v>
      </c>
      <c r="M360" s="4">
        <f ca="1">IFERROR(__xludf.DUMMYFUNCTION("""COMPUTED_VALUE"""),42646.6666666666)</f>
        <v>42646.666666666599</v>
      </c>
      <c r="N360" s="3">
        <f ca="1">IFERROR(__xludf.DUMMYFUNCTION("""COMPUTED_VALUE"""),53.12)</f>
        <v>53.12</v>
      </c>
      <c r="O360" s="3">
        <f ca="1">IFERROR(__xludf.DUMMYFUNCTION("""COMPUTED_VALUE"""),53.16)</f>
        <v>53.16</v>
      </c>
      <c r="P360" s="3">
        <f ca="1">IFERROR(__xludf.DUMMYFUNCTION("""COMPUTED_VALUE"""),52.77)</f>
        <v>52.77</v>
      </c>
      <c r="Q360" s="3">
        <f ca="1">IFERROR(__xludf.DUMMYFUNCTION("""COMPUTED_VALUE"""),52.87)</f>
        <v>52.87</v>
      </c>
      <c r="R360" s="3">
        <f ca="1">IFERROR(__xludf.DUMMYFUNCTION("""COMPUTED_VALUE"""),11454239)</f>
        <v>11454239</v>
      </c>
      <c r="S360" s="4">
        <f ca="1">IFERROR(__xludf.DUMMYFUNCTION("""COMPUTED_VALUE"""),42646.6666666666)</f>
        <v>42646.666666666599</v>
      </c>
      <c r="T360" s="3">
        <f ca="1">IFERROR(__xludf.DUMMYFUNCTION("""COMPUTED_VALUE"""),70.73)</f>
        <v>70.73</v>
      </c>
      <c r="U360" s="3">
        <f ca="1">IFERROR(__xludf.DUMMYFUNCTION("""COMPUTED_VALUE"""),70.84)</f>
        <v>70.84</v>
      </c>
      <c r="V360" s="3">
        <f ca="1">IFERROR(__xludf.DUMMYFUNCTION("""COMPUTED_VALUE"""),69.97)</f>
        <v>69.97</v>
      </c>
      <c r="W360" s="3">
        <f ca="1">IFERROR(__xludf.DUMMYFUNCTION("""COMPUTED_VALUE"""),70.56)</f>
        <v>70.56</v>
      </c>
      <c r="X360" s="3">
        <f ca="1">IFERROR(__xludf.DUMMYFUNCTION("""COMPUTED_VALUE"""),13154939)</f>
        <v>13154939</v>
      </c>
      <c r="Y360" s="4">
        <f ca="1">IFERROR(__xludf.DUMMYFUNCTION("""COMPUTED_VALUE"""),42646.6666666666)</f>
        <v>42646.666666666599</v>
      </c>
      <c r="Z360" s="3">
        <f ca="1">IFERROR(__xludf.DUMMYFUNCTION("""COMPUTED_VALUE"""),19.24)</f>
        <v>19.239999999999998</v>
      </c>
      <c r="AA360" s="3">
        <f ca="1">IFERROR(__xludf.DUMMYFUNCTION("""COMPUTED_VALUE"""),19.31)</f>
        <v>19.309999999999999</v>
      </c>
      <c r="AB360" s="3">
        <f ca="1">IFERROR(__xludf.DUMMYFUNCTION("""COMPUTED_VALUE"""),19.16)</f>
        <v>19.16</v>
      </c>
      <c r="AC360" s="3">
        <f ca="1">IFERROR(__xludf.DUMMYFUNCTION("""COMPUTED_VALUE"""),19.21)</f>
        <v>19.21</v>
      </c>
      <c r="AD360" s="3">
        <f ca="1">IFERROR(__xludf.DUMMYFUNCTION("""COMPUTED_VALUE"""),33170494)</f>
        <v>33170494</v>
      </c>
      <c r="AE360" s="4">
        <f ca="1">IFERROR(__xludf.DUMMYFUNCTION("""COMPUTED_VALUE"""),42646.6666666666)</f>
        <v>42646.666666666599</v>
      </c>
      <c r="AF360" s="3">
        <f ca="1">IFERROR(__xludf.DUMMYFUNCTION("""COMPUTED_VALUE"""),71.79)</f>
        <v>71.790000000000006</v>
      </c>
      <c r="AG360" s="3">
        <f ca="1">IFERROR(__xludf.DUMMYFUNCTION("""COMPUTED_VALUE"""),72.05)</f>
        <v>72.05</v>
      </c>
      <c r="AH360" s="3">
        <f ca="1">IFERROR(__xludf.DUMMYFUNCTION("""COMPUTED_VALUE"""),71.49)</f>
        <v>71.489999999999995</v>
      </c>
      <c r="AI360" s="3">
        <f ca="1">IFERROR(__xludf.DUMMYFUNCTION("""COMPUTED_VALUE"""),72.05)</f>
        <v>72.05</v>
      </c>
      <c r="AJ360" s="3">
        <f ca="1">IFERROR(__xludf.DUMMYFUNCTION("""COMPUTED_VALUE"""),9187859)</f>
        <v>9187859</v>
      </c>
      <c r="AK360" s="4">
        <f ca="1">IFERROR(__xludf.DUMMYFUNCTION("""COMPUTED_VALUE"""),42646.6666666666)</f>
        <v>42646.666666666599</v>
      </c>
      <c r="AL360" s="3">
        <f ca="1">IFERROR(__xludf.DUMMYFUNCTION("""COMPUTED_VALUE"""),58.2)</f>
        <v>58.2</v>
      </c>
      <c r="AM360" s="3">
        <f ca="1">IFERROR(__xludf.DUMMYFUNCTION("""COMPUTED_VALUE"""),58.5)</f>
        <v>58.5</v>
      </c>
      <c r="AN360" s="3">
        <f ca="1">IFERROR(__xludf.DUMMYFUNCTION("""COMPUTED_VALUE"""),58.08)</f>
        <v>58.08</v>
      </c>
      <c r="AO360" s="3">
        <f ca="1">IFERROR(__xludf.DUMMYFUNCTION("""COMPUTED_VALUE"""),58.43)</f>
        <v>58.43</v>
      </c>
      <c r="AP360" s="3">
        <f ca="1">IFERROR(__xludf.DUMMYFUNCTION("""COMPUTED_VALUE"""),12590041)</f>
        <v>12590041</v>
      </c>
      <c r="AQ360" s="4">
        <f ca="1">IFERROR(__xludf.DUMMYFUNCTION("""COMPUTED_VALUE"""),42646.6666666666)</f>
        <v>42646.666666666599</v>
      </c>
      <c r="AR360" s="3">
        <f ca="1">IFERROR(__xludf.DUMMYFUNCTION("""COMPUTED_VALUE"""),47.78)</f>
        <v>47.78</v>
      </c>
      <c r="AS360" s="3">
        <f ca="1">IFERROR(__xludf.DUMMYFUNCTION("""COMPUTED_VALUE"""),47.91)</f>
        <v>47.91</v>
      </c>
      <c r="AT360" s="3">
        <f ca="1">IFERROR(__xludf.DUMMYFUNCTION("""COMPUTED_VALUE"""),47.63)</f>
        <v>47.63</v>
      </c>
      <c r="AU360" s="3">
        <f ca="1">IFERROR(__xludf.DUMMYFUNCTION("""COMPUTED_VALUE"""),47.69)</f>
        <v>47.69</v>
      </c>
      <c r="AV360" s="3">
        <f ca="1">IFERROR(__xludf.DUMMYFUNCTION("""COMPUTED_VALUE"""),8099736)</f>
        <v>8099736</v>
      </c>
      <c r="AW360" s="4">
        <f ca="1">IFERROR(__xludf.DUMMYFUNCTION("""COMPUTED_VALUE"""),42811.6666666666)</f>
        <v>42811.666666666599</v>
      </c>
      <c r="AX360" s="3">
        <f ca="1">IFERROR(__xludf.DUMMYFUNCTION("""COMPUTED_VALUE"""),31.08)</f>
        <v>31.08</v>
      </c>
      <c r="AY360" s="3">
        <f ca="1">IFERROR(__xludf.DUMMYFUNCTION("""COMPUTED_VALUE"""),31.25)</f>
        <v>31.25</v>
      </c>
      <c r="AZ360" s="3">
        <f ca="1">IFERROR(__xludf.DUMMYFUNCTION("""COMPUTED_VALUE"""),31.01)</f>
        <v>31.01</v>
      </c>
      <c r="BA360" s="3">
        <f ca="1">IFERROR(__xludf.DUMMYFUNCTION("""COMPUTED_VALUE"""),31.1)</f>
        <v>31.1</v>
      </c>
      <c r="BB360" s="3">
        <f ca="1">IFERROR(__xludf.DUMMYFUNCTION("""COMPUTED_VALUE"""),2376280)</f>
        <v>2376280</v>
      </c>
      <c r="BC360" s="4">
        <f ca="1">IFERROR(__xludf.DUMMYFUNCTION("""COMPUTED_VALUE"""),42646.6666666666)</f>
        <v>42646.666666666599</v>
      </c>
      <c r="BD360" s="3">
        <f ca="1">IFERROR(__xludf.DUMMYFUNCTION("""COMPUTED_VALUE"""),47.65)</f>
        <v>47.65</v>
      </c>
      <c r="BE360" s="3">
        <f ca="1">IFERROR(__xludf.DUMMYFUNCTION("""COMPUTED_VALUE"""),47.76)</f>
        <v>47.76</v>
      </c>
      <c r="BF360" s="3">
        <f ca="1">IFERROR(__xludf.DUMMYFUNCTION("""COMPUTED_VALUE"""),47.53)</f>
        <v>47.53</v>
      </c>
      <c r="BG360" s="3">
        <f ca="1">IFERROR(__xludf.DUMMYFUNCTION("""COMPUTED_VALUE"""),47.64)</f>
        <v>47.64</v>
      </c>
      <c r="BH360" s="3">
        <f ca="1">IFERROR(__xludf.DUMMYFUNCTION("""COMPUTED_VALUE"""),6231442)</f>
        <v>6231442</v>
      </c>
      <c r="BI360" s="4">
        <f ca="1">IFERROR(__xludf.DUMMYFUNCTION("""COMPUTED_VALUE"""),42646.6666666666)</f>
        <v>42646.666666666599</v>
      </c>
      <c r="BJ360" s="3">
        <f ca="1">IFERROR(__xludf.DUMMYFUNCTION("""COMPUTED_VALUE"""),49.01)</f>
        <v>49.01</v>
      </c>
      <c r="BK360" s="3">
        <f ca="1">IFERROR(__xludf.DUMMYFUNCTION("""COMPUTED_VALUE"""),49.01)</f>
        <v>49.01</v>
      </c>
      <c r="BL360" s="3">
        <f ca="1">IFERROR(__xludf.DUMMYFUNCTION("""COMPUTED_VALUE"""),48.01)</f>
        <v>48.01</v>
      </c>
      <c r="BM360" s="3">
        <f ca="1">IFERROR(__xludf.DUMMYFUNCTION("""COMPUTED_VALUE"""),48.3)</f>
        <v>48.3</v>
      </c>
      <c r="BN360" s="3">
        <f ca="1">IFERROR(__xludf.DUMMYFUNCTION("""COMPUTED_VALUE"""),19492687)</f>
        <v>19492687</v>
      </c>
    </row>
    <row r="361" spans="7:66" ht="13" x14ac:dyDescent="0.15">
      <c r="G361" s="4">
        <f ca="1">IFERROR(__xludf.DUMMYFUNCTION("""COMPUTED_VALUE"""),42647.6666666666)</f>
        <v>42647.666666666599</v>
      </c>
      <c r="H361" s="3">
        <f ca="1">IFERROR(__xludf.DUMMYFUNCTION("""COMPUTED_VALUE"""),80.06)</f>
        <v>80.06</v>
      </c>
      <c r="I361" s="3">
        <f ca="1">IFERROR(__xludf.DUMMYFUNCTION("""COMPUTED_VALUE"""),80.32)</f>
        <v>80.319999999999993</v>
      </c>
      <c r="J361" s="3">
        <f ca="1">IFERROR(__xludf.DUMMYFUNCTION("""COMPUTED_VALUE"""),79.55)</f>
        <v>79.55</v>
      </c>
      <c r="K361" s="3">
        <f ca="1">IFERROR(__xludf.DUMMYFUNCTION("""COMPUTED_VALUE"""),79.71)</f>
        <v>79.709999999999994</v>
      </c>
      <c r="L361" s="3">
        <f ca="1">IFERROR(__xludf.DUMMYFUNCTION("""COMPUTED_VALUE"""),8939143)</f>
        <v>8939143</v>
      </c>
      <c r="M361" s="4">
        <f ca="1">IFERROR(__xludf.DUMMYFUNCTION("""COMPUTED_VALUE"""),42647.6666666666)</f>
        <v>42647.666666666599</v>
      </c>
      <c r="N361" s="3">
        <f ca="1">IFERROR(__xludf.DUMMYFUNCTION("""COMPUTED_VALUE"""),52.83)</f>
        <v>52.83</v>
      </c>
      <c r="O361" s="3">
        <f ca="1">IFERROR(__xludf.DUMMYFUNCTION("""COMPUTED_VALUE"""),52.87)</f>
        <v>52.87</v>
      </c>
      <c r="P361" s="3">
        <f ca="1">IFERROR(__xludf.DUMMYFUNCTION("""COMPUTED_VALUE"""),52.32)</f>
        <v>52.32</v>
      </c>
      <c r="Q361" s="3">
        <f ca="1">IFERROR(__xludf.DUMMYFUNCTION("""COMPUTED_VALUE"""),52.42)</f>
        <v>52.42</v>
      </c>
      <c r="R361" s="3">
        <f ca="1">IFERROR(__xludf.DUMMYFUNCTION("""COMPUTED_VALUE"""),13346553)</f>
        <v>13346553</v>
      </c>
      <c r="S361" s="4">
        <f ca="1">IFERROR(__xludf.DUMMYFUNCTION("""COMPUTED_VALUE"""),42647.6666666666)</f>
        <v>42647.666666666599</v>
      </c>
      <c r="T361" s="3">
        <f ca="1">IFERROR(__xludf.DUMMYFUNCTION("""COMPUTED_VALUE"""),70.62)</f>
        <v>70.62</v>
      </c>
      <c r="U361" s="3">
        <f ca="1">IFERROR(__xludf.DUMMYFUNCTION("""COMPUTED_VALUE"""),70.79)</f>
        <v>70.790000000000006</v>
      </c>
      <c r="V361" s="3">
        <f ca="1">IFERROR(__xludf.DUMMYFUNCTION("""COMPUTED_VALUE"""),69.56)</f>
        <v>69.56</v>
      </c>
      <c r="W361" s="3">
        <f ca="1">IFERROR(__xludf.DUMMYFUNCTION("""COMPUTED_VALUE"""),69.84)</f>
        <v>69.84</v>
      </c>
      <c r="X361" s="3">
        <f ca="1">IFERROR(__xludf.DUMMYFUNCTION("""COMPUTED_VALUE"""),11852813)</f>
        <v>11852813</v>
      </c>
      <c r="Y361" s="4">
        <f ca="1">IFERROR(__xludf.DUMMYFUNCTION("""COMPUTED_VALUE"""),42647.6666666666)</f>
        <v>42647.666666666599</v>
      </c>
      <c r="Z361" s="3">
        <f ca="1">IFERROR(__xludf.DUMMYFUNCTION("""COMPUTED_VALUE"""),19.26)</f>
        <v>19.260000000000002</v>
      </c>
      <c r="AA361" s="3">
        <f ca="1">IFERROR(__xludf.DUMMYFUNCTION("""COMPUTED_VALUE"""),19.43)</f>
        <v>19.43</v>
      </c>
      <c r="AB361" s="3">
        <f ca="1">IFERROR(__xludf.DUMMYFUNCTION("""COMPUTED_VALUE"""),19.19)</f>
        <v>19.190000000000001</v>
      </c>
      <c r="AC361" s="3">
        <f ca="1">IFERROR(__xludf.DUMMYFUNCTION("""COMPUTED_VALUE"""),19.29)</f>
        <v>19.29</v>
      </c>
      <c r="AD361" s="3">
        <f ca="1">IFERROR(__xludf.DUMMYFUNCTION("""COMPUTED_VALUE"""),68471721)</f>
        <v>68471721</v>
      </c>
      <c r="AE361" s="4">
        <f ca="1">IFERROR(__xludf.DUMMYFUNCTION("""COMPUTED_VALUE"""),42647.6666666666)</f>
        <v>42647.666666666599</v>
      </c>
      <c r="AF361" s="3">
        <f ca="1">IFERROR(__xludf.DUMMYFUNCTION("""COMPUTED_VALUE"""),71.97)</f>
        <v>71.97</v>
      </c>
      <c r="AG361" s="3">
        <f ca="1">IFERROR(__xludf.DUMMYFUNCTION("""COMPUTED_VALUE"""),72.27)</f>
        <v>72.27</v>
      </c>
      <c r="AH361" s="3">
        <f ca="1">IFERROR(__xludf.DUMMYFUNCTION("""COMPUTED_VALUE"""),71.55)</f>
        <v>71.55</v>
      </c>
      <c r="AI361" s="3">
        <f ca="1">IFERROR(__xludf.DUMMYFUNCTION("""COMPUTED_VALUE"""),71.91)</f>
        <v>71.91</v>
      </c>
      <c r="AJ361" s="3">
        <f ca="1">IFERROR(__xludf.DUMMYFUNCTION("""COMPUTED_VALUE"""),10594605)</f>
        <v>10594605</v>
      </c>
      <c r="AK361" s="4">
        <f ca="1">IFERROR(__xludf.DUMMYFUNCTION("""COMPUTED_VALUE"""),42647.6666666666)</f>
        <v>42647.666666666599</v>
      </c>
      <c r="AL361" s="3">
        <f ca="1">IFERROR(__xludf.DUMMYFUNCTION("""COMPUTED_VALUE"""),58.59)</f>
        <v>58.59</v>
      </c>
      <c r="AM361" s="3">
        <f ca="1">IFERROR(__xludf.DUMMYFUNCTION("""COMPUTED_VALUE"""),58.62)</f>
        <v>58.62</v>
      </c>
      <c r="AN361" s="3">
        <f ca="1">IFERROR(__xludf.DUMMYFUNCTION("""COMPUTED_VALUE"""),57.84)</f>
        <v>57.84</v>
      </c>
      <c r="AO361" s="3">
        <f ca="1">IFERROR(__xludf.DUMMYFUNCTION("""COMPUTED_VALUE"""),57.94)</f>
        <v>57.94</v>
      </c>
      <c r="AP361" s="3">
        <f ca="1">IFERROR(__xludf.DUMMYFUNCTION("""COMPUTED_VALUE"""),11208615)</f>
        <v>11208615</v>
      </c>
      <c r="AQ361" s="4">
        <f ca="1">IFERROR(__xludf.DUMMYFUNCTION("""COMPUTED_VALUE"""),42647.6666666666)</f>
        <v>42647.666666666599</v>
      </c>
      <c r="AR361" s="3">
        <f ca="1">IFERROR(__xludf.DUMMYFUNCTION("""COMPUTED_VALUE"""),47.76)</f>
        <v>47.76</v>
      </c>
      <c r="AS361" s="3">
        <f ca="1">IFERROR(__xludf.DUMMYFUNCTION("""COMPUTED_VALUE"""),47.85)</f>
        <v>47.85</v>
      </c>
      <c r="AT361" s="3">
        <f ca="1">IFERROR(__xludf.DUMMYFUNCTION("""COMPUTED_VALUE"""),46.96)</f>
        <v>46.96</v>
      </c>
      <c r="AU361" s="3">
        <f ca="1">IFERROR(__xludf.DUMMYFUNCTION("""COMPUTED_VALUE"""),47.04)</f>
        <v>47.04</v>
      </c>
      <c r="AV361" s="3">
        <f ca="1">IFERROR(__xludf.DUMMYFUNCTION("""COMPUTED_VALUE"""),5916792)</f>
        <v>5916792</v>
      </c>
      <c r="AW361" s="4">
        <f ca="1">IFERROR(__xludf.DUMMYFUNCTION("""COMPUTED_VALUE"""),42814.6666666666)</f>
        <v>42814.666666666599</v>
      </c>
      <c r="AX361" s="3">
        <f ca="1">IFERROR(__xludf.DUMMYFUNCTION("""COMPUTED_VALUE"""),31.1)</f>
        <v>31.1</v>
      </c>
      <c r="AY361" s="3">
        <f ca="1">IFERROR(__xludf.DUMMYFUNCTION("""COMPUTED_VALUE"""),31.25)</f>
        <v>31.25</v>
      </c>
      <c r="AZ361" s="3">
        <f ca="1">IFERROR(__xludf.DUMMYFUNCTION("""COMPUTED_VALUE"""),31.05)</f>
        <v>31.05</v>
      </c>
      <c r="BA361" s="3">
        <f ca="1">IFERROR(__xludf.DUMMYFUNCTION("""COMPUTED_VALUE"""),31.13)</f>
        <v>31.13</v>
      </c>
      <c r="BB361" s="3">
        <f ca="1">IFERROR(__xludf.DUMMYFUNCTION("""COMPUTED_VALUE"""),1573310)</f>
        <v>1573310</v>
      </c>
      <c r="BC361" s="4">
        <f ca="1">IFERROR(__xludf.DUMMYFUNCTION("""COMPUTED_VALUE"""),42647.6666666666)</f>
        <v>42647.666666666599</v>
      </c>
      <c r="BD361" s="3">
        <f ca="1">IFERROR(__xludf.DUMMYFUNCTION("""COMPUTED_VALUE"""),47.8)</f>
        <v>47.8</v>
      </c>
      <c r="BE361" s="3">
        <f ca="1">IFERROR(__xludf.DUMMYFUNCTION("""COMPUTED_VALUE"""),47.88)</f>
        <v>47.88</v>
      </c>
      <c r="BF361" s="3">
        <f ca="1">IFERROR(__xludf.DUMMYFUNCTION("""COMPUTED_VALUE"""),47.3)</f>
        <v>47.3</v>
      </c>
      <c r="BG361" s="3">
        <f ca="1">IFERROR(__xludf.DUMMYFUNCTION("""COMPUTED_VALUE"""),47.47)</f>
        <v>47.47</v>
      </c>
      <c r="BH361" s="3">
        <f ca="1">IFERROR(__xludf.DUMMYFUNCTION("""COMPUTED_VALUE"""),8902234)</f>
        <v>8902234</v>
      </c>
      <c r="BI361" s="4">
        <f ca="1">IFERROR(__xludf.DUMMYFUNCTION("""COMPUTED_VALUE"""),42647.6666666666)</f>
        <v>42647.666666666599</v>
      </c>
      <c r="BJ361" s="3">
        <f ca="1">IFERROR(__xludf.DUMMYFUNCTION("""COMPUTED_VALUE"""),48.27)</f>
        <v>48.27</v>
      </c>
      <c r="BK361" s="3">
        <f ca="1">IFERROR(__xludf.DUMMYFUNCTION("""COMPUTED_VALUE"""),48.31)</f>
        <v>48.31</v>
      </c>
      <c r="BL361" s="3">
        <f ca="1">IFERROR(__xludf.DUMMYFUNCTION("""COMPUTED_VALUE"""),47)</f>
        <v>47</v>
      </c>
      <c r="BM361" s="3">
        <f ca="1">IFERROR(__xludf.DUMMYFUNCTION("""COMPUTED_VALUE"""),47.29)</f>
        <v>47.29</v>
      </c>
      <c r="BN361" s="3">
        <f ca="1">IFERROR(__xludf.DUMMYFUNCTION("""COMPUTED_VALUE"""),25691831)</f>
        <v>25691831</v>
      </c>
    </row>
    <row r="362" spans="7:66" ht="13" x14ac:dyDescent="0.15">
      <c r="G362" s="4">
        <f ca="1">IFERROR(__xludf.DUMMYFUNCTION("""COMPUTED_VALUE"""),42648.6666666666)</f>
        <v>42648.666666666599</v>
      </c>
      <c r="H362" s="3">
        <f ca="1">IFERROR(__xludf.DUMMYFUNCTION("""COMPUTED_VALUE"""),80.01)</f>
        <v>80.010000000000005</v>
      </c>
      <c r="I362" s="3">
        <f ca="1">IFERROR(__xludf.DUMMYFUNCTION("""COMPUTED_VALUE"""),80.36)</f>
        <v>80.36</v>
      </c>
      <c r="J362" s="3">
        <f ca="1">IFERROR(__xludf.DUMMYFUNCTION("""COMPUTED_VALUE"""),79.91)</f>
        <v>79.91</v>
      </c>
      <c r="K362" s="3">
        <f ca="1">IFERROR(__xludf.DUMMYFUNCTION("""COMPUTED_VALUE"""),80.04)</f>
        <v>80.040000000000006</v>
      </c>
      <c r="L362" s="3">
        <f ca="1">IFERROR(__xludf.DUMMYFUNCTION("""COMPUTED_VALUE"""),7135269)</f>
        <v>7135269</v>
      </c>
      <c r="M362" s="4">
        <f ca="1">IFERROR(__xludf.DUMMYFUNCTION("""COMPUTED_VALUE"""),42648.6666666666)</f>
        <v>42648.666666666599</v>
      </c>
      <c r="N362" s="3">
        <f ca="1">IFERROR(__xludf.DUMMYFUNCTION("""COMPUTED_VALUE"""),52.51)</f>
        <v>52.51</v>
      </c>
      <c r="O362" s="3">
        <f ca="1">IFERROR(__xludf.DUMMYFUNCTION("""COMPUTED_VALUE"""),52.6)</f>
        <v>52.6</v>
      </c>
      <c r="P362" s="3">
        <f ca="1">IFERROR(__xludf.DUMMYFUNCTION("""COMPUTED_VALUE"""),52.24)</f>
        <v>52.24</v>
      </c>
      <c r="Q362" s="3">
        <f ca="1">IFERROR(__xludf.DUMMYFUNCTION("""COMPUTED_VALUE"""),52.37)</f>
        <v>52.37</v>
      </c>
      <c r="R362" s="3">
        <f ca="1">IFERROR(__xludf.DUMMYFUNCTION("""COMPUTED_VALUE"""),15203813)</f>
        <v>15203813</v>
      </c>
      <c r="S362" s="4">
        <f ca="1">IFERROR(__xludf.DUMMYFUNCTION("""COMPUTED_VALUE"""),42648.6666666666)</f>
        <v>42648.666666666599</v>
      </c>
      <c r="T362" s="3">
        <f ca="1">IFERROR(__xludf.DUMMYFUNCTION("""COMPUTED_VALUE"""),70.55)</f>
        <v>70.55</v>
      </c>
      <c r="U362" s="3">
        <f ca="1">IFERROR(__xludf.DUMMYFUNCTION("""COMPUTED_VALUE"""),71.24)</f>
        <v>71.239999999999995</v>
      </c>
      <c r="V362" s="3">
        <f ca="1">IFERROR(__xludf.DUMMYFUNCTION("""COMPUTED_VALUE"""),70.48)</f>
        <v>70.48</v>
      </c>
      <c r="W362" s="3">
        <f ca="1">IFERROR(__xludf.DUMMYFUNCTION("""COMPUTED_VALUE"""),70.91)</f>
        <v>70.91</v>
      </c>
      <c r="X362" s="3">
        <f ca="1">IFERROR(__xludf.DUMMYFUNCTION("""COMPUTED_VALUE"""),13351152)</f>
        <v>13351152</v>
      </c>
      <c r="Y362" s="4">
        <f ca="1">IFERROR(__xludf.DUMMYFUNCTION("""COMPUTED_VALUE"""),42648.6666666666)</f>
        <v>42648.666666666599</v>
      </c>
      <c r="Z362" s="3">
        <f ca="1">IFERROR(__xludf.DUMMYFUNCTION("""COMPUTED_VALUE"""),19.37)</f>
        <v>19.37</v>
      </c>
      <c r="AA362" s="3">
        <f ca="1">IFERROR(__xludf.DUMMYFUNCTION("""COMPUTED_VALUE"""),19.64)</f>
        <v>19.64</v>
      </c>
      <c r="AB362" s="3">
        <f ca="1">IFERROR(__xludf.DUMMYFUNCTION("""COMPUTED_VALUE"""),19.34)</f>
        <v>19.34</v>
      </c>
      <c r="AC362" s="3">
        <f ca="1">IFERROR(__xludf.DUMMYFUNCTION("""COMPUTED_VALUE"""),19.6)</f>
        <v>19.600000000000001</v>
      </c>
      <c r="AD362" s="3">
        <f ca="1">IFERROR(__xludf.DUMMYFUNCTION("""COMPUTED_VALUE"""),58651881)</f>
        <v>58651881</v>
      </c>
      <c r="AE362" s="4">
        <f ca="1">IFERROR(__xludf.DUMMYFUNCTION("""COMPUTED_VALUE"""),42648.6666666666)</f>
        <v>42648.666666666599</v>
      </c>
      <c r="AF362" s="3">
        <f ca="1">IFERROR(__xludf.DUMMYFUNCTION("""COMPUTED_VALUE"""),72.1)</f>
        <v>72.099999999999994</v>
      </c>
      <c r="AG362" s="3">
        <f ca="1">IFERROR(__xludf.DUMMYFUNCTION("""COMPUTED_VALUE"""),72.35)</f>
        <v>72.349999999999994</v>
      </c>
      <c r="AH362" s="3">
        <f ca="1">IFERROR(__xludf.DUMMYFUNCTION("""COMPUTED_VALUE"""),71.99)</f>
        <v>71.989999999999995</v>
      </c>
      <c r="AI362" s="3">
        <f ca="1">IFERROR(__xludf.DUMMYFUNCTION("""COMPUTED_VALUE"""),72.19)</f>
        <v>72.19</v>
      </c>
      <c r="AJ362" s="3">
        <f ca="1">IFERROR(__xludf.DUMMYFUNCTION("""COMPUTED_VALUE"""),12842056)</f>
        <v>12842056</v>
      </c>
      <c r="AK362" s="4">
        <f ca="1">IFERROR(__xludf.DUMMYFUNCTION("""COMPUTED_VALUE"""),42648.6666666666)</f>
        <v>42648.666666666599</v>
      </c>
      <c r="AL362" s="3">
        <f ca="1">IFERROR(__xludf.DUMMYFUNCTION("""COMPUTED_VALUE"""),58.1)</f>
        <v>58.1</v>
      </c>
      <c r="AM362" s="3">
        <f ca="1">IFERROR(__xludf.DUMMYFUNCTION("""COMPUTED_VALUE"""),58.43)</f>
        <v>58.43</v>
      </c>
      <c r="AN362" s="3">
        <f ca="1">IFERROR(__xludf.DUMMYFUNCTION("""COMPUTED_VALUE"""),57.97)</f>
        <v>57.97</v>
      </c>
      <c r="AO362" s="3">
        <f ca="1">IFERROR(__xludf.DUMMYFUNCTION("""COMPUTED_VALUE"""),58.31)</f>
        <v>58.31</v>
      </c>
      <c r="AP362" s="3">
        <f ca="1">IFERROR(__xludf.DUMMYFUNCTION("""COMPUTED_VALUE"""),8430857)</f>
        <v>8430857</v>
      </c>
      <c r="AQ362" s="4">
        <f ca="1">IFERROR(__xludf.DUMMYFUNCTION("""COMPUTED_VALUE"""),42648.6666666666)</f>
        <v>42648.666666666599</v>
      </c>
      <c r="AR362" s="3">
        <f ca="1">IFERROR(__xludf.DUMMYFUNCTION("""COMPUTED_VALUE"""),47.13)</f>
        <v>47.13</v>
      </c>
      <c r="AS362" s="3">
        <f ca="1">IFERROR(__xludf.DUMMYFUNCTION("""COMPUTED_VALUE"""),47.57)</f>
        <v>47.57</v>
      </c>
      <c r="AT362" s="3">
        <f ca="1">IFERROR(__xludf.DUMMYFUNCTION("""COMPUTED_VALUE"""),47.13)</f>
        <v>47.13</v>
      </c>
      <c r="AU362" s="3">
        <f ca="1">IFERROR(__xludf.DUMMYFUNCTION("""COMPUTED_VALUE"""),47.36)</f>
        <v>47.36</v>
      </c>
      <c r="AV362" s="3">
        <f ca="1">IFERROR(__xludf.DUMMYFUNCTION("""COMPUTED_VALUE"""),6742787)</f>
        <v>6742787</v>
      </c>
      <c r="AW362" s="4">
        <f ca="1">IFERROR(__xludf.DUMMYFUNCTION("""COMPUTED_VALUE"""),42815.6666666666)</f>
        <v>42815.666666666599</v>
      </c>
      <c r="AX362" s="3">
        <f ca="1">IFERROR(__xludf.DUMMYFUNCTION("""COMPUTED_VALUE"""),31.2)</f>
        <v>31.2</v>
      </c>
      <c r="AY362" s="3">
        <f ca="1">IFERROR(__xludf.DUMMYFUNCTION("""COMPUTED_VALUE"""),31.34)</f>
        <v>31.34</v>
      </c>
      <c r="AZ362" s="3">
        <f ca="1">IFERROR(__xludf.DUMMYFUNCTION("""COMPUTED_VALUE"""),31.07)</f>
        <v>31.07</v>
      </c>
      <c r="BA362" s="3">
        <f ca="1">IFERROR(__xludf.DUMMYFUNCTION("""COMPUTED_VALUE"""),31.08)</f>
        <v>31.08</v>
      </c>
      <c r="BB362" s="3">
        <f ca="1">IFERROR(__xludf.DUMMYFUNCTION("""COMPUTED_VALUE"""),3225158)</f>
        <v>3225158</v>
      </c>
      <c r="BC362" s="4">
        <f ca="1">IFERROR(__xludf.DUMMYFUNCTION("""COMPUTED_VALUE"""),42648.6666666666)</f>
        <v>42648.666666666599</v>
      </c>
      <c r="BD362" s="3">
        <f ca="1">IFERROR(__xludf.DUMMYFUNCTION("""COMPUTED_VALUE"""),47.6)</f>
        <v>47.6</v>
      </c>
      <c r="BE362" s="3">
        <f ca="1">IFERROR(__xludf.DUMMYFUNCTION("""COMPUTED_VALUE"""),47.75)</f>
        <v>47.75</v>
      </c>
      <c r="BF362" s="3">
        <f ca="1">IFERROR(__xludf.DUMMYFUNCTION("""COMPUTED_VALUE"""),47.55)</f>
        <v>47.55</v>
      </c>
      <c r="BG362" s="3">
        <f ca="1">IFERROR(__xludf.DUMMYFUNCTION("""COMPUTED_VALUE"""),47.64)</f>
        <v>47.64</v>
      </c>
      <c r="BH362" s="3">
        <f ca="1">IFERROR(__xludf.DUMMYFUNCTION("""COMPUTED_VALUE"""),9007846)</f>
        <v>9007846</v>
      </c>
      <c r="BI362" s="4">
        <f ca="1">IFERROR(__xludf.DUMMYFUNCTION("""COMPUTED_VALUE"""),42648.6666666666)</f>
        <v>42648.666666666599</v>
      </c>
      <c r="BJ362" s="3">
        <f ca="1">IFERROR(__xludf.DUMMYFUNCTION("""COMPUTED_VALUE"""),47.4)</f>
        <v>47.4</v>
      </c>
      <c r="BK362" s="3">
        <f ca="1">IFERROR(__xludf.DUMMYFUNCTION("""COMPUTED_VALUE"""),47.77)</f>
        <v>47.77</v>
      </c>
      <c r="BL362" s="3">
        <f ca="1">IFERROR(__xludf.DUMMYFUNCTION("""COMPUTED_VALUE"""),47.01)</f>
        <v>47.01</v>
      </c>
      <c r="BM362" s="3">
        <f ca="1">IFERROR(__xludf.DUMMYFUNCTION("""COMPUTED_VALUE"""),47.19)</f>
        <v>47.19</v>
      </c>
      <c r="BN362" s="3">
        <f ca="1">IFERROR(__xludf.DUMMYFUNCTION("""COMPUTED_VALUE"""),28171937)</f>
        <v>28171937</v>
      </c>
    </row>
    <row r="363" spans="7:66" ht="13" x14ac:dyDescent="0.15">
      <c r="G363" s="4">
        <f ca="1">IFERROR(__xludf.DUMMYFUNCTION("""COMPUTED_VALUE"""),42649.6666666666)</f>
        <v>42649.666666666599</v>
      </c>
      <c r="H363" s="3">
        <f ca="1">IFERROR(__xludf.DUMMYFUNCTION("""COMPUTED_VALUE"""),79.93)</f>
        <v>79.930000000000007</v>
      </c>
      <c r="I363" s="3">
        <f ca="1">IFERROR(__xludf.DUMMYFUNCTION("""COMPUTED_VALUE"""),80.26)</f>
        <v>80.260000000000005</v>
      </c>
      <c r="J363" s="3">
        <f ca="1">IFERROR(__xludf.DUMMYFUNCTION("""COMPUTED_VALUE"""),79.61)</f>
        <v>79.61</v>
      </c>
      <c r="K363" s="3">
        <f ca="1">IFERROR(__xludf.DUMMYFUNCTION("""COMPUTED_VALUE"""),80.1)</f>
        <v>80.099999999999994</v>
      </c>
      <c r="L363" s="3">
        <f ca="1">IFERROR(__xludf.DUMMYFUNCTION("""COMPUTED_VALUE"""),7262545)</f>
        <v>7262545</v>
      </c>
      <c r="M363" s="4">
        <f ca="1">IFERROR(__xludf.DUMMYFUNCTION("""COMPUTED_VALUE"""),42649.6666666666)</f>
        <v>42649.666666666599</v>
      </c>
      <c r="N363" s="3">
        <f ca="1">IFERROR(__xludf.DUMMYFUNCTION("""COMPUTED_VALUE"""),52.17)</f>
        <v>52.17</v>
      </c>
      <c r="O363" s="3">
        <f ca="1">IFERROR(__xludf.DUMMYFUNCTION("""COMPUTED_VALUE"""),52.6)</f>
        <v>52.6</v>
      </c>
      <c r="P363" s="3">
        <f ca="1">IFERROR(__xludf.DUMMYFUNCTION("""COMPUTED_VALUE"""),52.09)</f>
        <v>52.09</v>
      </c>
      <c r="Q363" s="3">
        <f ca="1">IFERROR(__xludf.DUMMYFUNCTION("""COMPUTED_VALUE"""),52.47)</f>
        <v>52.47</v>
      </c>
      <c r="R363" s="3">
        <f ca="1">IFERROR(__xludf.DUMMYFUNCTION("""COMPUTED_VALUE"""),15413338)</f>
        <v>15413338</v>
      </c>
      <c r="S363" s="4">
        <f ca="1">IFERROR(__xludf.DUMMYFUNCTION("""COMPUTED_VALUE"""),42649.6666666666)</f>
        <v>42649.666666666599</v>
      </c>
      <c r="T363" s="3">
        <f ca="1">IFERROR(__xludf.DUMMYFUNCTION("""COMPUTED_VALUE"""),71.12)</f>
        <v>71.12</v>
      </c>
      <c r="U363" s="3">
        <f ca="1">IFERROR(__xludf.DUMMYFUNCTION("""COMPUTED_VALUE"""),71.35)</f>
        <v>71.349999999999994</v>
      </c>
      <c r="V363" s="3">
        <f ca="1">IFERROR(__xludf.DUMMYFUNCTION("""COMPUTED_VALUE"""),70.38)</f>
        <v>70.38</v>
      </c>
      <c r="W363" s="3">
        <f ca="1">IFERROR(__xludf.DUMMYFUNCTION("""COMPUTED_VALUE"""),71.02)</f>
        <v>71.02</v>
      </c>
      <c r="X363" s="3">
        <f ca="1">IFERROR(__xludf.DUMMYFUNCTION("""COMPUTED_VALUE"""),11175779)</f>
        <v>11175779</v>
      </c>
      <c r="Y363" s="4">
        <f ca="1">IFERROR(__xludf.DUMMYFUNCTION("""COMPUTED_VALUE"""),42649.6666666666)</f>
        <v>42649.666666666599</v>
      </c>
      <c r="Z363" s="3">
        <f ca="1">IFERROR(__xludf.DUMMYFUNCTION("""COMPUTED_VALUE"""),19.65)</f>
        <v>19.649999999999999</v>
      </c>
      <c r="AA363" s="3">
        <f ca="1">IFERROR(__xludf.DUMMYFUNCTION("""COMPUTED_VALUE"""),19.66)</f>
        <v>19.66</v>
      </c>
      <c r="AB363" s="3">
        <f ca="1">IFERROR(__xludf.DUMMYFUNCTION("""COMPUTED_VALUE"""),19.46)</f>
        <v>19.46</v>
      </c>
      <c r="AC363" s="3">
        <f ca="1">IFERROR(__xludf.DUMMYFUNCTION("""COMPUTED_VALUE"""),19.63)</f>
        <v>19.63</v>
      </c>
      <c r="AD363" s="3">
        <f ca="1">IFERROR(__xludf.DUMMYFUNCTION("""COMPUTED_VALUE"""),53337261)</f>
        <v>53337261</v>
      </c>
      <c r="AE363" s="4">
        <f ca="1">IFERROR(__xludf.DUMMYFUNCTION("""COMPUTED_VALUE"""),42649.6666666666)</f>
        <v>42649.666666666599</v>
      </c>
      <c r="AF363" s="3">
        <f ca="1">IFERROR(__xludf.DUMMYFUNCTION("""COMPUTED_VALUE"""),71.95)</f>
        <v>71.95</v>
      </c>
      <c r="AG363" s="3">
        <f ca="1">IFERROR(__xludf.DUMMYFUNCTION("""COMPUTED_VALUE"""),72.02)</f>
        <v>72.02</v>
      </c>
      <c r="AH363" s="3">
        <f ca="1">IFERROR(__xludf.DUMMYFUNCTION("""COMPUTED_VALUE"""),71.49)</f>
        <v>71.489999999999995</v>
      </c>
      <c r="AI363" s="3">
        <f ca="1">IFERROR(__xludf.DUMMYFUNCTION("""COMPUTED_VALUE"""),71.92)</f>
        <v>71.92</v>
      </c>
      <c r="AJ363" s="3">
        <f ca="1">IFERROR(__xludf.DUMMYFUNCTION("""COMPUTED_VALUE"""),9308917)</f>
        <v>9308917</v>
      </c>
      <c r="AK363" s="4">
        <f ca="1">IFERROR(__xludf.DUMMYFUNCTION("""COMPUTED_VALUE"""),42649.6666666666)</f>
        <v>42649.666666666599</v>
      </c>
      <c r="AL363" s="3">
        <f ca="1">IFERROR(__xludf.DUMMYFUNCTION("""COMPUTED_VALUE"""),58.26)</f>
        <v>58.26</v>
      </c>
      <c r="AM363" s="3">
        <f ca="1">IFERROR(__xludf.DUMMYFUNCTION("""COMPUTED_VALUE"""),58.38)</f>
        <v>58.38</v>
      </c>
      <c r="AN363" s="3">
        <f ca="1">IFERROR(__xludf.DUMMYFUNCTION("""COMPUTED_VALUE"""),58.03)</f>
        <v>58.03</v>
      </c>
      <c r="AO363" s="3">
        <f ca="1">IFERROR(__xludf.DUMMYFUNCTION("""COMPUTED_VALUE"""),58.31)</f>
        <v>58.31</v>
      </c>
      <c r="AP363" s="3">
        <f ca="1">IFERROR(__xludf.DUMMYFUNCTION("""COMPUTED_VALUE"""),7474346)</f>
        <v>7474346</v>
      </c>
      <c r="AQ363" s="4">
        <f ca="1">IFERROR(__xludf.DUMMYFUNCTION("""COMPUTED_VALUE"""),42649.6666666666)</f>
        <v>42649.666666666599</v>
      </c>
      <c r="AR363" s="3">
        <f ca="1">IFERROR(__xludf.DUMMYFUNCTION("""COMPUTED_VALUE"""),47.25)</f>
        <v>47.25</v>
      </c>
      <c r="AS363" s="3">
        <f ca="1">IFERROR(__xludf.DUMMYFUNCTION("""COMPUTED_VALUE"""),47.78)</f>
        <v>47.78</v>
      </c>
      <c r="AT363" s="3">
        <f ca="1">IFERROR(__xludf.DUMMYFUNCTION("""COMPUTED_VALUE"""),47.18)</f>
        <v>47.18</v>
      </c>
      <c r="AU363" s="3">
        <f ca="1">IFERROR(__xludf.DUMMYFUNCTION("""COMPUTED_VALUE"""),47.75)</f>
        <v>47.75</v>
      </c>
      <c r="AV363" s="3">
        <f ca="1">IFERROR(__xludf.DUMMYFUNCTION("""COMPUTED_VALUE"""),5229775)</f>
        <v>5229775</v>
      </c>
      <c r="AW363" s="4">
        <f ca="1">IFERROR(__xludf.DUMMYFUNCTION("""COMPUTED_VALUE"""),42816.6666666666)</f>
        <v>42816.666666666599</v>
      </c>
      <c r="AX363" s="3">
        <f ca="1">IFERROR(__xludf.DUMMYFUNCTION("""COMPUTED_VALUE"""),31.14)</f>
        <v>31.14</v>
      </c>
      <c r="AY363" s="3">
        <f ca="1">IFERROR(__xludf.DUMMYFUNCTION("""COMPUTED_VALUE"""),31.18)</f>
        <v>31.18</v>
      </c>
      <c r="AZ363" s="3">
        <f ca="1">IFERROR(__xludf.DUMMYFUNCTION("""COMPUTED_VALUE"""),30.86)</f>
        <v>30.86</v>
      </c>
      <c r="BA363" s="3">
        <f ca="1">IFERROR(__xludf.DUMMYFUNCTION("""COMPUTED_VALUE"""),31.15)</f>
        <v>31.15</v>
      </c>
      <c r="BB363" s="3">
        <f ca="1">IFERROR(__xludf.DUMMYFUNCTION("""COMPUTED_VALUE"""),3095471)</f>
        <v>3095471</v>
      </c>
      <c r="BC363" s="4">
        <f ca="1">IFERROR(__xludf.DUMMYFUNCTION("""COMPUTED_VALUE"""),42649.6666666666)</f>
        <v>42649.666666666599</v>
      </c>
      <c r="BD363" s="3">
        <f ca="1">IFERROR(__xludf.DUMMYFUNCTION("""COMPUTED_VALUE"""),47.68)</f>
        <v>47.68</v>
      </c>
      <c r="BE363" s="3">
        <f ca="1">IFERROR(__xludf.DUMMYFUNCTION("""COMPUTED_VALUE"""),47.8)</f>
        <v>47.8</v>
      </c>
      <c r="BF363" s="3">
        <f ca="1">IFERROR(__xludf.DUMMYFUNCTION("""COMPUTED_VALUE"""),47.47)</f>
        <v>47.47</v>
      </c>
      <c r="BG363" s="3">
        <f ca="1">IFERROR(__xludf.DUMMYFUNCTION("""COMPUTED_VALUE"""),47.75)</f>
        <v>47.75</v>
      </c>
      <c r="BH363" s="3">
        <f ca="1">IFERROR(__xludf.DUMMYFUNCTION("""COMPUTED_VALUE"""),5005874)</f>
        <v>5005874</v>
      </c>
      <c r="BI363" s="4">
        <f ca="1">IFERROR(__xludf.DUMMYFUNCTION("""COMPUTED_VALUE"""),42649.6666666666)</f>
        <v>42649.666666666599</v>
      </c>
      <c r="BJ363" s="3">
        <f ca="1">IFERROR(__xludf.DUMMYFUNCTION("""COMPUTED_VALUE"""),47.03)</f>
        <v>47.03</v>
      </c>
      <c r="BK363" s="3">
        <f ca="1">IFERROR(__xludf.DUMMYFUNCTION("""COMPUTED_VALUE"""),47.42)</f>
        <v>47.42</v>
      </c>
      <c r="BL363" s="3">
        <f ca="1">IFERROR(__xludf.DUMMYFUNCTION("""COMPUTED_VALUE"""),46.79)</f>
        <v>46.79</v>
      </c>
      <c r="BM363" s="3">
        <f ca="1">IFERROR(__xludf.DUMMYFUNCTION("""COMPUTED_VALUE"""),47.18)</f>
        <v>47.18</v>
      </c>
      <c r="BN363" s="3">
        <f ca="1">IFERROR(__xludf.DUMMYFUNCTION("""COMPUTED_VALUE"""),20195654)</f>
        <v>20195654</v>
      </c>
    </row>
    <row r="364" spans="7:66" ht="13" x14ac:dyDescent="0.15">
      <c r="G364" s="4">
        <f ca="1">IFERROR(__xludf.DUMMYFUNCTION("""COMPUTED_VALUE"""),42650.6666666666)</f>
        <v>42650.666666666599</v>
      </c>
      <c r="H364" s="3">
        <f ca="1">IFERROR(__xludf.DUMMYFUNCTION("""COMPUTED_VALUE"""),80.33)</f>
        <v>80.33</v>
      </c>
      <c r="I364" s="3">
        <f ca="1">IFERROR(__xludf.DUMMYFUNCTION("""COMPUTED_VALUE"""),80.41)</f>
        <v>80.41</v>
      </c>
      <c r="J364" s="3">
        <f ca="1">IFERROR(__xludf.DUMMYFUNCTION("""COMPUTED_VALUE"""),79.54)</f>
        <v>79.540000000000006</v>
      </c>
      <c r="K364" s="3">
        <f ca="1">IFERROR(__xludf.DUMMYFUNCTION("""COMPUTED_VALUE"""),79.74)</f>
        <v>79.739999999999995</v>
      </c>
      <c r="L364" s="3">
        <f ca="1">IFERROR(__xludf.DUMMYFUNCTION("""COMPUTED_VALUE"""),8692053)</f>
        <v>8692053</v>
      </c>
      <c r="M364" s="4">
        <f ca="1">IFERROR(__xludf.DUMMYFUNCTION("""COMPUTED_VALUE"""),42650.6666666666)</f>
        <v>42650.666666666599</v>
      </c>
      <c r="N364" s="3">
        <f ca="1">IFERROR(__xludf.DUMMYFUNCTION("""COMPUTED_VALUE"""),52.49)</f>
        <v>52.49</v>
      </c>
      <c r="O364" s="3">
        <f ca="1">IFERROR(__xludf.DUMMYFUNCTION("""COMPUTED_VALUE"""),52.6)</f>
        <v>52.6</v>
      </c>
      <c r="P364" s="3">
        <f ca="1">IFERROR(__xludf.DUMMYFUNCTION("""COMPUTED_VALUE"""),51.96)</f>
        <v>51.96</v>
      </c>
      <c r="Q364" s="3">
        <f ca="1">IFERROR(__xludf.DUMMYFUNCTION("""COMPUTED_VALUE"""),52.33)</f>
        <v>52.33</v>
      </c>
      <c r="R364" s="3">
        <f ca="1">IFERROR(__xludf.DUMMYFUNCTION("""COMPUTED_VALUE"""),11402972)</f>
        <v>11402972</v>
      </c>
      <c r="S364" s="4">
        <f ca="1">IFERROR(__xludf.DUMMYFUNCTION("""COMPUTED_VALUE"""),42650.6666666666)</f>
        <v>42650.666666666599</v>
      </c>
      <c r="T364" s="3">
        <f ca="1">IFERROR(__xludf.DUMMYFUNCTION("""COMPUTED_VALUE"""),71.03)</f>
        <v>71.03</v>
      </c>
      <c r="U364" s="3">
        <f ca="1">IFERROR(__xludf.DUMMYFUNCTION("""COMPUTED_VALUE"""),71.33)</f>
        <v>71.33</v>
      </c>
      <c r="V364" s="3">
        <f ca="1">IFERROR(__xludf.DUMMYFUNCTION("""COMPUTED_VALUE"""),70.4)</f>
        <v>70.400000000000006</v>
      </c>
      <c r="W364" s="3">
        <f ca="1">IFERROR(__xludf.DUMMYFUNCTION("""COMPUTED_VALUE"""),70.61)</f>
        <v>70.61</v>
      </c>
      <c r="X364" s="3">
        <f ca="1">IFERROR(__xludf.DUMMYFUNCTION("""COMPUTED_VALUE"""),11744430)</f>
        <v>11744430</v>
      </c>
      <c r="Y364" s="4">
        <f ca="1">IFERROR(__xludf.DUMMYFUNCTION("""COMPUTED_VALUE"""),42650.6666666666)</f>
        <v>42650.666666666599</v>
      </c>
      <c r="Z364" s="3">
        <f ca="1">IFERROR(__xludf.DUMMYFUNCTION("""COMPUTED_VALUE"""),19.55)</f>
        <v>19.55</v>
      </c>
      <c r="AA364" s="3">
        <f ca="1">IFERROR(__xludf.DUMMYFUNCTION("""COMPUTED_VALUE"""),19.66)</f>
        <v>19.66</v>
      </c>
      <c r="AB364" s="3">
        <f ca="1">IFERROR(__xludf.DUMMYFUNCTION("""COMPUTED_VALUE"""),19.49)</f>
        <v>19.489999999999998</v>
      </c>
      <c r="AC364" s="3">
        <f ca="1">IFERROR(__xludf.DUMMYFUNCTION("""COMPUTED_VALUE"""),19.62)</f>
        <v>19.62</v>
      </c>
      <c r="AD364" s="3">
        <f ca="1">IFERROR(__xludf.DUMMYFUNCTION("""COMPUTED_VALUE"""),55532849)</f>
        <v>55532849</v>
      </c>
      <c r="AE364" s="4">
        <f ca="1">IFERROR(__xludf.DUMMYFUNCTION("""COMPUTED_VALUE"""),42650.6666666666)</f>
        <v>42650.666666666599</v>
      </c>
      <c r="AF364" s="3">
        <f ca="1">IFERROR(__xludf.DUMMYFUNCTION("""COMPUTED_VALUE"""),71.85)</f>
        <v>71.849999999999994</v>
      </c>
      <c r="AG364" s="3">
        <f ca="1">IFERROR(__xludf.DUMMYFUNCTION("""COMPUTED_VALUE"""),72.21)</f>
        <v>72.209999999999994</v>
      </c>
      <c r="AH364" s="3">
        <f ca="1">IFERROR(__xludf.DUMMYFUNCTION("""COMPUTED_VALUE"""),71.45)</f>
        <v>71.45</v>
      </c>
      <c r="AI364" s="3">
        <f ca="1">IFERROR(__xludf.DUMMYFUNCTION("""COMPUTED_VALUE"""),71.87)</f>
        <v>71.87</v>
      </c>
      <c r="AJ364" s="3">
        <f ca="1">IFERROR(__xludf.DUMMYFUNCTION("""COMPUTED_VALUE"""),9920420)</f>
        <v>9920420</v>
      </c>
      <c r="AK364" s="4">
        <f ca="1">IFERROR(__xludf.DUMMYFUNCTION("""COMPUTED_VALUE"""),42650.6666666666)</f>
        <v>42650.666666666599</v>
      </c>
      <c r="AL364" s="3">
        <f ca="1">IFERROR(__xludf.DUMMYFUNCTION("""COMPUTED_VALUE"""),57.92)</f>
        <v>57.92</v>
      </c>
      <c r="AM364" s="3">
        <f ca="1">IFERROR(__xludf.DUMMYFUNCTION("""COMPUTED_VALUE"""),57.94)</f>
        <v>57.94</v>
      </c>
      <c r="AN364" s="3">
        <f ca="1">IFERROR(__xludf.DUMMYFUNCTION("""COMPUTED_VALUE"""),57.31)</f>
        <v>57.31</v>
      </c>
      <c r="AO364" s="3">
        <f ca="1">IFERROR(__xludf.DUMMYFUNCTION("""COMPUTED_VALUE"""),57.56)</f>
        <v>57.56</v>
      </c>
      <c r="AP364" s="3">
        <f ca="1">IFERROR(__xludf.DUMMYFUNCTION("""COMPUTED_VALUE"""),12646117)</f>
        <v>12646117</v>
      </c>
      <c r="AQ364" s="4">
        <f ca="1">IFERROR(__xludf.DUMMYFUNCTION("""COMPUTED_VALUE"""),42650.6666666666)</f>
        <v>42650.666666666599</v>
      </c>
      <c r="AR364" s="3">
        <f ca="1">IFERROR(__xludf.DUMMYFUNCTION("""COMPUTED_VALUE"""),47.81)</f>
        <v>47.81</v>
      </c>
      <c r="AS364" s="3">
        <f ca="1">IFERROR(__xludf.DUMMYFUNCTION("""COMPUTED_VALUE"""),47.81)</f>
        <v>47.81</v>
      </c>
      <c r="AT364" s="3">
        <f ca="1">IFERROR(__xludf.DUMMYFUNCTION("""COMPUTED_VALUE"""),46.7)</f>
        <v>46.7</v>
      </c>
      <c r="AU364" s="3">
        <f ca="1">IFERROR(__xludf.DUMMYFUNCTION("""COMPUTED_VALUE"""),46.86)</f>
        <v>46.86</v>
      </c>
      <c r="AV364" s="3">
        <f ca="1">IFERROR(__xludf.DUMMYFUNCTION("""COMPUTED_VALUE"""),5890851)</f>
        <v>5890851</v>
      </c>
      <c r="AW364" s="4">
        <f ca="1">IFERROR(__xludf.DUMMYFUNCTION("""COMPUTED_VALUE"""),42817.6666666666)</f>
        <v>42817.666666666599</v>
      </c>
      <c r="AX364" s="3">
        <f ca="1">IFERROR(__xludf.DUMMYFUNCTION("""COMPUTED_VALUE"""),31.1)</f>
        <v>31.1</v>
      </c>
      <c r="AY364" s="3">
        <f ca="1">IFERROR(__xludf.DUMMYFUNCTION("""COMPUTED_VALUE"""),31.57)</f>
        <v>31.57</v>
      </c>
      <c r="AZ364" s="3">
        <f ca="1">IFERROR(__xludf.DUMMYFUNCTION("""COMPUTED_VALUE"""),31.1)</f>
        <v>31.1</v>
      </c>
      <c r="BA364" s="3">
        <f ca="1">IFERROR(__xludf.DUMMYFUNCTION("""COMPUTED_VALUE"""),31.38)</f>
        <v>31.38</v>
      </c>
      <c r="BB364" s="3">
        <f ca="1">IFERROR(__xludf.DUMMYFUNCTION("""COMPUTED_VALUE"""),2233398)</f>
        <v>2233398</v>
      </c>
      <c r="BC364" s="4">
        <f ca="1">IFERROR(__xludf.DUMMYFUNCTION("""COMPUTED_VALUE"""),42650.6666666666)</f>
        <v>42650.666666666599</v>
      </c>
      <c r="BD364" s="3">
        <f ca="1">IFERROR(__xludf.DUMMYFUNCTION("""COMPUTED_VALUE"""),47.79)</f>
        <v>47.79</v>
      </c>
      <c r="BE364" s="3">
        <f ca="1">IFERROR(__xludf.DUMMYFUNCTION("""COMPUTED_VALUE"""),47.85)</f>
        <v>47.85</v>
      </c>
      <c r="BF364" s="3">
        <f ca="1">IFERROR(__xludf.DUMMYFUNCTION("""COMPUTED_VALUE"""),47.39)</f>
        <v>47.39</v>
      </c>
      <c r="BG364" s="3">
        <f ca="1">IFERROR(__xludf.DUMMYFUNCTION("""COMPUTED_VALUE"""),47.62)</f>
        <v>47.62</v>
      </c>
      <c r="BH364" s="3">
        <f ca="1">IFERROR(__xludf.DUMMYFUNCTION("""COMPUTED_VALUE"""),6073940)</f>
        <v>6073940</v>
      </c>
      <c r="BI364" s="4">
        <f ca="1">IFERROR(__xludf.DUMMYFUNCTION("""COMPUTED_VALUE"""),42650.6666666666)</f>
        <v>42650.666666666599</v>
      </c>
      <c r="BJ364" s="3">
        <f ca="1">IFERROR(__xludf.DUMMYFUNCTION("""COMPUTED_VALUE"""),47.51)</f>
        <v>47.51</v>
      </c>
      <c r="BK364" s="3">
        <f ca="1">IFERROR(__xludf.DUMMYFUNCTION("""COMPUTED_VALUE"""),47.96)</f>
        <v>47.96</v>
      </c>
      <c r="BL364" s="3">
        <f ca="1">IFERROR(__xludf.DUMMYFUNCTION("""COMPUTED_VALUE"""),47.1)</f>
        <v>47.1</v>
      </c>
      <c r="BM364" s="3">
        <f ca="1">IFERROR(__xludf.DUMMYFUNCTION("""COMPUTED_VALUE"""),47.12)</f>
        <v>47.12</v>
      </c>
      <c r="BN364" s="3">
        <f ca="1">IFERROR(__xludf.DUMMYFUNCTION("""COMPUTED_VALUE"""),17215813)</f>
        <v>17215813</v>
      </c>
    </row>
    <row r="365" spans="7:66" ht="13" x14ac:dyDescent="0.15">
      <c r="G365" s="4">
        <f ca="1">IFERROR(__xludf.DUMMYFUNCTION("""COMPUTED_VALUE"""),42653.6666666666)</f>
        <v>42653.666666666599</v>
      </c>
      <c r="H365" s="3">
        <f ca="1">IFERROR(__xludf.DUMMYFUNCTION("""COMPUTED_VALUE"""),80.12)</f>
        <v>80.12</v>
      </c>
      <c r="I365" s="3">
        <f ca="1">IFERROR(__xludf.DUMMYFUNCTION("""COMPUTED_VALUE"""),80.22)</f>
        <v>80.22</v>
      </c>
      <c r="J365" s="3">
        <f ca="1">IFERROR(__xludf.DUMMYFUNCTION("""COMPUTED_VALUE"""),79.82)</f>
        <v>79.819999999999993</v>
      </c>
      <c r="K365" s="3">
        <f ca="1">IFERROR(__xludf.DUMMYFUNCTION("""COMPUTED_VALUE"""),79.87)</f>
        <v>79.87</v>
      </c>
      <c r="L365" s="3">
        <f ca="1">IFERROR(__xludf.DUMMYFUNCTION("""COMPUTED_VALUE"""),2970513)</f>
        <v>2970513</v>
      </c>
      <c r="M365" s="4">
        <f ca="1">IFERROR(__xludf.DUMMYFUNCTION("""COMPUTED_VALUE"""),42653.6666666666)</f>
        <v>42653.666666666599</v>
      </c>
      <c r="N365" s="3">
        <f ca="1">IFERROR(__xludf.DUMMYFUNCTION("""COMPUTED_VALUE"""),52.45)</f>
        <v>52.45</v>
      </c>
      <c r="O365" s="3">
        <f ca="1">IFERROR(__xludf.DUMMYFUNCTION("""COMPUTED_VALUE"""),52.64)</f>
        <v>52.64</v>
      </c>
      <c r="P365" s="3">
        <f ca="1">IFERROR(__xludf.DUMMYFUNCTION("""COMPUTED_VALUE"""),52.23)</f>
        <v>52.23</v>
      </c>
      <c r="Q365" s="3">
        <f ca="1">IFERROR(__xludf.DUMMYFUNCTION("""COMPUTED_VALUE"""),52.33)</f>
        <v>52.33</v>
      </c>
      <c r="R365" s="3">
        <f ca="1">IFERROR(__xludf.DUMMYFUNCTION("""COMPUTED_VALUE"""),8661735)</f>
        <v>8661735</v>
      </c>
      <c r="S365" s="4">
        <f ca="1">IFERROR(__xludf.DUMMYFUNCTION("""COMPUTED_VALUE"""),42653.6666666666)</f>
        <v>42653.666666666599</v>
      </c>
      <c r="T365" s="3">
        <f ca="1">IFERROR(__xludf.DUMMYFUNCTION("""COMPUTED_VALUE"""),71.31)</f>
        <v>71.31</v>
      </c>
      <c r="U365" s="3">
        <f ca="1">IFERROR(__xludf.DUMMYFUNCTION("""COMPUTED_VALUE"""),71.98)</f>
        <v>71.98</v>
      </c>
      <c r="V365" s="3">
        <f ca="1">IFERROR(__xludf.DUMMYFUNCTION("""COMPUTED_VALUE"""),71.24)</f>
        <v>71.239999999999995</v>
      </c>
      <c r="W365" s="3">
        <f ca="1">IFERROR(__xludf.DUMMYFUNCTION("""COMPUTED_VALUE"""),71.72)</f>
        <v>71.72</v>
      </c>
      <c r="X365" s="3">
        <f ca="1">IFERROR(__xludf.DUMMYFUNCTION("""COMPUTED_VALUE"""),11534499)</f>
        <v>11534499</v>
      </c>
      <c r="Y365" s="4">
        <f ca="1">IFERROR(__xludf.DUMMYFUNCTION("""COMPUTED_VALUE"""),42653.6666666666)</f>
        <v>42653.666666666599</v>
      </c>
      <c r="Z365" s="3">
        <f ca="1">IFERROR(__xludf.DUMMYFUNCTION("""COMPUTED_VALUE"""),19.72)</f>
        <v>19.72</v>
      </c>
      <c r="AA365" s="3">
        <f ca="1">IFERROR(__xludf.DUMMYFUNCTION("""COMPUTED_VALUE"""),19.81)</f>
        <v>19.809999999999999</v>
      </c>
      <c r="AB365" s="3">
        <f ca="1">IFERROR(__xludf.DUMMYFUNCTION("""COMPUTED_VALUE"""),19.7)</f>
        <v>19.7</v>
      </c>
      <c r="AC365" s="3">
        <f ca="1">IFERROR(__xludf.DUMMYFUNCTION("""COMPUTED_VALUE"""),19.72)</f>
        <v>19.72</v>
      </c>
      <c r="AD365" s="3">
        <f ca="1">IFERROR(__xludf.DUMMYFUNCTION("""COMPUTED_VALUE"""),37997419)</f>
        <v>37997419</v>
      </c>
      <c r="AE365" s="4">
        <f ca="1">IFERROR(__xludf.DUMMYFUNCTION("""COMPUTED_VALUE"""),42653.6666666666)</f>
        <v>42653.666666666599</v>
      </c>
      <c r="AF365" s="3">
        <f ca="1">IFERROR(__xludf.DUMMYFUNCTION("""COMPUTED_VALUE"""),72)</f>
        <v>72</v>
      </c>
      <c r="AG365" s="3">
        <f ca="1">IFERROR(__xludf.DUMMYFUNCTION("""COMPUTED_VALUE"""),72.42)</f>
        <v>72.42</v>
      </c>
      <c r="AH365" s="3">
        <f ca="1">IFERROR(__xludf.DUMMYFUNCTION("""COMPUTED_VALUE"""),72)</f>
        <v>72</v>
      </c>
      <c r="AI365" s="3">
        <f ca="1">IFERROR(__xludf.DUMMYFUNCTION("""COMPUTED_VALUE"""),72.2)</f>
        <v>72.2</v>
      </c>
      <c r="AJ365" s="3">
        <f ca="1">IFERROR(__xludf.DUMMYFUNCTION("""COMPUTED_VALUE"""),11039462)</f>
        <v>11039462</v>
      </c>
      <c r="AK365" s="4">
        <f ca="1">IFERROR(__xludf.DUMMYFUNCTION("""COMPUTED_VALUE"""),42653.6666666666)</f>
        <v>42653.666666666599</v>
      </c>
      <c r="AL365" s="3">
        <f ca="1">IFERROR(__xludf.DUMMYFUNCTION("""COMPUTED_VALUE"""),57.84)</f>
        <v>57.84</v>
      </c>
      <c r="AM365" s="3">
        <f ca="1">IFERROR(__xludf.DUMMYFUNCTION("""COMPUTED_VALUE"""),58)</f>
        <v>58</v>
      </c>
      <c r="AN365" s="3">
        <f ca="1">IFERROR(__xludf.DUMMYFUNCTION("""COMPUTED_VALUE"""),57.55)</f>
        <v>57.55</v>
      </c>
      <c r="AO365" s="3">
        <f ca="1">IFERROR(__xludf.DUMMYFUNCTION("""COMPUTED_VALUE"""),57.62)</f>
        <v>57.62</v>
      </c>
      <c r="AP365" s="3">
        <f ca="1">IFERROR(__xludf.DUMMYFUNCTION("""COMPUTED_VALUE"""),8706382)</f>
        <v>8706382</v>
      </c>
      <c r="AQ365" s="4">
        <f ca="1">IFERROR(__xludf.DUMMYFUNCTION("""COMPUTED_VALUE"""),42653.6666666666)</f>
        <v>42653.666666666599</v>
      </c>
      <c r="AR365" s="3">
        <f ca="1">IFERROR(__xludf.DUMMYFUNCTION("""COMPUTED_VALUE"""),47.14)</f>
        <v>47.14</v>
      </c>
      <c r="AS365" s="3">
        <f ca="1">IFERROR(__xludf.DUMMYFUNCTION("""COMPUTED_VALUE"""),47.48)</f>
        <v>47.48</v>
      </c>
      <c r="AT365" s="3">
        <f ca="1">IFERROR(__xludf.DUMMYFUNCTION("""COMPUTED_VALUE"""),47.04)</f>
        <v>47.04</v>
      </c>
      <c r="AU365" s="3">
        <f ca="1">IFERROR(__xludf.DUMMYFUNCTION("""COMPUTED_VALUE"""),47.14)</f>
        <v>47.14</v>
      </c>
      <c r="AV365" s="3">
        <f ca="1">IFERROR(__xludf.DUMMYFUNCTION("""COMPUTED_VALUE"""),3091942)</f>
        <v>3091942</v>
      </c>
      <c r="AW365" s="4">
        <f ca="1">IFERROR(__xludf.DUMMYFUNCTION("""COMPUTED_VALUE"""),42818.6666666666)</f>
        <v>42818.666666666599</v>
      </c>
      <c r="AX365" s="3">
        <f ca="1">IFERROR(__xludf.DUMMYFUNCTION("""COMPUTED_VALUE"""),31.44)</f>
        <v>31.44</v>
      </c>
      <c r="AY365" s="3">
        <f ca="1">IFERROR(__xludf.DUMMYFUNCTION("""COMPUTED_VALUE"""),31.53)</f>
        <v>31.53</v>
      </c>
      <c r="AZ365" s="3">
        <f ca="1">IFERROR(__xludf.DUMMYFUNCTION("""COMPUTED_VALUE"""),31.27)</f>
        <v>31.27</v>
      </c>
      <c r="BA365" s="3">
        <f ca="1">IFERROR(__xludf.DUMMYFUNCTION("""COMPUTED_VALUE"""),31.35)</f>
        <v>31.35</v>
      </c>
      <c r="BB365" s="3">
        <f ca="1">IFERROR(__xludf.DUMMYFUNCTION("""COMPUTED_VALUE"""),3880551)</f>
        <v>3880551</v>
      </c>
      <c r="BC365" s="4">
        <f ca="1">IFERROR(__xludf.DUMMYFUNCTION("""COMPUTED_VALUE"""),42653.6666666666)</f>
        <v>42653.666666666599</v>
      </c>
      <c r="BD365" s="3">
        <f ca="1">IFERROR(__xludf.DUMMYFUNCTION("""COMPUTED_VALUE"""),47.87)</f>
        <v>47.87</v>
      </c>
      <c r="BE365" s="3">
        <f ca="1">IFERROR(__xludf.DUMMYFUNCTION("""COMPUTED_VALUE"""),48.06)</f>
        <v>48.06</v>
      </c>
      <c r="BF365" s="3">
        <f ca="1">IFERROR(__xludf.DUMMYFUNCTION("""COMPUTED_VALUE"""),47.84)</f>
        <v>47.84</v>
      </c>
      <c r="BG365" s="3">
        <f ca="1">IFERROR(__xludf.DUMMYFUNCTION("""COMPUTED_VALUE"""),47.95)</f>
        <v>47.95</v>
      </c>
      <c r="BH365" s="3">
        <f ca="1">IFERROR(__xludf.DUMMYFUNCTION("""COMPUTED_VALUE"""),6657950)</f>
        <v>6657950</v>
      </c>
      <c r="BI365" s="4">
        <f ca="1">IFERROR(__xludf.DUMMYFUNCTION("""COMPUTED_VALUE"""),42653.6666666666)</f>
        <v>42653.666666666599</v>
      </c>
      <c r="BJ365" s="3">
        <f ca="1">IFERROR(__xludf.DUMMYFUNCTION("""COMPUTED_VALUE"""),47.15)</f>
        <v>47.15</v>
      </c>
      <c r="BK365" s="3">
        <f ca="1">IFERROR(__xludf.DUMMYFUNCTION("""COMPUTED_VALUE"""),47.55)</f>
        <v>47.55</v>
      </c>
      <c r="BL365" s="3">
        <f ca="1">IFERROR(__xludf.DUMMYFUNCTION("""COMPUTED_VALUE"""),47.15)</f>
        <v>47.15</v>
      </c>
      <c r="BM365" s="3">
        <f ca="1">IFERROR(__xludf.DUMMYFUNCTION("""COMPUTED_VALUE"""),47.51)</f>
        <v>47.51</v>
      </c>
      <c r="BN365" s="3">
        <f ca="1">IFERROR(__xludf.DUMMYFUNCTION("""COMPUTED_VALUE"""),9774767)</f>
        <v>9774767</v>
      </c>
    </row>
    <row r="366" spans="7:66" ht="13" x14ac:dyDescent="0.15">
      <c r="G366" s="4">
        <f ca="1">IFERROR(__xludf.DUMMYFUNCTION("""COMPUTED_VALUE"""),42654.6666666666)</f>
        <v>42654.666666666599</v>
      </c>
      <c r="H366" s="3">
        <f ca="1">IFERROR(__xludf.DUMMYFUNCTION("""COMPUTED_VALUE"""),79.93)</f>
        <v>79.930000000000007</v>
      </c>
      <c r="I366" s="3">
        <f ca="1">IFERROR(__xludf.DUMMYFUNCTION("""COMPUTED_VALUE"""),79.93)</f>
        <v>79.930000000000007</v>
      </c>
      <c r="J366" s="3">
        <f ca="1">IFERROR(__xludf.DUMMYFUNCTION("""COMPUTED_VALUE"""),78.74)</f>
        <v>78.739999999999995</v>
      </c>
      <c r="K366" s="3">
        <f ca="1">IFERROR(__xludf.DUMMYFUNCTION("""COMPUTED_VALUE"""),78.9)</f>
        <v>78.900000000000006</v>
      </c>
      <c r="L366" s="3">
        <f ca="1">IFERROR(__xludf.DUMMYFUNCTION("""COMPUTED_VALUE"""),8425902)</f>
        <v>8425902</v>
      </c>
      <c r="M366" s="4">
        <f ca="1">IFERROR(__xludf.DUMMYFUNCTION("""COMPUTED_VALUE"""),42654.6666666666)</f>
        <v>42654.666666666599</v>
      </c>
      <c r="N366" s="3">
        <f ca="1">IFERROR(__xludf.DUMMYFUNCTION("""COMPUTED_VALUE"""),52.29)</f>
        <v>52.29</v>
      </c>
      <c r="O366" s="3">
        <f ca="1">IFERROR(__xludf.DUMMYFUNCTION("""COMPUTED_VALUE"""),52.33)</f>
        <v>52.33</v>
      </c>
      <c r="P366" s="3">
        <f ca="1">IFERROR(__xludf.DUMMYFUNCTION("""COMPUTED_VALUE"""),51.87)</f>
        <v>51.87</v>
      </c>
      <c r="Q366" s="3">
        <f ca="1">IFERROR(__xludf.DUMMYFUNCTION("""COMPUTED_VALUE"""),52.06)</f>
        <v>52.06</v>
      </c>
      <c r="R366" s="3">
        <f ca="1">IFERROR(__xludf.DUMMYFUNCTION("""COMPUTED_VALUE"""),19642620)</f>
        <v>19642620</v>
      </c>
      <c r="S366" s="4">
        <f ca="1">IFERROR(__xludf.DUMMYFUNCTION("""COMPUTED_VALUE"""),42654.6666666666)</f>
        <v>42654.666666666599</v>
      </c>
      <c r="T366" s="3">
        <f ca="1">IFERROR(__xludf.DUMMYFUNCTION("""COMPUTED_VALUE"""),71.47)</f>
        <v>71.47</v>
      </c>
      <c r="U366" s="3">
        <f ca="1">IFERROR(__xludf.DUMMYFUNCTION("""COMPUTED_VALUE"""),71.59)</f>
        <v>71.59</v>
      </c>
      <c r="V366" s="3">
        <f ca="1">IFERROR(__xludf.DUMMYFUNCTION("""COMPUTED_VALUE"""),70.51)</f>
        <v>70.510000000000005</v>
      </c>
      <c r="W366" s="3">
        <f ca="1">IFERROR(__xludf.DUMMYFUNCTION("""COMPUTED_VALUE"""),70.9)</f>
        <v>70.900000000000006</v>
      </c>
      <c r="X366" s="3">
        <f ca="1">IFERROR(__xludf.DUMMYFUNCTION("""COMPUTED_VALUE"""),13712236)</f>
        <v>13712236</v>
      </c>
      <c r="Y366" s="4">
        <f ca="1">IFERROR(__xludf.DUMMYFUNCTION("""COMPUTED_VALUE"""),42654.6666666666)</f>
        <v>42654.666666666599</v>
      </c>
      <c r="Z366" s="3">
        <f ca="1">IFERROR(__xludf.DUMMYFUNCTION("""COMPUTED_VALUE"""),19.66)</f>
        <v>19.66</v>
      </c>
      <c r="AA366" s="3">
        <f ca="1">IFERROR(__xludf.DUMMYFUNCTION("""COMPUTED_VALUE"""),19.72)</f>
        <v>19.72</v>
      </c>
      <c r="AB366" s="3">
        <f ca="1">IFERROR(__xludf.DUMMYFUNCTION("""COMPUTED_VALUE"""),19.41)</f>
        <v>19.41</v>
      </c>
      <c r="AC366" s="3">
        <f ca="1">IFERROR(__xludf.DUMMYFUNCTION("""COMPUTED_VALUE"""),19.54)</f>
        <v>19.54</v>
      </c>
      <c r="AD366" s="3">
        <f ca="1">IFERROR(__xludf.DUMMYFUNCTION("""COMPUTED_VALUE"""),78581159)</f>
        <v>78581159</v>
      </c>
      <c r="AE366" s="4">
        <f ca="1">IFERROR(__xludf.DUMMYFUNCTION("""COMPUTED_VALUE"""),42654.6666666666)</f>
        <v>42654.666666666599</v>
      </c>
      <c r="AF366" s="3">
        <f ca="1">IFERROR(__xludf.DUMMYFUNCTION("""COMPUTED_VALUE"""),71.85)</f>
        <v>71.849999999999994</v>
      </c>
      <c r="AG366" s="3">
        <f ca="1">IFERROR(__xludf.DUMMYFUNCTION("""COMPUTED_VALUE"""),71.85)</f>
        <v>71.849999999999994</v>
      </c>
      <c r="AH366" s="3">
        <f ca="1">IFERROR(__xludf.DUMMYFUNCTION("""COMPUTED_VALUE"""),70.08)</f>
        <v>70.08</v>
      </c>
      <c r="AI366" s="3">
        <f ca="1">IFERROR(__xludf.DUMMYFUNCTION("""COMPUTED_VALUE"""),70.39)</f>
        <v>70.39</v>
      </c>
      <c r="AJ366" s="3">
        <f ca="1">IFERROR(__xludf.DUMMYFUNCTION("""COMPUTED_VALUE"""),12499679)</f>
        <v>12499679</v>
      </c>
      <c r="AK366" s="4">
        <f ca="1">IFERROR(__xludf.DUMMYFUNCTION("""COMPUTED_VALUE"""),42654.6666666666)</f>
        <v>42654.666666666599</v>
      </c>
      <c r="AL366" s="3">
        <f ca="1">IFERROR(__xludf.DUMMYFUNCTION("""COMPUTED_VALUE"""),57.5)</f>
        <v>57.5</v>
      </c>
      <c r="AM366" s="3">
        <f ca="1">IFERROR(__xludf.DUMMYFUNCTION("""COMPUTED_VALUE"""),57.55)</f>
        <v>57.55</v>
      </c>
      <c r="AN366" s="3">
        <f ca="1">IFERROR(__xludf.DUMMYFUNCTION("""COMPUTED_VALUE"""),56.77)</f>
        <v>56.77</v>
      </c>
      <c r="AO366" s="3">
        <f ca="1">IFERROR(__xludf.DUMMYFUNCTION("""COMPUTED_VALUE"""),57.02)</f>
        <v>57.02</v>
      </c>
      <c r="AP366" s="3">
        <f ca="1">IFERROR(__xludf.DUMMYFUNCTION("""COMPUTED_VALUE"""),13409076)</f>
        <v>13409076</v>
      </c>
      <c r="AQ366" s="4">
        <f ca="1">IFERROR(__xludf.DUMMYFUNCTION("""COMPUTED_VALUE"""),42654.6666666666)</f>
        <v>42654.666666666599</v>
      </c>
      <c r="AR366" s="3">
        <f ca="1">IFERROR(__xludf.DUMMYFUNCTION("""COMPUTED_VALUE"""),46.81)</f>
        <v>46.81</v>
      </c>
      <c r="AS366" s="3">
        <f ca="1">IFERROR(__xludf.DUMMYFUNCTION("""COMPUTED_VALUE"""),46.86)</f>
        <v>46.86</v>
      </c>
      <c r="AT366" s="3">
        <f ca="1">IFERROR(__xludf.DUMMYFUNCTION("""COMPUTED_VALUE"""),46.2)</f>
        <v>46.2</v>
      </c>
      <c r="AU366" s="3">
        <f ca="1">IFERROR(__xludf.DUMMYFUNCTION("""COMPUTED_VALUE"""),46.5)</f>
        <v>46.5</v>
      </c>
      <c r="AV366" s="3">
        <f ca="1">IFERROR(__xludf.DUMMYFUNCTION("""COMPUTED_VALUE"""),11350539)</f>
        <v>11350539</v>
      </c>
      <c r="AW366" s="4">
        <f ca="1">IFERROR(__xludf.DUMMYFUNCTION("""COMPUTED_VALUE"""),42821.6666666666)</f>
        <v>42821.666666666599</v>
      </c>
      <c r="AX366" s="3">
        <f ca="1">IFERROR(__xludf.DUMMYFUNCTION("""COMPUTED_VALUE"""),31.28)</f>
        <v>31.28</v>
      </c>
      <c r="AY366" s="3">
        <f ca="1">IFERROR(__xludf.DUMMYFUNCTION("""COMPUTED_VALUE"""),31.4)</f>
        <v>31.4</v>
      </c>
      <c r="AZ366" s="3">
        <f ca="1">IFERROR(__xludf.DUMMYFUNCTION("""COMPUTED_VALUE"""),31.04)</f>
        <v>31.04</v>
      </c>
      <c r="BA366" s="3">
        <f ca="1">IFERROR(__xludf.DUMMYFUNCTION("""COMPUTED_VALUE"""),31.1)</f>
        <v>31.1</v>
      </c>
      <c r="BB366" s="3">
        <f ca="1">IFERROR(__xludf.DUMMYFUNCTION("""COMPUTED_VALUE"""),3656425)</f>
        <v>3656425</v>
      </c>
      <c r="BC366" s="4">
        <f ca="1">IFERROR(__xludf.DUMMYFUNCTION("""COMPUTED_VALUE"""),42654.6666666666)</f>
        <v>42654.666666666599</v>
      </c>
      <c r="BD366" s="3">
        <f ca="1">IFERROR(__xludf.DUMMYFUNCTION("""COMPUTED_VALUE"""),47.95)</f>
        <v>47.95</v>
      </c>
      <c r="BE366" s="3">
        <f ca="1">IFERROR(__xludf.DUMMYFUNCTION("""COMPUTED_VALUE"""),48.01)</f>
        <v>48.01</v>
      </c>
      <c r="BF366" s="3">
        <f ca="1">IFERROR(__xludf.DUMMYFUNCTION("""COMPUTED_VALUE"""),47.2)</f>
        <v>47.2</v>
      </c>
      <c r="BG366" s="3">
        <f ca="1">IFERROR(__xludf.DUMMYFUNCTION("""COMPUTED_VALUE"""),47.41)</f>
        <v>47.41</v>
      </c>
      <c r="BH366" s="3">
        <f ca="1">IFERROR(__xludf.DUMMYFUNCTION("""COMPUTED_VALUE"""),8727329)</f>
        <v>8727329</v>
      </c>
      <c r="BI366" s="4">
        <f ca="1">IFERROR(__xludf.DUMMYFUNCTION("""COMPUTED_VALUE"""),42654.6666666666)</f>
        <v>42654.666666666599</v>
      </c>
      <c r="BJ366" s="3">
        <f ca="1">IFERROR(__xludf.DUMMYFUNCTION("""COMPUTED_VALUE"""),47.48)</f>
        <v>47.48</v>
      </c>
      <c r="BK366" s="3">
        <f ca="1">IFERROR(__xludf.DUMMYFUNCTION("""COMPUTED_VALUE"""),47.48)</f>
        <v>47.48</v>
      </c>
      <c r="BL366" s="3">
        <f ca="1">IFERROR(__xludf.DUMMYFUNCTION("""COMPUTED_VALUE"""),46.89)</f>
        <v>46.89</v>
      </c>
      <c r="BM366" s="3">
        <f ca="1">IFERROR(__xludf.DUMMYFUNCTION("""COMPUTED_VALUE"""),46.97)</f>
        <v>46.97</v>
      </c>
      <c r="BN366" s="3">
        <f ca="1">IFERROR(__xludf.DUMMYFUNCTION("""COMPUTED_VALUE"""),14346968)</f>
        <v>14346968</v>
      </c>
    </row>
    <row r="367" spans="7:66" ht="13" x14ac:dyDescent="0.15">
      <c r="G367" s="4">
        <f ca="1">IFERROR(__xludf.DUMMYFUNCTION("""COMPUTED_VALUE"""),42655.6666666666)</f>
        <v>42655.666666666599</v>
      </c>
      <c r="H367" s="3">
        <f ca="1">IFERROR(__xludf.DUMMYFUNCTION("""COMPUTED_VALUE"""),78.98)</f>
        <v>78.98</v>
      </c>
      <c r="I367" s="3">
        <f ca="1">IFERROR(__xludf.DUMMYFUNCTION("""COMPUTED_VALUE"""),79.56)</f>
        <v>79.56</v>
      </c>
      <c r="J367" s="3">
        <f ca="1">IFERROR(__xludf.DUMMYFUNCTION("""COMPUTED_VALUE"""),78.88)</f>
        <v>78.88</v>
      </c>
      <c r="K367" s="3">
        <f ca="1">IFERROR(__xludf.DUMMYFUNCTION("""COMPUTED_VALUE"""),79.27)</f>
        <v>79.27</v>
      </c>
      <c r="L367" s="3">
        <f ca="1">IFERROR(__xludf.DUMMYFUNCTION("""COMPUTED_VALUE"""),3798210)</f>
        <v>3798210</v>
      </c>
      <c r="M367" s="4">
        <f ca="1">IFERROR(__xludf.DUMMYFUNCTION("""COMPUTED_VALUE"""),42655.6666666666)</f>
        <v>42655.666666666599</v>
      </c>
      <c r="N367" s="3">
        <f ca="1">IFERROR(__xludf.DUMMYFUNCTION("""COMPUTED_VALUE"""),52.15)</f>
        <v>52.15</v>
      </c>
      <c r="O367" s="3">
        <f ca="1">IFERROR(__xludf.DUMMYFUNCTION("""COMPUTED_VALUE"""),52.48)</f>
        <v>52.48</v>
      </c>
      <c r="P367" s="3">
        <f ca="1">IFERROR(__xludf.DUMMYFUNCTION("""COMPUTED_VALUE"""),52.05)</f>
        <v>52.05</v>
      </c>
      <c r="Q367" s="3">
        <f ca="1">IFERROR(__xludf.DUMMYFUNCTION("""COMPUTED_VALUE"""),52.35)</f>
        <v>52.35</v>
      </c>
      <c r="R367" s="3">
        <f ca="1">IFERROR(__xludf.DUMMYFUNCTION("""COMPUTED_VALUE"""),7145429)</f>
        <v>7145429</v>
      </c>
      <c r="S367" s="4">
        <f ca="1">IFERROR(__xludf.DUMMYFUNCTION("""COMPUTED_VALUE"""),42655.6666666666)</f>
        <v>42655.666666666599</v>
      </c>
      <c r="T367" s="3">
        <f ca="1">IFERROR(__xludf.DUMMYFUNCTION("""COMPUTED_VALUE"""),70.6)</f>
        <v>70.599999999999994</v>
      </c>
      <c r="U367" s="3">
        <f ca="1">IFERROR(__xludf.DUMMYFUNCTION("""COMPUTED_VALUE"""),70.85)</f>
        <v>70.849999999999994</v>
      </c>
      <c r="V367" s="3">
        <f ca="1">IFERROR(__xludf.DUMMYFUNCTION("""COMPUTED_VALUE"""),70)</f>
        <v>70</v>
      </c>
      <c r="W367" s="3">
        <f ca="1">IFERROR(__xludf.DUMMYFUNCTION("""COMPUTED_VALUE"""),70.6)</f>
        <v>70.599999999999994</v>
      </c>
      <c r="X367" s="3">
        <f ca="1">IFERROR(__xludf.DUMMYFUNCTION("""COMPUTED_VALUE"""),10439113)</f>
        <v>10439113</v>
      </c>
      <c r="Y367" s="4">
        <f ca="1">IFERROR(__xludf.DUMMYFUNCTION("""COMPUTED_VALUE"""),42655.6666666666)</f>
        <v>42655.666666666599</v>
      </c>
      <c r="Z367" s="3">
        <f ca="1">IFERROR(__xludf.DUMMYFUNCTION("""COMPUTED_VALUE"""),19.52)</f>
        <v>19.52</v>
      </c>
      <c r="AA367" s="3">
        <f ca="1">IFERROR(__xludf.DUMMYFUNCTION("""COMPUTED_VALUE"""),19.65)</f>
        <v>19.649999999999999</v>
      </c>
      <c r="AB367" s="3">
        <f ca="1">IFERROR(__xludf.DUMMYFUNCTION("""COMPUTED_VALUE"""),19.49)</f>
        <v>19.489999999999998</v>
      </c>
      <c r="AC367" s="3">
        <f ca="1">IFERROR(__xludf.DUMMYFUNCTION("""COMPUTED_VALUE"""),19.52)</f>
        <v>19.52</v>
      </c>
      <c r="AD367" s="3">
        <f ca="1">IFERROR(__xludf.DUMMYFUNCTION("""COMPUTED_VALUE"""),51378746)</f>
        <v>51378746</v>
      </c>
      <c r="AE367" s="4">
        <f ca="1">IFERROR(__xludf.DUMMYFUNCTION("""COMPUTED_VALUE"""),42655.6666666666)</f>
        <v>42655.666666666599</v>
      </c>
      <c r="AF367" s="3">
        <f ca="1">IFERROR(__xludf.DUMMYFUNCTION("""COMPUTED_VALUE"""),70.43)</f>
        <v>70.430000000000007</v>
      </c>
      <c r="AG367" s="3">
        <f ca="1">IFERROR(__xludf.DUMMYFUNCTION("""COMPUTED_VALUE"""),70.71)</f>
        <v>70.709999999999994</v>
      </c>
      <c r="AH367" s="3">
        <f ca="1">IFERROR(__xludf.DUMMYFUNCTION("""COMPUTED_VALUE"""),69.99)</f>
        <v>69.989999999999995</v>
      </c>
      <c r="AI367" s="3">
        <f ca="1">IFERROR(__xludf.DUMMYFUNCTION("""COMPUTED_VALUE"""),70.06)</f>
        <v>70.06</v>
      </c>
      <c r="AJ367" s="3">
        <f ca="1">IFERROR(__xludf.DUMMYFUNCTION("""COMPUTED_VALUE"""),11746381)</f>
        <v>11746381</v>
      </c>
      <c r="AK367" s="4">
        <f ca="1">IFERROR(__xludf.DUMMYFUNCTION("""COMPUTED_VALUE"""),42655.6666666666)</f>
        <v>42655.666666666599</v>
      </c>
      <c r="AL367" s="3">
        <f ca="1">IFERROR(__xludf.DUMMYFUNCTION("""COMPUTED_VALUE"""),57.08)</f>
        <v>57.08</v>
      </c>
      <c r="AM367" s="3">
        <f ca="1">IFERROR(__xludf.DUMMYFUNCTION("""COMPUTED_VALUE"""),57.29)</f>
        <v>57.29</v>
      </c>
      <c r="AN367" s="3">
        <f ca="1">IFERROR(__xludf.DUMMYFUNCTION("""COMPUTED_VALUE"""),56.86)</f>
        <v>56.86</v>
      </c>
      <c r="AO367" s="3">
        <f ca="1">IFERROR(__xludf.DUMMYFUNCTION("""COMPUTED_VALUE"""),57.13)</f>
        <v>57.13</v>
      </c>
      <c r="AP367" s="3">
        <f ca="1">IFERROR(__xludf.DUMMYFUNCTION("""COMPUTED_VALUE"""),8374281)</f>
        <v>8374281</v>
      </c>
      <c r="AQ367" s="4">
        <f ca="1">IFERROR(__xludf.DUMMYFUNCTION("""COMPUTED_VALUE"""),42655.6666666666)</f>
        <v>42655.666666666599</v>
      </c>
      <c r="AR367" s="3">
        <f ca="1">IFERROR(__xludf.DUMMYFUNCTION("""COMPUTED_VALUE"""),46.54)</f>
        <v>46.54</v>
      </c>
      <c r="AS367" s="3">
        <f ca="1">IFERROR(__xludf.DUMMYFUNCTION("""COMPUTED_VALUE"""),46.58)</f>
        <v>46.58</v>
      </c>
      <c r="AT367" s="3">
        <f ca="1">IFERROR(__xludf.DUMMYFUNCTION("""COMPUTED_VALUE"""),46.18)</f>
        <v>46.18</v>
      </c>
      <c r="AU367" s="3">
        <f ca="1">IFERROR(__xludf.DUMMYFUNCTION("""COMPUTED_VALUE"""),46.41)</f>
        <v>46.41</v>
      </c>
      <c r="AV367" s="3">
        <f ca="1">IFERROR(__xludf.DUMMYFUNCTION("""COMPUTED_VALUE"""),4058156)</f>
        <v>4058156</v>
      </c>
      <c r="AW367" s="4">
        <f ca="1">IFERROR(__xludf.DUMMYFUNCTION("""COMPUTED_VALUE"""),42822.6666666666)</f>
        <v>42822.666666666599</v>
      </c>
      <c r="AX367" s="3">
        <f ca="1">IFERROR(__xludf.DUMMYFUNCTION("""COMPUTED_VALUE"""),31.08)</f>
        <v>31.08</v>
      </c>
      <c r="AY367" s="3">
        <f ca="1">IFERROR(__xludf.DUMMYFUNCTION("""COMPUTED_VALUE"""),31.32)</f>
        <v>31.32</v>
      </c>
      <c r="AZ367" s="3">
        <f ca="1">IFERROR(__xludf.DUMMYFUNCTION("""COMPUTED_VALUE"""),30.94)</f>
        <v>30.94</v>
      </c>
      <c r="BA367" s="3">
        <f ca="1">IFERROR(__xludf.DUMMYFUNCTION("""COMPUTED_VALUE"""),31.28)</f>
        <v>31.28</v>
      </c>
      <c r="BB367" s="3">
        <f ca="1">IFERROR(__xludf.DUMMYFUNCTION("""COMPUTED_VALUE"""),2237107)</f>
        <v>2237107</v>
      </c>
      <c r="BC367" s="4">
        <f ca="1">IFERROR(__xludf.DUMMYFUNCTION("""COMPUTED_VALUE"""),42655.6666666666)</f>
        <v>42655.666666666599</v>
      </c>
      <c r="BD367" s="3">
        <f ca="1">IFERROR(__xludf.DUMMYFUNCTION("""COMPUTED_VALUE"""),47.45)</f>
        <v>47.45</v>
      </c>
      <c r="BE367" s="3">
        <f ca="1">IFERROR(__xludf.DUMMYFUNCTION("""COMPUTED_VALUE"""),47.62)</f>
        <v>47.62</v>
      </c>
      <c r="BF367" s="3">
        <f ca="1">IFERROR(__xludf.DUMMYFUNCTION("""COMPUTED_VALUE"""),47.21)</f>
        <v>47.21</v>
      </c>
      <c r="BG367" s="3">
        <f ca="1">IFERROR(__xludf.DUMMYFUNCTION("""COMPUTED_VALUE"""),47.49)</f>
        <v>47.49</v>
      </c>
      <c r="BH367" s="3">
        <f ca="1">IFERROR(__xludf.DUMMYFUNCTION("""COMPUTED_VALUE"""),5520367)</f>
        <v>5520367</v>
      </c>
      <c r="BI367" s="4">
        <f ca="1">IFERROR(__xludf.DUMMYFUNCTION("""COMPUTED_VALUE"""),42655.6666666666)</f>
        <v>42655.666666666599</v>
      </c>
      <c r="BJ367" s="3">
        <f ca="1">IFERROR(__xludf.DUMMYFUNCTION("""COMPUTED_VALUE"""),47)</f>
        <v>47</v>
      </c>
      <c r="BK367" s="3">
        <f ca="1">IFERROR(__xludf.DUMMYFUNCTION("""COMPUTED_VALUE"""),47.52)</f>
        <v>47.52</v>
      </c>
      <c r="BL367" s="3">
        <f ca="1">IFERROR(__xludf.DUMMYFUNCTION("""COMPUTED_VALUE"""),46.92)</f>
        <v>46.92</v>
      </c>
      <c r="BM367" s="3">
        <f ca="1">IFERROR(__xludf.DUMMYFUNCTION("""COMPUTED_VALUE"""),47.43)</f>
        <v>47.43</v>
      </c>
      <c r="BN367" s="3">
        <f ca="1">IFERROR(__xludf.DUMMYFUNCTION("""COMPUTED_VALUE"""),15427287)</f>
        <v>15427287</v>
      </c>
    </row>
    <row r="368" spans="7:66" ht="13" x14ac:dyDescent="0.15">
      <c r="G368" s="4">
        <f ca="1">IFERROR(__xludf.DUMMYFUNCTION("""COMPUTED_VALUE"""),42656.6666666666)</f>
        <v>42656.666666666599</v>
      </c>
      <c r="H368" s="3">
        <f ca="1">IFERROR(__xludf.DUMMYFUNCTION("""COMPUTED_VALUE"""),78.71)</f>
        <v>78.709999999999994</v>
      </c>
      <c r="I368" s="3">
        <f ca="1">IFERROR(__xludf.DUMMYFUNCTION("""COMPUTED_VALUE"""),79.19)</f>
        <v>79.19</v>
      </c>
      <c r="J368" s="3">
        <f ca="1">IFERROR(__xludf.DUMMYFUNCTION("""COMPUTED_VALUE"""),78.19)</f>
        <v>78.19</v>
      </c>
      <c r="K368" s="3">
        <f ca="1">IFERROR(__xludf.DUMMYFUNCTION("""COMPUTED_VALUE"""),78.98)</f>
        <v>78.98</v>
      </c>
      <c r="L368" s="3">
        <f ca="1">IFERROR(__xludf.DUMMYFUNCTION("""COMPUTED_VALUE"""),4027979)</f>
        <v>4027979</v>
      </c>
      <c r="M368" s="4">
        <f ca="1">IFERROR(__xludf.DUMMYFUNCTION("""COMPUTED_VALUE"""),42656.6666666666)</f>
        <v>42656.666666666599</v>
      </c>
      <c r="N368" s="3">
        <f ca="1">IFERROR(__xludf.DUMMYFUNCTION("""COMPUTED_VALUE"""),51.99)</f>
        <v>51.99</v>
      </c>
      <c r="O368" s="3">
        <f ca="1">IFERROR(__xludf.DUMMYFUNCTION("""COMPUTED_VALUE"""),52.51)</f>
        <v>52.51</v>
      </c>
      <c r="P368" s="3">
        <f ca="1">IFERROR(__xludf.DUMMYFUNCTION("""COMPUTED_VALUE"""),51.93)</f>
        <v>51.93</v>
      </c>
      <c r="Q368" s="3">
        <f ca="1">IFERROR(__xludf.DUMMYFUNCTION("""COMPUTED_VALUE"""),52.36)</f>
        <v>52.36</v>
      </c>
      <c r="R368" s="3">
        <f ca="1">IFERROR(__xludf.DUMMYFUNCTION("""COMPUTED_VALUE"""),19180711)</f>
        <v>19180711</v>
      </c>
      <c r="S368" s="4">
        <f ca="1">IFERROR(__xludf.DUMMYFUNCTION("""COMPUTED_VALUE"""),42656.6666666666)</f>
        <v>42656.666666666599</v>
      </c>
      <c r="T368" s="3">
        <f ca="1">IFERROR(__xludf.DUMMYFUNCTION("""COMPUTED_VALUE"""),70.16)</f>
        <v>70.16</v>
      </c>
      <c r="U368" s="3">
        <f ca="1">IFERROR(__xludf.DUMMYFUNCTION("""COMPUTED_VALUE"""),70.57)</f>
        <v>70.569999999999993</v>
      </c>
      <c r="V368" s="3">
        <f ca="1">IFERROR(__xludf.DUMMYFUNCTION("""COMPUTED_VALUE"""),69.29)</f>
        <v>69.290000000000006</v>
      </c>
      <c r="W368" s="3">
        <f ca="1">IFERROR(__xludf.DUMMYFUNCTION("""COMPUTED_VALUE"""),70.21)</f>
        <v>70.209999999999994</v>
      </c>
      <c r="X368" s="3">
        <f ca="1">IFERROR(__xludf.DUMMYFUNCTION("""COMPUTED_VALUE"""),13543379)</f>
        <v>13543379</v>
      </c>
      <c r="Y368" s="4">
        <f ca="1">IFERROR(__xludf.DUMMYFUNCTION("""COMPUTED_VALUE"""),42656.6666666666)</f>
        <v>42656.666666666599</v>
      </c>
      <c r="Z368" s="3">
        <f ca="1">IFERROR(__xludf.DUMMYFUNCTION("""COMPUTED_VALUE"""),19.36)</f>
        <v>19.36</v>
      </c>
      <c r="AA368" s="3">
        <f ca="1">IFERROR(__xludf.DUMMYFUNCTION("""COMPUTED_VALUE"""),19.37)</f>
        <v>19.37</v>
      </c>
      <c r="AB368" s="3">
        <f ca="1">IFERROR(__xludf.DUMMYFUNCTION("""COMPUTED_VALUE"""),19.11)</f>
        <v>19.11</v>
      </c>
      <c r="AC368" s="3">
        <f ca="1">IFERROR(__xludf.DUMMYFUNCTION("""COMPUTED_VALUE"""),19.33)</f>
        <v>19.329999999999998</v>
      </c>
      <c r="AD368" s="3">
        <f ca="1">IFERROR(__xludf.DUMMYFUNCTION("""COMPUTED_VALUE"""),73171091)</f>
        <v>73171091</v>
      </c>
      <c r="AE368" s="4">
        <f ca="1">IFERROR(__xludf.DUMMYFUNCTION("""COMPUTED_VALUE"""),42656.6666666666)</f>
        <v>42656.666666666599</v>
      </c>
      <c r="AF368" s="3">
        <f ca="1">IFERROR(__xludf.DUMMYFUNCTION("""COMPUTED_VALUE"""),69.65)</f>
        <v>69.650000000000006</v>
      </c>
      <c r="AG368" s="3">
        <f ca="1">IFERROR(__xludf.DUMMYFUNCTION("""COMPUTED_VALUE"""),70.35)</f>
        <v>70.349999999999994</v>
      </c>
      <c r="AH368" s="3">
        <f ca="1">IFERROR(__xludf.DUMMYFUNCTION("""COMPUTED_VALUE"""),69.42)</f>
        <v>69.42</v>
      </c>
      <c r="AI368" s="3">
        <f ca="1">IFERROR(__xludf.DUMMYFUNCTION("""COMPUTED_VALUE"""),70.09)</f>
        <v>70.09</v>
      </c>
      <c r="AJ368" s="3">
        <f ca="1">IFERROR(__xludf.DUMMYFUNCTION("""COMPUTED_VALUE"""),13623090)</f>
        <v>13623090</v>
      </c>
      <c r="AK368" s="4">
        <f ca="1">IFERROR(__xludf.DUMMYFUNCTION("""COMPUTED_VALUE"""),42656.6666666666)</f>
        <v>42656.666666666599</v>
      </c>
      <c r="AL368" s="3">
        <f ca="1">IFERROR(__xludf.DUMMYFUNCTION("""COMPUTED_VALUE"""),56.64)</f>
        <v>56.64</v>
      </c>
      <c r="AM368" s="3">
        <f ca="1">IFERROR(__xludf.DUMMYFUNCTION("""COMPUTED_VALUE"""),57.25)</f>
        <v>57.25</v>
      </c>
      <c r="AN368" s="3">
        <f ca="1">IFERROR(__xludf.DUMMYFUNCTION("""COMPUTED_VALUE"""),56.51)</f>
        <v>56.51</v>
      </c>
      <c r="AO368" s="3">
        <f ca="1">IFERROR(__xludf.DUMMYFUNCTION("""COMPUTED_VALUE"""),57.11)</f>
        <v>57.11</v>
      </c>
      <c r="AP368" s="3">
        <f ca="1">IFERROR(__xludf.DUMMYFUNCTION("""COMPUTED_VALUE"""),12265969)</f>
        <v>12265969</v>
      </c>
      <c r="AQ368" s="4">
        <f ca="1">IFERROR(__xludf.DUMMYFUNCTION("""COMPUTED_VALUE"""),42656.6666666666)</f>
        <v>42656.666666666599</v>
      </c>
      <c r="AR368" s="3">
        <f ca="1">IFERROR(__xludf.DUMMYFUNCTION("""COMPUTED_VALUE"""),45.91)</f>
        <v>45.91</v>
      </c>
      <c r="AS368" s="3">
        <f ca="1">IFERROR(__xludf.DUMMYFUNCTION("""COMPUTED_VALUE"""),46.28)</f>
        <v>46.28</v>
      </c>
      <c r="AT368" s="3">
        <f ca="1">IFERROR(__xludf.DUMMYFUNCTION("""COMPUTED_VALUE"""),45.56)</f>
        <v>45.56</v>
      </c>
      <c r="AU368" s="3">
        <f ca="1">IFERROR(__xludf.DUMMYFUNCTION("""COMPUTED_VALUE"""),46.17)</f>
        <v>46.17</v>
      </c>
      <c r="AV368" s="3">
        <f ca="1">IFERROR(__xludf.DUMMYFUNCTION("""COMPUTED_VALUE"""),4947051)</f>
        <v>4947051</v>
      </c>
      <c r="AW368" s="4">
        <f ca="1">IFERROR(__xludf.DUMMYFUNCTION("""COMPUTED_VALUE"""),42823.6666666666)</f>
        <v>42823.666666666599</v>
      </c>
      <c r="AX368" s="3">
        <f ca="1">IFERROR(__xludf.DUMMYFUNCTION("""COMPUTED_VALUE"""),31.2)</f>
        <v>31.2</v>
      </c>
      <c r="AY368" s="3">
        <f ca="1">IFERROR(__xludf.DUMMYFUNCTION("""COMPUTED_VALUE"""),31.4)</f>
        <v>31.4</v>
      </c>
      <c r="AZ368" s="3">
        <f ca="1">IFERROR(__xludf.DUMMYFUNCTION("""COMPUTED_VALUE"""),31.16)</f>
        <v>31.16</v>
      </c>
      <c r="BA368" s="3">
        <f ca="1">IFERROR(__xludf.DUMMYFUNCTION("""COMPUTED_VALUE"""),31.39)</f>
        <v>31.39</v>
      </c>
      <c r="BB368" s="3">
        <f ca="1">IFERROR(__xludf.DUMMYFUNCTION("""COMPUTED_VALUE"""),1632291)</f>
        <v>1632291</v>
      </c>
      <c r="BC368" s="4">
        <f ca="1">IFERROR(__xludf.DUMMYFUNCTION("""COMPUTED_VALUE"""),42656.6666666666)</f>
        <v>42656.666666666599</v>
      </c>
      <c r="BD368" s="3">
        <f ca="1">IFERROR(__xludf.DUMMYFUNCTION("""COMPUTED_VALUE"""),47.18)</f>
        <v>47.18</v>
      </c>
      <c r="BE368" s="3">
        <f ca="1">IFERROR(__xludf.DUMMYFUNCTION("""COMPUTED_VALUE"""),47.34)</f>
        <v>47.34</v>
      </c>
      <c r="BF368" s="3">
        <f ca="1">IFERROR(__xludf.DUMMYFUNCTION("""COMPUTED_VALUE"""),46.79)</f>
        <v>46.79</v>
      </c>
      <c r="BG368" s="3">
        <f ca="1">IFERROR(__xludf.DUMMYFUNCTION("""COMPUTED_VALUE"""),47.19)</f>
        <v>47.19</v>
      </c>
      <c r="BH368" s="3">
        <f ca="1">IFERROR(__xludf.DUMMYFUNCTION("""COMPUTED_VALUE"""),9669204)</f>
        <v>9669204</v>
      </c>
      <c r="BI368" s="4">
        <f ca="1">IFERROR(__xludf.DUMMYFUNCTION("""COMPUTED_VALUE"""),42656.6666666666)</f>
        <v>42656.666666666599</v>
      </c>
      <c r="BJ368" s="3">
        <f ca="1">IFERROR(__xludf.DUMMYFUNCTION("""COMPUTED_VALUE"""),47.51)</f>
        <v>47.51</v>
      </c>
      <c r="BK368" s="3">
        <f ca="1">IFERROR(__xludf.DUMMYFUNCTION("""COMPUTED_VALUE"""),48.33)</f>
        <v>48.33</v>
      </c>
      <c r="BL368" s="3">
        <f ca="1">IFERROR(__xludf.DUMMYFUNCTION("""COMPUTED_VALUE"""),47.41)</f>
        <v>47.41</v>
      </c>
      <c r="BM368" s="3">
        <f ca="1">IFERROR(__xludf.DUMMYFUNCTION("""COMPUTED_VALUE"""),48.02)</f>
        <v>48.02</v>
      </c>
      <c r="BN368" s="3">
        <f ca="1">IFERROR(__xludf.DUMMYFUNCTION("""COMPUTED_VALUE"""),30542148)</f>
        <v>30542148</v>
      </c>
    </row>
    <row r="369" spans="7:66" ht="13" x14ac:dyDescent="0.15">
      <c r="G369" s="4">
        <f ca="1">IFERROR(__xludf.DUMMYFUNCTION("""COMPUTED_VALUE"""),42657.6666666666)</f>
        <v>42657.666666666599</v>
      </c>
      <c r="H369" s="3">
        <f ca="1">IFERROR(__xludf.DUMMYFUNCTION("""COMPUTED_VALUE"""),79.23)</f>
        <v>79.23</v>
      </c>
      <c r="I369" s="3">
        <f ca="1">IFERROR(__xludf.DUMMYFUNCTION("""COMPUTED_VALUE"""),79.49)</f>
        <v>79.489999999999995</v>
      </c>
      <c r="J369" s="3">
        <f ca="1">IFERROR(__xludf.DUMMYFUNCTION("""COMPUTED_VALUE"""),78.85)</f>
        <v>78.849999999999994</v>
      </c>
      <c r="K369" s="3">
        <f ca="1">IFERROR(__xludf.DUMMYFUNCTION("""COMPUTED_VALUE"""),78.89)</f>
        <v>78.89</v>
      </c>
      <c r="L369" s="3">
        <f ca="1">IFERROR(__xludf.DUMMYFUNCTION("""COMPUTED_VALUE"""),3474562)</f>
        <v>3474562</v>
      </c>
      <c r="M369" s="4">
        <f ca="1">IFERROR(__xludf.DUMMYFUNCTION("""COMPUTED_VALUE"""),42657.6666666666)</f>
        <v>42657.666666666599</v>
      </c>
      <c r="N369" s="3">
        <f ca="1">IFERROR(__xludf.DUMMYFUNCTION("""COMPUTED_VALUE"""),52.38)</f>
        <v>52.38</v>
      </c>
      <c r="O369" s="3">
        <f ca="1">IFERROR(__xludf.DUMMYFUNCTION("""COMPUTED_VALUE"""),52.62)</f>
        <v>52.62</v>
      </c>
      <c r="P369" s="3">
        <f ca="1">IFERROR(__xludf.DUMMYFUNCTION("""COMPUTED_VALUE"""),52.29)</f>
        <v>52.29</v>
      </c>
      <c r="Q369" s="3">
        <f ca="1">IFERROR(__xludf.DUMMYFUNCTION("""COMPUTED_VALUE"""),52.37)</f>
        <v>52.37</v>
      </c>
      <c r="R369" s="3">
        <f ca="1">IFERROR(__xludf.DUMMYFUNCTION("""COMPUTED_VALUE"""),10659073)</f>
        <v>10659073</v>
      </c>
      <c r="S369" s="4">
        <f ca="1">IFERROR(__xludf.DUMMYFUNCTION("""COMPUTED_VALUE"""),42657.6666666666)</f>
        <v>42657.666666666599</v>
      </c>
      <c r="T369" s="3">
        <f ca="1">IFERROR(__xludf.DUMMYFUNCTION("""COMPUTED_VALUE"""),70.57)</f>
        <v>70.569999999999993</v>
      </c>
      <c r="U369" s="3">
        <f ca="1">IFERROR(__xludf.DUMMYFUNCTION("""COMPUTED_VALUE"""),70.8)</f>
        <v>70.8</v>
      </c>
      <c r="V369" s="3">
        <f ca="1">IFERROR(__xludf.DUMMYFUNCTION("""COMPUTED_VALUE"""),69.75)</f>
        <v>69.75</v>
      </c>
      <c r="W369" s="3">
        <f ca="1">IFERROR(__xludf.DUMMYFUNCTION("""COMPUTED_VALUE"""),69.8)</f>
        <v>69.8</v>
      </c>
      <c r="X369" s="3">
        <f ca="1">IFERROR(__xludf.DUMMYFUNCTION("""COMPUTED_VALUE"""),11372449)</f>
        <v>11372449</v>
      </c>
      <c r="Y369" s="4">
        <f ca="1">IFERROR(__xludf.DUMMYFUNCTION("""COMPUTED_VALUE"""),42657.6666666666)</f>
        <v>42657.666666666599</v>
      </c>
      <c r="Z369" s="3">
        <f ca="1">IFERROR(__xludf.DUMMYFUNCTION("""COMPUTED_VALUE"""),19.56)</f>
        <v>19.559999999999999</v>
      </c>
      <c r="AA369" s="3">
        <f ca="1">IFERROR(__xludf.DUMMYFUNCTION("""COMPUTED_VALUE"""),19.62)</f>
        <v>19.62</v>
      </c>
      <c r="AB369" s="3">
        <f ca="1">IFERROR(__xludf.DUMMYFUNCTION("""COMPUTED_VALUE"""),19.36)</f>
        <v>19.36</v>
      </c>
      <c r="AC369" s="3">
        <f ca="1">IFERROR(__xludf.DUMMYFUNCTION("""COMPUTED_VALUE"""),19.42)</f>
        <v>19.420000000000002</v>
      </c>
      <c r="AD369" s="3">
        <f ca="1">IFERROR(__xludf.DUMMYFUNCTION("""COMPUTED_VALUE"""),76176507)</f>
        <v>76176507</v>
      </c>
      <c r="AE369" s="4">
        <f ca="1">IFERROR(__xludf.DUMMYFUNCTION("""COMPUTED_VALUE"""),42657.6666666666)</f>
        <v>42657.666666666599</v>
      </c>
      <c r="AF369" s="3">
        <f ca="1">IFERROR(__xludf.DUMMYFUNCTION("""COMPUTED_VALUE"""),70.25)</f>
        <v>70.25</v>
      </c>
      <c r="AG369" s="3">
        <f ca="1">IFERROR(__xludf.DUMMYFUNCTION("""COMPUTED_VALUE"""),70.44)</f>
        <v>70.44</v>
      </c>
      <c r="AH369" s="3">
        <f ca="1">IFERROR(__xludf.DUMMYFUNCTION("""COMPUTED_VALUE"""),69.6)</f>
        <v>69.599999999999994</v>
      </c>
      <c r="AI369" s="3">
        <f ca="1">IFERROR(__xludf.DUMMYFUNCTION("""COMPUTED_VALUE"""),69.62)</f>
        <v>69.62</v>
      </c>
      <c r="AJ369" s="3">
        <f ca="1">IFERROR(__xludf.DUMMYFUNCTION("""COMPUTED_VALUE"""),8382388)</f>
        <v>8382388</v>
      </c>
      <c r="AK369" s="4">
        <f ca="1">IFERROR(__xludf.DUMMYFUNCTION("""COMPUTED_VALUE"""),42657.6666666666)</f>
        <v>42657.666666666599</v>
      </c>
      <c r="AL369" s="3">
        <f ca="1">IFERROR(__xludf.DUMMYFUNCTION("""COMPUTED_VALUE"""),57.49)</f>
        <v>57.49</v>
      </c>
      <c r="AM369" s="3">
        <f ca="1">IFERROR(__xludf.DUMMYFUNCTION("""COMPUTED_VALUE"""),57.66)</f>
        <v>57.66</v>
      </c>
      <c r="AN369" s="3">
        <f ca="1">IFERROR(__xludf.DUMMYFUNCTION("""COMPUTED_VALUE"""),57.21)</f>
        <v>57.21</v>
      </c>
      <c r="AO369" s="3">
        <f ca="1">IFERROR(__xludf.DUMMYFUNCTION("""COMPUTED_VALUE"""),57.23)</f>
        <v>57.23</v>
      </c>
      <c r="AP369" s="3">
        <f ca="1">IFERROR(__xludf.DUMMYFUNCTION("""COMPUTED_VALUE"""),7633396)</f>
        <v>7633396</v>
      </c>
      <c r="AQ369" s="4">
        <f ca="1">IFERROR(__xludf.DUMMYFUNCTION("""COMPUTED_VALUE"""),42657.6666666666)</f>
        <v>42657.666666666599</v>
      </c>
      <c r="AR369" s="3">
        <f ca="1">IFERROR(__xludf.DUMMYFUNCTION("""COMPUTED_VALUE"""),46.37)</f>
        <v>46.37</v>
      </c>
      <c r="AS369" s="3">
        <f ca="1">IFERROR(__xludf.DUMMYFUNCTION("""COMPUTED_VALUE"""),46.65)</f>
        <v>46.65</v>
      </c>
      <c r="AT369" s="3">
        <f ca="1">IFERROR(__xludf.DUMMYFUNCTION("""COMPUTED_VALUE"""),46.27)</f>
        <v>46.27</v>
      </c>
      <c r="AU369" s="3">
        <f ca="1">IFERROR(__xludf.DUMMYFUNCTION("""COMPUTED_VALUE"""),46.32)</f>
        <v>46.32</v>
      </c>
      <c r="AV369" s="3">
        <f ca="1">IFERROR(__xludf.DUMMYFUNCTION("""COMPUTED_VALUE"""),4768706)</f>
        <v>4768706</v>
      </c>
      <c r="AW369" s="4">
        <f ca="1">IFERROR(__xludf.DUMMYFUNCTION("""COMPUTED_VALUE"""),42824.6666666666)</f>
        <v>42824.666666666599</v>
      </c>
      <c r="AX369" s="3">
        <f ca="1">IFERROR(__xludf.DUMMYFUNCTION("""COMPUTED_VALUE"""),31.32)</f>
        <v>31.32</v>
      </c>
      <c r="AY369" s="3">
        <f ca="1">IFERROR(__xludf.DUMMYFUNCTION("""COMPUTED_VALUE"""),31.49)</f>
        <v>31.49</v>
      </c>
      <c r="AZ369" s="3">
        <f ca="1">IFERROR(__xludf.DUMMYFUNCTION("""COMPUTED_VALUE"""),31.13)</f>
        <v>31.13</v>
      </c>
      <c r="BA369" s="3">
        <f ca="1">IFERROR(__xludf.DUMMYFUNCTION("""COMPUTED_VALUE"""),31.46)</f>
        <v>31.46</v>
      </c>
      <c r="BB369" s="3">
        <f ca="1">IFERROR(__xludf.DUMMYFUNCTION("""COMPUTED_VALUE"""),1888606)</f>
        <v>1888606</v>
      </c>
      <c r="BC369" s="4">
        <f ca="1">IFERROR(__xludf.DUMMYFUNCTION("""COMPUTED_VALUE"""),42657.6666666666)</f>
        <v>42657.666666666599</v>
      </c>
      <c r="BD369" s="3">
        <f ca="1">IFERROR(__xludf.DUMMYFUNCTION("""COMPUTED_VALUE"""),47.38)</f>
        <v>47.38</v>
      </c>
      <c r="BE369" s="3">
        <f ca="1">IFERROR(__xludf.DUMMYFUNCTION("""COMPUTED_VALUE"""),47.69)</f>
        <v>47.69</v>
      </c>
      <c r="BF369" s="3">
        <f ca="1">IFERROR(__xludf.DUMMYFUNCTION("""COMPUTED_VALUE"""),47.33)</f>
        <v>47.33</v>
      </c>
      <c r="BG369" s="3">
        <f ca="1">IFERROR(__xludf.DUMMYFUNCTION("""COMPUTED_VALUE"""),47.37)</f>
        <v>47.37</v>
      </c>
      <c r="BH369" s="3">
        <f ca="1">IFERROR(__xludf.DUMMYFUNCTION("""COMPUTED_VALUE"""),9448281)</f>
        <v>9448281</v>
      </c>
      <c r="BI369" s="4">
        <f ca="1">IFERROR(__xludf.DUMMYFUNCTION("""COMPUTED_VALUE"""),42657.6666666666)</f>
        <v>42657.666666666599</v>
      </c>
      <c r="BJ369" s="3">
        <f ca="1">IFERROR(__xludf.DUMMYFUNCTION("""COMPUTED_VALUE"""),47.77)</f>
        <v>47.77</v>
      </c>
      <c r="BK369" s="3">
        <f ca="1">IFERROR(__xludf.DUMMYFUNCTION("""COMPUTED_VALUE"""),48.23)</f>
        <v>48.23</v>
      </c>
      <c r="BL369" s="3">
        <f ca="1">IFERROR(__xludf.DUMMYFUNCTION("""COMPUTED_VALUE"""),47.68)</f>
        <v>47.68</v>
      </c>
      <c r="BM369" s="3">
        <f ca="1">IFERROR(__xludf.DUMMYFUNCTION("""COMPUTED_VALUE"""),47.75)</f>
        <v>47.75</v>
      </c>
      <c r="BN369" s="3">
        <f ca="1">IFERROR(__xludf.DUMMYFUNCTION("""COMPUTED_VALUE"""),17948345)</f>
        <v>17948345</v>
      </c>
    </row>
    <row r="370" spans="7:66" ht="13" x14ac:dyDescent="0.15">
      <c r="G370" s="4">
        <f ca="1">IFERROR(__xludf.DUMMYFUNCTION("""COMPUTED_VALUE"""),42660.6666666666)</f>
        <v>42660.666666666599</v>
      </c>
      <c r="H370" s="3">
        <f ca="1">IFERROR(__xludf.DUMMYFUNCTION("""COMPUTED_VALUE"""),78.86)</f>
        <v>78.86</v>
      </c>
      <c r="I370" s="3">
        <f ca="1">IFERROR(__xludf.DUMMYFUNCTION("""COMPUTED_VALUE"""),78.87)</f>
        <v>78.87</v>
      </c>
      <c r="J370" s="3">
        <f ca="1">IFERROR(__xludf.DUMMYFUNCTION("""COMPUTED_VALUE"""),78.22)</f>
        <v>78.22</v>
      </c>
      <c r="K370" s="3">
        <f ca="1">IFERROR(__xludf.DUMMYFUNCTION("""COMPUTED_VALUE"""),78.24)</f>
        <v>78.239999999999995</v>
      </c>
      <c r="L370" s="3">
        <f ca="1">IFERROR(__xludf.DUMMYFUNCTION("""COMPUTED_VALUE"""),3628640)</f>
        <v>3628640</v>
      </c>
      <c r="M370" s="4">
        <f ca="1">IFERROR(__xludf.DUMMYFUNCTION("""COMPUTED_VALUE"""),42660.6666666666)</f>
        <v>42660.666666666599</v>
      </c>
      <c r="N370" s="3">
        <f ca="1">IFERROR(__xludf.DUMMYFUNCTION("""COMPUTED_VALUE"""),52.39)</f>
        <v>52.39</v>
      </c>
      <c r="O370" s="3">
        <f ca="1">IFERROR(__xludf.DUMMYFUNCTION("""COMPUTED_VALUE"""),52.46)</f>
        <v>52.46</v>
      </c>
      <c r="P370" s="3">
        <f ca="1">IFERROR(__xludf.DUMMYFUNCTION("""COMPUTED_VALUE"""),52.09)</f>
        <v>52.09</v>
      </c>
      <c r="Q370" s="3">
        <f ca="1">IFERROR(__xludf.DUMMYFUNCTION("""COMPUTED_VALUE"""),52.12)</f>
        <v>52.12</v>
      </c>
      <c r="R370" s="3">
        <f ca="1">IFERROR(__xludf.DUMMYFUNCTION("""COMPUTED_VALUE"""),8464992)</f>
        <v>8464992</v>
      </c>
      <c r="S370" s="4">
        <f ca="1">IFERROR(__xludf.DUMMYFUNCTION("""COMPUTED_VALUE"""),42660.6666666666)</f>
        <v>42660.666666666599</v>
      </c>
      <c r="T370" s="3">
        <f ca="1">IFERROR(__xludf.DUMMYFUNCTION("""COMPUTED_VALUE"""),69.82)</f>
        <v>69.819999999999993</v>
      </c>
      <c r="U370" s="3">
        <f ca="1">IFERROR(__xludf.DUMMYFUNCTION("""COMPUTED_VALUE"""),70.04)</f>
        <v>70.040000000000006</v>
      </c>
      <c r="V370" s="3">
        <f ca="1">IFERROR(__xludf.DUMMYFUNCTION("""COMPUTED_VALUE"""),69.08)</f>
        <v>69.08</v>
      </c>
      <c r="W370" s="3">
        <f ca="1">IFERROR(__xludf.DUMMYFUNCTION("""COMPUTED_VALUE"""),69.46)</f>
        <v>69.459999999999994</v>
      </c>
      <c r="X370" s="3">
        <f ca="1">IFERROR(__xludf.DUMMYFUNCTION("""COMPUTED_VALUE"""),7425014)</f>
        <v>7425014</v>
      </c>
      <c r="Y370" s="4">
        <f ca="1">IFERROR(__xludf.DUMMYFUNCTION("""COMPUTED_VALUE"""),42660.6666666666)</f>
        <v>42660.666666666599</v>
      </c>
      <c r="Z370" s="3">
        <f ca="1">IFERROR(__xludf.DUMMYFUNCTION("""COMPUTED_VALUE"""),19.43)</f>
        <v>19.43</v>
      </c>
      <c r="AA370" s="3">
        <f ca="1">IFERROR(__xludf.DUMMYFUNCTION("""COMPUTED_VALUE"""),19.47)</f>
        <v>19.47</v>
      </c>
      <c r="AB370" s="3">
        <f ca="1">IFERROR(__xludf.DUMMYFUNCTION("""COMPUTED_VALUE"""),19.28)</f>
        <v>19.28</v>
      </c>
      <c r="AC370" s="3">
        <f ca="1">IFERROR(__xludf.DUMMYFUNCTION("""COMPUTED_VALUE"""),19.33)</f>
        <v>19.329999999999998</v>
      </c>
      <c r="AD370" s="3">
        <f ca="1">IFERROR(__xludf.DUMMYFUNCTION("""COMPUTED_VALUE"""),41236064)</f>
        <v>41236064</v>
      </c>
      <c r="AE370" s="4">
        <f ca="1">IFERROR(__xludf.DUMMYFUNCTION("""COMPUTED_VALUE"""),42660.6666666666)</f>
        <v>42660.666666666599</v>
      </c>
      <c r="AF370" s="3">
        <f ca="1">IFERROR(__xludf.DUMMYFUNCTION("""COMPUTED_VALUE"""),69.51)</f>
        <v>69.510000000000005</v>
      </c>
      <c r="AG370" s="3">
        <f ca="1">IFERROR(__xludf.DUMMYFUNCTION("""COMPUTED_VALUE"""),69.65)</f>
        <v>69.650000000000006</v>
      </c>
      <c r="AH370" s="3">
        <f ca="1">IFERROR(__xludf.DUMMYFUNCTION("""COMPUTED_VALUE"""),69.24)</f>
        <v>69.239999999999995</v>
      </c>
      <c r="AI370" s="3">
        <f ca="1">IFERROR(__xludf.DUMMYFUNCTION("""COMPUTED_VALUE"""),69.39)</f>
        <v>69.39</v>
      </c>
      <c r="AJ370" s="3">
        <f ca="1">IFERROR(__xludf.DUMMYFUNCTION("""COMPUTED_VALUE"""),8462992)</f>
        <v>8462992</v>
      </c>
      <c r="AK370" s="4">
        <f ca="1">IFERROR(__xludf.DUMMYFUNCTION("""COMPUTED_VALUE"""),42660.6666666666)</f>
        <v>42660.666666666599</v>
      </c>
      <c r="AL370" s="3">
        <f ca="1">IFERROR(__xludf.DUMMYFUNCTION("""COMPUTED_VALUE"""),57.23)</f>
        <v>57.23</v>
      </c>
      <c r="AM370" s="3">
        <f ca="1">IFERROR(__xludf.DUMMYFUNCTION("""COMPUTED_VALUE"""),57.38)</f>
        <v>57.38</v>
      </c>
      <c r="AN370" s="3">
        <f ca="1">IFERROR(__xludf.DUMMYFUNCTION("""COMPUTED_VALUE"""),57.05)</f>
        <v>57.05</v>
      </c>
      <c r="AO370" s="3">
        <f ca="1">IFERROR(__xludf.DUMMYFUNCTION("""COMPUTED_VALUE"""),57.08)</f>
        <v>57.08</v>
      </c>
      <c r="AP370" s="3">
        <f ca="1">IFERROR(__xludf.DUMMYFUNCTION("""COMPUTED_VALUE"""),5911197)</f>
        <v>5911197</v>
      </c>
      <c r="AQ370" s="4">
        <f ca="1">IFERROR(__xludf.DUMMYFUNCTION("""COMPUTED_VALUE"""),42660.6666666666)</f>
        <v>42660.666666666599</v>
      </c>
      <c r="AR370" s="3">
        <f ca="1">IFERROR(__xludf.DUMMYFUNCTION("""COMPUTED_VALUE"""),46.34)</f>
        <v>46.34</v>
      </c>
      <c r="AS370" s="3">
        <f ca="1">IFERROR(__xludf.DUMMYFUNCTION("""COMPUTED_VALUE"""),46.53)</f>
        <v>46.53</v>
      </c>
      <c r="AT370" s="3">
        <f ca="1">IFERROR(__xludf.DUMMYFUNCTION("""COMPUTED_VALUE"""),46.27)</f>
        <v>46.27</v>
      </c>
      <c r="AU370" s="3">
        <f ca="1">IFERROR(__xludf.DUMMYFUNCTION("""COMPUTED_VALUE"""),46.36)</f>
        <v>46.36</v>
      </c>
      <c r="AV370" s="3">
        <f ca="1">IFERROR(__xludf.DUMMYFUNCTION("""COMPUTED_VALUE"""),3269079)</f>
        <v>3269079</v>
      </c>
      <c r="AW370" s="4">
        <f ca="1">IFERROR(__xludf.DUMMYFUNCTION("""COMPUTED_VALUE"""),42825.6666666666)</f>
        <v>42825.666666666599</v>
      </c>
      <c r="AX370" s="3">
        <f ca="1">IFERROR(__xludf.DUMMYFUNCTION("""COMPUTED_VALUE"""),31.42)</f>
        <v>31.42</v>
      </c>
      <c r="AY370" s="3">
        <f ca="1">IFERROR(__xludf.DUMMYFUNCTION("""COMPUTED_VALUE"""),31.7)</f>
        <v>31.7</v>
      </c>
      <c r="AZ370" s="3">
        <f ca="1">IFERROR(__xludf.DUMMYFUNCTION("""COMPUTED_VALUE"""),31.38)</f>
        <v>31.38</v>
      </c>
      <c r="BA370" s="3">
        <f ca="1">IFERROR(__xludf.DUMMYFUNCTION("""COMPUTED_VALUE"""),31.6)</f>
        <v>31.6</v>
      </c>
      <c r="BB370" s="3">
        <f ca="1">IFERROR(__xludf.DUMMYFUNCTION("""COMPUTED_VALUE"""),2067006)</f>
        <v>2067006</v>
      </c>
      <c r="BC370" s="4">
        <f ca="1">IFERROR(__xludf.DUMMYFUNCTION("""COMPUTED_VALUE"""),42660.6666666666)</f>
        <v>42660.666666666599</v>
      </c>
      <c r="BD370" s="3">
        <f ca="1">IFERROR(__xludf.DUMMYFUNCTION("""COMPUTED_VALUE"""),47.37)</f>
        <v>47.37</v>
      </c>
      <c r="BE370" s="3">
        <f ca="1">IFERROR(__xludf.DUMMYFUNCTION("""COMPUTED_VALUE"""),47.47)</f>
        <v>47.47</v>
      </c>
      <c r="BF370" s="3">
        <f ca="1">IFERROR(__xludf.DUMMYFUNCTION("""COMPUTED_VALUE"""),47.24)</f>
        <v>47.24</v>
      </c>
      <c r="BG370" s="3">
        <f ca="1">IFERROR(__xludf.DUMMYFUNCTION("""COMPUTED_VALUE"""),47.27)</f>
        <v>47.27</v>
      </c>
      <c r="BH370" s="3">
        <f ca="1">IFERROR(__xludf.DUMMYFUNCTION("""COMPUTED_VALUE"""),5075076)</f>
        <v>5075076</v>
      </c>
      <c r="BI370" s="4">
        <f ca="1">IFERROR(__xludf.DUMMYFUNCTION("""COMPUTED_VALUE"""),42660.6666666666)</f>
        <v>42660.666666666599</v>
      </c>
      <c r="BJ370" s="3">
        <f ca="1">IFERROR(__xludf.DUMMYFUNCTION("""COMPUTED_VALUE"""),47.9)</f>
        <v>47.9</v>
      </c>
      <c r="BK370" s="3">
        <f ca="1">IFERROR(__xludf.DUMMYFUNCTION("""COMPUTED_VALUE"""),48.13)</f>
        <v>48.13</v>
      </c>
      <c r="BL370" s="3">
        <f ca="1">IFERROR(__xludf.DUMMYFUNCTION("""COMPUTED_VALUE"""),47.84)</f>
        <v>47.84</v>
      </c>
      <c r="BM370" s="3">
        <f ca="1">IFERROR(__xludf.DUMMYFUNCTION("""COMPUTED_VALUE"""),48.01)</f>
        <v>48.01</v>
      </c>
      <c r="BN370" s="3">
        <f ca="1">IFERROR(__xludf.DUMMYFUNCTION("""COMPUTED_VALUE"""),11439932)</f>
        <v>11439932</v>
      </c>
    </row>
    <row r="371" spans="7:66" ht="13" x14ac:dyDescent="0.15">
      <c r="G371" s="4">
        <f ca="1">IFERROR(__xludf.DUMMYFUNCTION("""COMPUTED_VALUE"""),42661.6666666666)</f>
        <v>42661.666666666599</v>
      </c>
      <c r="H371" s="3">
        <f ca="1">IFERROR(__xludf.DUMMYFUNCTION("""COMPUTED_VALUE"""),79.05)</f>
        <v>79.05</v>
      </c>
      <c r="I371" s="3">
        <f ca="1">IFERROR(__xludf.DUMMYFUNCTION("""COMPUTED_VALUE"""),79.2)</f>
        <v>79.2</v>
      </c>
      <c r="J371" s="3">
        <f ca="1">IFERROR(__xludf.DUMMYFUNCTION("""COMPUTED_VALUE"""),78.65)</f>
        <v>78.650000000000006</v>
      </c>
      <c r="K371" s="3">
        <f ca="1">IFERROR(__xludf.DUMMYFUNCTION("""COMPUTED_VALUE"""),78.76)</f>
        <v>78.760000000000005</v>
      </c>
      <c r="L371" s="3">
        <f ca="1">IFERROR(__xludf.DUMMYFUNCTION("""COMPUTED_VALUE"""),3950181)</f>
        <v>3950181</v>
      </c>
      <c r="M371" s="4">
        <f ca="1">IFERROR(__xludf.DUMMYFUNCTION("""COMPUTED_VALUE"""),42661.6666666666)</f>
        <v>42661.666666666599</v>
      </c>
      <c r="N371" s="3">
        <f ca="1">IFERROR(__xludf.DUMMYFUNCTION("""COMPUTED_VALUE"""),52.36)</f>
        <v>52.36</v>
      </c>
      <c r="O371" s="3">
        <f ca="1">IFERROR(__xludf.DUMMYFUNCTION("""COMPUTED_VALUE"""),52.58)</f>
        <v>52.58</v>
      </c>
      <c r="P371" s="3">
        <f ca="1">IFERROR(__xludf.DUMMYFUNCTION("""COMPUTED_VALUE"""),52.27)</f>
        <v>52.27</v>
      </c>
      <c r="Q371" s="3">
        <f ca="1">IFERROR(__xludf.DUMMYFUNCTION("""COMPUTED_VALUE"""),52.28)</f>
        <v>52.28</v>
      </c>
      <c r="R371" s="3">
        <f ca="1">IFERROR(__xludf.DUMMYFUNCTION("""COMPUTED_VALUE"""),7844949)</f>
        <v>7844949</v>
      </c>
      <c r="S371" s="4">
        <f ca="1">IFERROR(__xludf.DUMMYFUNCTION("""COMPUTED_VALUE"""),42661.6666666666)</f>
        <v>42661.666666666599</v>
      </c>
      <c r="T371" s="3">
        <f ca="1">IFERROR(__xludf.DUMMYFUNCTION("""COMPUTED_VALUE"""),70.15)</f>
        <v>70.150000000000006</v>
      </c>
      <c r="U371" s="3">
        <f ca="1">IFERROR(__xludf.DUMMYFUNCTION("""COMPUTED_VALUE"""),70.3)</f>
        <v>70.3</v>
      </c>
      <c r="V371" s="3">
        <f ca="1">IFERROR(__xludf.DUMMYFUNCTION("""COMPUTED_VALUE"""),69.43)</f>
        <v>69.430000000000007</v>
      </c>
      <c r="W371" s="3">
        <f ca="1">IFERROR(__xludf.DUMMYFUNCTION("""COMPUTED_VALUE"""),69.74)</f>
        <v>69.739999999999995</v>
      </c>
      <c r="X371" s="3">
        <f ca="1">IFERROR(__xludf.DUMMYFUNCTION("""COMPUTED_VALUE"""),6945066)</f>
        <v>6945066</v>
      </c>
      <c r="Y371" s="4">
        <f ca="1">IFERROR(__xludf.DUMMYFUNCTION("""COMPUTED_VALUE"""),42661.6666666666)</f>
        <v>42661.666666666599</v>
      </c>
      <c r="Z371" s="3">
        <f ca="1">IFERROR(__xludf.DUMMYFUNCTION("""COMPUTED_VALUE"""),19.53)</f>
        <v>19.53</v>
      </c>
      <c r="AA371" s="3">
        <f ca="1">IFERROR(__xludf.DUMMYFUNCTION("""COMPUTED_VALUE"""),19.55)</f>
        <v>19.55</v>
      </c>
      <c r="AB371" s="3">
        <f ca="1">IFERROR(__xludf.DUMMYFUNCTION("""COMPUTED_VALUE"""),19.41)</f>
        <v>19.41</v>
      </c>
      <c r="AC371" s="3">
        <f ca="1">IFERROR(__xludf.DUMMYFUNCTION("""COMPUTED_VALUE"""),19.49)</f>
        <v>19.489999999999998</v>
      </c>
      <c r="AD371" s="3">
        <f ca="1">IFERROR(__xludf.DUMMYFUNCTION("""COMPUTED_VALUE"""),45958713)</f>
        <v>45958713</v>
      </c>
      <c r="AE371" s="4">
        <f ca="1">IFERROR(__xludf.DUMMYFUNCTION("""COMPUTED_VALUE"""),42661.6666666666)</f>
        <v>42661.666666666599</v>
      </c>
      <c r="AF371" s="3">
        <f ca="1">IFERROR(__xludf.DUMMYFUNCTION("""COMPUTED_VALUE"""),70.03)</f>
        <v>70.03</v>
      </c>
      <c r="AG371" s="3">
        <f ca="1">IFERROR(__xludf.DUMMYFUNCTION("""COMPUTED_VALUE"""),70.37)</f>
        <v>70.37</v>
      </c>
      <c r="AH371" s="3">
        <f ca="1">IFERROR(__xludf.DUMMYFUNCTION("""COMPUTED_VALUE"""),69.86)</f>
        <v>69.86</v>
      </c>
      <c r="AI371" s="3">
        <f ca="1">IFERROR(__xludf.DUMMYFUNCTION("""COMPUTED_VALUE"""),70.22)</f>
        <v>70.22</v>
      </c>
      <c r="AJ371" s="3">
        <f ca="1">IFERROR(__xludf.DUMMYFUNCTION("""COMPUTED_VALUE"""),5495839)</f>
        <v>5495839</v>
      </c>
      <c r="AK371" s="4">
        <f ca="1">IFERROR(__xludf.DUMMYFUNCTION("""COMPUTED_VALUE"""),42661.6666666666)</f>
        <v>42661.666666666599</v>
      </c>
      <c r="AL371" s="3">
        <f ca="1">IFERROR(__xludf.DUMMYFUNCTION("""COMPUTED_VALUE"""),57.45)</f>
        <v>57.45</v>
      </c>
      <c r="AM371" s="3">
        <f ca="1">IFERROR(__xludf.DUMMYFUNCTION("""COMPUTED_VALUE"""),57.6)</f>
        <v>57.6</v>
      </c>
      <c r="AN371" s="3">
        <f ca="1">IFERROR(__xludf.DUMMYFUNCTION("""COMPUTED_VALUE"""),57.14)</f>
        <v>57.14</v>
      </c>
      <c r="AO371" s="3">
        <f ca="1">IFERROR(__xludf.DUMMYFUNCTION("""COMPUTED_VALUE"""),57.2)</f>
        <v>57.2</v>
      </c>
      <c r="AP371" s="3">
        <f ca="1">IFERROR(__xludf.DUMMYFUNCTION("""COMPUTED_VALUE"""),6044195)</f>
        <v>6044195</v>
      </c>
      <c r="AQ371" s="4">
        <f ca="1">IFERROR(__xludf.DUMMYFUNCTION("""COMPUTED_VALUE"""),42661.6666666666)</f>
        <v>42661.666666666599</v>
      </c>
      <c r="AR371" s="3">
        <f ca="1">IFERROR(__xludf.DUMMYFUNCTION("""COMPUTED_VALUE"""),46.82)</f>
        <v>46.82</v>
      </c>
      <c r="AS371" s="3">
        <f ca="1">IFERROR(__xludf.DUMMYFUNCTION("""COMPUTED_VALUE"""),46.92)</f>
        <v>46.92</v>
      </c>
      <c r="AT371" s="3">
        <f ca="1">IFERROR(__xludf.DUMMYFUNCTION("""COMPUTED_VALUE"""),46.62)</f>
        <v>46.62</v>
      </c>
      <c r="AU371" s="3">
        <f ca="1">IFERROR(__xludf.DUMMYFUNCTION("""COMPUTED_VALUE"""),46.78)</f>
        <v>46.78</v>
      </c>
      <c r="AV371" s="3">
        <f ca="1">IFERROR(__xludf.DUMMYFUNCTION("""COMPUTED_VALUE"""),2919849)</f>
        <v>2919849</v>
      </c>
      <c r="AW371" s="4">
        <f ca="1">IFERROR(__xludf.DUMMYFUNCTION("""COMPUTED_VALUE"""),42828.6666666666)</f>
        <v>42828.666666666599</v>
      </c>
      <c r="AX371" s="3">
        <f ca="1">IFERROR(__xludf.DUMMYFUNCTION("""COMPUTED_VALUE"""),31.66)</f>
        <v>31.66</v>
      </c>
      <c r="AY371" s="3">
        <f ca="1">IFERROR(__xludf.DUMMYFUNCTION("""COMPUTED_VALUE"""),31.7)</f>
        <v>31.7</v>
      </c>
      <c r="AZ371" s="3">
        <f ca="1">IFERROR(__xludf.DUMMYFUNCTION("""COMPUTED_VALUE"""),31.52)</f>
        <v>31.52</v>
      </c>
      <c r="BA371" s="3">
        <f ca="1">IFERROR(__xludf.DUMMYFUNCTION("""COMPUTED_VALUE"""),31.64)</f>
        <v>31.64</v>
      </c>
      <c r="BB371" s="3">
        <f ca="1">IFERROR(__xludf.DUMMYFUNCTION("""COMPUTED_VALUE"""),1877371)</f>
        <v>1877371</v>
      </c>
      <c r="BC371" s="4">
        <f ca="1">IFERROR(__xludf.DUMMYFUNCTION("""COMPUTED_VALUE"""),42661.6666666666)</f>
        <v>42661.666666666599</v>
      </c>
      <c r="BD371" s="3">
        <f ca="1">IFERROR(__xludf.DUMMYFUNCTION("""COMPUTED_VALUE"""),47.62)</f>
        <v>47.62</v>
      </c>
      <c r="BE371" s="3">
        <f ca="1">IFERROR(__xludf.DUMMYFUNCTION("""COMPUTED_VALUE"""),47.74)</f>
        <v>47.74</v>
      </c>
      <c r="BF371" s="3">
        <f ca="1">IFERROR(__xludf.DUMMYFUNCTION("""COMPUTED_VALUE"""),47.47)</f>
        <v>47.47</v>
      </c>
      <c r="BG371" s="3">
        <f ca="1">IFERROR(__xludf.DUMMYFUNCTION("""COMPUTED_VALUE"""),47.53)</f>
        <v>47.53</v>
      </c>
      <c r="BH371" s="3">
        <f ca="1">IFERROR(__xludf.DUMMYFUNCTION("""COMPUTED_VALUE"""),5058937)</f>
        <v>5058937</v>
      </c>
      <c r="BI371" s="4">
        <f ca="1">IFERROR(__xludf.DUMMYFUNCTION("""COMPUTED_VALUE"""),42661.6666666666)</f>
        <v>42661.666666666599</v>
      </c>
      <c r="BJ371" s="3">
        <f ca="1">IFERROR(__xludf.DUMMYFUNCTION("""COMPUTED_VALUE"""),48.22)</f>
        <v>48.22</v>
      </c>
      <c r="BK371" s="3">
        <f ca="1">IFERROR(__xludf.DUMMYFUNCTION("""COMPUTED_VALUE"""),48.52)</f>
        <v>48.52</v>
      </c>
      <c r="BL371" s="3">
        <f ca="1">IFERROR(__xludf.DUMMYFUNCTION("""COMPUTED_VALUE"""),47.8)</f>
        <v>47.8</v>
      </c>
      <c r="BM371" s="3">
        <f ca="1">IFERROR(__xludf.DUMMYFUNCTION("""COMPUTED_VALUE"""),48.42)</f>
        <v>48.42</v>
      </c>
      <c r="BN371" s="3">
        <f ca="1">IFERROR(__xludf.DUMMYFUNCTION("""COMPUTED_VALUE"""),14761051)</f>
        <v>14761051</v>
      </c>
    </row>
    <row r="372" spans="7:66" ht="13" x14ac:dyDescent="0.15">
      <c r="G372" s="4">
        <f ca="1">IFERROR(__xludf.DUMMYFUNCTION("""COMPUTED_VALUE"""),42662.6666666666)</f>
        <v>42662.666666666599</v>
      </c>
      <c r="H372" s="3">
        <f ca="1">IFERROR(__xludf.DUMMYFUNCTION("""COMPUTED_VALUE"""),78.89)</f>
        <v>78.89</v>
      </c>
      <c r="I372" s="3">
        <f ca="1">IFERROR(__xludf.DUMMYFUNCTION("""COMPUTED_VALUE"""),79.2)</f>
        <v>79.2</v>
      </c>
      <c r="J372" s="3">
        <f ca="1">IFERROR(__xludf.DUMMYFUNCTION("""COMPUTED_VALUE"""),78.69)</f>
        <v>78.69</v>
      </c>
      <c r="K372" s="3">
        <f ca="1">IFERROR(__xludf.DUMMYFUNCTION("""COMPUTED_VALUE"""),79.11)</f>
        <v>79.11</v>
      </c>
      <c r="L372" s="3">
        <f ca="1">IFERROR(__xludf.DUMMYFUNCTION("""COMPUTED_VALUE"""),3256058)</f>
        <v>3256058</v>
      </c>
      <c r="M372" s="4">
        <f ca="1">IFERROR(__xludf.DUMMYFUNCTION("""COMPUTED_VALUE"""),42662.6666666666)</f>
        <v>42662.666666666599</v>
      </c>
      <c r="N372" s="3">
        <f ca="1">IFERROR(__xludf.DUMMYFUNCTION("""COMPUTED_VALUE"""),52.18)</f>
        <v>52.18</v>
      </c>
      <c r="O372" s="3">
        <f ca="1">IFERROR(__xludf.DUMMYFUNCTION("""COMPUTED_VALUE"""),52.27)</f>
        <v>52.27</v>
      </c>
      <c r="P372" s="3">
        <f ca="1">IFERROR(__xludf.DUMMYFUNCTION("""COMPUTED_VALUE"""),51.9)</f>
        <v>51.9</v>
      </c>
      <c r="Q372" s="3">
        <f ca="1">IFERROR(__xludf.DUMMYFUNCTION("""COMPUTED_VALUE"""),51.98)</f>
        <v>51.98</v>
      </c>
      <c r="R372" s="3">
        <f ca="1">IFERROR(__xludf.DUMMYFUNCTION("""COMPUTED_VALUE"""),9032026)</f>
        <v>9032026</v>
      </c>
      <c r="S372" s="4">
        <f ca="1">IFERROR(__xludf.DUMMYFUNCTION("""COMPUTED_VALUE"""),42662.6666666666)</f>
        <v>42662.666666666599</v>
      </c>
      <c r="T372" s="3">
        <f ca="1">IFERROR(__xludf.DUMMYFUNCTION("""COMPUTED_VALUE"""),70.28)</f>
        <v>70.28</v>
      </c>
      <c r="U372" s="3">
        <f ca="1">IFERROR(__xludf.DUMMYFUNCTION("""COMPUTED_VALUE"""),71.27)</f>
        <v>71.27</v>
      </c>
      <c r="V372" s="3">
        <f ca="1">IFERROR(__xludf.DUMMYFUNCTION("""COMPUTED_VALUE"""),70.21)</f>
        <v>70.209999999999994</v>
      </c>
      <c r="W372" s="3">
        <f ca="1">IFERROR(__xludf.DUMMYFUNCTION("""COMPUTED_VALUE"""),70.73)</f>
        <v>70.73</v>
      </c>
      <c r="X372" s="3">
        <f ca="1">IFERROR(__xludf.DUMMYFUNCTION("""COMPUTED_VALUE"""),14315902)</f>
        <v>14315902</v>
      </c>
      <c r="Y372" s="4">
        <f ca="1">IFERROR(__xludf.DUMMYFUNCTION("""COMPUTED_VALUE"""),42662.6666666666)</f>
        <v>42662.666666666599</v>
      </c>
      <c r="Z372" s="3">
        <f ca="1">IFERROR(__xludf.DUMMYFUNCTION("""COMPUTED_VALUE"""),19.55)</f>
        <v>19.55</v>
      </c>
      <c r="AA372" s="3">
        <f ca="1">IFERROR(__xludf.DUMMYFUNCTION("""COMPUTED_VALUE"""),19.71)</f>
        <v>19.71</v>
      </c>
      <c r="AB372" s="3">
        <f ca="1">IFERROR(__xludf.DUMMYFUNCTION("""COMPUTED_VALUE"""),19.53)</f>
        <v>19.53</v>
      </c>
      <c r="AC372" s="3">
        <f ca="1">IFERROR(__xludf.DUMMYFUNCTION("""COMPUTED_VALUE"""),19.66)</f>
        <v>19.66</v>
      </c>
      <c r="AD372" s="3">
        <f ca="1">IFERROR(__xludf.DUMMYFUNCTION("""COMPUTED_VALUE"""),49835923)</f>
        <v>49835923</v>
      </c>
      <c r="AE372" s="4">
        <f ca="1">IFERROR(__xludf.DUMMYFUNCTION("""COMPUTED_VALUE"""),42662.6666666666)</f>
        <v>42662.666666666599</v>
      </c>
      <c r="AF372" s="3">
        <f ca="1">IFERROR(__xludf.DUMMYFUNCTION("""COMPUTED_VALUE"""),70.31)</f>
        <v>70.31</v>
      </c>
      <c r="AG372" s="3">
        <f ca="1">IFERROR(__xludf.DUMMYFUNCTION("""COMPUTED_VALUE"""),70.37)</f>
        <v>70.37</v>
      </c>
      <c r="AH372" s="3">
        <f ca="1">IFERROR(__xludf.DUMMYFUNCTION("""COMPUTED_VALUE"""),69.94)</f>
        <v>69.94</v>
      </c>
      <c r="AI372" s="3">
        <f ca="1">IFERROR(__xludf.DUMMYFUNCTION("""COMPUTED_VALUE"""),69.96)</f>
        <v>69.959999999999994</v>
      </c>
      <c r="AJ372" s="3">
        <f ca="1">IFERROR(__xludf.DUMMYFUNCTION("""COMPUTED_VALUE"""),5296697)</f>
        <v>5296697</v>
      </c>
      <c r="AK372" s="4">
        <f ca="1">IFERROR(__xludf.DUMMYFUNCTION("""COMPUTED_VALUE"""),42662.6666666666)</f>
        <v>42662.666666666599</v>
      </c>
      <c r="AL372" s="3">
        <f ca="1">IFERROR(__xludf.DUMMYFUNCTION("""COMPUTED_VALUE"""),57.35)</f>
        <v>57.35</v>
      </c>
      <c r="AM372" s="3">
        <f ca="1">IFERROR(__xludf.DUMMYFUNCTION("""COMPUTED_VALUE"""),57.55)</f>
        <v>57.55</v>
      </c>
      <c r="AN372" s="3">
        <f ca="1">IFERROR(__xludf.DUMMYFUNCTION("""COMPUTED_VALUE"""),57.17)</f>
        <v>57.17</v>
      </c>
      <c r="AO372" s="3">
        <f ca="1">IFERROR(__xludf.DUMMYFUNCTION("""COMPUTED_VALUE"""),57.38)</f>
        <v>57.38</v>
      </c>
      <c r="AP372" s="3">
        <f ca="1">IFERROR(__xludf.DUMMYFUNCTION("""COMPUTED_VALUE"""),7374089)</f>
        <v>7374089</v>
      </c>
      <c r="AQ372" s="4">
        <f ca="1">IFERROR(__xludf.DUMMYFUNCTION("""COMPUTED_VALUE"""),42662.6666666666)</f>
        <v>42662.666666666599</v>
      </c>
      <c r="AR372" s="3">
        <f ca="1">IFERROR(__xludf.DUMMYFUNCTION("""COMPUTED_VALUE"""),46.89)</f>
        <v>46.89</v>
      </c>
      <c r="AS372" s="3">
        <f ca="1">IFERROR(__xludf.DUMMYFUNCTION("""COMPUTED_VALUE"""),47.2)</f>
        <v>47.2</v>
      </c>
      <c r="AT372" s="3">
        <f ca="1">IFERROR(__xludf.DUMMYFUNCTION("""COMPUTED_VALUE"""),46.71)</f>
        <v>46.71</v>
      </c>
      <c r="AU372" s="3">
        <f ca="1">IFERROR(__xludf.DUMMYFUNCTION("""COMPUTED_VALUE"""),47.12)</f>
        <v>47.12</v>
      </c>
      <c r="AV372" s="3">
        <f ca="1">IFERROR(__xludf.DUMMYFUNCTION("""COMPUTED_VALUE"""),2684793)</f>
        <v>2684793</v>
      </c>
      <c r="AW372" s="4">
        <f ca="1">IFERROR(__xludf.DUMMYFUNCTION("""COMPUTED_VALUE"""),42829.6666666666)</f>
        <v>42829.666666666599</v>
      </c>
      <c r="AX372" s="3">
        <f ca="1">IFERROR(__xludf.DUMMYFUNCTION("""COMPUTED_VALUE"""),31.64)</f>
        <v>31.64</v>
      </c>
      <c r="AY372" s="3">
        <f ca="1">IFERROR(__xludf.DUMMYFUNCTION("""COMPUTED_VALUE"""),31.8)</f>
        <v>31.8</v>
      </c>
      <c r="AZ372" s="3">
        <f ca="1">IFERROR(__xludf.DUMMYFUNCTION("""COMPUTED_VALUE"""),31.53)</f>
        <v>31.53</v>
      </c>
      <c r="BA372" s="3">
        <f ca="1">IFERROR(__xludf.DUMMYFUNCTION("""COMPUTED_VALUE"""),31.55)</f>
        <v>31.55</v>
      </c>
      <c r="BB372" s="3">
        <f ca="1">IFERROR(__xludf.DUMMYFUNCTION("""COMPUTED_VALUE"""),1737462)</f>
        <v>1737462</v>
      </c>
      <c r="BC372" s="4">
        <f ca="1">IFERROR(__xludf.DUMMYFUNCTION("""COMPUTED_VALUE"""),42662.6666666666)</f>
        <v>42662.666666666599</v>
      </c>
      <c r="BD372" s="3">
        <f ca="1">IFERROR(__xludf.DUMMYFUNCTION("""COMPUTED_VALUE"""),47.5)</f>
        <v>47.5</v>
      </c>
      <c r="BE372" s="3">
        <f ca="1">IFERROR(__xludf.DUMMYFUNCTION("""COMPUTED_VALUE"""),47.67)</f>
        <v>47.67</v>
      </c>
      <c r="BF372" s="3">
        <f ca="1">IFERROR(__xludf.DUMMYFUNCTION("""COMPUTED_VALUE"""),47.41)</f>
        <v>47.41</v>
      </c>
      <c r="BG372" s="3">
        <f ca="1">IFERROR(__xludf.DUMMYFUNCTION("""COMPUTED_VALUE"""),47.62)</f>
        <v>47.62</v>
      </c>
      <c r="BH372" s="3">
        <f ca="1">IFERROR(__xludf.DUMMYFUNCTION("""COMPUTED_VALUE"""),5034977)</f>
        <v>5034977</v>
      </c>
      <c r="BI372" s="4">
        <f ca="1">IFERROR(__xludf.DUMMYFUNCTION("""COMPUTED_VALUE"""),42662.6666666666)</f>
        <v>42662.666666666599</v>
      </c>
      <c r="BJ372" s="3">
        <f ca="1">IFERROR(__xludf.DUMMYFUNCTION("""COMPUTED_VALUE"""),48.39)</f>
        <v>48.39</v>
      </c>
      <c r="BK372" s="3">
        <f ca="1">IFERROR(__xludf.DUMMYFUNCTION("""COMPUTED_VALUE"""),48.46)</f>
        <v>48.46</v>
      </c>
      <c r="BL372" s="3">
        <f ca="1">IFERROR(__xludf.DUMMYFUNCTION("""COMPUTED_VALUE"""),48.09)</f>
        <v>48.09</v>
      </c>
      <c r="BM372" s="3">
        <f ca="1">IFERROR(__xludf.DUMMYFUNCTION("""COMPUTED_VALUE"""),48.31)</f>
        <v>48.31</v>
      </c>
      <c r="BN372" s="3">
        <f ca="1">IFERROR(__xludf.DUMMYFUNCTION("""COMPUTED_VALUE"""),8502547)</f>
        <v>8502547</v>
      </c>
    </row>
    <row r="373" spans="7:66" ht="13" x14ac:dyDescent="0.15">
      <c r="G373" s="4">
        <f ca="1">IFERROR(__xludf.DUMMYFUNCTION("""COMPUTED_VALUE"""),42663.6666666666)</f>
        <v>42663.666666666599</v>
      </c>
      <c r="H373" s="3">
        <f ca="1">IFERROR(__xludf.DUMMYFUNCTION("""COMPUTED_VALUE"""),78.93)</f>
        <v>78.930000000000007</v>
      </c>
      <c r="I373" s="3">
        <f ca="1">IFERROR(__xludf.DUMMYFUNCTION("""COMPUTED_VALUE"""),79.15)</f>
        <v>79.150000000000006</v>
      </c>
      <c r="J373" s="3">
        <f ca="1">IFERROR(__xludf.DUMMYFUNCTION("""COMPUTED_VALUE"""),78.64)</f>
        <v>78.64</v>
      </c>
      <c r="K373" s="3">
        <f ca="1">IFERROR(__xludf.DUMMYFUNCTION("""COMPUTED_VALUE"""),78.96)</f>
        <v>78.959999999999994</v>
      </c>
      <c r="L373" s="3">
        <f ca="1">IFERROR(__xludf.DUMMYFUNCTION("""COMPUTED_VALUE"""),4909466)</f>
        <v>4909466</v>
      </c>
      <c r="M373" s="4">
        <f ca="1">IFERROR(__xludf.DUMMYFUNCTION("""COMPUTED_VALUE"""),42663.6666666666)</f>
        <v>42663.666666666599</v>
      </c>
      <c r="N373" s="3">
        <f ca="1">IFERROR(__xludf.DUMMYFUNCTION("""COMPUTED_VALUE"""),51.95)</f>
        <v>51.95</v>
      </c>
      <c r="O373" s="3">
        <f ca="1">IFERROR(__xludf.DUMMYFUNCTION("""COMPUTED_VALUE"""),52.13)</f>
        <v>52.13</v>
      </c>
      <c r="P373" s="3">
        <f ca="1">IFERROR(__xludf.DUMMYFUNCTION("""COMPUTED_VALUE"""),51.82)</f>
        <v>51.82</v>
      </c>
      <c r="Q373" s="3">
        <f ca="1">IFERROR(__xludf.DUMMYFUNCTION("""COMPUTED_VALUE"""),51.95)</f>
        <v>51.95</v>
      </c>
      <c r="R373" s="3">
        <f ca="1">IFERROR(__xludf.DUMMYFUNCTION("""COMPUTED_VALUE"""),12176293)</f>
        <v>12176293</v>
      </c>
      <c r="S373" s="4">
        <f ca="1">IFERROR(__xludf.DUMMYFUNCTION("""COMPUTED_VALUE"""),42663.6666666666)</f>
        <v>42663.666666666599</v>
      </c>
      <c r="T373" s="3">
        <f ca="1">IFERROR(__xludf.DUMMYFUNCTION("""COMPUTED_VALUE"""),70.31)</f>
        <v>70.31</v>
      </c>
      <c r="U373" s="3">
        <f ca="1">IFERROR(__xludf.DUMMYFUNCTION("""COMPUTED_VALUE"""),70.94)</f>
        <v>70.94</v>
      </c>
      <c r="V373" s="3">
        <f ca="1">IFERROR(__xludf.DUMMYFUNCTION("""COMPUTED_VALUE"""),69.92)</f>
        <v>69.92</v>
      </c>
      <c r="W373" s="3">
        <f ca="1">IFERROR(__xludf.DUMMYFUNCTION("""COMPUTED_VALUE"""),70.65)</f>
        <v>70.650000000000006</v>
      </c>
      <c r="X373" s="3">
        <f ca="1">IFERROR(__xludf.DUMMYFUNCTION("""COMPUTED_VALUE"""),12494518)</f>
        <v>12494518</v>
      </c>
      <c r="Y373" s="4">
        <f ca="1">IFERROR(__xludf.DUMMYFUNCTION("""COMPUTED_VALUE"""),42663.6666666666)</f>
        <v>42663.666666666599</v>
      </c>
      <c r="Z373" s="3">
        <f ca="1">IFERROR(__xludf.DUMMYFUNCTION("""COMPUTED_VALUE"""),19.64)</f>
        <v>19.64</v>
      </c>
      <c r="AA373" s="3">
        <f ca="1">IFERROR(__xludf.DUMMYFUNCTION("""COMPUTED_VALUE"""),19.78)</f>
        <v>19.78</v>
      </c>
      <c r="AB373" s="3">
        <f ca="1">IFERROR(__xludf.DUMMYFUNCTION("""COMPUTED_VALUE"""),19.58)</f>
        <v>19.579999999999998</v>
      </c>
      <c r="AC373" s="3">
        <f ca="1">IFERROR(__xludf.DUMMYFUNCTION("""COMPUTED_VALUE"""),19.66)</f>
        <v>19.66</v>
      </c>
      <c r="AD373" s="3">
        <f ca="1">IFERROR(__xludf.DUMMYFUNCTION("""COMPUTED_VALUE"""),56238168)</f>
        <v>56238168</v>
      </c>
      <c r="AE373" s="4">
        <f ca="1">IFERROR(__xludf.DUMMYFUNCTION("""COMPUTED_VALUE"""),42663.6666666666)</f>
        <v>42663.666666666599</v>
      </c>
      <c r="AF373" s="3">
        <f ca="1">IFERROR(__xludf.DUMMYFUNCTION("""COMPUTED_VALUE"""),70.05)</f>
        <v>70.05</v>
      </c>
      <c r="AG373" s="3">
        <f ca="1">IFERROR(__xludf.DUMMYFUNCTION("""COMPUTED_VALUE"""),70.51)</f>
        <v>70.510000000000005</v>
      </c>
      <c r="AH373" s="3">
        <f ca="1">IFERROR(__xludf.DUMMYFUNCTION("""COMPUTED_VALUE"""),69.92)</f>
        <v>69.92</v>
      </c>
      <c r="AI373" s="3">
        <f ca="1">IFERROR(__xludf.DUMMYFUNCTION("""COMPUTED_VALUE"""),70.29)</f>
        <v>70.290000000000006</v>
      </c>
      <c r="AJ373" s="3">
        <f ca="1">IFERROR(__xludf.DUMMYFUNCTION("""COMPUTED_VALUE"""),6876029)</f>
        <v>6876029</v>
      </c>
      <c r="AK373" s="4">
        <f ca="1">IFERROR(__xludf.DUMMYFUNCTION("""COMPUTED_VALUE"""),42663.6666666666)</f>
        <v>42663.666666666599</v>
      </c>
      <c r="AL373" s="3">
        <f ca="1">IFERROR(__xludf.DUMMYFUNCTION("""COMPUTED_VALUE"""),57.15)</f>
        <v>57.15</v>
      </c>
      <c r="AM373" s="3">
        <f ca="1">IFERROR(__xludf.DUMMYFUNCTION("""COMPUTED_VALUE"""),57.32)</f>
        <v>57.32</v>
      </c>
      <c r="AN373" s="3">
        <f ca="1">IFERROR(__xludf.DUMMYFUNCTION("""COMPUTED_VALUE"""),56.96)</f>
        <v>56.96</v>
      </c>
      <c r="AO373" s="3">
        <f ca="1">IFERROR(__xludf.DUMMYFUNCTION("""COMPUTED_VALUE"""),57.07)</f>
        <v>57.07</v>
      </c>
      <c r="AP373" s="3">
        <f ca="1">IFERROR(__xludf.DUMMYFUNCTION("""COMPUTED_VALUE"""),8215257)</f>
        <v>8215257</v>
      </c>
      <c r="AQ373" s="4">
        <f ca="1">IFERROR(__xludf.DUMMYFUNCTION("""COMPUTED_VALUE"""),42663.6666666666)</f>
        <v>42663.666666666599</v>
      </c>
      <c r="AR373" s="3">
        <f ca="1">IFERROR(__xludf.DUMMYFUNCTION("""COMPUTED_VALUE"""),47.06)</f>
        <v>47.06</v>
      </c>
      <c r="AS373" s="3">
        <f ca="1">IFERROR(__xludf.DUMMYFUNCTION("""COMPUTED_VALUE"""),47.24)</f>
        <v>47.24</v>
      </c>
      <c r="AT373" s="3">
        <f ca="1">IFERROR(__xludf.DUMMYFUNCTION("""COMPUTED_VALUE"""),46.76)</f>
        <v>46.76</v>
      </c>
      <c r="AU373" s="3">
        <f ca="1">IFERROR(__xludf.DUMMYFUNCTION("""COMPUTED_VALUE"""),47.08)</f>
        <v>47.08</v>
      </c>
      <c r="AV373" s="3">
        <f ca="1">IFERROR(__xludf.DUMMYFUNCTION("""COMPUTED_VALUE"""),2728197)</f>
        <v>2728197</v>
      </c>
      <c r="AW373" s="4">
        <f ca="1">IFERROR(__xludf.DUMMYFUNCTION("""COMPUTED_VALUE"""),42830.6666666666)</f>
        <v>42830.666666666599</v>
      </c>
      <c r="AX373" s="3">
        <f ca="1">IFERROR(__xludf.DUMMYFUNCTION("""COMPUTED_VALUE"""),31.58)</f>
        <v>31.58</v>
      </c>
      <c r="AY373" s="3">
        <f ca="1">IFERROR(__xludf.DUMMYFUNCTION("""COMPUTED_VALUE"""),31.77)</f>
        <v>31.77</v>
      </c>
      <c r="AZ373" s="3">
        <f ca="1">IFERROR(__xludf.DUMMYFUNCTION("""COMPUTED_VALUE"""),31.55)</f>
        <v>31.55</v>
      </c>
      <c r="BA373" s="3">
        <f ca="1">IFERROR(__xludf.DUMMYFUNCTION("""COMPUTED_VALUE"""),31.6)</f>
        <v>31.6</v>
      </c>
      <c r="BB373" s="3">
        <f ca="1">IFERROR(__xludf.DUMMYFUNCTION("""COMPUTED_VALUE"""),2115238)</f>
        <v>2115238</v>
      </c>
      <c r="BC373" s="4">
        <f ca="1">IFERROR(__xludf.DUMMYFUNCTION("""COMPUTED_VALUE"""),42663.6666666666)</f>
        <v>42663.666666666599</v>
      </c>
      <c r="BD373" s="3">
        <f ca="1">IFERROR(__xludf.DUMMYFUNCTION("""COMPUTED_VALUE"""),47.5)</f>
        <v>47.5</v>
      </c>
      <c r="BE373" s="3">
        <f ca="1">IFERROR(__xludf.DUMMYFUNCTION("""COMPUTED_VALUE"""),47.52)</f>
        <v>47.52</v>
      </c>
      <c r="BF373" s="3">
        <f ca="1">IFERROR(__xludf.DUMMYFUNCTION("""COMPUTED_VALUE"""),47.17)</f>
        <v>47.17</v>
      </c>
      <c r="BG373" s="3">
        <f ca="1">IFERROR(__xludf.DUMMYFUNCTION("""COMPUTED_VALUE"""),47.4)</f>
        <v>47.4</v>
      </c>
      <c r="BH373" s="3">
        <f ca="1">IFERROR(__xludf.DUMMYFUNCTION("""COMPUTED_VALUE"""),6148003)</f>
        <v>6148003</v>
      </c>
      <c r="BI373" s="4">
        <f ca="1">IFERROR(__xludf.DUMMYFUNCTION("""COMPUTED_VALUE"""),42663.6666666666)</f>
        <v>42663.666666666599</v>
      </c>
      <c r="BJ373" s="3">
        <f ca="1">IFERROR(__xludf.DUMMYFUNCTION("""COMPUTED_VALUE"""),48.4)</f>
        <v>48.4</v>
      </c>
      <c r="BK373" s="3">
        <f ca="1">IFERROR(__xludf.DUMMYFUNCTION("""COMPUTED_VALUE"""),48.66)</f>
        <v>48.66</v>
      </c>
      <c r="BL373" s="3">
        <f ca="1">IFERROR(__xludf.DUMMYFUNCTION("""COMPUTED_VALUE"""),48.19)</f>
        <v>48.19</v>
      </c>
      <c r="BM373" s="3">
        <f ca="1">IFERROR(__xludf.DUMMYFUNCTION("""COMPUTED_VALUE"""),48.28)</f>
        <v>48.28</v>
      </c>
      <c r="BN373" s="3">
        <f ca="1">IFERROR(__xludf.DUMMYFUNCTION("""COMPUTED_VALUE"""),8930782)</f>
        <v>8930782</v>
      </c>
    </row>
    <row r="374" spans="7:66" ht="13" x14ac:dyDescent="0.15">
      <c r="G374" s="4">
        <f ca="1">IFERROR(__xludf.DUMMYFUNCTION("""COMPUTED_VALUE"""),42664.6666666666)</f>
        <v>42664.666666666599</v>
      </c>
      <c r="H374" s="3">
        <f ca="1">IFERROR(__xludf.DUMMYFUNCTION("""COMPUTED_VALUE"""),78.58)</f>
        <v>78.58</v>
      </c>
      <c r="I374" s="3">
        <f ca="1">IFERROR(__xludf.DUMMYFUNCTION("""COMPUTED_VALUE"""),79.71)</f>
        <v>79.709999999999994</v>
      </c>
      <c r="J374" s="3">
        <f ca="1">IFERROR(__xludf.DUMMYFUNCTION("""COMPUTED_VALUE"""),78.58)</f>
        <v>78.58</v>
      </c>
      <c r="K374" s="3">
        <f ca="1">IFERROR(__xludf.DUMMYFUNCTION("""COMPUTED_VALUE"""),79.59)</f>
        <v>79.59</v>
      </c>
      <c r="L374" s="3">
        <f ca="1">IFERROR(__xludf.DUMMYFUNCTION("""COMPUTED_VALUE"""),4797682)</f>
        <v>4797682</v>
      </c>
      <c r="M374" s="4">
        <f ca="1">IFERROR(__xludf.DUMMYFUNCTION("""COMPUTED_VALUE"""),42664.6666666666)</f>
        <v>42664.666666666599</v>
      </c>
      <c r="N374" s="3">
        <f ca="1">IFERROR(__xludf.DUMMYFUNCTION("""COMPUTED_VALUE"""),52.13)</f>
        <v>52.13</v>
      </c>
      <c r="O374" s="3">
        <f ca="1">IFERROR(__xludf.DUMMYFUNCTION("""COMPUTED_VALUE"""),52.3)</f>
        <v>52.3</v>
      </c>
      <c r="P374" s="3">
        <f ca="1">IFERROR(__xludf.DUMMYFUNCTION("""COMPUTED_VALUE"""),52.01)</f>
        <v>52.01</v>
      </c>
      <c r="Q374" s="3">
        <f ca="1">IFERROR(__xludf.DUMMYFUNCTION("""COMPUTED_VALUE"""),52.23)</f>
        <v>52.23</v>
      </c>
      <c r="R374" s="3">
        <f ca="1">IFERROR(__xludf.DUMMYFUNCTION("""COMPUTED_VALUE"""),14028243)</f>
        <v>14028243</v>
      </c>
      <c r="S374" s="4">
        <f ca="1">IFERROR(__xludf.DUMMYFUNCTION("""COMPUTED_VALUE"""),42664.6666666666)</f>
        <v>42664.666666666599</v>
      </c>
      <c r="T374" s="3">
        <f ca="1">IFERROR(__xludf.DUMMYFUNCTION("""COMPUTED_VALUE"""),70.19)</f>
        <v>70.19</v>
      </c>
      <c r="U374" s="3">
        <f ca="1">IFERROR(__xludf.DUMMYFUNCTION("""COMPUTED_VALUE"""),70.31)</f>
        <v>70.31</v>
      </c>
      <c r="V374" s="3">
        <f ca="1">IFERROR(__xludf.DUMMYFUNCTION("""COMPUTED_VALUE"""),69.78)</f>
        <v>69.78</v>
      </c>
      <c r="W374" s="3">
        <f ca="1">IFERROR(__xludf.DUMMYFUNCTION("""COMPUTED_VALUE"""),70.19)</f>
        <v>70.19</v>
      </c>
      <c r="X374" s="3">
        <f ca="1">IFERROR(__xludf.DUMMYFUNCTION("""COMPUTED_VALUE"""),14238481)</f>
        <v>14238481</v>
      </c>
      <c r="Y374" s="4">
        <f ca="1">IFERROR(__xludf.DUMMYFUNCTION("""COMPUTED_VALUE"""),42664.6666666666)</f>
        <v>42664.666666666599</v>
      </c>
      <c r="Z374" s="3">
        <f ca="1">IFERROR(__xludf.DUMMYFUNCTION("""COMPUTED_VALUE"""),19.5)</f>
        <v>19.5</v>
      </c>
      <c r="AA374" s="3">
        <f ca="1">IFERROR(__xludf.DUMMYFUNCTION("""COMPUTED_VALUE"""),19.67)</f>
        <v>19.670000000000002</v>
      </c>
      <c r="AB374" s="3">
        <f ca="1">IFERROR(__xludf.DUMMYFUNCTION("""COMPUTED_VALUE"""),19.47)</f>
        <v>19.47</v>
      </c>
      <c r="AC374" s="3">
        <f ca="1">IFERROR(__xludf.DUMMYFUNCTION("""COMPUTED_VALUE"""),19.65)</f>
        <v>19.649999999999999</v>
      </c>
      <c r="AD374" s="3">
        <f ca="1">IFERROR(__xludf.DUMMYFUNCTION("""COMPUTED_VALUE"""),39543061)</f>
        <v>39543061</v>
      </c>
      <c r="AE374" s="4">
        <f ca="1">IFERROR(__xludf.DUMMYFUNCTION("""COMPUTED_VALUE"""),42664.6666666666)</f>
        <v>42664.666666666599</v>
      </c>
      <c r="AF374" s="3">
        <f ca="1">IFERROR(__xludf.DUMMYFUNCTION("""COMPUTED_VALUE"""),69.93)</f>
        <v>69.930000000000007</v>
      </c>
      <c r="AG374" s="3">
        <f ca="1">IFERROR(__xludf.DUMMYFUNCTION("""COMPUTED_VALUE"""),69.93)</f>
        <v>69.930000000000007</v>
      </c>
      <c r="AH374" s="3">
        <f ca="1">IFERROR(__xludf.DUMMYFUNCTION("""COMPUTED_VALUE"""),69.53)</f>
        <v>69.53</v>
      </c>
      <c r="AI374" s="3">
        <f ca="1">IFERROR(__xludf.DUMMYFUNCTION("""COMPUTED_VALUE"""),69.71)</f>
        <v>69.709999999999994</v>
      </c>
      <c r="AJ374" s="3">
        <f ca="1">IFERROR(__xludf.DUMMYFUNCTION("""COMPUTED_VALUE"""),5511580)</f>
        <v>5511580</v>
      </c>
      <c r="AK374" s="4">
        <f ca="1">IFERROR(__xludf.DUMMYFUNCTION("""COMPUTED_VALUE"""),42664.6666666666)</f>
        <v>42664.666666666599</v>
      </c>
      <c r="AL374" s="3">
        <f ca="1">IFERROR(__xludf.DUMMYFUNCTION("""COMPUTED_VALUE"""),56.61)</f>
        <v>56.61</v>
      </c>
      <c r="AM374" s="3">
        <f ca="1">IFERROR(__xludf.DUMMYFUNCTION("""COMPUTED_VALUE"""),57.03)</f>
        <v>57.03</v>
      </c>
      <c r="AN374" s="3">
        <f ca="1">IFERROR(__xludf.DUMMYFUNCTION("""COMPUTED_VALUE"""),56.4)</f>
        <v>56.4</v>
      </c>
      <c r="AO374" s="3">
        <f ca="1">IFERROR(__xludf.DUMMYFUNCTION("""COMPUTED_VALUE"""),56.99)</f>
        <v>56.99</v>
      </c>
      <c r="AP374" s="3">
        <f ca="1">IFERROR(__xludf.DUMMYFUNCTION("""COMPUTED_VALUE"""),9850732)</f>
        <v>9850732</v>
      </c>
      <c r="AQ374" s="4">
        <f ca="1">IFERROR(__xludf.DUMMYFUNCTION("""COMPUTED_VALUE"""),42664.6666666666)</f>
        <v>42664.666666666599</v>
      </c>
      <c r="AR374" s="3">
        <f ca="1">IFERROR(__xludf.DUMMYFUNCTION("""COMPUTED_VALUE"""),46.7)</f>
        <v>46.7</v>
      </c>
      <c r="AS374" s="3">
        <f ca="1">IFERROR(__xludf.DUMMYFUNCTION("""COMPUTED_VALUE"""),47.09)</f>
        <v>47.09</v>
      </c>
      <c r="AT374" s="3">
        <f ca="1">IFERROR(__xludf.DUMMYFUNCTION("""COMPUTED_VALUE"""),46.6)</f>
        <v>46.6</v>
      </c>
      <c r="AU374" s="3">
        <f ca="1">IFERROR(__xludf.DUMMYFUNCTION("""COMPUTED_VALUE"""),47.06)</f>
        <v>47.06</v>
      </c>
      <c r="AV374" s="3">
        <f ca="1">IFERROR(__xludf.DUMMYFUNCTION("""COMPUTED_VALUE"""),3862896)</f>
        <v>3862896</v>
      </c>
      <c r="AW374" s="4">
        <f ca="1">IFERROR(__xludf.DUMMYFUNCTION("""COMPUTED_VALUE"""),42831.6666666666)</f>
        <v>42831.666666666599</v>
      </c>
      <c r="AX374" s="3">
        <f ca="1">IFERROR(__xludf.DUMMYFUNCTION("""COMPUTED_VALUE"""),31.58)</f>
        <v>31.58</v>
      </c>
      <c r="AY374" s="3">
        <f ca="1">IFERROR(__xludf.DUMMYFUNCTION("""COMPUTED_VALUE"""),31.8)</f>
        <v>31.8</v>
      </c>
      <c r="AZ374" s="3">
        <f ca="1">IFERROR(__xludf.DUMMYFUNCTION("""COMPUTED_VALUE"""),31.45)</f>
        <v>31.45</v>
      </c>
      <c r="BA374" s="3">
        <f ca="1">IFERROR(__xludf.DUMMYFUNCTION("""COMPUTED_VALUE"""),31.78)</f>
        <v>31.78</v>
      </c>
      <c r="BB374" s="3">
        <f ca="1">IFERROR(__xludf.DUMMYFUNCTION("""COMPUTED_VALUE"""),1374695)</f>
        <v>1374695</v>
      </c>
      <c r="BC374" s="4">
        <f ca="1">IFERROR(__xludf.DUMMYFUNCTION("""COMPUTED_VALUE"""),42664.6666666666)</f>
        <v>42664.666666666599</v>
      </c>
      <c r="BD374" s="3">
        <f ca="1">IFERROR(__xludf.DUMMYFUNCTION("""COMPUTED_VALUE"""),47.47)</f>
        <v>47.47</v>
      </c>
      <c r="BE374" s="3">
        <f ca="1">IFERROR(__xludf.DUMMYFUNCTION("""COMPUTED_VALUE"""),47.56)</f>
        <v>47.56</v>
      </c>
      <c r="BF374" s="3">
        <f ca="1">IFERROR(__xludf.DUMMYFUNCTION("""COMPUTED_VALUE"""),47.34)</f>
        <v>47.34</v>
      </c>
      <c r="BG374" s="3">
        <f ca="1">IFERROR(__xludf.DUMMYFUNCTION("""COMPUTED_VALUE"""),47.53)</f>
        <v>47.53</v>
      </c>
      <c r="BH374" s="3">
        <f ca="1">IFERROR(__xludf.DUMMYFUNCTION("""COMPUTED_VALUE"""),8076945)</f>
        <v>8076945</v>
      </c>
      <c r="BI374" s="4">
        <f ca="1">IFERROR(__xludf.DUMMYFUNCTION("""COMPUTED_VALUE"""),42664.6666666666)</f>
        <v>42664.666666666599</v>
      </c>
      <c r="BJ374" s="3">
        <f ca="1">IFERROR(__xludf.DUMMYFUNCTION("""COMPUTED_VALUE"""),48.07)</f>
        <v>48.07</v>
      </c>
      <c r="BK374" s="3">
        <f ca="1">IFERROR(__xludf.DUMMYFUNCTION("""COMPUTED_VALUE"""),48.25)</f>
        <v>48.25</v>
      </c>
      <c r="BL374" s="3">
        <f ca="1">IFERROR(__xludf.DUMMYFUNCTION("""COMPUTED_VALUE"""),47.79)</f>
        <v>47.79</v>
      </c>
      <c r="BM374" s="3">
        <f ca="1">IFERROR(__xludf.DUMMYFUNCTION("""COMPUTED_VALUE"""),48)</f>
        <v>48</v>
      </c>
      <c r="BN374" s="3">
        <f ca="1">IFERROR(__xludf.DUMMYFUNCTION("""COMPUTED_VALUE"""),18153641)</f>
        <v>18153641</v>
      </c>
    </row>
    <row r="375" spans="7:66" ht="13" x14ac:dyDescent="0.15">
      <c r="G375" s="4">
        <f ca="1">IFERROR(__xludf.DUMMYFUNCTION("""COMPUTED_VALUE"""),42667.6666666666)</f>
        <v>42667.666666666599</v>
      </c>
      <c r="H375" s="3">
        <f ca="1">IFERROR(__xludf.DUMMYFUNCTION("""COMPUTED_VALUE"""),79.99)</f>
        <v>79.989999999999995</v>
      </c>
      <c r="I375" s="3">
        <f ca="1">IFERROR(__xludf.DUMMYFUNCTION("""COMPUTED_VALUE"""),80.21)</f>
        <v>80.209999999999994</v>
      </c>
      <c r="J375" s="3">
        <f ca="1">IFERROR(__xludf.DUMMYFUNCTION("""COMPUTED_VALUE"""),79.82)</f>
        <v>79.819999999999993</v>
      </c>
      <c r="K375" s="3">
        <f ca="1">IFERROR(__xludf.DUMMYFUNCTION("""COMPUTED_VALUE"""),80.16)</f>
        <v>80.16</v>
      </c>
      <c r="L375" s="3">
        <f ca="1">IFERROR(__xludf.DUMMYFUNCTION("""COMPUTED_VALUE"""),3568315)</f>
        <v>3568315</v>
      </c>
      <c r="M375" s="4">
        <f ca="1">IFERROR(__xludf.DUMMYFUNCTION("""COMPUTED_VALUE"""),42667.6666666666)</f>
        <v>42667.666666666599</v>
      </c>
      <c r="N375" s="3">
        <f ca="1">IFERROR(__xludf.DUMMYFUNCTION("""COMPUTED_VALUE"""),52.29)</f>
        <v>52.29</v>
      </c>
      <c r="O375" s="3">
        <f ca="1">IFERROR(__xludf.DUMMYFUNCTION("""COMPUTED_VALUE"""),52.69)</f>
        <v>52.69</v>
      </c>
      <c r="P375" s="3">
        <f ca="1">IFERROR(__xludf.DUMMYFUNCTION("""COMPUTED_VALUE"""),52.29)</f>
        <v>52.29</v>
      </c>
      <c r="Q375" s="3">
        <f ca="1">IFERROR(__xludf.DUMMYFUNCTION("""COMPUTED_VALUE"""),52.57)</f>
        <v>52.57</v>
      </c>
      <c r="R375" s="3">
        <f ca="1">IFERROR(__xludf.DUMMYFUNCTION("""COMPUTED_VALUE"""),7609480)</f>
        <v>7609480</v>
      </c>
      <c r="S375" s="4">
        <f ca="1">IFERROR(__xludf.DUMMYFUNCTION("""COMPUTED_VALUE"""),42667.6666666666)</f>
        <v>42667.666666666599</v>
      </c>
      <c r="T375" s="3">
        <f ca="1">IFERROR(__xludf.DUMMYFUNCTION("""COMPUTED_VALUE"""),70.19)</f>
        <v>70.19</v>
      </c>
      <c r="U375" s="3">
        <f ca="1">IFERROR(__xludf.DUMMYFUNCTION("""COMPUTED_VALUE"""),70.43)</f>
        <v>70.430000000000007</v>
      </c>
      <c r="V375" s="3">
        <f ca="1">IFERROR(__xludf.DUMMYFUNCTION("""COMPUTED_VALUE"""),69.21)</f>
        <v>69.209999999999994</v>
      </c>
      <c r="W375" s="3">
        <f ca="1">IFERROR(__xludf.DUMMYFUNCTION("""COMPUTED_VALUE"""),69.98)</f>
        <v>69.98</v>
      </c>
      <c r="X375" s="3">
        <f ca="1">IFERROR(__xludf.DUMMYFUNCTION("""COMPUTED_VALUE"""),10668445)</f>
        <v>10668445</v>
      </c>
      <c r="Y375" s="4">
        <f ca="1">IFERROR(__xludf.DUMMYFUNCTION("""COMPUTED_VALUE"""),42667.6666666666)</f>
        <v>42667.666666666599</v>
      </c>
      <c r="Z375" s="3">
        <f ca="1">IFERROR(__xludf.DUMMYFUNCTION("""COMPUTED_VALUE"""),19.74)</f>
        <v>19.739999999999998</v>
      </c>
      <c r="AA375" s="3">
        <f ca="1">IFERROR(__xludf.DUMMYFUNCTION("""COMPUTED_VALUE"""),19.81)</f>
        <v>19.809999999999999</v>
      </c>
      <c r="AB375" s="3">
        <f ca="1">IFERROR(__xludf.DUMMYFUNCTION("""COMPUTED_VALUE"""),19.7)</f>
        <v>19.7</v>
      </c>
      <c r="AC375" s="3">
        <f ca="1">IFERROR(__xludf.DUMMYFUNCTION("""COMPUTED_VALUE"""),19.71)</f>
        <v>19.71</v>
      </c>
      <c r="AD375" s="3">
        <f ca="1">IFERROR(__xludf.DUMMYFUNCTION("""COMPUTED_VALUE"""),33808676)</f>
        <v>33808676</v>
      </c>
      <c r="AE375" s="4">
        <f ca="1">IFERROR(__xludf.DUMMYFUNCTION("""COMPUTED_VALUE"""),42667.6666666666)</f>
        <v>42667.666666666599</v>
      </c>
      <c r="AF375" s="3">
        <f ca="1">IFERROR(__xludf.DUMMYFUNCTION("""COMPUTED_VALUE"""),70.02)</f>
        <v>70.02</v>
      </c>
      <c r="AG375" s="3">
        <f ca="1">IFERROR(__xludf.DUMMYFUNCTION("""COMPUTED_VALUE"""),70.09)</f>
        <v>70.09</v>
      </c>
      <c r="AH375" s="3">
        <f ca="1">IFERROR(__xludf.DUMMYFUNCTION("""COMPUTED_VALUE"""),69.58)</f>
        <v>69.58</v>
      </c>
      <c r="AI375" s="3">
        <f ca="1">IFERROR(__xludf.DUMMYFUNCTION("""COMPUTED_VALUE"""),69.58)</f>
        <v>69.58</v>
      </c>
      <c r="AJ375" s="3">
        <f ca="1">IFERROR(__xludf.DUMMYFUNCTION("""COMPUTED_VALUE"""),7384722)</f>
        <v>7384722</v>
      </c>
      <c r="AK375" s="4">
        <f ca="1">IFERROR(__xludf.DUMMYFUNCTION("""COMPUTED_VALUE"""),42667.6666666666)</f>
        <v>42667.666666666599</v>
      </c>
      <c r="AL375" s="3">
        <f ca="1">IFERROR(__xludf.DUMMYFUNCTION("""COMPUTED_VALUE"""),57.28)</f>
        <v>57.28</v>
      </c>
      <c r="AM375" s="3">
        <f ca="1">IFERROR(__xludf.DUMMYFUNCTION("""COMPUTED_VALUE"""),57.52)</f>
        <v>57.52</v>
      </c>
      <c r="AN375" s="3">
        <f ca="1">IFERROR(__xludf.DUMMYFUNCTION("""COMPUTED_VALUE"""),57.09)</f>
        <v>57.09</v>
      </c>
      <c r="AO375" s="3">
        <f ca="1">IFERROR(__xludf.DUMMYFUNCTION("""COMPUTED_VALUE"""),57.1)</f>
        <v>57.1</v>
      </c>
      <c r="AP375" s="3">
        <f ca="1">IFERROR(__xludf.DUMMYFUNCTION("""COMPUTED_VALUE"""),9737612)</f>
        <v>9737612</v>
      </c>
      <c r="AQ375" s="4">
        <f ca="1">IFERROR(__xludf.DUMMYFUNCTION("""COMPUTED_VALUE"""),42667.6666666666)</f>
        <v>42667.666666666599</v>
      </c>
      <c r="AR375" s="3">
        <f ca="1">IFERROR(__xludf.DUMMYFUNCTION("""COMPUTED_VALUE"""),47.24)</f>
        <v>47.24</v>
      </c>
      <c r="AS375" s="3">
        <f ca="1">IFERROR(__xludf.DUMMYFUNCTION("""COMPUTED_VALUE"""),47.32)</f>
        <v>47.32</v>
      </c>
      <c r="AT375" s="3">
        <f ca="1">IFERROR(__xludf.DUMMYFUNCTION("""COMPUTED_VALUE"""),47.05)</f>
        <v>47.05</v>
      </c>
      <c r="AU375" s="3">
        <f ca="1">IFERROR(__xludf.DUMMYFUNCTION("""COMPUTED_VALUE"""),47.17)</f>
        <v>47.17</v>
      </c>
      <c r="AV375" s="3">
        <f ca="1">IFERROR(__xludf.DUMMYFUNCTION("""COMPUTED_VALUE"""),3020715)</f>
        <v>3020715</v>
      </c>
      <c r="AW375" s="4">
        <f ca="1">IFERROR(__xludf.DUMMYFUNCTION("""COMPUTED_VALUE"""),42832.6666666666)</f>
        <v>42832.666666666599</v>
      </c>
      <c r="AX375" s="3">
        <f ca="1">IFERROR(__xludf.DUMMYFUNCTION("""COMPUTED_VALUE"""),31.78)</f>
        <v>31.78</v>
      </c>
      <c r="AY375" s="3">
        <f ca="1">IFERROR(__xludf.DUMMYFUNCTION("""COMPUTED_VALUE"""),31.94)</f>
        <v>31.94</v>
      </c>
      <c r="AZ375" s="3">
        <f ca="1">IFERROR(__xludf.DUMMYFUNCTION("""COMPUTED_VALUE"""),31.73)</f>
        <v>31.73</v>
      </c>
      <c r="BA375" s="3">
        <f ca="1">IFERROR(__xludf.DUMMYFUNCTION("""COMPUTED_VALUE"""),31.82)</f>
        <v>31.82</v>
      </c>
      <c r="BB375" s="3">
        <f ca="1">IFERROR(__xludf.DUMMYFUNCTION("""COMPUTED_VALUE"""),1401026)</f>
        <v>1401026</v>
      </c>
      <c r="BC375" s="4">
        <f ca="1">IFERROR(__xludf.DUMMYFUNCTION("""COMPUTED_VALUE"""),42667.6666666666)</f>
        <v>42667.666666666599</v>
      </c>
      <c r="BD375" s="3">
        <f ca="1">IFERROR(__xludf.DUMMYFUNCTION("""COMPUTED_VALUE"""),47.78)</f>
        <v>47.78</v>
      </c>
      <c r="BE375" s="3">
        <f ca="1">IFERROR(__xludf.DUMMYFUNCTION("""COMPUTED_VALUE"""),48.02)</f>
        <v>48.02</v>
      </c>
      <c r="BF375" s="3">
        <f ca="1">IFERROR(__xludf.DUMMYFUNCTION("""COMPUTED_VALUE"""),47.74)</f>
        <v>47.74</v>
      </c>
      <c r="BG375" s="3">
        <f ca="1">IFERROR(__xludf.DUMMYFUNCTION("""COMPUTED_VALUE"""),47.99)</f>
        <v>47.99</v>
      </c>
      <c r="BH375" s="3">
        <f ca="1">IFERROR(__xludf.DUMMYFUNCTION("""COMPUTED_VALUE"""),5393134)</f>
        <v>5393134</v>
      </c>
      <c r="BI375" s="4">
        <f ca="1">IFERROR(__xludf.DUMMYFUNCTION("""COMPUTED_VALUE"""),42667.6666666666)</f>
        <v>42667.666666666599</v>
      </c>
      <c r="BJ375" s="3">
        <f ca="1">IFERROR(__xludf.DUMMYFUNCTION("""COMPUTED_VALUE"""),48.21)</f>
        <v>48.21</v>
      </c>
      <c r="BK375" s="3">
        <f ca="1">IFERROR(__xludf.DUMMYFUNCTION("""COMPUTED_VALUE"""),48.36)</f>
        <v>48.36</v>
      </c>
      <c r="BL375" s="3">
        <f ca="1">IFERROR(__xludf.DUMMYFUNCTION("""COMPUTED_VALUE"""),47.89)</f>
        <v>47.89</v>
      </c>
      <c r="BM375" s="3">
        <f ca="1">IFERROR(__xludf.DUMMYFUNCTION("""COMPUTED_VALUE"""),48.18)</f>
        <v>48.18</v>
      </c>
      <c r="BN375" s="3">
        <f ca="1">IFERROR(__xludf.DUMMYFUNCTION("""COMPUTED_VALUE"""),10744703)</f>
        <v>10744703</v>
      </c>
    </row>
    <row r="376" spans="7:66" ht="13" x14ac:dyDescent="0.15">
      <c r="G376" s="4">
        <f ca="1">IFERROR(__xludf.DUMMYFUNCTION("""COMPUTED_VALUE"""),42668.6666666666)</f>
        <v>42668.666666666599</v>
      </c>
      <c r="H376" s="3">
        <f ca="1">IFERROR(__xludf.DUMMYFUNCTION("""COMPUTED_VALUE"""),79.8)</f>
        <v>79.8</v>
      </c>
      <c r="I376" s="3">
        <f ca="1">IFERROR(__xludf.DUMMYFUNCTION("""COMPUTED_VALUE"""),79.8)</f>
        <v>79.8</v>
      </c>
      <c r="J376" s="3">
        <f ca="1">IFERROR(__xludf.DUMMYFUNCTION("""COMPUTED_VALUE"""),79.18)</f>
        <v>79.180000000000007</v>
      </c>
      <c r="K376" s="3">
        <f ca="1">IFERROR(__xludf.DUMMYFUNCTION("""COMPUTED_VALUE"""),79.22)</f>
        <v>79.22</v>
      </c>
      <c r="L376" s="3">
        <f ca="1">IFERROR(__xludf.DUMMYFUNCTION("""COMPUTED_VALUE"""),4633803)</f>
        <v>4633803</v>
      </c>
      <c r="M376" s="4">
        <f ca="1">IFERROR(__xludf.DUMMYFUNCTION("""COMPUTED_VALUE"""),42668.6666666666)</f>
        <v>42668.666666666599</v>
      </c>
      <c r="N376" s="3">
        <f ca="1">IFERROR(__xludf.DUMMYFUNCTION("""COMPUTED_VALUE"""),52.79)</f>
        <v>52.79</v>
      </c>
      <c r="O376" s="3">
        <f ca="1">IFERROR(__xludf.DUMMYFUNCTION("""COMPUTED_VALUE"""),52.89)</f>
        <v>52.89</v>
      </c>
      <c r="P376" s="3">
        <f ca="1">IFERROR(__xludf.DUMMYFUNCTION("""COMPUTED_VALUE"""),52.72)</f>
        <v>52.72</v>
      </c>
      <c r="Q376" s="3">
        <f ca="1">IFERROR(__xludf.DUMMYFUNCTION("""COMPUTED_VALUE"""),52.76)</f>
        <v>52.76</v>
      </c>
      <c r="R376" s="3">
        <f ca="1">IFERROR(__xludf.DUMMYFUNCTION("""COMPUTED_VALUE"""),9414617)</f>
        <v>9414617</v>
      </c>
      <c r="S376" s="4">
        <f ca="1">IFERROR(__xludf.DUMMYFUNCTION("""COMPUTED_VALUE"""),42668.6666666666)</f>
        <v>42668.666666666599</v>
      </c>
      <c r="T376" s="3">
        <f ca="1">IFERROR(__xludf.DUMMYFUNCTION("""COMPUTED_VALUE"""),69.96)</f>
        <v>69.959999999999994</v>
      </c>
      <c r="U376" s="3">
        <f ca="1">IFERROR(__xludf.DUMMYFUNCTION("""COMPUTED_VALUE"""),70.71)</f>
        <v>70.709999999999994</v>
      </c>
      <c r="V376" s="3">
        <f ca="1">IFERROR(__xludf.DUMMYFUNCTION("""COMPUTED_VALUE"""),69.54)</f>
        <v>69.540000000000006</v>
      </c>
      <c r="W376" s="3">
        <f ca="1">IFERROR(__xludf.DUMMYFUNCTION("""COMPUTED_VALUE"""),69.66)</f>
        <v>69.66</v>
      </c>
      <c r="X376" s="3">
        <f ca="1">IFERROR(__xludf.DUMMYFUNCTION("""COMPUTED_VALUE"""),13227127)</f>
        <v>13227127</v>
      </c>
      <c r="Y376" s="4">
        <f ca="1">IFERROR(__xludf.DUMMYFUNCTION("""COMPUTED_VALUE"""),42668.6666666666)</f>
        <v>42668.666666666599</v>
      </c>
      <c r="Z376" s="3">
        <f ca="1">IFERROR(__xludf.DUMMYFUNCTION("""COMPUTED_VALUE"""),19.75)</f>
        <v>19.75</v>
      </c>
      <c r="AA376" s="3">
        <f ca="1">IFERROR(__xludf.DUMMYFUNCTION("""COMPUTED_VALUE"""),19.76)</f>
        <v>19.760000000000002</v>
      </c>
      <c r="AB376" s="3">
        <f ca="1">IFERROR(__xludf.DUMMYFUNCTION("""COMPUTED_VALUE"""),19.64)</f>
        <v>19.64</v>
      </c>
      <c r="AC376" s="3">
        <f ca="1">IFERROR(__xludf.DUMMYFUNCTION("""COMPUTED_VALUE"""),19.69)</f>
        <v>19.690000000000001</v>
      </c>
      <c r="AD376" s="3">
        <f ca="1">IFERROR(__xludf.DUMMYFUNCTION("""COMPUTED_VALUE"""),36177841)</f>
        <v>36177841</v>
      </c>
      <c r="AE376" s="4">
        <f ca="1">IFERROR(__xludf.DUMMYFUNCTION("""COMPUTED_VALUE"""),42668.6666666666)</f>
        <v>42668.666666666599</v>
      </c>
      <c r="AF376" s="3">
        <f ca="1">IFERROR(__xludf.DUMMYFUNCTION("""COMPUTED_VALUE"""),69.5)</f>
        <v>69.5</v>
      </c>
      <c r="AG376" s="3">
        <f ca="1">IFERROR(__xludf.DUMMYFUNCTION("""COMPUTED_VALUE"""),69.71)</f>
        <v>69.709999999999994</v>
      </c>
      <c r="AH376" s="3">
        <f ca="1">IFERROR(__xludf.DUMMYFUNCTION("""COMPUTED_VALUE"""),69.29)</f>
        <v>69.290000000000006</v>
      </c>
      <c r="AI376" s="3">
        <f ca="1">IFERROR(__xludf.DUMMYFUNCTION("""COMPUTED_VALUE"""),69.38)</f>
        <v>69.38</v>
      </c>
      <c r="AJ376" s="3">
        <f ca="1">IFERROR(__xludf.DUMMYFUNCTION("""COMPUTED_VALUE"""),7922100)</f>
        <v>7922100</v>
      </c>
      <c r="AK376" s="4">
        <f ca="1">IFERROR(__xludf.DUMMYFUNCTION("""COMPUTED_VALUE"""),42668.6666666666)</f>
        <v>42668.666666666599</v>
      </c>
      <c r="AL376" s="3">
        <f ca="1">IFERROR(__xludf.DUMMYFUNCTION("""COMPUTED_VALUE"""),56.87)</f>
        <v>56.87</v>
      </c>
      <c r="AM376" s="3">
        <f ca="1">IFERROR(__xludf.DUMMYFUNCTION("""COMPUTED_VALUE"""),57.13)</f>
        <v>57.13</v>
      </c>
      <c r="AN376" s="3">
        <f ca="1">IFERROR(__xludf.DUMMYFUNCTION("""COMPUTED_VALUE"""),56.81)</f>
        <v>56.81</v>
      </c>
      <c r="AO376" s="3">
        <f ca="1">IFERROR(__xludf.DUMMYFUNCTION("""COMPUTED_VALUE"""),56.95)</f>
        <v>56.95</v>
      </c>
      <c r="AP376" s="3">
        <f ca="1">IFERROR(__xludf.DUMMYFUNCTION("""COMPUTED_VALUE"""),8777485)</f>
        <v>8777485</v>
      </c>
      <c r="AQ376" s="4">
        <f ca="1">IFERROR(__xludf.DUMMYFUNCTION("""COMPUTED_VALUE"""),42668.6666666666)</f>
        <v>42668.666666666599</v>
      </c>
      <c r="AR376" s="3">
        <f ca="1">IFERROR(__xludf.DUMMYFUNCTION("""COMPUTED_VALUE"""),46.96)</f>
        <v>46.96</v>
      </c>
      <c r="AS376" s="3">
        <f ca="1">IFERROR(__xludf.DUMMYFUNCTION("""COMPUTED_VALUE"""),47.15)</f>
        <v>47.15</v>
      </c>
      <c r="AT376" s="3">
        <f ca="1">IFERROR(__xludf.DUMMYFUNCTION("""COMPUTED_VALUE"""),46.64)</f>
        <v>46.64</v>
      </c>
      <c r="AU376" s="3">
        <f ca="1">IFERROR(__xludf.DUMMYFUNCTION("""COMPUTED_VALUE"""),46.74)</f>
        <v>46.74</v>
      </c>
      <c r="AV376" s="3">
        <f ca="1">IFERROR(__xludf.DUMMYFUNCTION("""COMPUTED_VALUE"""),3372022)</f>
        <v>3372022</v>
      </c>
      <c r="AW376" s="4">
        <f ca="1">IFERROR(__xludf.DUMMYFUNCTION("""COMPUTED_VALUE"""),42835.6666666666)</f>
        <v>42835.666666666599</v>
      </c>
      <c r="AX376" s="3">
        <f ca="1">IFERROR(__xludf.DUMMYFUNCTION("""COMPUTED_VALUE"""),31.9)</f>
        <v>31.9</v>
      </c>
      <c r="AY376" s="3">
        <f ca="1">IFERROR(__xludf.DUMMYFUNCTION("""COMPUTED_VALUE"""),32.08)</f>
        <v>32.08</v>
      </c>
      <c r="AZ376" s="3">
        <f ca="1">IFERROR(__xludf.DUMMYFUNCTION("""COMPUTED_VALUE"""),31.79)</f>
        <v>31.79</v>
      </c>
      <c r="BA376" s="3">
        <f ca="1">IFERROR(__xludf.DUMMYFUNCTION("""COMPUTED_VALUE"""),32.04)</f>
        <v>32.04</v>
      </c>
      <c r="BB376" s="3">
        <f ca="1">IFERROR(__xludf.DUMMYFUNCTION("""COMPUTED_VALUE"""),1474157)</f>
        <v>1474157</v>
      </c>
      <c r="BC376" s="4">
        <f ca="1">IFERROR(__xludf.DUMMYFUNCTION("""COMPUTED_VALUE"""),42668.6666666666)</f>
        <v>42668.666666666599</v>
      </c>
      <c r="BD376" s="3">
        <f ca="1">IFERROR(__xludf.DUMMYFUNCTION("""COMPUTED_VALUE"""),48.06)</f>
        <v>48.06</v>
      </c>
      <c r="BE376" s="3">
        <f ca="1">IFERROR(__xludf.DUMMYFUNCTION("""COMPUTED_VALUE"""),48.06)</f>
        <v>48.06</v>
      </c>
      <c r="BF376" s="3">
        <f ca="1">IFERROR(__xludf.DUMMYFUNCTION("""COMPUTED_VALUE"""),47.73)</f>
        <v>47.73</v>
      </c>
      <c r="BG376" s="3">
        <f ca="1">IFERROR(__xludf.DUMMYFUNCTION("""COMPUTED_VALUE"""),47.82)</f>
        <v>47.82</v>
      </c>
      <c r="BH376" s="3">
        <f ca="1">IFERROR(__xludf.DUMMYFUNCTION("""COMPUTED_VALUE"""),4362405)</f>
        <v>4362405</v>
      </c>
      <c r="BI376" s="4">
        <f ca="1">IFERROR(__xludf.DUMMYFUNCTION("""COMPUTED_VALUE"""),42668.6666666666)</f>
        <v>42668.666666666599</v>
      </c>
      <c r="BJ376" s="3">
        <f ca="1">IFERROR(__xludf.DUMMYFUNCTION("""COMPUTED_VALUE"""),48.12)</f>
        <v>48.12</v>
      </c>
      <c r="BK376" s="3">
        <f ca="1">IFERROR(__xludf.DUMMYFUNCTION("""COMPUTED_VALUE"""),48.48)</f>
        <v>48.48</v>
      </c>
      <c r="BL376" s="3">
        <f ca="1">IFERROR(__xludf.DUMMYFUNCTION("""COMPUTED_VALUE"""),48.06)</f>
        <v>48.06</v>
      </c>
      <c r="BM376" s="3">
        <f ca="1">IFERROR(__xludf.DUMMYFUNCTION("""COMPUTED_VALUE"""),48.48)</f>
        <v>48.48</v>
      </c>
      <c r="BN376" s="3">
        <f ca="1">IFERROR(__xludf.DUMMYFUNCTION("""COMPUTED_VALUE"""),9886251)</f>
        <v>9886251</v>
      </c>
    </row>
    <row r="377" spans="7:66" ht="13" x14ac:dyDescent="0.15">
      <c r="G377" s="4">
        <f ca="1">IFERROR(__xludf.DUMMYFUNCTION("""COMPUTED_VALUE"""),42669.6666666666)</f>
        <v>42669.666666666599</v>
      </c>
      <c r="H377" s="3">
        <f ca="1">IFERROR(__xludf.DUMMYFUNCTION("""COMPUTED_VALUE"""),78.87)</f>
        <v>78.87</v>
      </c>
      <c r="I377" s="3">
        <f ca="1">IFERROR(__xludf.DUMMYFUNCTION("""COMPUTED_VALUE"""),79.21)</f>
        <v>79.209999999999994</v>
      </c>
      <c r="J377" s="3">
        <f ca="1">IFERROR(__xludf.DUMMYFUNCTION("""COMPUTED_VALUE"""),78.72)</f>
        <v>78.72</v>
      </c>
      <c r="K377" s="3">
        <f ca="1">IFERROR(__xludf.DUMMYFUNCTION("""COMPUTED_VALUE"""),78.88)</f>
        <v>78.88</v>
      </c>
      <c r="L377" s="3">
        <f ca="1">IFERROR(__xludf.DUMMYFUNCTION("""COMPUTED_VALUE"""),4326491)</f>
        <v>4326491</v>
      </c>
      <c r="M377" s="4">
        <f ca="1">IFERROR(__xludf.DUMMYFUNCTION("""COMPUTED_VALUE"""),42669.6666666666)</f>
        <v>42669.666666666599</v>
      </c>
      <c r="N377" s="3">
        <f ca="1">IFERROR(__xludf.DUMMYFUNCTION("""COMPUTED_VALUE"""),52.8)</f>
        <v>52.8</v>
      </c>
      <c r="O377" s="3">
        <f ca="1">IFERROR(__xludf.DUMMYFUNCTION("""COMPUTED_VALUE"""),52.9)</f>
        <v>52.9</v>
      </c>
      <c r="P377" s="3">
        <f ca="1">IFERROR(__xludf.DUMMYFUNCTION("""COMPUTED_VALUE"""),52.61)</f>
        <v>52.61</v>
      </c>
      <c r="Q377" s="3">
        <f ca="1">IFERROR(__xludf.DUMMYFUNCTION("""COMPUTED_VALUE"""),52.69)</f>
        <v>52.69</v>
      </c>
      <c r="R377" s="3">
        <f ca="1">IFERROR(__xludf.DUMMYFUNCTION("""COMPUTED_VALUE"""),12417730)</f>
        <v>12417730</v>
      </c>
      <c r="S377" s="4">
        <f ca="1">IFERROR(__xludf.DUMMYFUNCTION("""COMPUTED_VALUE"""),42669.6666666666)</f>
        <v>42669.666666666599</v>
      </c>
      <c r="T377" s="3">
        <f ca="1">IFERROR(__xludf.DUMMYFUNCTION("""COMPUTED_VALUE"""),69.04)</f>
        <v>69.040000000000006</v>
      </c>
      <c r="U377" s="3">
        <f ca="1">IFERROR(__xludf.DUMMYFUNCTION("""COMPUTED_VALUE"""),70.11)</f>
        <v>70.11</v>
      </c>
      <c r="V377" s="3">
        <f ca="1">IFERROR(__xludf.DUMMYFUNCTION("""COMPUTED_VALUE"""),68.92)</f>
        <v>68.92</v>
      </c>
      <c r="W377" s="3">
        <f ca="1">IFERROR(__xludf.DUMMYFUNCTION("""COMPUTED_VALUE"""),69.82)</f>
        <v>69.819999999999993</v>
      </c>
      <c r="X377" s="3">
        <f ca="1">IFERROR(__xludf.DUMMYFUNCTION("""COMPUTED_VALUE"""),17867803)</f>
        <v>17867803</v>
      </c>
      <c r="Y377" s="4">
        <f ca="1">IFERROR(__xludf.DUMMYFUNCTION("""COMPUTED_VALUE"""),42669.6666666666)</f>
        <v>42669.666666666599</v>
      </c>
      <c r="Z377" s="3">
        <f ca="1">IFERROR(__xludf.DUMMYFUNCTION("""COMPUTED_VALUE"""),19.6)</f>
        <v>19.600000000000001</v>
      </c>
      <c r="AA377" s="3">
        <f ca="1">IFERROR(__xludf.DUMMYFUNCTION("""COMPUTED_VALUE"""),19.84)</f>
        <v>19.84</v>
      </c>
      <c r="AB377" s="3">
        <f ca="1">IFERROR(__xludf.DUMMYFUNCTION("""COMPUTED_VALUE"""),19.58)</f>
        <v>19.579999999999998</v>
      </c>
      <c r="AC377" s="3">
        <f ca="1">IFERROR(__xludf.DUMMYFUNCTION("""COMPUTED_VALUE"""),19.81)</f>
        <v>19.809999999999999</v>
      </c>
      <c r="AD377" s="3">
        <f ca="1">IFERROR(__xludf.DUMMYFUNCTION("""COMPUTED_VALUE"""),40419157)</f>
        <v>40419157</v>
      </c>
      <c r="AE377" s="4">
        <f ca="1">IFERROR(__xludf.DUMMYFUNCTION("""COMPUTED_VALUE"""),42669.6666666666)</f>
        <v>42669.666666666599</v>
      </c>
      <c r="AF377" s="3">
        <f ca="1">IFERROR(__xludf.DUMMYFUNCTION("""COMPUTED_VALUE"""),69.27)</f>
        <v>69.27</v>
      </c>
      <c r="AG377" s="3">
        <f ca="1">IFERROR(__xludf.DUMMYFUNCTION("""COMPUTED_VALUE"""),69.38)</f>
        <v>69.38</v>
      </c>
      <c r="AH377" s="3">
        <f ca="1">IFERROR(__xludf.DUMMYFUNCTION("""COMPUTED_VALUE"""),68.68)</f>
        <v>68.680000000000007</v>
      </c>
      <c r="AI377" s="3">
        <f ca="1">IFERROR(__xludf.DUMMYFUNCTION("""COMPUTED_VALUE"""),68.96)</f>
        <v>68.959999999999994</v>
      </c>
      <c r="AJ377" s="3">
        <f ca="1">IFERROR(__xludf.DUMMYFUNCTION("""COMPUTED_VALUE"""),8073737)</f>
        <v>8073737</v>
      </c>
      <c r="AK377" s="4">
        <f ca="1">IFERROR(__xludf.DUMMYFUNCTION("""COMPUTED_VALUE"""),42669.6666666666)</f>
        <v>42669.666666666599</v>
      </c>
      <c r="AL377" s="3">
        <f ca="1">IFERROR(__xludf.DUMMYFUNCTION("""COMPUTED_VALUE"""),56.73)</f>
        <v>56.73</v>
      </c>
      <c r="AM377" s="3">
        <f ca="1">IFERROR(__xludf.DUMMYFUNCTION("""COMPUTED_VALUE"""),57.45)</f>
        <v>57.45</v>
      </c>
      <c r="AN377" s="3">
        <f ca="1">IFERROR(__xludf.DUMMYFUNCTION("""COMPUTED_VALUE"""),56.6)</f>
        <v>56.6</v>
      </c>
      <c r="AO377" s="3">
        <f ca="1">IFERROR(__xludf.DUMMYFUNCTION("""COMPUTED_VALUE"""),57.15)</f>
        <v>57.15</v>
      </c>
      <c r="AP377" s="3">
        <f ca="1">IFERROR(__xludf.DUMMYFUNCTION("""COMPUTED_VALUE"""),10043765)</f>
        <v>10043765</v>
      </c>
      <c r="AQ377" s="4">
        <f ca="1">IFERROR(__xludf.DUMMYFUNCTION("""COMPUTED_VALUE"""),42669.6666666666)</f>
        <v>42669.666666666599</v>
      </c>
      <c r="AR377" s="3">
        <f ca="1">IFERROR(__xludf.DUMMYFUNCTION("""COMPUTED_VALUE"""),46.68)</f>
        <v>46.68</v>
      </c>
      <c r="AS377" s="3">
        <f ca="1">IFERROR(__xludf.DUMMYFUNCTION("""COMPUTED_VALUE"""),46.75)</f>
        <v>46.75</v>
      </c>
      <c r="AT377" s="3">
        <f ca="1">IFERROR(__xludf.DUMMYFUNCTION("""COMPUTED_VALUE"""),46.46)</f>
        <v>46.46</v>
      </c>
      <c r="AU377" s="3">
        <f ca="1">IFERROR(__xludf.DUMMYFUNCTION("""COMPUTED_VALUE"""),46.67)</f>
        <v>46.67</v>
      </c>
      <c r="AV377" s="3">
        <f ca="1">IFERROR(__xludf.DUMMYFUNCTION("""COMPUTED_VALUE"""),3345110)</f>
        <v>3345110</v>
      </c>
      <c r="AW377" s="4">
        <f ca="1">IFERROR(__xludf.DUMMYFUNCTION("""COMPUTED_VALUE"""),42836.6666666666)</f>
        <v>42836.666666666599</v>
      </c>
      <c r="AX377" s="3">
        <f ca="1">IFERROR(__xludf.DUMMYFUNCTION("""COMPUTED_VALUE"""),32.06)</f>
        <v>32.06</v>
      </c>
      <c r="AY377" s="3">
        <f ca="1">IFERROR(__xludf.DUMMYFUNCTION("""COMPUTED_VALUE"""),32.25)</f>
        <v>32.25</v>
      </c>
      <c r="AZ377" s="3">
        <f ca="1">IFERROR(__xludf.DUMMYFUNCTION("""COMPUTED_VALUE"""),32.03)</f>
        <v>32.03</v>
      </c>
      <c r="BA377" s="3">
        <f ca="1">IFERROR(__xludf.DUMMYFUNCTION("""COMPUTED_VALUE"""),32.19)</f>
        <v>32.19</v>
      </c>
      <c r="BB377" s="3">
        <f ca="1">IFERROR(__xludf.DUMMYFUNCTION("""COMPUTED_VALUE"""),1626680)</f>
        <v>1626680</v>
      </c>
      <c r="BC377" s="4">
        <f ca="1">IFERROR(__xludf.DUMMYFUNCTION("""COMPUTED_VALUE"""),42669.6666666666)</f>
        <v>42669.666666666599</v>
      </c>
      <c r="BD377" s="3">
        <f ca="1">IFERROR(__xludf.DUMMYFUNCTION("""COMPUTED_VALUE"""),47.42)</f>
        <v>47.42</v>
      </c>
      <c r="BE377" s="3">
        <f ca="1">IFERROR(__xludf.DUMMYFUNCTION("""COMPUTED_VALUE"""),47.81)</f>
        <v>47.81</v>
      </c>
      <c r="BF377" s="3">
        <f ca="1">IFERROR(__xludf.DUMMYFUNCTION("""COMPUTED_VALUE"""),47.4)</f>
        <v>47.4</v>
      </c>
      <c r="BG377" s="3">
        <f ca="1">IFERROR(__xludf.DUMMYFUNCTION("""COMPUTED_VALUE"""),47.55)</f>
        <v>47.55</v>
      </c>
      <c r="BH377" s="3">
        <f ca="1">IFERROR(__xludf.DUMMYFUNCTION("""COMPUTED_VALUE"""),6279706)</f>
        <v>6279706</v>
      </c>
      <c r="BI377" s="4">
        <f ca="1">IFERROR(__xludf.DUMMYFUNCTION("""COMPUTED_VALUE"""),42669.6666666666)</f>
        <v>42669.666666666599</v>
      </c>
      <c r="BJ377" s="3">
        <f ca="1">IFERROR(__xludf.DUMMYFUNCTION("""COMPUTED_VALUE"""),48.35)</f>
        <v>48.35</v>
      </c>
      <c r="BK377" s="3">
        <f ca="1">IFERROR(__xludf.DUMMYFUNCTION("""COMPUTED_VALUE"""),48.66)</f>
        <v>48.66</v>
      </c>
      <c r="BL377" s="3">
        <f ca="1">IFERROR(__xludf.DUMMYFUNCTION("""COMPUTED_VALUE"""),48.11)</f>
        <v>48.11</v>
      </c>
      <c r="BM377" s="3">
        <f ca="1">IFERROR(__xludf.DUMMYFUNCTION("""COMPUTED_VALUE"""),48.6)</f>
        <v>48.6</v>
      </c>
      <c r="BN377" s="3">
        <f ca="1">IFERROR(__xludf.DUMMYFUNCTION("""COMPUTED_VALUE"""),10851006)</f>
        <v>10851006</v>
      </c>
    </row>
    <row r="378" spans="7:66" ht="13" x14ac:dyDescent="0.15">
      <c r="G378" s="4">
        <f ca="1">IFERROR(__xludf.DUMMYFUNCTION("""COMPUTED_VALUE"""),42670.6666666666)</f>
        <v>42670.666666666599</v>
      </c>
      <c r="H378" s="3">
        <f ca="1">IFERROR(__xludf.DUMMYFUNCTION("""COMPUTED_VALUE"""),79.08)</f>
        <v>79.08</v>
      </c>
      <c r="I378" s="3">
        <f ca="1">IFERROR(__xludf.DUMMYFUNCTION("""COMPUTED_VALUE"""),79.2)</f>
        <v>79.2</v>
      </c>
      <c r="J378" s="3">
        <f ca="1">IFERROR(__xludf.DUMMYFUNCTION("""COMPUTED_VALUE"""),78.08)</f>
        <v>78.08</v>
      </c>
      <c r="K378" s="3">
        <f ca="1">IFERROR(__xludf.DUMMYFUNCTION("""COMPUTED_VALUE"""),78.22)</f>
        <v>78.22</v>
      </c>
      <c r="L378" s="3">
        <f ca="1">IFERROR(__xludf.DUMMYFUNCTION("""COMPUTED_VALUE"""),5335234)</f>
        <v>5335234</v>
      </c>
      <c r="M378" s="4">
        <f ca="1">IFERROR(__xludf.DUMMYFUNCTION("""COMPUTED_VALUE"""),42670.6666666666)</f>
        <v>42670.666666666599</v>
      </c>
      <c r="N378" s="3">
        <f ca="1">IFERROR(__xludf.DUMMYFUNCTION("""COMPUTED_VALUE"""),52.67)</f>
        <v>52.67</v>
      </c>
      <c r="O378" s="3">
        <f ca="1">IFERROR(__xludf.DUMMYFUNCTION("""COMPUTED_VALUE"""),52.88)</f>
        <v>52.88</v>
      </c>
      <c r="P378" s="3">
        <f ca="1">IFERROR(__xludf.DUMMYFUNCTION("""COMPUTED_VALUE"""),52.38)</f>
        <v>52.38</v>
      </c>
      <c r="Q378" s="3">
        <f ca="1">IFERROR(__xludf.DUMMYFUNCTION("""COMPUTED_VALUE"""),52.45)</f>
        <v>52.45</v>
      </c>
      <c r="R378" s="3">
        <f ca="1">IFERROR(__xludf.DUMMYFUNCTION("""COMPUTED_VALUE"""),17905674)</f>
        <v>17905674</v>
      </c>
      <c r="S378" s="4">
        <f ca="1">IFERROR(__xludf.DUMMYFUNCTION("""COMPUTED_VALUE"""),42670.6666666666)</f>
        <v>42670.666666666599</v>
      </c>
      <c r="T378" s="3">
        <f ca="1">IFERROR(__xludf.DUMMYFUNCTION("""COMPUTED_VALUE"""),70.12)</f>
        <v>70.12</v>
      </c>
      <c r="U378" s="3">
        <f ca="1">IFERROR(__xludf.DUMMYFUNCTION("""COMPUTED_VALUE"""),70.22)</f>
        <v>70.22</v>
      </c>
      <c r="V378" s="3">
        <f ca="1">IFERROR(__xludf.DUMMYFUNCTION("""COMPUTED_VALUE"""),69.54)</f>
        <v>69.540000000000006</v>
      </c>
      <c r="W378" s="3">
        <f ca="1">IFERROR(__xludf.DUMMYFUNCTION("""COMPUTED_VALUE"""),69.56)</f>
        <v>69.56</v>
      </c>
      <c r="X378" s="3">
        <f ca="1">IFERROR(__xludf.DUMMYFUNCTION("""COMPUTED_VALUE"""),14206305)</f>
        <v>14206305</v>
      </c>
      <c r="Y378" s="4">
        <f ca="1">IFERROR(__xludf.DUMMYFUNCTION("""COMPUTED_VALUE"""),42670.6666666666)</f>
        <v>42670.666666666599</v>
      </c>
      <c r="Z378" s="3">
        <f ca="1">IFERROR(__xludf.DUMMYFUNCTION("""COMPUTED_VALUE"""),19.92)</f>
        <v>19.920000000000002</v>
      </c>
      <c r="AA378" s="3">
        <f ca="1">IFERROR(__xludf.DUMMYFUNCTION("""COMPUTED_VALUE"""),19.95)</f>
        <v>19.95</v>
      </c>
      <c r="AB378" s="3">
        <f ca="1">IFERROR(__xludf.DUMMYFUNCTION("""COMPUTED_VALUE"""),19.77)</f>
        <v>19.77</v>
      </c>
      <c r="AC378" s="3">
        <f ca="1">IFERROR(__xludf.DUMMYFUNCTION("""COMPUTED_VALUE"""),19.86)</f>
        <v>19.86</v>
      </c>
      <c r="AD378" s="3">
        <f ca="1">IFERROR(__xludf.DUMMYFUNCTION("""COMPUTED_VALUE"""),45545849)</f>
        <v>45545849</v>
      </c>
      <c r="AE378" s="4">
        <f ca="1">IFERROR(__xludf.DUMMYFUNCTION("""COMPUTED_VALUE"""),42670.6666666666)</f>
        <v>42670.666666666599</v>
      </c>
      <c r="AF378" s="3">
        <f ca="1">IFERROR(__xludf.DUMMYFUNCTION("""COMPUTED_VALUE"""),69.49)</f>
        <v>69.489999999999995</v>
      </c>
      <c r="AG378" s="3">
        <f ca="1">IFERROR(__xludf.DUMMYFUNCTION("""COMPUTED_VALUE"""),69.76)</f>
        <v>69.760000000000005</v>
      </c>
      <c r="AH378" s="3">
        <f ca="1">IFERROR(__xludf.DUMMYFUNCTION("""COMPUTED_VALUE"""),69.1)</f>
        <v>69.099999999999994</v>
      </c>
      <c r="AI378" s="3">
        <f ca="1">IFERROR(__xludf.DUMMYFUNCTION("""COMPUTED_VALUE"""),69.28)</f>
        <v>69.28</v>
      </c>
      <c r="AJ378" s="3">
        <f ca="1">IFERROR(__xludf.DUMMYFUNCTION("""COMPUTED_VALUE"""),6974728)</f>
        <v>6974728</v>
      </c>
      <c r="AK378" s="4">
        <f ca="1">IFERROR(__xludf.DUMMYFUNCTION("""COMPUTED_VALUE"""),42670.6666666666)</f>
        <v>42670.666666666599</v>
      </c>
      <c r="AL378" s="3">
        <f ca="1">IFERROR(__xludf.DUMMYFUNCTION("""COMPUTED_VALUE"""),57.3)</f>
        <v>57.3</v>
      </c>
      <c r="AM378" s="3">
        <f ca="1">IFERROR(__xludf.DUMMYFUNCTION("""COMPUTED_VALUE"""),57.37)</f>
        <v>57.37</v>
      </c>
      <c r="AN378" s="3">
        <f ca="1">IFERROR(__xludf.DUMMYFUNCTION("""COMPUTED_VALUE"""),56.61)</f>
        <v>56.61</v>
      </c>
      <c r="AO378" s="3">
        <f ca="1">IFERROR(__xludf.DUMMYFUNCTION("""COMPUTED_VALUE"""),56.76)</f>
        <v>56.76</v>
      </c>
      <c r="AP378" s="3">
        <f ca="1">IFERROR(__xludf.DUMMYFUNCTION("""COMPUTED_VALUE"""),8155419)</f>
        <v>8155419</v>
      </c>
      <c r="AQ378" s="4">
        <f ca="1">IFERROR(__xludf.DUMMYFUNCTION("""COMPUTED_VALUE"""),42670.6666666666)</f>
        <v>42670.666666666599</v>
      </c>
      <c r="AR378" s="3">
        <f ca="1">IFERROR(__xludf.DUMMYFUNCTION("""COMPUTED_VALUE"""),46.79)</f>
        <v>46.79</v>
      </c>
      <c r="AS378" s="3">
        <f ca="1">IFERROR(__xludf.DUMMYFUNCTION("""COMPUTED_VALUE"""),46.87)</f>
        <v>46.87</v>
      </c>
      <c r="AT378" s="3">
        <f ca="1">IFERROR(__xludf.DUMMYFUNCTION("""COMPUTED_VALUE"""),46.4)</f>
        <v>46.4</v>
      </c>
      <c r="AU378" s="3">
        <f ca="1">IFERROR(__xludf.DUMMYFUNCTION("""COMPUTED_VALUE"""),46.61)</f>
        <v>46.61</v>
      </c>
      <c r="AV378" s="3">
        <f ca="1">IFERROR(__xludf.DUMMYFUNCTION("""COMPUTED_VALUE"""),4758562)</f>
        <v>4758562</v>
      </c>
      <c r="AW378" s="4">
        <f ca="1">IFERROR(__xludf.DUMMYFUNCTION("""COMPUTED_VALUE"""),42837.6666666666)</f>
        <v>42837.666666666599</v>
      </c>
      <c r="AX378" s="3">
        <f ca="1">IFERROR(__xludf.DUMMYFUNCTION("""COMPUTED_VALUE"""),32.14)</f>
        <v>32.14</v>
      </c>
      <c r="AY378" s="3">
        <f ca="1">IFERROR(__xludf.DUMMYFUNCTION("""COMPUTED_VALUE"""),32.28)</f>
        <v>32.28</v>
      </c>
      <c r="AZ378" s="3">
        <f ca="1">IFERROR(__xludf.DUMMYFUNCTION("""COMPUTED_VALUE"""),32.08)</f>
        <v>32.08</v>
      </c>
      <c r="BA378" s="3">
        <f ca="1">IFERROR(__xludf.DUMMYFUNCTION("""COMPUTED_VALUE"""),32.14)</f>
        <v>32.14</v>
      </c>
      <c r="BB378" s="3">
        <f ca="1">IFERROR(__xludf.DUMMYFUNCTION("""COMPUTED_VALUE"""),1814224)</f>
        <v>1814224</v>
      </c>
      <c r="BC378" s="4">
        <f ca="1">IFERROR(__xludf.DUMMYFUNCTION("""COMPUTED_VALUE"""),42670.6666666666)</f>
        <v>42670.666666666599</v>
      </c>
      <c r="BD378" s="3">
        <f ca="1">IFERROR(__xludf.DUMMYFUNCTION("""COMPUTED_VALUE"""),47.76)</f>
        <v>47.76</v>
      </c>
      <c r="BE378" s="3">
        <f ca="1">IFERROR(__xludf.DUMMYFUNCTION("""COMPUTED_VALUE"""),47.77)</f>
        <v>47.77</v>
      </c>
      <c r="BF378" s="3">
        <f ca="1">IFERROR(__xludf.DUMMYFUNCTION("""COMPUTED_VALUE"""),47.43)</f>
        <v>47.43</v>
      </c>
      <c r="BG378" s="3">
        <f ca="1">IFERROR(__xludf.DUMMYFUNCTION("""COMPUTED_VALUE"""),47.49)</f>
        <v>47.49</v>
      </c>
      <c r="BH378" s="3">
        <f ca="1">IFERROR(__xludf.DUMMYFUNCTION("""COMPUTED_VALUE"""),8821067)</f>
        <v>8821067</v>
      </c>
      <c r="BI378" s="4">
        <f ca="1">IFERROR(__xludf.DUMMYFUNCTION("""COMPUTED_VALUE"""),42670.6666666666)</f>
        <v>42670.666666666599</v>
      </c>
      <c r="BJ378" s="3">
        <f ca="1">IFERROR(__xludf.DUMMYFUNCTION("""COMPUTED_VALUE"""),48.32)</f>
        <v>48.32</v>
      </c>
      <c r="BK378" s="3">
        <f ca="1">IFERROR(__xludf.DUMMYFUNCTION("""COMPUTED_VALUE"""),48.51)</f>
        <v>48.51</v>
      </c>
      <c r="BL378" s="3">
        <f ca="1">IFERROR(__xludf.DUMMYFUNCTION("""COMPUTED_VALUE"""),47.97)</f>
        <v>47.97</v>
      </c>
      <c r="BM378" s="3">
        <f ca="1">IFERROR(__xludf.DUMMYFUNCTION("""COMPUTED_VALUE"""),48.31)</f>
        <v>48.31</v>
      </c>
      <c r="BN378" s="3">
        <f ca="1">IFERROR(__xludf.DUMMYFUNCTION("""COMPUTED_VALUE"""),15554929)</f>
        <v>15554929</v>
      </c>
    </row>
    <row r="379" spans="7:66" ht="13" x14ac:dyDescent="0.15">
      <c r="G379" s="4">
        <f ca="1">IFERROR(__xludf.DUMMYFUNCTION("""COMPUTED_VALUE"""),42671.6666666666)</f>
        <v>42671.666666666599</v>
      </c>
      <c r="H379" s="3">
        <f ca="1">IFERROR(__xludf.DUMMYFUNCTION("""COMPUTED_VALUE"""),77.8)</f>
        <v>77.8</v>
      </c>
      <c r="I379" s="3">
        <f ca="1">IFERROR(__xludf.DUMMYFUNCTION("""COMPUTED_VALUE"""),78.57)</f>
        <v>78.569999999999993</v>
      </c>
      <c r="J379" s="3">
        <f ca="1">IFERROR(__xludf.DUMMYFUNCTION("""COMPUTED_VALUE"""),77.75)</f>
        <v>77.75</v>
      </c>
      <c r="K379" s="3">
        <f ca="1">IFERROR(__xludf.DUMMYFUNCTION("""COMPUTED_VALUE"""),78.04)</f>
        <v>78.040000000000006</v>
      </c>
      <c r="L379" s="3">
        <f ca="1">IFERROR(__xludf.DUMMYFUNCTION("""COMPUTED_VALUE"""),5006087)</f>
        <v>5006087</v>
      </c>
      <c r="M379" s="4">
        <f ca="1">IFERROR(__xludf.DUMMYFUNCTION("""COMPUTED_VALUE"""),42671.6666666666)</f>
        <v>42671.666666666599</v>
      </c>
      <c r="N379" s="3">
        <f ca="1">IFERROR(__xludf.DUMMYFUNCTION("""COMPUTED_VALUE"""),52.41)</f>
        <v>52.41</v>
      </c>
      <c r="O379" s="3">
        <f ca="1">IFERROR(__xludf.DUMMYFUNCTION("""COMPUTED_VALUE"""),52.85)</f>
        <v>52.85</v>
      </c>
      <c r="P379" s="3">
        <f ca="1">IFERROR(__xludf.DUMMYFUNCTION("""COMPUTED_VALUE"""),52.32)</f>
        <v>52.32</v>
      </c>
      <c r="Q379" s="3">
        <f ca="1">IFERROR(__xludf.DUMMYFUNCTION("""COMPUTED_VALUE"""),52.67)</f>
        <v>52.67</v>
      </c>
      <c r="R379" s="3">
        <f ca="1">IFERROR(__xludf.DUMMYFUNCTION("""COMPUTED_VALUE"""),12751016)</f>
        <v>12751016</v>
      </c>
      <c r="S379" s="4">
        <f ca="1">IFERROR(__xludf.DUMMYFUNCTION("""COMPUTED_VALUE"""),42671.6666666666)</f>
        <v>42671.666666666599</v>
      </c>
      <c r="T379" s="3">
        <f ca="1">IFERROR(__xludf.DUMMYFUNCTION("""COMPUTED_VALUE"""),69.44)</f>
        <v>69.44</v>
      </c>
      <c r="U379" s="3">
        <f ca="1">IFERROR(__xludf.DUMMYFUNCTION("""COMPUTED_VALUE"""),70.43)</f>
        <v>70.430000000000007</v>
      </c>
      <c r="V379" s="3">
        <f ca="1">IFERROR(__xludf.DUMMYFUNCTION("""COMPUTED_VALUE"""),68.93)</f>
        <v>68.930000000000007</v>
      </c>
      <c r="W379" s="3">
        <f ca="1">IFERROR(__xludf.DUMMYFUNCTION("""COMPUTED_VALUE"""),69.37)</f>
        <v>69.37</v>
      </c>
      <c r="X379" s="3">
        <f ca="1">IFERROR(__xludf.DUMMYFUNCTION("""COMPUTED_VALUE"""),18558383)</f>
        <v>18558383</v>
      </c>
      <c r="Y379" s="4">
        <f ca="1">IFERROR(__xludf.DUMMYFUNCTION("""COMPUTED_VALUE"""),42671.6666666666)</f>
        <v>42671.666666666599</v>
      </c>
      <c r="Z379" s="3">
        <f ca="1">IFERROR(__xludf.DUMMYFUNCTION("""COMPUTED_VALUE"""),19.9)</f>
        <v>19.899999999999999</v>
      </c>
      <c r="AA379" s="3">
        <f ca="1">IFERROR(__xludf.DUMMYFUNCTION("""COMPUTED_VALUE"""),19.92)</f>
        <v>19.920000000000002</v>
      </c>
      <c r="AB379" s="3">
        <f ca="1">IFERROR(__xludf.DUMMYFUNCTION("""COMPUTED_VALUE"""),19.62)</f>
        <v>19.62</v>
      </c>
      <c r="AC379" s="3">
        <f ca="1">IFERROR(__xludf.DUMMYFUNCTION("""COMPUTED_VALUE"""),19.77)</f>
        <v>19.77</v>
      </c>
      <c r="AD379" s="3">
        <f ca="1">IFERROR(__xludf.DUMMYFUNCTION("""COMPUTED_VALUE"""),55749883)</f>
        <v>55749883</v>
      </c>
      <c r="AE379" s="4">
        <f ca="1">IFERROR(__xludf.DUMMYFUNCTION("""COMPUTED_VALUE"""),42671.6666666666)</f>
        <v>42671.666666666599</v>
      </c>
      <c r="AF379" s="3">
        <f ca="1">IFERROR(__xludf.DUMMYFUNCTION("""COMPUTED_VALUE"""),68.45)</f>
        <v>68.45</v>
      </c>
      <c r="AG379" s="3">
        <f ca="1">IFERROR(__xludf.DUMMYFUNCTION("""COMPUTED_VALUE"""),68.64)</f>
        <v>68.64</v>
      </c>
      <c r="AH379" s="3">
        <f ca="1">IFERROR(__xludf.DUMMYFUNCTION("""COMPUTED_VALUE"""),67.48)</f>
        <v>67.48</v>
      </c>
      <c r="AI379" s="3">
        <f ca="1">IFERROR(__xludf.DUMMYFUNCTION("""COMPUTED_VALUE"""),67.78)</f>
        <v>67.78</v>
      </c>
      <c r="AJ379" s="3">
        <f ca="1">IFERROR(__xludf.DUMMYFUNCTION("""COMPUTED_VALUE"""),18469311)</f>
        <v>18469311</v>
      </c>
      <c r="AK379" s="4">
        <f ca="1">IFERROR(__xludf.DUMMYFUNCTION("""COMPUTED_VALUE"""),42671.6666666666)</f>
        <v>42671.666666666599</v>
      </c>
      <c r="AL379" s="3">
        <f ca="1">IFERROR(__xludf.DUMMYFUNCTION("""COMPUTED_VALUE"""),56.85)</f>
        <v>56.85</v>
      </c>
      <c r="AM379" s="3">
        <f ca="1">IFERROR(__xludf.DUMMYFUNCTION("""COMPUTED_VALUE"""),57.47)</f>
        <v>57.47</v>
      </c>
      <c r="AN379" s="3">
        <f ca="1">IFERROR(__xludf.DUMMYFUNCTION("""COMPUTED_VALUE"""),56.81)</f>
        <v>56.81</v>
      </c>
      <c r="AO379" s="3">
        <f ca="1">IFERROR(__xludf.DUMMYFUNCTION("""COMPUTED_VALUE"""),57.1)</f>
        <v>57.1</v>
      </c>
      <c r="AP379" s="3">
        <f ca="1">IFERROR(__xludf.DUMMYFUNCTION("""COMPUTED_VALUE"""),11514203)</f>
        <v>11514203</v>
      </c>
      <c r="AQ379" s="4">
        <f ca="1">IFERROR(__xludf.DUMMYFUNCTION("""COMPUTED_VALUE"""),42671.6666666666)</f>
        <v>42671.666666666599</v>
      </c>
      <c r="AR379" s="3">
        <f ca="1">IFERROR(__xludf.DUMMYFUNCTION("""COMPUTED_VALUE"""),46.75)</f>
        <v>46.75</v>
      </c>
      <c r="AS379" s="3">
        <f ca="1">IFERROR(__xludf.DUMMYFUNCTION("""COMPUTED_VALUE"""),47.12)</f>
        <v>47.12</v>
      </c>
      <c r="AT379" s="3">
        <f ca="1">IFERROR(__xludf.DUMMYFUNCTION("""COMPUTED_VALUE"""),46.48)</f>
        <v>46.48</v>
      </c>
      <c r="AU379" s="3">
        <f ca="1">IFERROR(__xludf.DUMMYFUNCTION("""COMPUTED_VALUE"""),46.73)</f>
        <v>46.73</v>
      </c>
      <c r="AV379" s="3">
        <f ca="1">IFERROR(__xludf.DUMMYFUNCTION("""COMPUTED_VALUE"""),5305748)</f>
        <v>5305748</v>
      </c>
      <c r="AW379" s="4">
        <f ca="1">IFERROR(__xludf.DUMMYFUNCTION("""COMPUTED_VALUE"""),42838.6666666666)</f>
        <v>42838.666666666599</v>
      </c>
      <c r="AX379" s="3">
        <f ca="1">IFERROR(__xludf.DUMMYFUNCTION("""COMPUTED_VALUE"""),32.14)</f>
        <v>32.14</v>
      </c>
      <c r="AY379" s="3">
        <f ca="1">IFERROR(__xludf.DUMMYFUNCTION("""COMPUTED_VALUE"""),32.22)</f>
        <v>32.22</v>
      </c>
      <c r="AZ379" s="3">
        <f ca="1">IFERROR(__xludf.DUMMYFUNCTION("""COMPUTED_VALUE"""),32.05)</f>
        <v>32.049999999999997</v>
      </c>
      <c r="BA379" s="3">
        <f ca="1">IFERROR(__xludf.DUMMYFUNCTION("""COMPUTED_VALUE"""),32.07)</f>
        <v>32.07</v>
      </c>
      <c r="BB379" s="3">
        <f ca="1">IFERROR(__xludf.DUMMYFUNCTION("""COMPUTED_VALUE"""),2051998)</f>
        <v>2051998</v>
      </c>
      <c r="BC379" s="4">
        <f ca="1">IFERROR(__xludf.DUMMYFUNCTION("""COMPUTED_VALUE"""),42671.6666666666)</f>
        <v>42671.666666666599</v>
      </c>
      <c r="BD379" s="3">
        <f ca="1">IFERROR(__xludf.DUMMYFUNCTION("""COMPUTED_VALUE"""),47.62)</f>
        <v>47.62</v>
      </c>
      <c r="BE379" s="3">
        <f ca="1">IFERROR(__xludf.DUMMYFUNCTION("""COMPUTED_VALUE"""),47.93)</f>
        <v>47.93</v>
      </c>
      <c r="BF379" s="3">
        <f ca="1">IFERROR(__xludf.DUMMYFUNCTION("""COMPUTED_VALUE"""),47.32)</f>
        <v>47.32</v>
      </c>
      <c r="BG379" s="3">
        <f ca="1">IFERROR(__xludf.DUMMYFUNCTION("""COMPUTED_VALUE"""),47.44)</f>
        <v>47.44</v>
      </c>
      <c r="BH379" s="3">
        <f ca="1">IFERROR(__xludf.DUMMYFUNCTION("""COMPUTED_VALUE"""),10418875)</f>
        <v>10418875</v>
      </c>
      <c r="BI379" s="4">
        <f ca="1">IFERROR(__xludf.DUMMYFUNCTION("""COMPUTED_VALUE"""),42671.6666666666)</f>
        <v>42671.666666666599</v>
      </c>
      <c r="BJ379" s="3">
        <f ca="1">IFERROR(__xludf.DUMMYFUNCTION("""COMPUTED_VALUE"""),48.28)</f>
        <v>48.28</v>
      </c>
      <c r="BK379" s="3">
        <f ca="1">IFERROR(__xludf.DUMMYFUNCTION("""COMPUTED_VALUE"""),48.69)</f>
        <v>48.69</v>
      </c>
      <c r="BL379" s="3">
        <f ca="1">IFERROR(__xludf.DUMMYFUNCTION("""COMPUTED_VALUE"""),48.2)</f>
        <v>48.2</v>
      </c>
      <c r="BM379" s="3">
        <f ca="1">IFERROR(__xludf.DUMMYFUNCTION("""COMPUTED_VALUE"""),48.46)</f>
        <v>48.46</v>
      </c>
      <c r="BN379" s="3">
        <f ca="1">IFERROR(__xludf.DUMMYFUNCTION("""COMPUTED_VALUE"""),16463866)</f>
        <v>16463866</v>
      </c>
    </row>
    <row r="380" spans="7:66" ht="13" x14ac:dyDescent="0.15">
      <c r="G380" s="4">
        <f ca="1">IFERROR(__xludf.DUMMYFUNCTION("""COMPUTED_VALUE"""),42674.6666666666)</f>
        <v>42674.666666666599</v>
      </c>
      <c r="H380" s="3">
        <f ca="1">IFERROR(__xludf.DUMMYFUNCTION("""COMPUTED_VALUE"""),78.15)</f>
        <v>78.150000000000006</v>
      </c>
      <c r="I380" s="3">
        <f ca="1">IFERROR(__xludf.DUMMYFUNCTION("""COMPUTED_VALUE"""),78.3)</f>
        <v>78.3</v>
      </c>
      <c r="J380" s="3">
        <f ca="1">IFERROR(__xludf.DUMMYFUNCTION("""COMPUTED_VALUE"""),77.94)</f>
        <v>77.94</v>
      </c>
      <c r="K380" s="3">
        <f ca="1">IFERROR(__xludf.DUMMYFUNCTION("""COMPUTED_VALUE"""),78.1)</f>
        <v>78.099999999999994</v>
      </c>
      <c r="L380" s="3">
        <f ca="1">IFERROR(__xludf.DUMMYFUNCTION("""COMPUTED_VALUE"""),5898954)</f>
        <v>5898954</v>
      </c>
      <c r="M380" s="4">
        <f ca="1">IFERROR(__xludf.DUMMYFUNCTION("""COMPUTED_VALUE"""),42674.6666666666)</f>
        <v>42674.666666666599</v>
      </c>
      <c r="N380" s="3">
        <f ca="1">IFERROR(__xludf.DUMMYFUNCTION("""COMPUTED_VALUE"""),52.71)</f>
        <v>52.71</v>
      </c>
      <c r="O380" s="3">
        <f ca="1">IFERROR(__xludf.DUMMYFUNCTION("""COMPUTED_VALUE"""),52.93)</f>
        <v>52.93</v>
      </c>
      <c r="P380" s="3">
        <f ca="1">IFERROR(__xludf.DUMMYFUNCTION("""COMPUTED_VALUE"""),52.67)</f>
        <v>52.67</v>
      </c>
      <c r="Q380" s="3">
        <f ca="1">IFERROR(__xludf.DUMMYFUNCTION("""COMPUTED_VALUE"""),52.8)</f>
        <v>52.8</v>
      </c>
      <c r="R380" s="3">
        <f ca="1">IFERROR(__xludf.DUMMYFUNCTION("""COMPUTED_VALUE"""),8579097)</f>
        <v>8579097</v>
      </c>
      <c r="S380" s="4">
        <f ca="1">IFERROR(__xludf.DUMMYFUNCTION("""COMPUTED_VALUE"""),42674.6666666666)</f>
        <v>42674.666666666599</v>
      </c>
      <c r="T380" s="3">
        <f ca="1">IFERROR(__xludf.DUMMYFUNCTION("""COMPUTED_VALUE"""),69.12)</f>
        <v>69.12</v>
      </c>
      <c r="U380" s="3">
        <f ca="1">IFERROR(__xludf.DUMMYFUNCTION("""COMPUTED_VALUE"""),69.49)</f>
        <v>69.489999999999995</v>
      </c>
      <c r="V380" s="3">
        <f ca="1">IFERROR(__xludf.DUMMYFUNCTION("""COMPUTED_VALUE"""),68.5)</f>
        <v>68.5</v>
      </c>
      <c r="W380" s="3">
        <f ca="1">IFERROR(__xludf.DUMMYFUNCTION("""COMPUTED_VALUE"""),68.62)</f>
        <v>68.62</v>
      </c>
      <c r="X380" s="3">
        <f ca="1">IFERROR(__xludf.DUMMYFUNCTION("""COMPUTED_VALUE"""),12973835)</f>
        <v>12973835</v>
      </c>
      <c r="Y380" s="4">
        <f ca="1">IFERROR(__xludf.DUMMYFUNCTION("""COMPUTED_VALUE"""),42674.6666666666)</f>
        <v>42674.666666666599</v>
      </c>
      <c r="Z380" s="3">
        <f ca="1">IFERROR(__xludf.DUMMYFUNCTION("""COMPUTED_VALUE"""),19.87)</f>
        <v>19.87</v>
      </c>
      <c r="AA380" s="3">
        <f ca="1">IFERROR(__xludf.DUMMYFUNCTION("""COMPUTED_VALUE"""),19.87)</f>
        <v>19.87</v>
      </c>
      <c r="AB380" s="3">
        <f ca="1">IFERROR(__xludf.DUMMYFUNCTION("""COMPUTED_VALUE"""),19.74)</f>
        <v>19.739999999999998</v>
      </c>
      <c r="AC380" s="3">
        <f ca="1">IFERROR(__xludf.DUMMYFUNCTION("""COMPUTED_VALUE"""),19.74)</f>
        <v>19.739999999999998</v>
      </c>
      <c r="AD380" s="3">
        <f ca="1">IFERROR(__xludf.DUMMYFUNCTION("""COMPUTED_VALUE"""),38579109)</f>
        <v>38579109</v>
      </c>
      <c r="AE380" s="4">
        <f ca="1">IFERROR(__xludf.DUMMYFUNCTION("""COMPUTED_VALUE"""),42674.6666666666)</f>
        <v>42674.666666666599</v>
      </c>
      <c r="AF380" s="3">
        <f ca="1">IFERROR(__xludf.DUMMYFUNCTION("""COMPUTED_VALUE"""),67.76)</f>
        <v>67.760000000000005</v>
      </c>
      <c r="AG380" s="3">
        <f ca="1">IFERROR(__xludf.DUMMYFUNCTION("""COMPUTED_VALUE"""),67.77)</f>
        <v>67.77</v>
      </c>
      <c r="AH380" s="3">
        <f ca="1">IFERROR(__xludf.DUMMYFUNCTION("""COMPUTED_VALUE"""),67.33)</f>
        <v>67.33</v>
      </c>
      <c r="AI380" s="3">
        <f ca="1">IFERROR(__xludf.DUMMYFUNCTION("""COMPUTED_VALUE"""),67.36)</f>
        <v>67.36</v>
      </c>
      <c r="AJ380" s="3">
        <f ca="1">IFERROR(__xludf.DUMMYFUNCTION("""COMPUTED_VALUE"""),12688999)</f>
        <v>12688999</v>
      </c>
      <c r="AK380" s="4">
        <f ca="1">IFERROR(__xludf.DUMMYFUNCTION("""COMPUTED_VALUE"""),42674.6666666666)</f>
        <v>42674.666666666599</v>
      </c>
      <c r="AL380" s="3">
        <f ca="1">IFERROR(__xludf.DUMMYFUNCTION("""COMPUTED_VALUE"""),57.32)</f>
        <v>57.32</v>
      </c>
      <c r="AM380" s="3">
        <f ca="1">IFERROR(__xludf.DUMMYFUNCTION("""COMPUTED_VALUE"""),57.43)</f>
        <v>57.43</v>
      </c>
      <c r="AN380" s="3">
        <f ca="1">IFERROR(__xludf.DUMMYFUNCTION("""COMPUTED_VALUE"""),57.17)</f>
        <v>57.17</v>
      </c>
      <c r="AO380" s="3">
        <f ca="1">IFERROR(__xludf.DUMMYFUNCTION("""COMPUTED_VALUE"""),57.21)</f>
        <v>57.21</v>
      </c>
      <c r="AP380" s="3">
        <f ca="1">IFERROR(__xludf.DUMMYFUNCTION("""COMPUTED_VALUE"""),9590906)</f>
        <v>9590906</v>
      </c>
      <c r="AQ380" s="4">
        <f ca="1">IFERROR(__xludf.DUMMYFUNCTION("""COMPUTED_VALUE"""),42674.6666666666)</f>
        <v>42674.666666666599</v>
      </c>
      <c r="AR380" s="3">
        <f ca="1">IFERROR(__xludf.DUMMYFUNCTION("""COMPUTED_VALUE"""),46.74)</f>
        <v>46.74</v>
      </c>
      <c r="AS380" s="3">
        <f ca="1">IFERROR(__xludf.DUMMYFUNCTION("""COMPUTED_VALUE"""),46.89)</f>
        <v>46.89</v>
      </c>
      <c r="AT380" s="3">
        <f ca="1">IFERROR(__xludf.DUMMYFUNCTION("""COMPUTED_VALUE"""),46.66)</f>
        <v>46.66</v>
      </c>
      <c r="AU380" s="3">
        <f ca="1">IFERROR(__xludf.DUMMYFUNCTION("""COMPUTED_VALUE"""),46.75)</f>
        <v>46.75</v>
      </c>
      <c r="AV380" s="3">
        <f ca="1">IFERROR(__xludf.DUMMYFUNCTION("""COMPUTED_VALUE"""),7162100)</f>
        <v>7162100</v>
      </c>
      <c r="AW380" s="4">
        <f ca="1">IFERROR(__xludf.DUMMYFUNCTION("""COMPUTED_VALUE"""),42842.6666666666)</f>
        <v>42842.666666666599</v>
      </c>
      <c r="AX380" s="3">
        <f ca="1">IFERROR(__xludf.DUMMYFUNCTION("""COMPUTED_VALUE"""),32.1)</f>
        <v>32.1</v>
      </c>
      <c r="AY380" s="3">
        <f ca="1">IFERROR(__xludf.DUMMYFUNCTION("""COMPUTED_VALUE"""),32.45)</f>
        <v>32.450000000000003</v>
      </c>
      <c r="AZ380" s="3">
        <f ca="1">IFERROR(__xludf.DUMMYFUNCTION("""COMPUTED_VALUE"""),32.1)</f>
        <v>32.1</v>
      </c>
      <c r="BA380" s="3">
        <f ca="1">IFERROR(__xludf.DUMMYFUNCTION("""COMPUTED_VALUE"""),32.44)</f>
        <v>32.44</v>
      </c>
      <c r="BB380" s="3">
        <f ca="1">IFERROR(__xludf.DUMMYFUNCTION("""COMPUTED_VALUE"""),2002806)</f>
        <v>2002806</v>
      </c>
      <c r="BC380" s="4">
        <f ca="1">IFERROR(__xludf.DUMMYFUNCTION("""COMPUTED_VALUE"""),42674.6666666666)</f>
        <v>42674.666666666599</v>
      </c>
      <c r="BD380" s="3">
        <f ca="1">IFERROR(__xludf.DUMMYFUNCTION("""COMPUTED_VALUE"""),47.56)</f>
        <v>47.56</v>
      </c>
      <c r="BE380" s="3">
        <f ca="1">IFERROR(__xludf.DUMMYFUNCTION("""COMPUTED_VALUE"""),47.63)</f>
        <v>47.63</v>
      </c>
      <c r="BF380" s="3">
        <f ca="1">IFERROR(__xludf.DUMMYFUNCTION("""COMPUTED_VALUE"""),47.42)</f>
        <v>47.42</v>
      </c>
      <c r="BG380" s="3">
        <f ca="1">IFERROR(__xludf.DUMMYFUNCTION("""COMPUTED_VALUE"""),47.42)</f>
        <v>47.42</v>
      </c>
      <c r="BH380" s="3">
        <f ca="1">IFERROR(__xludf.DUMMYFUNCTION("""COMPUTED_VALUE"""),5879960)</f>
        <v>5879960</v>
      </c>
      <c r="BI380" s="4">
        <f ca="1">IFERROR(__xludf.DUMMYFUNCTION("""COMPUTED_VALUE"""),42674.6666666666)</f>
        <v>42674.666666666599</v>
      </c>
      <c r="BJ380" s="3">
        <f ca="1">IFERROR(__xludf.DUMMYFUNCTION("""COMPUTED_VALUE"""),48.58)</f>
        <v>48.58</v>
      </c>
      <c r="BK380" s="3">
        <f ca="1">IFERROR(__xludf.DUMMYFUNCTION("""COMPUTED_VALUE"""),49.72)</f>
        <v>49.72</v>
      </c>
      <c r="BL380" s="3">
        <f ca="1">IFERROR(__xludf.DUMMYFUNCTION("""COMPUTED_VALUE"""),48.45)</f>
        <v>48.45</v>
      </c>
      <c r="BM380" s="3">
        <f ca="1">IFERROR(__xludf.DUMMYFUNCTION("""COMPUTED_VALUE"""),49.43)</f>
        <v>49.43</v>
      </c>
      <c r="BN380" s="3">
        <f ca="1">IFERROR(__xludf.DUMMYFUNCTION("""COMPUTED_VALUE"""),22715832)</f>
        <v>22715832</v>
      </c>
    </row>
    <row r="381" spans="7:66" ht="13" x14ac:dyDescent="0.15">
      <c r="G381" s="4">
        <f ca="1">IFERROR(__xludf.DUMMYFUNCTION("""COMPUTED_VALUE"""),42675.6666666666)</f>
        <v>42675.666666666599</v>
      </c>
      <c r="H381" s="3">
        <f ca="1">IFERROR(__xludf.DUMMYFUNCTION("""COMPUTED_VALUE"""),78.3)</f>
        <v>78.3</v>
      </c>
      <c r="I381" s="3">
        <f ca="1">IFERROR(__xludf.DUMMYFUNCTION("""COMPUTED_VALUE"""),78.44)</f>
        <v>78.44</v>
      </c>
      <c r="J381" s="3">
        <f ca="1">IFERROR(__xludf.DUMMYFUNCTION("""COMPUTED_VALUE"""),76.93)</f>
        <v>76.930000000000007</v>
      </c>
      <c r="K381" s="3">
        <f ca="1">IFERROR(__xludf.DUMMYFUNCTION("""COMPUTED_VALUE"""),77.55)</f>
        <v>77.55</v>
      </c>
      <c r="L381" s="3">
        <f ca="1">IFERROR(__xludf.DUMMYFUNCTION("""COMPUTED_VALUE"""),11945883)</f>
        <v>11945883</v>
      </c>
      <c r="M381" s="4">
        <f ca="1">IFERROR(__xludf.DUMMYFUNCTION("""COMPUTED_VALUE"""),42675.6666666666)</f>
        <v>42675.666666666599</v>
      </c>
      <c r="N381" s="3">
        <f ca="1">IFERROR(__xludf.DUMMYFUNCTION("""COMPUTED_VALUE"""),52.8)</f>
        <v>52.8</v>
      </c>
      <c r="O381" s="3">
        <f ca="1">IFERROR(__xludf.DUMMYFUNCTION("""COMPUTED_VALUE"""),52.89)</f>
        <v>52.89</v>
      </c>
      <c r="P381" s="3">
        <f ca="1">IFERROR(__xludf.DUMMYFUNCTION("""COMPUTED_VALUE"""),52.4)</f>
        <v>52.4</v>
      </c>
      <c r="Q381" s="3">
        <f ca="1">IFERROR(__xludf.DUMMYFUNCTION("""COMPUTED_VALUE"""),52.57)</f>
        <v>52.57</v>
      </c>
      <c r="R381" s="3">
        <f ca="1">IFERROR(__xludf.DUMMYFUNCTION("""COMPUTED_VALUE"""),11342289)</f>
        <v>11342289</v>
      </c>
      <c r="S381" s="4">
        <f ca="1">IFERROR(__xludf.DUMMYFUNCTION("""COMPUTED_VALUE"""),42675.6666666666)</f>
        <v>42675.666666666599</v>
      </c>
      <c r="T381" s="3">
        <f ca="1">IFERROR(__xludf.DUMMYFUNCTION("""COMPUTED_VALUE"""),69.13)</f>
        <v>69.13</v>
      </c>
      <c r="U381" s="3">
        <f ca="1">IFERROR(__xludf.DUMMYFUNCTION("""COMPUTED_VALUE"""),69.37)</f>
        <v>69.37</v>
      </c>
      <c r="V381" s="3">
        <f ca="1">IFERROR(__xludf.DUMMYFUNCTION("""COMPUTED_VALUE"""),67.88)</f>
        <v>67.88</v>
      </c>
      <c r="W381" s="3">
        <f ca="1">IFERROR(__xludf.DUMMYFUNCTION("""COMPUTED_VALUE"""),68.63)</f>
        <v>68.63</v>
      </c>
      <c r="X381" s="3">
        <f ca="1">IFERROR(__xludf.DUMMYFUNCTION("""COMPUTED_VALUE"""),18824788)</f>
        <v>18824788</v>
      </c>
      <c r="Y381" s="4">
        <f ca="1">IFERROR(__xludf.DUMMYFUNCTION("""COMPUTED_VALUE"""),42675.6666666666)</f>
        <v>42675.666666666599</v>
      </c>
      <c r="Z381" s="3">
        <f ca="1">IFERROR(__xludf.DUMMYFUNCTION("""COMPUTED_VALUE"""),19.81)</f>
        <v>19.809999999999999</v>
      </c>
      <c r="AA381" s="3">
        <f ca="1">IFERROR(__xludf.DUMMYFUNCTION("""COMPUTED_VALUE"""),19.86)</f>
        <v>19.86</v>
      </c>
      <c r="AB381" s="3">
        <f ca="1">IFERROR(__xludf.DUMMYFUNCTION("""COMPUTED_VALUE"""),19.5)</f>
        <v>19.5</v>
      </c>
      <c r="AC381" s="3">
        <f ca="1">IFERROR(__xludf.DUMMYFUNCTION("""COMPUTED_VALUE"""),19.66)</f>
        <v>19.66</v>
      </c>
      <c r="AD381" s="3">
        <f ca="1">IFERROR(__xludf.DUMMYFUNCTION("""COMPUTED_VALUE"""),62758908)</f>
        <v>62758908</v>
      </c>
      <c r="AE381" s="4">
        <f ca="1">IFERROR(__xludf.DUMMYFUNCTION("""COMPUTED_VALUE"""),42675.6666666666)</f>
        <v>42675.666666666599</v>
      </c>
      <c r="AF381" s="3">
        <f ca="1">IFERROR(__xludf.DUMMYFUNCTION("""COMPUTED_VALUE"""),67.4)</f>
        <v>67.400000000000006</v>
      </c>
      <c r="AG381" s="3">
        <f ca="1">IFERROR(__xludf.DUMMYFUNCTION("""COMPUTED_VALUE"""),67.59)</f>
        <v>67.59</v>
      </c>
      <c r="AH381" s="3">
        <f ca="1">IFERROR(__xludf.DUMMYFUNCTION("""COMPUTED_VALUE"""),66.48)</f>
        <v>66.48</v>
      </c>
      <c r="AI381" s="3">
        <f ca="1">IFERROR(__xludf.DUMMYFUNCTION("""COMPUTED_VALUE"""),67)</f>
        <v>67</v>
      </c>
      <c r="AJ381" s="3">
        <f ca="1">IFERROR(__xludf.DUMMYFUNCTION("""COMPUTED_VALUE"""),14908656)</f>
        <v>14908656</v>
      </c>
      <c r="AK381" s="4">
        <f ca="1">IFERROR(__xludf.DUMMYFUNCTION("""COMPUTED_VALUE"""),42675.6666666666)</f>
        <v>42675.666666666599</v>
      </c>
      <c r="AL381" s="3">
        <f ca="1">IFERROR(__xludf.DUMMYFUNCTION("""COMPUTED_VALUE"""),57.26)</f>
        <v>57.26</v>
      </c>
      <c r="AM381" s="3">
        <f ca="1">IFERROR(__xludf.DUMMYFUNCTION("""COMPUTED_VALUE"""),57.33)</f>
        <v>57.33</v>
      </c>
      <c r="AN381" s="3">
        <f ca="1">IFERROR(__xludf.DUMMYFUNCTION("""COMPUTED_VALUE"""),56.38)</f>
        <v>56.38</v>
      </c>
      <c r="AO381" s="3">
        <f ca="1">IFERROR(__xludf.DUMMYFUNCTION("""COMPUTED_VALUE"""),56.72)</f>
        <v>56.72</v>
      </c>
      <c r="AP381" s="3">
        <f ca="1">IFERROR(__xludf.DUMMYFUNCTION("""COMPUTED_VALUE"""),19622479)</f>
        <v>19622479</v>
      </c>
      <c r="AQ381" s="4">
        <f ca="1">IFERROR(__xludf.DUMMYFUNCTION("""COMPUTED_VALUE"""),42675.6666666666)</f>
        <v>42675.666666666599</v>
      </c>
      <c r="AR381" s="3">
        <f ca="1">IFERROR(__xludf.DUMMYFUNCTION("""COMPUTED_VALUE"""),46.85)</f>
        <v>46.85</v>
      </c>
      <c r="AS381" s="3">
        <f ca="1">IFERROR(__xludf.DUMMYFUNCTION("""COMPUTED_VALUE"""),47.04)</f>
        <v>47.04</v>
      </c>
      <c r="AT381" s="3">
        <f ca="1">IFERROR(__xludf.DUMMYFUNCTION("""COMPUTED_VALUE"""),46.22)</f>
        <v>46.22</v>
      </c>
      <c r="AU381" s="3">
        <f ca="1">IFERROR(__xludf.DUMMYFUNCTION("""COMPUTED_VALUE"""),46.48)</f>
        <v>46.48</v>
      </c>
      <c r="AV381" s="3">
        <f ca="1">IFERROR(__xludf.DUMMYFUNCTION("""COMPUTED_VALUE"""),14226947)</f>
        <v>14226947</v>
      </c>
      <c r="AW381" s="4">
        <f ca="1">IFERROR(__xludf.DUMMYFUNCTION("""COMPUTED_VALUE"""),42843.6666666666)</f>
        <v>42843.666666666599</v>
      </c>
      <c r="AX381" s="3">
        <f ca="1">IFERROR(__xludf.DUMMYFUNCTION("""COMPUTED_VALUE"""),32.36)</f>
        <v>32.36</v>
      </c>
      <c r="AY381" s="3">
        <f ca="1">IFERROR(__xludf.DUMMYFUNCTION("""COMPUTED_VALUE"""),32.56)</f>
        <v>32.56</v>
      </c>
      <c r="AZ381" s="3">
        <f ca="1">IFERROR(__xludf.DUMMYFUNCTION("""COMPUTED_VALUE"""),32.29)</f>
        <v>32.29</v>
      </c>
      <c r="BA381" s="3">
        <f ca="1">IFERROR(__xludf.DUMMYFUNCTION("""COMPUTED_VALUE"""),32.52)</f>
        <v>32.520000000000003</v>
      </c>
      <c r="BB381" s="3">
        <f ca="1">IFERROR(__xludf.DUMMYFUNCTION("""COMPUTED_VALUE"""),4023270)</f>
        <v>4023270</v>
      </c>
      <c r="BC381" s="4">
        <f ca="1">IFERROR(__xludf.DUMMYFUNCTION("""COMPUTED_VALUE"""),42675.6666666666)</f>
        <v>42675.666666666599</v>
      </c>
      <c r="BD381" s="3">
        <f ca="1">IFERROR(__xludf.DUMMYFUNCTION("""COMPUTED_VALUE"""),47.52)</f>
        <v>47.52</v>
      </c>
      <c r="BE381" s="3">
        <f ca="1">IFERROR(__xludf.DUMMYFUNCTION("""COMPUTED_VALUE"""),47.57)</f>
        <v>47.57</v>
      </c>
      <c r="BF381" s="3">
        <f ca="1">IFERROR(__xludf.DUMMYFUNCTION("""COMPUTED_VALUE"""),46.69)</f>
        <v>46.69</v>
      </c>
      <c r="BG381" s="3">
        <f ca="1">IFERROR(__xludf.DUMMYFUNCTION("""COMPUTED_VALUE"""),47.01)</f>
        <v>47.01</v>
      </c>
      <c r="BH381" s="3">
        <f ca="1">IFERROR(__xludf.DUMMYFUNCTION("""COMPUTED_VALUE"""),9065290)</f>
        <v>9065290</v>
      </c>
      <c r="BI381" s="4">
        <f ca="1">IFERROR(__xludf.DUMMYFUNCTION("""COMPUTED_VALUE"""),42675.6666666666)</f>
        <v>42675.666666666599</v>
      </c>
      <c r="BJ381" s="3">
        <f ca="1">IFERROR(__xludf.DUMMYFUNCTION("""COMPUTED_VALUE"""),49.29)</f>
        <v>49.29</v>
      </c>
      <c r="BK381" s="3">
        <f ca="1">IFERROR(__xludf.DUMMYFUNCTION("""COMPUTED_VALUE"""),49.39)</f>
        <v>49.39</v>
      </c>
      <c r="BL381" s="3">
        <f ca="1">IFERROR(__xludf.DUMMYFUNCTION("""COMPUTED_VALUE"""),48.4)</f>
        <v>48.4</v>
      </c>
      <c r="BM381" s="3">
        <f ca="1">IFERROR(__xludf.DUMMYFUNCTION("""COMPUTED_VALUE"""),48.53)</f>
        <v>48.53</v>
      </c>
      <c r="BN381" s="3">
        <f ca="1">IFERROR(__xludf.DUMMYFUNCTION("""COMPUTED_VALUE"""),24154431)</f>
        <v>24154431</v>
      </c>
    </row>
    <row r="382" spans="7:66" ht="13" x14ac:dyDescent="0.15">
      <c r="G382" s="4">
        <f ca="1">IFERROR(__xludf.DUMMYFUNCTION("""COMPUTED_VALUE"""),42676.6666666666)</f>
        <v>42676.666666666599</v>
      </c>
      <c r="H382" s="3">
        <f ca="1">IFERROR(__xludf.DUMMYFUNCTION("""COMPUTED_VALUE"""),77.35)</f>
        <v>77.349999999999994</v>
      </c>
      <c r="I382" s="3">
        <f ca="1">IFERROR(__xludf.DUMMYFUNCTION("""COMPUTED_VALUE"""),77.69)</f>
        <v>77.69</v>
      </c>
      <c r="J382" s="3">
        <f ca="1">IFERROR(__xludf.DUMMYFUNCTION("""COMPUTED_VALUE"""),76.88)</f>
        <v>76.88</v>
      </c>
      <c r="K382" s="3">
        <f ca="1">IFERROR(__xludf.DUMMYFUNCTION("""COMPUTED_VALUE"""),77.08)</f>
        <v>77.08</v>
      </c>
      <c r="L382" s="3">
        <f ca="1">IFERROR(__xludf.DUMMYFUNCTION("""COMPUTED_VALUE"""),9695150)</f>
        <v>9695150</v>
      </c>
      <c r="M382" s="4">
        <f ca="1">IFERROR(__xludf.DUMMYFUNCTION("""COMPUTED_VALUE"""),42676.6666666666)</f>
        <v>42676.666666666599</v>
      </c>
      <c r="N382" s="3">
        <f ca="1">IFERROR(__xludf.DUMMYFUNCTION("""COMPUTED_VALUE"""),52.44)</f>
        <v>52.44</v>
      </c>
      <c r="O382" s="3">
        <f ca="1">IFERROR(__xludf.DUMMYFUNCTION("""COMPUTED_VALUE"""),52.74)</f>
        <v>52.74</v>
      </c>
      <c r="P382" s="3">
        <f ca="1">IFERROR(__xludf.DUMMYFUNCTION("""COMPUTED_VALUE"""),52.4)</f>
        <v>52.4</v>
      </c>
      <c r="Q382" s="3">
        <f ca="1">IFERROR(__xludf.DUMMYFUNCTION("""COMPUTED_VALUE"""),52.44)</f>
        <v>52.44</v>
      </c>
      <c r="R382" s="3">
        <f ca="1">IFERROR(__xludf.DUMMYFUNCTION("""COMPUTED_VALUE"""),9703303)</f>
        <v>9703303</v>
      </c>
      <c r="S382" s="4">
        <f ca="1">IFERROR(__xludf.DUMMYFUNCTION("""COMPUTED_VALUE"""),42676.6666666666)</f>
        <v>42676.666666666599</v>
      </c>
      <c r="T382" s="3">
        <f ca="1">IFERROR(__xludf.DUMMYFUNCTION("""COMPUTED_VALUE"""),67.98)</f>
        <v>67.98</v>
      </c>
      <c r="U382" s="3">
        <f ca="1">IFERROR(__xludf.DUMMYFUNCTION("""COMPUTED_VALUE"""),68.22)</f>
        <v>68.22</v>
      </c>
      <c r="V382" s="3">
        <f ca="1">IFERROR(__xludf.DUMMYFUNCTION("""COMPUTED_VALUE"""),67)</f>
        <v>67</v>
      </c>
      <c r="W382" s="3">
        <f ca="1">IFERROR(__xludf.DUMMYFUNCTION("""COMPUTED_VALUE"""),67.87)</f>
        <v>67.87</v>
      </c>
      <c r="X382" s="3">
        <f ca="1">IFERROR(__xludf.DUMMYFUNCTION("""COMPUTED_VALUE"""),22982983)</f>
        <v>22982983</v>
      </c>
      <c r="Y382" s="4">
        <f ca="1">IFERROR(__xludf.DUMMYFUNCTION("""COMPUTED_VALUE"""),42676.6666666666)</f>
        <v>42676.666666666599</v>
      </c>
      <c r="Z382" s="3">
        <f ca="1">IFERROR(__xludf.DUMMYFUNCTION("""COMPUTED_VALUE"""),19.62)</f>
        <v>19.62</v>
      </c>
      <c r="AA382" s="3">
        <f ca="1">IFERROR(__xludf.DUMMYFUNCTION("""COMPUTED_VALUE"""),19.63)</f>
        <v>19.63</v>
      </c>
      <c r="AB382" s="3">
        <f ca="1">IFERROR(__xludf.DUMMYFUNCTION("""COMPUTED_VALUE"""),19.44)</f>
        <v>19.440000000000001</v>
      </c>
      <c r="AC382" s="3">
        <f ca="1">IFERROR(__xludf.DUMMYFUNCTION("""COMPUTED_VALUE"""),19.53)</f>
        <v>19.53</v>
      </c>
      <c r="AD382" s="3">
        <f ca="1">IFERROR(__xludf.DUMMYFUNCTION("""COMPUTED_VALUE"""),66529874)</f>
        <v>66529874</v>
      </c>
      <c r="AE382" s="4">
        <f ca="1">IFERROR(__xludf.DUMMYFUNCTION("""COMPUTED_VALUE"""),42676.6666666666)</f>
        <v>42676.666666666599</v>
      </c>
      <c r="AF382" s="3">
        <f ca="1">IFERROR(__xludf.DUMMYFUNCTION("""COMPUTED_VALUE"""),66.87)</f>
        <v>66.87</v>
      </c>
      <c r="AG382" s="3">
        <f ca="1">IFERROR(__xludf.DUMMYFUNCTION("""COMPUTED_VALUE"""),67.39)</f>
        <v>67.39</v>
      </c>
      <c r="AH382" s="3">
        <f ca="1">IFERROR(__xludf.DUMMYFUNCTION("""COMPUTED_VALUE"""),66.65)</f>
        <v>66.650000000000006</v>
      </c>
      <c r="AI382" s="3">
        <f ca="1">IFERROR(__xludf.DUMMYFUNCTION("""COMPUTED_VALUE"""),66.65)</f>
        <v>66.650000000000006</v>
      </c>
      <c r="AJ382" s="3">
        <f ca="1">IFERROR(__xludf.DUMMYFUNCTION("""COMPUTED_VALUE"""),17942887)</f>
        <v>17942887</v>
      </c>
      <c r="AK382" s="4">
        <f ca="1">IFERROR(__xludf.DUMMYFUNCTION("""COMPUTED_VALUE"""),42676.6666666666)</f>
        <v>42676.666666666599</v>
      </c>
      <c r="AL382" s="3">
        <f ca="1">IFERROR(__xludf.DUMMYFUNCTION("""COMPUTED_VALUE"""),56.68)</f>
        <v>56.68</v>
      </c>
      <c r="AM382" s="3">
        <f ca="1">IFERROR(__xludf.DUMMYFUNCTION("""COMPUTED_VALUE"""),56.93)</f>
        <v>56.93</v>
      </c>
      <c r="AN382" s="3">
        <f ca="1">IFERROR(__xludf.DUMMYFUNCTION("""COMPUTED_VALUE"""),56.37)</f>
        <v>56.37</v>
      </c>
      <c r="AO382" s="3">
        <f ca="1">IFERROR(__xludf.DUMMYFUNCTION("""COMPUTED_VALUE"""),56.51)</f>
        <v>56.51</v>
      </c>
      <c r="AP382" s="3">
        <f ca="1">IFERROR(__xludf.DUMMYFUNCTION("""COMPUTED_VALUE"""),14355944)</f>
        <v>14355944</v>
      </c>
      <c r="AQ382" s="4">
        <f ca="1">IFERROR(__xludf.DUMMYFUNCTION("""COMPUTED_VALUE"""),42676.6666666666)</f>
        <v>42676.666666666599</v>
      </c>
      <c r="AR382" s="3">
        <f ca="1">IFERROR(__xludf.DUMMYFUNCTION("""COMPUTED_VALUE"""),46.55)</f>
        <v>46.55</v>
      </c>
      <c r="AS382" s="3">
        <f ca="1">IFERROR(__xludf.DUMMYFUNCTION("""COMPUTED_VALUE"""),46.64)</f>
        <v>46.64</v>
      </c>
      <c r="AT382" s="3">
        <f ca="1">IFERROR(__xludf.DUMMYFUNCTION("""COMPUTED_VALUE"""),46.23)</f>
        <v>46.23</v>
      </c>
      <c r="AU382" s="3">
        <f ca="1">IFERROR(__xludf.DUMMYFUNCTION("""COMPUTED_VALUE"""),46.23)</f>
        <v>46.23</v>
      </c>
      <c r="AV382" s="3">
        <f ca="1">IFERROR(__xludf.DUMMYFUNCTION("""COMPUTED_VALUE"""),5839835)</f>
        <v>5839835</v>
      </c>
      <c r="AW382" s="4">
        <f ca="1">IFERROR(__xludf.DUMMYFUNCTION("""COMPUTED_VALUE"""),42844.6666666666)</f>
        <v>42844.666666666599</v>
      </c>
      <c r="AX382" s="3">
        <f ca="1">IFERROR(__xludf.DUMMYFUNCTION("""COMPUTED_VALUE"""),32.55)</f>
        <v>32.549999999999997</v>
      </c>
      <c r="AY382" s="3">
        <f ca="1">IFERROR(__xludf.DUMMYFUNCTION("""COMPUTED_VALUE"""),32.59)</f>
        <v>32.590000000000003</v>
      </c>
      <c r="AZ382" s="3">
        <f ca="1">IFERROR(__xludf.DUMMYFUNCTION("""COMPUTED_VALUE"""),32.41)</f>
        <v>32.409999999999997</v>
      </c>
      <c r="BA382" s="3">
        <f ca="1">IFERROR(__xludf.DUMMYFUNCTION("""COMPUTED_VALUE"""),32.45)</f>
        <v>32.450000000000003</v>
      </c>
      <c r="BB382" s="3">
        <f ca="1">IFERROR(__xludf.DUMMYFUNCTION("""COMPUTED_VALUE"""),1692757)</f>
        <v>1692757</v>
      </c>
      <c r="BC382" s="4">
        <f ca="1">IFERROR(__xludf.DUMMYFUNCTION("""COMPUTED_VALUE"""),42676.6666666666)</f>
        <v>42676.666666666599</v>
      </c>
      <c r="BD382" s="3">
        <f ca="1">IFERROR(__xludf.DUMMYFUNCTION("""COMPUTED_VALUE"""),47.01)</f>
        <v>47.01</v>
      </c>
      <c r="BE382" s="3">
        <f ca="1">IFERROR(__xludf.DUMMYFUNCTION("""COMPUTED_VALUE"""),47.15)</f>
        <v>47.15</v>
      </c>
      <c r="BF382" s="3">
        <f ca="1">IFERROR(__xludf.DUMMYFUNCTION("""COMPUTED_VALUE"""),46.6)</f>
        <v>46.6</v>
      </c>
      <c r="BG382" s="3">
        <f ca="1">IFERROR(__xludf.DUMMYFUNCTION("""COMPUTED_VALUE"""),46.71)</f>
        <v>46.71</v>
      </c>
      <c r="BH382" s="3">
        <f ca="1">IFERROR(__xludf.DUMMYFUNCTION("""COMPUTED_VALUE"""),8167290)</f>
        <v>8167290</v>
      </c>
      <c r="BI382" s="4">
        <f ca="1">IFERROR(__xludf.DUMMYFUNCTION("""COMPUTED_VALUE"""),42676.6666666666)</f>
        <v>42676.666666666599</v>
      </c>
      <c r="BJ382" s="3">
        <f ca="1">IFERROR(__xludf.DUMMYFUNCTION("""COMPUTED_VALUE"""),48.3)</f>
        <v>48.3</v>
      </c>
      <c r="BK382" s="3">
        <f ca="1">IFERROR(__xludf.DUMMYFUNCTION("""COMPUTED_VALUE"""),48.43)</f>
        <v>48.43</v>
      </c>
      <c r="BL382" s="3">
        <f ca="1">IFERROR(__xludf.DUMMYFUNCTION("""COMPUTED_VALUE"""),47.52)</f>
        <v>47.52</v>
      </c>
      <c r="BM382" s="3">
        <f ca="1">IFERROR(__xludf.DUMMYFUNCTION("""COMPUTED_VALUE"""),47.92)</f>
        <v>47.92</v>
      </c>
      <c r="BN382" s="3">
        <f ca="1">IFERROR(__xludf.DUMMYFUNCTION("""COMPUTED_VALUE"""),26491745)</f>
        <v>26491745</v>
      </c>
    </row>
    <row r="383" spans="7:66" ht="13" x14ac:dyDescent="0.15">
      <c r="G383" s="4">
        <f ca="1">IFERROR(__xludf.DUMMYFUNCTION("""COMPUTED_VALUE"""),42677.6666666666)</f>
        <v>42677.666666666599</v>
      </c>
      <c r="H383" s="3">
        <f ca="1">IFERROR(__xludf.DUMMYFUNCTION("""COMPUTED_VALUE"""),77.22)</f>
        <v>77.22</v>
      </c>
      <c r="I383" s="3">
        <f ca="1">IFERROR(__xludf.DUMMYFUNCTION("""COMPUTED_VALUE"""),77.59)</f>
        <v>77.59</v>
      </c>
      <c r="J383" s="3">
        <f ca="1">IFERROR(__xludf.DUMMYFUNCTION("""COMPUTED_VALUE"""),76.7)</f>
        <v>76.7</v>
      </c>
      <c r="K383" s="3">
        <f ca="1">IFERROR(__xludf.DUMMYFUNCTION("""COMPUTED_VALUE"""),76.88)</f>
        <v>76.88</v>
      </c>
      <c r="L383" s="3">
        <f ca="1">IFERROR(__xludf.DUMMYFUNCTION("""COMPUTED_VALUE"""),8900837)</f>
        <v>8900837</v>
      </c>
      <c r="M383" s="4">
        <f ca="1">IFERROR(__xludf.DUMMYFUNCTION("""COMPUTED_VALUE"""),42677.6666666666)</f>
        <v>42677.666666666599</v>
      </c>
      <c r="N383" s="3">
        <f ca="1">IFERROR(__xludf.DUMMYFUNCTION("""COMPUTED_VALUE"""),52.6)</f>
        <v>52.6</v>
      </c>
      <c r="O383" s="3">
        <f ca="1">IFERROR(__xludf.DUMMYFUNCTION("""COMPUTED_VALUE"""),52.61)</f>
        <v>52.61</v>
      </c>
      <c r="P383" s="3">
        <f ca="1">IFERROR(__xludf.DUMMYFUNCTION("""COMPUTED_VALUE"""),52.01)</f>
        <v>52.01</v>
      </c>
      <c r="Q383" s="3">
        <f ca="1">IFERROR(__xludf.DUMMYFUNCTION("""COMPUTED_VALUE"""),52.08)</f>
        <v>52.08</v>
      </c>
      <c r="R383" s="3">
        <f ca="1">IFERROR(__xludf.DUMMYFUNCTION("""COMPUTED_VALUE"""),15641594)</f>
        <v>15641594</v>
      </c>
      <c r="S383" s="4">
        <f ca="1">IFERROR(__xludf.DUMMYFUNCTION("""COMPUTED_VALUE"""),42677.6666666666)</f>
        <v>42677.666666666599</v>
      </c>
      <c r="T383" s="3">
        <f ca="1">IFERROR(__xludf.DUMMYFUNCTION("""COMPUTED_VALUE"""),67.87)</f>
        <v>67.87</v>
      </c>
      <c r="U383" s="3">
        <f ca="1">IFERROR(__xludf.DUMMYFUNCTION("""COMPUTED_VALUE"""),68.26)</f>
        <v>68.260000000000005</v>
      </c>
      <c r="V383" s="3">
        <f ca="1">IFERROR(__xludf.DUMMYFUNCTION("""COMPUTED_VALUE"""),67.5)</f>
        <v>67.5</v>
      </c>
      <c r="W383" s="3">
        <f ca="1">IFERROR(__xludf.DUMMYFUNCTION("""COMPUTED_VALUE"""),68.14)</f>
        <v>68.14</v>
      </c>
      <c r="X383" s="3">
        <f ca="1">IFERROR(__xludf.DUMMYFUNCTION("""COMPUTED_VALUE"""),12748063)</f>
        <v>12748063</v>
      </c>
      <c r="Y383" s="4">
        <f ca="1">IFERROR(__xludf.DUMMYFUNCTION("""COMPUTED_VALUE"""),42677.6666666666)</f>
        <v>42677.666666666599</v>
      </c>
      <c r="Z383" s="3">
        <f ca="1">IFERROR(__xludf.DUMMYFUNCTION("""COMPUTED_VALUE"""),19.55)</f>
        <v>19.55</v>
      </c>
      <c r="AA383" s="3">
        <f ca="1">IFERROR(__xludf.DUMMYFUNCTION("""COMPUTED_VALUE"""),19.73)</f>
        <v>19.73</v>
      </c>
      <c r="AB383" s="3">
        <f ca="1">IFERROR(__xludf.DUMMYFUNCTION("""COMPUTED_VALUE"""),19.52)</f>
        <v>19.52</v>
      </c>
      <c r="AC383" s="3">
        <f ca="1">IFERROR(__xludf.DUMMYFUNCTION("""COMPUTED_VALUE"""),19.55)</f>
        <v>19.55</v>
      </c>
      <c r="AD383" s="3">
        <f ca="1">IFERROR(__xludf.DUMMYFUNCTION("""COMPUTED_VALUE"""),53462052)</f>
        <v>53462052</v>
      </c>
      <c r="AE383" s="4">
        <f ca="1">IFERROR(__xludf.DUMMYFUNCTION("""COMPUTED_VALUE"""),42677.6666666666)</f>
        <v>42677.666666666599</v>
      </c>
      <c r="AF383" s="3">
        <f ca="1">IFERROR(__xludf.DUMMYFUNCTION("""COMPUTED_VALUE"""),66.87)</f>
        <v>66.87</v>
      </c>
      <c r="AG383" s="3">
        <f ca="1">IFERROR(__xludf.DUMMYFUNCTION("""COMPUTED_VALUE"""),67.15)</f>
        <v>67.150000000000006</v>
      </c>
      <c r="AH383" s="3">
        <f ca="1">IFERROR(__xludf.DUMMYFUNCTION("""COMPUTED_VALUE"""),65.96)</f>
        <v>65.959999999999994</v>
      </c>
      <c r="AI383" s="3">
        <f ca="1">IFERROR(__xludf.DUMMYFUNCTION("""COMPUTED_VALUE"""),66.02)</f>
        <v>66.02</v>
      </c>
      <c r="AJ383" s="3">
        <f ca="1">IFERROR(__xludf.DUMMYFUNCTION("""COMPUTED_VALUE"""),22074152)</f>
        <v>22074152</v>
      </c>
      <c r="AK383" s="4">
        <f ca="1">IFERROR(__xludf.DUMMYFUNCTION("""COMPUTED_VALUE"""),42677.6666666666)</f>
        <v>42677.666666666599</v>
      </c>
      <c r="AL383" s="3">
        <f ca="1">IFERROR(__xludf.DUMMYFUNCTION("""COMPUTED_VALUE"""),56.75)</f>
        <v>56.75</v>
      </c>
      <c r="AM383" s="3">
        <f ca="1">IFERROR(__xludf.DUMMYFUNCTION("""COMPUTED_VALUE"""),56.77)</f>
        <v>56.77</v>
      </c>
      <c r="AN383" s="3">
        <f ca="1">IFERROR(__xludf.DUMMYFUNCTION("""COMPUTED_VALUE"""),56.27)</f>
        <v>56.27</v>
      </c>
      <c r="AO383" s="3">
        <f ca="1">IFERROR(__xludf.DUMMYFUNCTION("""COMPUTED_VALUE"""),56.42)</f>
        <v>56.42</v>
      </c>
      <c r="AP383" s="3">
        <f ca="1">IFERROR(__xludf.DUMMYFUNCTION("""COMPUTED_VALUE"""),13887707)</f>
        <v>13887707</v>
      </c>
      <c r="AQ383" s="4">
        <f ca="1">IFERROR(__xludf.DUMMYFUNCTION("""COMPUTED_VALUE"""),42677.6666666666)</f>
        <v>42677.666666666599</v>
      </c>
      <c r="AR383" s="3">
        <f ca="1">IFERROR(__xludf.DUMMYFUNCTION("""COMPUTED_VALUE"""),46.2)</f>
        <v>46.2</v>
      </c>
      <c r="AS383" s="3">
        <f ca="1">IFERROR(__xludf.DUMMYFUNCTION("""COMPUTED_VALUE"""),46.48)</f>
        <v>46.48</v>
      </c>
      <c r="AT383" s="3">
        <f ca="1">IFERROR(__xludf.DUMMYFUNCTION("""COMPUTED_VALUE"""),46.12)</f>
        <v>46.12</v>
      </c>
      <c r="AU383" s="3">
        <f ca="1">IFERROR(__xludf.DUMMYFUNCTION("""COMPUTED_VALUE"""),46.24)</f>
        <v>46.24</v>
      </c>
      <c r="AV383" s="3">
        <f ca="1">IFERROR(__xludf.DUMMYFUNCTION("""COMPUTED_VALUE"""),4241369)</f>
        <v>4241369</v>
      </c>
      <c r="AW383" s="4">
        <f ca="1">IFERROR(__xludf.DUMMYFUNCTION("""COMPUTED_VALUE"""),42845.6666666666)</f>
        <v>42845.666666666599</v>
      </c>
      <c r="AX383" s="3">
        <f ca="1">IFERROR(__xludf.DUMMYFUNCTION("""COMPUTED_VALUE"""),32.42)</f>
        <v>32.42</v>
      </c>
      <c r="AY383" s="3">
        <f ca="1">IFERROR(__xludf.DUMMYFUNCTION("""COMPUTED_VALUE"""),32.48)</f>
        <v>32.479999999999997</v>
      </c>
      <c r="AZ383" s="3">
        <f ca="1">IFERROR(__xludf.DUMMYFUNCTION("""COMPUTED_VALUE"""),32.28)</f>
        <v>32.28</v>
      </c>
      <c r="BA383" s="3">
        <f ca="1">IFERROR(__xludf.DUMMYFUNCTION("""COMPUTED_VALUE"""),32.44)</f>
        <v>32.44</v>
      </c>
      <c r="BB383" s="3">
        <f ca="1">IFERROR(__xludf.DUMMYFUNCTION("""COMPUTED_VALUE"""),2695039)</f>
        <v>2695039</v>
      </c>
      <c r="BC383" s="4">
        <f ca="1">IFERROR(__xludf.DUMMYFUNCTION("""COMPUTED_VALUE"""),42677.6666666666)</f>
        <v>42677.666666666599</v>
      </c>
      <c r="BD383" s="3">
        <f ca="1">IFERROR(__xludf.DUMMYFUNCTION("""COMPUTED_VALUE"""),46.58)</f>
        <v>46.58</v>
      </c>
      <c r="BE383" s="3">
        <f ca="1">IFERROR(__xludf.DUMMYFUNCTION("""COMPUTED_VALUE"""),46.68)</f>
        <v>46.68</v>
      </c>
      <c r="BF383" s="3">
        <f ca="1">IFERROR(__xludf.DUMMYFUNCTION("""COMPUTED_VALUE"""),46.24)</f>
        <v>46.24</v>
      </c>
      <c r="BG383" s="3">
        <f ca="1">IFERROR(__xludf.DUMMYFUNCTION("""COMPUTED_VALUE"""),46.26)</f>
        <v>46.26</v>
      </c>
      <c r="BH383" s="3">
        <f ca="1">IFERROR(__xludf.DUMMYFUNCTION("""COMPUTED_VALUE"""),10125726)</f>
        <v>10125726</v>
      </c>
      <c r="BI383" s="4">
        <f ca="1">IFERROR(__xludf.DUMMYFUNCTION("""COMPUTED_VALUE"""),42677.6666666666)</f>
        <v>42677.666666666599</v>
      </c>
      <c r="BJ383" s="3">
        <f ca="1">IFERROR(__xludf.DUMMYFUNCTION("""COMPUTED_VALUE"""),47.8)</f>
        <v>47.8</v>
      </c>
      <c r="BK383" s="3">
        <f ca="1">IFERROR(__xludf.DUMMYFUNCTION("""COMPUTED_VALUE"""),48.29)</f>
        <v>48.29</v>
      </c>
      <c r="BL383" s="3">
        <f ca="1">IFERROR(__xludf.DUMMYFUNCTION("""COMPUTED_VALUE"""),47.63)</f>
        <v>47.63</v>
      </c>
      <c r="BM383" s="3">
        <f ca="1">IFERROR(__xludf.DUMMYFUNCTION("""COMPUTED_VALUE"""),48.1)</f>
        <v>48.1</v>
      </c>
      <c r="BN383" s="3">
        <f ca="1">IFERROR(__xludf.DUMMYFUNCTION("""COMPUTED_VALUE"""),11820510)</f>
        <v>11820510</v>
      </c>
    </row>
    <row r="384" spans="7:66" ht="13" x14ac:dyDescent="0.15">
      <c r="G384" s="4">
        <f ca="1">IFERROR(__xludf.DUMMYFUNCTION("""COMPUTED_VALUE"""),42678.6666666666)</f>
        <v>42678.666666666599</v>
      </c>
      <c r="H384" s="3">
        <f ca="1">IFERROR(__xludf.DUMMYFUNCTION("""COMPUTED_VALUE"""),76.81)</f>
        <v>76.81</v>
      </c>
      <c r="I384" s="3">
        <f ca="1">IFERROR(__xludf.DUMMYFUNCTION("""COMPUTED_VALUE"""),77.39)</f>
        <v>77.39</v>
      </c>
      <c r="J384" s="3">
        <f ca="1">IFERROR(__xludf.DUMMYFUNCTION("""COMPUTED_VALUE"""),76.61)</f>
        <v>76.61</v>
      </c>
      <c r="K384" s="3">
        <f ca="1">IFERROR(__xludf.DUMMYFUNCTION("""COMPUTED_VALUE"""),76.73)</f>
        <v>76.73</v>
      </c>
      <c r="L384" s="3">
        <f ca="1">IFERROR(__xludf.DUMMYFUNCTION("""COMPUTED_VALUE"""),8912152)</f>
        <v>8912152</v>
      </c>
      <c r="M384" s="4">
        <f ca="1">IFERROR(__xludf.DUMMYFUNCTION("""COMPUTED_VALUE"""),42678.6666666666)</f>
        <v>42678.666666666599</v>
      </c>
      <c r="N384" s="3">
        <f ca="1">IFERROR(__xludf.DUMMYFUNCTION("""COMPUTED_VALUE"""),52)</f>
        <v>52</v>
      </c>
      <c r="O384" s="3">
        <f ca="1">IFERROR(__xludf.DUMMYFUNCTION("""COMPUTED_VALUE"""),52.08)</f>
        <v>52.08</v>
      </c>
      <c r="P384" s="3">
        <f ca="1">IFERROR(__xludf.DUMMYFUNCTION("""COMPUTED_VALUE"""),51.57)</f>
        <v>51.57</v>
      </c>
      <c r="Q384" s="3">
        <f ca="1">IFERROR(__xludf.DUMMYFUNCTION("""COMPUTED_VALUE"""),51.61)</f>
        <v>51.61</v>
      </c>
      <c r="R384" s="3">
        <f ca="1">IFERROR(__xludf.DUMMYFUNCTION("""COMPUTED_VALUE"""),11992424)</f>
        <v>11992424</v>
      </c>
      <c r="S384" s="4">
        <f ca="1">IFERROR(__xludf.DUMMYFUNCTION("""COMPUTED_VALUE"""),42678.6666666666)</f>
        <v>42678.666666666599</v>
      </c>
      <c r="T384" s="3">
        <f ca="1">IFERROR(__xludf.DUMMYFUNCTION("""COMPUTED_VALUE"""),67.8)</f>
        <v>67.8</v>
      </c>
      <c r="U384" s="3">
        <f ca="1">IFERROR(__xludf.DUMMYFUNCTION("""COMPUTED_VALUE"""),68.46)</f>
        <v>68.459999999999994</v>
      </c>
      <c r="V384" s="3">
        <f ca="1">IFERROR(__xludf.DUMMYFUNCTION("""COMPUTED_VALUE"""),67.36)</f>
        <v>67.36</v>
      </c>
      <c r="W384" s="3">
        <f ca="1">IFERROR(__xludf.DUMMYFUNCTION("""COMPUTED_VALUE"""),67.77)</f>
        <v>67.77</v>
      </c>
      <c r="X384" s="3">
        <f ca="1">IFERROR(__xludf.DUMMYFUNCTION("""COMPUTED_VALUE"""),17554079)</f>
        <v>17554079</v>
      </c>
      <c r="Y384" s="4">
        <f ca="1">IFERROR(__xludf.DUMMYFUNCTION("""COMPUTED_VALUE"""),42678.6666666666)</f>
        <v>42678.666666666599</v>
      </c>
      <c r="Z384" s="3">
        <f ca="1">IFERROR(__xludf.DUMMYFUNCTION("""COMPUTED_VALUE"""),19.56)</f>
        <v>19.559999999999999</v>
      </c>
      <c r="AA384" s="3">
        <f ca="1">IFERROR(__xludf.DUMMYFUNCTION("""COMPUTED_VALUE"""),19.65)</f>
        <v>19.649999999999999</v>
      </c>
      <c r="AB384" s="3">
        <f ca="1">IFERROR(__xludf.DUMMYFUNCTION("""COMPUTED_VALUE"""),19.4)</f>
        <v>19.399999999999999</v>
      </c>
      <c r="AC384" s="3">
        <f ca="1">IFERROR(__xludf.DUMMYFUNCTION("""COMPUTED_VALUE"""),19.49)</f>
        <v>19.489999999999998</v>
      </c>
      <c r="AD384" s="3">
        <f ca="1">IFERROR(__xludf.DUMMYFUNCTION("""COMPUTED_VALUE"""),64891375)</f>
        <v>64891375</v>
      </c>
      <c r="AE384" s="4">
        <f ca="1">IFERROR(__xludf.DUMMYFUNCTION("""COMPUTED_VALUE"""),42678.6666666666)</f>
        <v>42678.666666666599</v>
      </c>
      <c r="AF384" s="3">
        <f ca="1">IFERROR(__xludf.DUMMYFUNCTION("""COMPUTED_VALUE"""),66.2)</f>
        <v>66.2</v>
      </c>
      <c r="AG384" s="3">
        <f ca="1">IFERROR(__xludf.DUMMYFUNCTION("""COMPUTED_VALUE"""),67.03)</f>
        <v>67.03</v>
      </c>
      <c r="AH384" s="3">
        <f ca="1">IFERROR(__xludf.DUMMYFUNCTION("""COMPUTED_VALUE"""),66.13)</f>
        <v>66.13</v>
      </c>
      <c r="AI384" s="3">
        <f ca="1">IFERROR(__xludf.DUMMYFUNCTION("""COMPUTED_VALUE"""),66.48)</f>
        <v>66.48</v>
      </c>
      <c r="AJ384" s="3">
        <f ca="1">IFERROR(__xludf.DUMMYFUNCTION("""COMPUTED_VALUE"""),21382560)</f>
        <v>21382560</v>
      </c>
      <c r="AK384" s="4">
        <f ca="1">IFERROR(__xludf.DUMMYFUNCTION("""COMPUTED_VALUE"""),42678.6666666666)</f>
        <v>42678.666666666599</v>
      </c>
      <c r="AL384" s="3">
        <f ca="1">IFERROR(__xludf.DUMMYFUNCTION("""COMPUTED_VALUE"""),56.41)</f>
        <v>56.41</v>
      </c>
      <c r="AM384" s="3">
        <f ca="1">IFERROR(__xludf.DUMMYFUNCTION("""COMPUTED_VALUE"""),56.95)</f>
        <v>56.95</v>
      </c>
      <c r="AN384" s="3">
        <f ca="1">IFERROR(__xludf.DUMMYFUNCTION("""COMPUTED_VALUE"""),56.3)</f>
        <v>56.3</v>
      </c>
      <c r="AO384" s="3">
        <f ca="1">IFERROR(__xludf.DUMMYFUNCTION("""COMPUTED_VALUE"""),56.47)</f>
        <v>56.47</v>
      </c>
      <c r="AP384" s="3">
        <f ca="1">IFERROR(__xludf.DUMMYFUNCTION("""COMPUTED_VALUE"""),8438088)</f>
        <v>8438088</v>
      </c>
      <c r="AQ384" s="4">
        <f ca="1">IFERROR(__xludf.DUMMYFUNCTION("""COMPUTED_VALUE"""),42678.6666666666)</f>
        <v>42678.666666666599</v>
      </c>
      <c r="AR384" s="3">
        <f ca="1">IFERROR(__xludf.DUMMYFUNCTION("""COMPUTED_VALUE"""),46.24)</f>
        <v>46.24</v>
      </c>
      <c r="AS384" s="3">
        <f ca="1">IFERROR(__xludf.DUMMYFUNCTION("""COMPUTED_VALUE"""),46.65)</f>
        <v>46.65</v>
      </c>
      <c r="AT384" s="3">
        <f ca="1">IFERROR(__xludf.DUMMYFUNCTION("""COMPUTED_VALUE"""),46.17)</f>
        <v>46.17</v>
      </c>
      <c r="AU384" s="3">
        <f ca="1">IFERROR(__xludf.DUMMYFUNCTION("""COMPUTED_VALUE"""),46.4)</f>
        <v>46.4</v>
      </c>
      <c r="AV384" s="3">
        <f ca="1">IFERROR(__xludf.DUMMYFUNCTION("""COMPUTED_VALUE"""),4415660)</f>
        <v>4415660</v>
      </c>
      <c r="AW384" s="4">
        <f ca="1">IFERROR(__xludf.DUMMYFUNCTION("""COMPUTED_VALUE"""),42846.6666666666)</f>
        <v>42846.666666666599</v>
      </c>
      <c r="AX384" s="3">
        <f ca="1">IFERROR(__xludf.DUMMYFUNCTION("""COMPUTED_VALUE"""),32.4)</f>
        <v>32.4</v>
      </c>
      <c r="AY384" s="3">
        <f ca="1">IFERROR(__xludf.DUMMYFUNCTION("""COMPUTED_VALUE"""),32.54)</f>
        <v>32.54</v>
      </c>
      <c r="AZ384" s="3">
        <f ca="1">IFERROR(__xludf.DUMMYFUNCTION("""COMPUTED_VALUE"""),32.25)</f>
        <v>32.25</v>
      </c>
      <c r="BA384" s="3">
        <f ca="1">IFERROR(__xludf.DUMMYFUNCTION("""COMPUTED_VALUE"""),32.33)</f>
        <v>32.33</v>
      </c>
      <c r="BB384" s="3">
        <f ca="1">IFERROR(__xludf.DUMMYFUNCTION("""COMPUTED_VALUE"""),2376719)</f>
        <v>2376719</v>
      </c>
      <c r="BC384" s="4">
        <f ca="1">IFERROR(__xludf.DUMMYFUNCTION("""COMPUTED_VALUE"""),42678.6666666666)</f>
        <v>42678.666666666599</v>
      </c>
      <c r="BD384" s="3">
        <f ca="1">IFERROR(__xludf.DUMMYFUNCTION("""COMPUTED_VALUE"""),46.22)</f>
        <v>46.22</v>
      </c>
      <c r="BE384" s="3">
        <f ca="1">IFERROR(__xludf.DUMMYFUNCTION("""COMPUTED_VALUE"""),46.55)</f>
        <v>46.55</v>
      </c>
      <c r="BF384" s="3">
        <f ca="1">IFERROR(__xludf.DUMMYFUNCTION("""COMPUTED_VALUE"""),46.06)</f>
        <v>46.06</v>
      </c>
      <c r="BG384" s="3">
        <f ca="1">IFERROR(__xludf.DUMMYFUNCTION("""COMPUTED_VALUE"""),46.18)</f>
        <v>46.18</v>
      </c>
      <c r="BH384" s="3">
        <f ca="1">IFERROR(__xludf.DUMMYFUNCTION("""COMPUTED_VALUE"""),8153967)</f>
        <v>8153967</v>
      </c>
      <c r="BI384" s="4">
        <f ca="1">IFERROR(__xludf.DUMMYFUNCTION("""COMPUTED_VALUE"""),42678.6666666666)</f>
        <v>42678.666666666599</v>
      </c>
      <c r="BJ384" s="3">
        <f ca="1">IFERROR(__xludf.DUMMYFUNCTION("""COMPUTED_VALUE"""),48.29)</f>
        <v>48.29</v>
      </c>
      <c r="BK384" s="3">
        <f ca="1">IFERROR(__xludf.DUMMYFUNCTION("""COMPUTED_VALUE"""),48.75)</f>
        <v>48.75</v>
      </c>
      <c r="BL384" s="3">
        <f ca="1">IFERROR(__xludf.DUMMYFUNCTION("""COMPUTED_VALUE"""),47.92)</f>
        <v>47.92</v>
      </c>
      <c r="BM384" s="3">
        <f ca="1">IFERROR(__xludf.DUMMYFUNCTION("""COMPUTED_VALUE"""),47.95)</f>
        <v>47.95</v>
      </c>
      <c r="BN384" s="3">
        <f ca="1">IFERROR(__xludf.DUMMYFUNCTION("""COMPUTED_VALUE"""),14557212)</f>
        <v>14557212</v>
      </c>
    </row>
    <row r="385" spans="7:66" ht="13" x14ac:dyDescent="0.15">
      <c r="G385" s="4">
        <f ca="1">IFERROR(__xludf.DUMMYFUNCTION("""COMPUTED_VALUE"""),42681.6666666666)</f>
        <v>42681.666666666599</v>
      </c>
      <c r="H385" s="3">
        <f ca="1">IFERROR(__xludf.DUMMYFUNCTION("""COMPUTED_VALUE"""),77.83)</f>
        <v>77.83</v>
      </c>
      <c r="I385" s="3">
        <f ca="1">IFERROR(__xludf.DUMMYFUNCTION("""COMPUTED_VALUE"""),78.51)</f>
        <v>78.510000000000005</v>
      </c>
      <c r="J385" s="3">
        <f ca="1">IFERROR(__xludf.DUMMYFUNCTION("""COMPUTED_VALUE"""),77.59)</f>
        <v>77.59</v>
      </c>
      <c r="K385" s="3">
        <f ca="1">IFERROR(__xludf.DUMMYFUNCTION("""COMPUTED_VALUE"""),78.5)</f>
        <v>78.5</v>
      </c>
      <c r="L385" s="3">
        <f ca="1">IFERROR(__xludf.DUMMYFUNCTION("""COMPUTED_VALUE"""),7143701)</f>
        <v>7143701</v>
      </c>
      <c r="M385" s="4">
        <f ca="1">IFERROR(__xludf.DUMMYFUNCTION("""COMPUTED_VALUE"""),42681.6666666666)</f>
        <v>42681.666666666599</v>
      </c>
      <c r="N385" s="3">
        <f ca="1">IFERROR(__xludf.DUMMYFUNCTION("""COMPUTED_VALUE"""),52.05)</f>
        <v>52.05</v>
      </c>
      <c r="O385" s="3">
        <f ca="1">IFERROR(__xludf.DUMMYFUNCTION("""COMPUTED_VALUE"""),52.51)</f>
        <v>52.51</v>
      </c>
      <c r="P385" s="3">
        <f ca="1">IFERROR(__xludf.DUMMYFUNCTION("""COMPUTED_VALUE"""),52.02)</f>
        <v>52.02</v>
      </c>
      <c r="Q385" s="3">
        <f ca="1">IFERROR(__xludf.DUMMYFUNCTION("""COMPUTED_VALUE"""),52.48)</f>
        <v>52.48</v>
      </c>
      <c r="R385" s="3">
        <f ca="1">IFERROR(__xludf.DUMMYFUNCTION("""COMPUTED_VALUE"""),11763039)</f>
        <v>11763039</v>
      </c>
      <c r="S385" s="4">
        <f ca="1">IFERROR(__xludf.DUMMYFUNCTION("""COMPUTED_VALUE"""),42681.6666666666)</f>
        <v>42681.666666666599</v>
      </c>
      <c r="T385" s="3">
        <f ca="1">IFERROR(__xludf.DUMMYFUNCTION("""COMPUTED_VALUE"""),68.54)</f>
        <v>68.540000000000006</v>
      </c>
      <c r="U385" s="3">
        <f ca="1">IFERROR(__xludf.DUMMYFUNCTION("""COMPUTED_VALUE"""),69.27)</f>
        <v>69.27</v>
      </c>
      <c r="V385" s="3">
        <f ca="1">IFERROR(__xludf.DUMMYFUNCTION("""COMPUTED_VALUE"""),68.54)</f>
        <v>68.540000000000006</v>
      </c>
      <c r="W385" s="3">
        <f ca="1">IFERROR(__xludf.DUMMYFUNCTION("""COMPUTED_VALUE"""),69.23)</f>
        <v>69.23</v>
      </c>
      <c r="X385" s="3">
        <f ca="1">IFERROR(__xludf.DUMMYFUNCTION("""COMPUTED_VALUE"""),14799517)</f>
        <v>14799517</v>
      </c>
      <c r="Y385" s="4">
        <f ca="1">IFERROR(__xludf.DUMMYFUNCTION("""COMPUTED_VALUE"""),42681.6666666666)</f>
        <v>42681.666666666599</v>
      </c>
      <c r="Z385" s="3">
        <f ca="1">IFERROR(__xludf.DUMMYFUNCTION("""COMPUTED_VALUE"""),19.82)</f>
        <v>19.82</v>
      </c>
      <c r="AA385" s="3">
        <f ca="1">IFERROR(__xludf.DUMMYFUNCTION("""COMPUTED_VALUE"""),19.99)</f>
        <v>19.989999999999998</v>
      </c>
      <c r="AB385" s="3">
        <f ca="1">IFERROR(__xludf.DUMMYFUNCTION("""COMPUTED_VALUE"""),19.8)</f>
        <v>19.8</v>
      </c>
      <c r="AC385" s="3">
        <f ca="1">IFERROR(__xludf.DUMMYFUNCTION("""COMPUTED_VALUE"""),19.98)</f>
        <v>19.98</v>
      </c>
      <c r="AD385" s="3">
        <f ca="1">IFERROR(__xludf.DUMMYFUNCTION("""COMPUTED_VALUE"""),59001803)</f>
        <v>59001803</v>
      </c>
      <c r="AE385" s="4">
        <f ca="1">IFERROR(__xludf.DUMMYFUNCTION("""COMPUTED_VALUE"""),42681.6666666666)</f>
        <v>42681.666666666599</v>
      </c>
      <c r="AF385" s="3">
        <f ca="1">IFERROR(__xludf.DUMMYFUNCTION("""COMPUTED_VALUE"""),67.2)</f>
        <v>67.2</v>
      </c>
      <c r="AG385" s="3">
        <f ca="1">IFERROR(__xludf.DUMMYFUNCTION("""COMPUTED_VALUE"""),68.36)</f>
        <v>68.36</v>
      </c>
      <c r="AH385" s="3">
        <f ca="1">IFERROR(__xludf.DUMMYFUNCTION("""COMPUTED_VALUE"""),67.16)</f>
        <v>67.16</v>
      </c>
      <c r="AI385" s="3">
        <f ca="1">IFERROR(__xludf.DUMMYFUNCTION("""COMPUTED_VALUE"""),68.18)</f>
        <v>68.180000000000007</v>
      </c>
      <c r="AJ385" s="3">
        <f ca="1">IFERROR(__xludf.DUMMYFUNCTION("""COMPUTED_VALUE"""),17367791)</f>
        <v>17367791</v>
      </c>
      <c r="AK385" s="4">
        <f ca="1">IFERROR(__xludf.DUMMYFUNCTION("""COMPUTED_VALUE"""),42681.6666666666)</f>
        <v>42681.666666666599</v>
      </c>
      <c r="AL385" s="3">
        <f ca="1">IFERROR(__xludf.DUMMYFUNCTION("""COMPUTED_VALUE"""),57.35)</f>
        <v>57.35</v>
      </c>
      <c r="AM385" s="3">
        <f ca="1">IFERROR(__xludf.DUMMYFUNCTION("""COMPUTED_VALUE"""),57.88)</f>
        <v>57.88</v>
      </c>
      <c r="AN385" s="3">
        <f ca="1">IFERROR(__xludf.DUMMYFUNCTION("""COMPUTED_VALUE"""),57.31)</f>
        <v>57.31</v>
      </c>
      <c r="AO385" s="3">
        <f ca="1">IFERROR(__xludf.DUMMYFUNCTION("""COMPUTED_VALUE"""),57.86)</f>
        <v>57.86</v>
      </c>
      <c r="AP385" s="3">
        <f ca="1">IFERROR(__xludf.DUMMYFUNCTION("""COMPUTED_VALUE"""),13794054)</f>
        <v>13794054</v>
      </c>
      <c r="AQ385" s="4">
        <f ca="1">IFERROR(__xludf.DUMMYFUNCTION("""COMPUTED_VALUE"""),42681.6666666666)</f>
        <v>42681.666666666599</v>
      </c>
      <c r="AR385" s="3">
        <f ca="1">IFERROR(__xludf.DUMMYFUNCTION("""COMPUTED_VALUE"""),46.94)</f>
        <v>46.94</v>
      </c>
      <c r="AS385" s="3">
        <f ca="1">IFERROR(__xludf.DUMMYFUNCTION("""COMPUTED_VALUE"""),47.11)</f>
        <v>47.11</v>
      </c>
      <c r="AT385" s="3">
        <f ca="1">IFERROR(__xludf.DUMMYFUNCTION("""COMPUTED_VALUE"""),46.79)</f>
        <v>46.79</v>
      </c>
      <c r="AU385" s="3">
        <f ca="1">IFERROR(__xludf.DUMMYFUNCTION("""COMPUTED_VALUE"""),47.11)</f>
        <v>47.11</v>
      </c>
      <c r="AV385" s="3">
        <f ca="1">IFERROR(__xludf.DUMMYFUNCTION("""COMPUTED_VALUE"""),7098546)</f>
        <v>7098546</v>
      </c>
      <c r="AW385" s="4">
        <f ca="1">IFERROR(__xludf.DUMMYFUNCTION("""COMPUTED_VALUE"""),42849.6666666666)</f>
        <v>42849.666666666599</v>
      </c>
      <c r="AX385" s="3">
        <f ca="1">IFERROR(__xludf.DUMMYFUNCTION("""COMPUTED_VALUE"""),32.46)</f>
        <v>32.46</v>
      </c>
      <c r="AY385" s="3">
        <f ca="1">IFERROR(__xludf.DUMMYFUNCTION("""COMPUTED_VALUE"""),32.5)</f>
        <v>32.5</v>
      </c>
      <c r="AZ385" s="3">
        <f ca="1">IFERROR(__xludf.DUMMYFUNCTION("""COMPUTED_VALUE"""),31.77)</f>
        <v>31.77</v>
      </c>
      <c r="BA385" s="3">
        <f ca="1">IFERROR(__xludf.DUMMYFUNCTION("""COMPUTED_VALUE"""),32.01)</f>
        <v>32.01</v>
      </c>
      <c r="BB385" s="3">
        <f ca="1">IFERROR(__xludf.DUMMYFUNCTION("""COMPUTED_VALUE"""),1928038)</f>
        <v>1928038</v>
      </c>
      <c r="BC385" s="4">
        <f ca="1">IFERROR(__xludf.DUMMYFUNCTION("""COMPUTED_VALUE"""),42681.6666666666)</f>
        <v>42681.666666666599</v>
      </c>
      <c r="BD385" s="3">
        <f ca="1">IFERROR(__xludf.DUMMYFUNCTION("""COMPUTED_VALUE"""),46.86)</f>
        <v>46.86</v>
      </c>
      <c r="BE385" s="3">
        <f ca="1">IFERROR(__xludf.DUMMYFUNCTION("""COMPUTED_VALUE"""),47.2)</f>
        <v>47.2</v>
      </c>
      <c r="BF385" s="3">
        <f ca="1">IFERROR(__xludf.DUMMYFUNCTION("""COMPUTED_VALUE"""),46.75)</f>
        <v>46.75</v>
      </c>
      <c r="BG385" s="3">
        <f ca="1">IFERROR(__xludf.DUMMYFUNCTION("""COMPUTED_VALUE"""),47.18)</f>
        <v>47.18</v>
      </c>
      <c r="BH385" s="3">
        <f ca="1">IFERROR(__xludf.DUMMYFUNCTION("""COMPUTED_VALUE"""),13225998)</f>
        <v>13225998</v>
      </c>
      <c r="BI385" s="4">
        <f ca="1">IFERROR(__xludf.DUMMYFUNCTION("""COMPUTED_VALUE"""),42681.6666666666)</f>
        <v>42681.666666666599</v>
      </c>
      <c r="BJ385" s="3">
        <f ca="1">IFERROR(__xludf.DUMMYFUNCTION("""COMPUTED_VALUE"""),48.15)</f>
        <v>48.15</v>
      </c>
      <c r="BK385" s="3">
        <f ca="1">IFERROR(__xludf.DUMMYFUNCTION("""COMPUTED_VALUE"""),48.8)</f>
        <v>48.8</v>
      </c>
      <c r="BL385" s="3">
        <f ca="1">IFERROR(__xludf.DUMMYFUNCTION("""COMPUTED_VALUE"""),47.69)</f>
        <v>47.69</v>
      </c>
      <c r="BM385" s="3">
        <f ca="1">IFERROR(__xludf.DUMMYFUNCTION("""COMPUTED_VALUE"""),48.79)</f>
        <v>48.79</v>
      </c>
      <c r="BN385" s="3">
        <f ca="1">IFERROR(__xludf.DUMMYFUNCTION("""COMPUTED_VALUE"""),17728111)</f>
        <v>17728111</v>
      </c>
    </row>
    <row r="386" spans="7:66" ht="13" x14ac:dyDescent="0.15">
      <c r="G386" s="4">
        <f ca="1">IFERROR(__xludf.DUMMYFUNCTION("""COMPUTED_VALUE"""),42682.6666666666)</f>
        <v>42682.666666666599</v>
      </c>
      <c r="H386" s="3">
        <f ca="1">IFERROR(__xludf.DUMMYFUNCTION("""COMPUTED_VALUE"""),78.5)</f>
        <v>78.5</v>
      </c>
      <c r="I386" s="3">
        <f ca="1">IFERROR(__xludf.DUMMYFUNCTION("""COMPUTED_VALUE"""),79.15)</f>
        <v>79.150000000000006</v>
      </c>
      <c r="J386" s="3">
        <f ca="1">IFERROR(__xludf.DUMMYFUNCTION("""COMPUTED_VALUE"""),78.3)</f>
        <v>78.3</v>
      </c>
      <c r="K386" s="3">
        <f ca="1">IFERROR(__xludf.DUMMYFUNCTION("""COMPUTED_VALUE"""),78.82)</f>
        <v>78.819999999999993</v>
      </c>
      <c r="L386" s="3">
        <f ca="1">IFERROR(__xludf.DUMMYFUNCTION("""COMPUTED_VALUE"""),5325195)</f>
        <v>5325195</v>
      </c>
      <c r="M386" s="4">
        <f ca="1">IFERROR(__xludf.DUMMYFUNCTION("""COMPUTED_VALUE"""),42682.6666666666)</f>
        <v>42682.666666666599</v>
      </c>
      <c r="N386" s="3">
        <f ca="1">IFERROR(__xludf.DUMMYFUNCTION("""COMPUTED_VALUE"""),52.1)</f>
        <v>52.1</v>
      </c>
      <c r="O386" s="3">
        <f ca="1">IFERROR(__xludf.DUMMYFUNCTION("""COMPUTED_VALUE"""),52.86)</f>
        <v>52.86</v>
      </c>
      <c r="P386" s="3">
        <f ca="1">IFERROR(__xludf.DUMMYFUNCTION("""COMPUTED_VALUE"""),52.05)</f>
        <v>52.05</v>
      </c>
      <c r="Q386" s="3">
        <f ca="1">IFERROR(__xludf.DUMMYFUNCTION("""COMPUTED_VALUE"""),52.7)</f>
        <v>52.7</v>
      </c>
      <c r="R386" s="3">
        <f ca="1">IFERROR(__xludf.DUMMYFUNCTION("""COMPUTED_VALUE"""),13406760)</f>
        <v>13406760</v>
      </c>
      <c r="S386" s="4">
        <f ca="1">IFERROR(__xludf.DUMMYFUNCTION("""COMPUTED_VALUE"""),42682.6666666666)</f>
        <v>42682.666666666599</v>
      </c>
      <c r="T386" s="3">
        <f ca="1">IFERROR(__xludf.DUMMYFUNCTION("""COMPUTED_VALUE"""),68.89)</f>
        <v>68.89</v>
      </c>
      <c r="U386" s="3">
        <f ca="1">IFERROR(__xludf.DUMMYFUNCTION("""COMPUTED_VALUE"""),69.71)</f>
        <v>69.709999999999994</v>
      </c>
      <c r="V386" s="3">
        <f ca="1">IFERROR(__xludf.DUMMYFUNCTION("""COMPUTED_VALUE"""),68.79)</f>
        <v>68.790000000000006</v>
      </c>
      <c r="W386" s="3">
        <f ca="1">IFERROR(__xludf.DUMMYFUNCTION("""COMPUTED_VALUE"""),69.32)</f>
        <v>69.319999999999993</v>
      </c>
      <c r="X386" s="3">
        <f ca="1">IFERROR(__xludf.DUMMYFUNCTION("""COMPUTED_VALUE"""),11208708)</f>
        <v>11208708</v>
      </c>
      <c r="Y386" s="4">
        <f ca="1">IFERROR(__xludf.DUMMYFUNCTION("""COMPUTED_VALUE"""),42682.6666666666)</f>
        <v>42682.666666666599</v>
      </c>
      <c r="Z386" s="3">
        <f ca="1">IFERROR(__xludf.DUMMYFUNCTION("""COMPUTED_VALUE"""),19.92)</f>
        <v>19.920000000000002</v>
      </c>
      <c r="AA386" s="3">
        <f ca="1">IFERROR(__xludf.DUMMYFUNCTION("""COMPUTED_VALUE"""),20.09)</f>
        <v>20.09</v>
      </c>
      <c r="AB386" s="3">
        <f ca="1">IFERROR(__xludf.DUMMYFUNCTION("""COMPUTED_VALUE"""),19.79)</f>
        <v>19.79</v>
      </c>
      <c r="AC386" s="3">
        <f ca="1">IFERROR(__xludf.DUMMYFUNCTION("""COMPUTED_VALUE"""),19.99)</f>
        <v>19.989999999999998</v>
      </c>
      <c r="AD386" s="3">
        <f ca="1">IFERROR(__xludf.DUMMYFUNCTION("""COMPUTED_VALUE"""),63290418)</f>
        <v>63290418</v>
      </c>
      <c r="AE386" s="4">
        <f ca="1">IFERROR(__xludf.DUMMYFUNCTION("""COMPUTED_VALUE"""),42682.6666666666)</f>
        <v>42682.666666666599</v>
      </c>
      <c r="AF386" s="3">
        <f ca="1">IFERROR(__xludf.DUMMYFUNCTION("""COMPUTED_VALUE"""),67.74)</f>
        <v>67.739999999999995</v>
      </c>
      <c r="AG386" s="3">
        <f ca="1">IFERROR(__xludf.DUMMYFUNCTION("""COMPUTED_VALUE"""),68.83)</f>
        <v>68.83</v>
      </c>
      <c r="AH386" s="3">
        <f ca="1">IFERROR(__xludf.DUMMYFUNCTION("""COMPUTED_VALUE"""),67.65)</f>
        <v>67.650000000000006</v>
      </c>
      <c r="AI386" s="3">
        <f ca="1">IFERROR(__xludf.DUMMYFUNCTION("""COMPUTED_VALUE"""),68.37)</f>
        <v>68.37</v>
      </c>
      <c r="AJ386" s="3">
        <f ca="1">IFERROR(__xludf.DUMMYFUNCTION("""COMPUTED_VALUE"""),15943912)</f>
        <v>15943912</v>
      </c>
      <c r="AK386" s="4">
        <f ca="1">IFERROR(__xludf.DUMMYFUNCTION("""COMPUTED_VALUE"""),42682.6666666666)</f>
        <v>42682.666666666599</v>
      </c>
      <c r="AL386" s="3">
        <f ca="1">IFERROR(__xludf.DUMMYFUNCTION("""COMPUTED_VALUE"""),57.89)</f>
        <v>57.89</v>
      </c>
      <c r="AM386" s="3">
        <f ca="1">IFERROR(__xludf.DUMMYFUNCTION("""COMPUTED_VALUE"""),58.39)</f>
        <v>58.39</v>
      </c>
      <c r="AN386" s="3">
        <f ca="1">IFERROR(__xludf.DUMMYFUNCTION("""COMPUTED_VALUE"""),57.76)</f>
        <v>57.76</v>
      </c>
      <c r="AO386" s="3">
        <f ca="1">IFERROR(__xludf.DUMMYFUNCTION("""COMPUTED_VALUE"""),58.21)</f>
        <v>58.21</v>
      </c>
      <c r="AP386" s="3">
        <f ca="1">IFERROR(__xludf.DUMMYFUNCTION("""COMPUTED_VALUE"""),12073896)</f>
        <v>12073896</v>
      </c>
      <c r="AQ386" s="4">
        <f ca="1">IFERROR(__xludf.DUMMYFUNCTION("""COMPUTED_VALUE"""),42682.6666666666)</f>
        <v>42682.666666666599</v>
      </c>
      <c r="AR386" s="3">
        <f ca="1">IFERROR(__xludf.DUMMYFUNCTION("""COMPUTED_VALUE"""),46.99)</f>
        <v>46.99</v>
      </c>
      <c r="AS386" s="3">
        <f ca="1">IFERROR(__xludf.DUMMYFUNCTION("""COMPUTED_VALUE"""),47.41)</f>
        <v>47.41</v>
      </c>
      <c r="AT386" s="3">
        <f ca="1">IFERROR(__xludf.DUMMYFUNCTION("""COMPUTED_VALUE"""),46.89)</f>
        <v>46.89</v>
      </c>
      <c r="AU386" s="3">
        <f ca="1">IFERROR(__xludf.DUMMYFUNCTION("""COMPUTED_VALUE"""),47.26)</f>
        <v>47.26</v>
      </c>
      <c r="AV386" s="3">
        <f ca="1">IFERROR(__xludf.DUMMYFUNCTION("""COMPUTED_VALUE"""),5291849)</f>
        <v>5291849</v>
      </c>
      <c r="AW386" s="4">
        <f ca="1">IFERROR(__xludf.DUMMYFUNCTION("""COMPUTED_VALUE"""),42850.6666666666)</f>
        <v>42850.666666666599</v>
      </c>
      <c r="AX386" s="3">
        <f ca="1">IFERROR(__xludf.DUMMYFUNCTION("""COMPUTED_VALUE"""),32.07)</f>
        <v>32.07</v>
      </c>
      <c r="AY386" s="3">
        <f ca="1">IFERROR(__xludf.DUMMYFUNCTION("""COMPUTED_VALUE"""),32.13)</f>
        <v>32.130000000000003</v>
      </c>
      <c r="AZ386" s="3">
        <f ca="1">IFERROR(__xludf.DUMMYFUNCTION("""COMPUTED_VALUE"""),31.96)</f>
        <v>31.96</v>
      </c>
      <c r="BA386" s="3">
        <f ca="1">IFERROR(__xludf.DUMMYFUNCTION("""COMPUTED_VALUE"""),32.08)</f>
        <v>32.08</v>
      </c>
      <c r="BB386" s="3">
        <f ca="1">IFERROR(__xludf.DUMMYFUNCTION("""COMPUTED_VALUE"""),1458486)</f>
        <v>1458486</v>
      </c>
      <c r="BC386" s="4">
        <f ca="1">IFERROR(__xludf.DUMMYFUNCTION("""COMPUTED_VALUE"""),42682.6666666666)</f>
        <v>42682.666666666599</v>
      </c>
      <c r="BD386" s="3">
        <f ca="1">IFERROR(__xludf.DUMMYFUNCTION("""COMPUTED_VALUE"""),47.09)</f>
        <v>47.09</v>
      </c>
      <c r="BE386" s="3">
        <f ca="1">IFERROR(__xludf.DUMMYFUNCTION("""COMPUTED_VALUE"""),47.61)</f>
        <v>47.61</v>
      </c>
      <c r="BF386" s="3">
        <f ca="1">IFERROR(__xludf.DUMMYFUNCTION("""COMPUTED_VALUE"""),47.04)</f>
        <v>47.04</v>
      </c>
      <c r="BG386" s="3">
        <f ca="1">IFERROR(__xludf.DUMMYFUNCTION("""COMPUTED_VALUE"""),47.41)</f>
        <v>47.41</v>
      </c>
      <c r="BH386" s="3">
        <f ca="1">IFERROR(__xludf.DUMMYFUNCTION("""COMPUTED_VALUE"""),9780031)</f>
        <v>9780031</v>
      </c>
      <c r="BI386" s="4">
        <f ca="1">IFERROR(__xludf.DUMMYFUNCTION("""COMPUTED_VALUE"""),42682.6666666666)</f>
        <v>42682.666666666599</v>
      </c>
      <c r="BJ386" s="3">
        <f ca="1">IFERROR(__xludf.DUMMYFUNCTION("""COMPUTED_VALUE"""),48.85)</f>
        <v>48.85</v>
      </c>
      <c r="BK386" s="3">
        <f ca="1">IFERROR(__xludf.DUMMYFUNCTION("""COMPUTED_VALUE"""),49.36)</f>
        <v>49.36</v>
      </c>
      <c r="BL386" s="3">
        <f ca="1">IFERROR(__xludf.DUMMYFUNCTION("""COMPUTED_VALUE"""),48.77)</f>
        <v>48.77</v>
      </c>
      <c r="BM386" s="3">
        <f ca="1">IFERROR(__xludf.DUMMYFUNCTION("""COMPUTED_VALUE"""),49.17)</f>
        <v>49.17</v>
      </c>
      <c r="BN386" s="3">
        <f ca="1">IFERROR(__xludf.DUMMYFUNCTION("""COMPUTED_VALUE"""),18847911)</f>
        <v>18847911</v>
      </c>
    </row>
    <row r="387" spans="7:66" ht="13" x14ac:dyDescent="0.15">
      <c r="G387" s="4">
        <f ca="1">IFERROR(__xludf.DUMMYFUNCTION("""COMPUTED_VALUE"""),42683.6666666666)</f>
        <v>42683.666666666599</v>
      </c>
      <c r="H387" s="3">
        <f ca="1">IFERROR(__xludf.DUMMYFUNCTION("""COMPUTED_VALUE"""),77.17)</f>
        <v>77.17</v>
      </c>
      <c r="I387" s="3">
        <f ca="1">IFERROR(__xludf.DUMMYFUNCTION("""COMPUTED_VALUE"""),79.12)</f>
        <v>79.12</v>
      </c>
      <c r="J387" s="3">
        <f ca="1">IFERROR(__xludf.DUMMYFUNCTION("""COMPUTED_VALUE"""),76.98)</f>
        <v>76.98</v>
      </c>
      <c r="K387" s="3">
        <f ca="1">IFERROR(__xludf.DUMMYFUNCTION("""COMPUTED_VALUE"""),78.98)</f>
        <v>78.98</v>
      </c>
      <c r="L387" s="3">
        <f ca="1">IFERROR(__xludf.DUMMYFUNCTION("""COMPUTED_VALUE"""),11425598)</f>
        <v>11425598</v>
      </c>
      <c r="M387" s="4">
        <f ca="1">IFERROR(__xludf.DUMMYFUNCTION("""COMPUTED_VALUE"""),42683.6666666666)</f>
        <v>42683.666666666599</v>
      </c>
      <c r="N387" s="3">
        <f ca="1">IFERROR(__xludf.DUMMYFUNCTION("""COMPUTED_VALUE"""),51.62)</f>
        <v>51.62</v>
      </c>
      <c r="O387" s="3">
        <f ca="1">IFERROR(__xludf.DUMMYFUNCTION("""COMPUTED_VALUE"""),52.15)</f>
        <v>52.15</v>
      </c>
      <c r="P387" s="3">
        <f ca="1">IFERROR(__xludf.DUMMYFUNCTION("""COMPUTED_VALUE"""),51.27)</f>
        <v>51.27</v>
      </c>
      <c r="Q387" s="3">
        <f ca="1">IFERROR(__xludf.DUMMYFUNCTION("""COMPUTED_VALUE"""),51.98)</f>
        <v>51.98</v>
      </c>
      <c r="R387" s="3">
        <f ca="1">IFERROR(__xludf.DUMMYFUNCTION("""COMPUTED_VALUE"""),34557160)</f>
        <v>34557160</v>
      </c>
      <c r="S387" s="4">
        <f ca="1">IFERROR(__xludf.DUMMYFUNCTION("""COMPUTED_VALUE"""),42683.6666666666)</f>
        <v>42683.666666666599</v>
      </c>
      <c r="T387" s="3">
        <f ca="1">IFERROR(__xludf.DUMMYFUNCTION("""COMPUTED_VALUE"""),69.56)</f>
        <v>69.56</v>
      </c>
      <c r="U387" s="3">
        <f ca="1">IFERROR(__xludf.DUMMYFUNCTION("""COMPUTED_VALUE"""),70.97)</f>
        <v>70.97</v>
      </c>
      <c r="V387" s="3">
        <f ca="1">IFERROR(__xludf.DUMMYFUNCTION("""COMPUTED_VALUE"""),68.75)</f>
        <v>68.75</v>
      </c>
      <c r="W387" s="3">
        <f ca="1">IFERROR(__xludf.DUMMYFUNCTION("""COMPUTED_VALUE"""),70.45)</f>
        <v>70.45</v>
      </c>
      <c r="X387" s="3">
        <f ca="1">IFERROR(__xludf.DUMMYFUNCTION("""COMPUTED_VALUE"""),25993774)</f>
        <v>25993774</v>
      </c>
      <c r="Y387" s="4">
        <f ca="1">IFERROR(__xludf.DUMMYFUNCTION("""COMPUTED_VALUE"""),42683.6666666666)</f>
        <v>42683.666666666599</v>
      </c>
      <c r="Z387" s="3">
        <f ca="1">IFERROR(__xludf.DUMMYFUNCTION("""COMPUTED_VALUE"""),20.54)</f>
        <v>20.54</v>
      </c>
      <c r="AA387" s="3">
        <f ca="1">IFERROR(__xludf.DUMMYFUNCTION("""COMPUTED_VALUE"""),20.94)</f>
        <v>20.94</v>
      </c>
      <c r="AB387" s="3">
        <f ca="1">IFERROR(__xludf.DUMMYFUNCTION("""COMPUTED_VALUE"""),20.11)</f>
        <v>20.11</v>
      </c>
      <c r="AC387" s="3">
        <f ca="1">IFERROR(__xludf.DUMMYFUNCTION("""COMPUTED_VALUE"""),20.84)</f>
        <v>20.84</v>
      </c>
      <c r="AD387" s="3">
        <f ca="1">IFERROR(__xludf.DUMMYFUNCTION("""COMPUTED_VALUE"""),268936640)</f>
        <v>268936640</v>
      </c>
      <c r="AE387" s="4">
        <f ca="1">IFERROR(__xludf.DUMMYFUNCTION("""COMPUTED_VALUE"""),42683.6666666666)</f>
        <v>42683.666666666599</v>
      </c>
      <c r="AF387" s="3">
        <f ca="1">IFERROR(__xludf.DUMMYFUNCTION("""COMPUTED_VALUE"""),71.31)</f>
        <v>71.31</v>
      </c>
      <c r="AG387" s="3">
        <f ca="1">IFERROR(__xludf.DUMMYFUNCTION("""COMPUTED_VALUE"""),71.57)</f>
        <v>71.569999999999993</v>
      </c>
      <c r="AH387" s="3">
        <f ca="1">IFERROR(__xludf.DUMMYFUNCTION("""COMPUTED_VALUE"""),69.26)</f>
        <v>69.260000000000005</v>
      </c>
      <c r="AI387" s="3">
        <f ca="1">IFERROR(__xludf.DUMMYFUNCTION("""COMPUTED_VALUE"""),70.78)</f>
        <v>70.78</v>
      </c>
      <c r="AJ387" s="3">
        <f ca="1">IFERROR(__xludf.DUMMYFUNCTION("""COMPUTED_VALUE"""),49750120)</f>
        <v>49750120</v>
      </c>
      <c r="AK387" s="4">
        <f ca="1">IFERROR(__xludf.DUMMYFUNCTION("""COMPUTED_VALUE"""),42683.6666666666)</f>
        <v>42683.666666666599</v>
      </c>
      <c r="AL387" s="3">
        <f ca="1">IFERROR(__xludf.DUMMYFUNCTION("""COMPUTED_VALUE"""),58.1)</f>
        <v>58.1</v>
      </c>
      <c r="AM387" s="3">
        <f ca="1">IFERROR(__xludf.DUMMYFUNCTION("""COMPUTED_VALUE"""),59.96)</f>
        <v>59.96</v>
      </c>
      <c r="AN387" s="3">
        <f ca="1">IFERROR(__xludf.DUMMYFUNCTION("""COMPUTED_VALUE"""),58.08)</f>
        <v>58.08</v>
      </c>
      <c r="AO387" s="3">
        <f ca="1">IFERROR(__xludf.DUMMYFUNCTION("""COMPUTED_VALUE"""),59.67)</f>
        <v>59.67</v>
      </c>
      <c r="AP387" s="3">
        <f ca="1">IFERROR(__xludf.DUMMYFUNCTION("""COMPUTED_VALUE"""),36607517)</f>
        <v>36607517</v>
      </c>
      <c r="AQ387" s="4">
        <f ca="1">IFERROR(__xludf.DUMMYFUNCTION("""COMPUTED_VALUE"""),42683.6666666666)</f>
        <v>42683.666666666599</v>
      </c>
      <c r="AR387" s="3">
        <f ca="1">IFERROR(__xludf.DUMMYFUNCTION("""COMPUTED_VALUE"""),47.23)</f>
        <v>47.23</v>
      </c>
      <c r="AS387" s="3">
        <f ca="1">IFERROR(__xludf.DUMMYFUNCTION("""COMPUTED_VALUE"""),48.37)</f>
        <v>48.37</v>
      </c>
      <c r="AT387" s="3">
        <f ca="1">IFERROR(__xludf.DUMMYFUNCTION("""COMPUTED_VALUE"""),46.85)</f>
        <v>46.85</v>
      </c>
      <c r="AU387" s="3">
        <f ca="1">IFERROR(__xludf.DUMMYFUNCTION("""COMPUTED_VALUE"""),48.26)</f>
        <v>48.26</v>
      </c>
      <c r="AV387" s="3">
        <f ca="1">IFERROR(__xludf.DUMMYFUNCTION("""COMPUTED_VALUE"""),14765147)</f>
        <v>14765147</v>
      </c>
      <c r="AW387" s="4">
        <f ca="1">IFERROR(__xludf.DUMMYFUNCTION("""COMPUTED_VALUE"""),42851.6666666666)</f>
        <v>42851.666666666599</v>
      </c>
      <c r="AX387" s="3">
        <f ca="1">IFERROR(__xludf.DUMMYFUNCTION("""COMPUTED_VALUE"""),32.02)</f>
        <v>32.020000000000003</v>
      </c>
      <c r="AY387" s="3">
        <f ca="1">IFERROR(__xludf.DUMMYFUNCTION("""COMPUTED_VALUE"""),32.09)</f>
        <v>32.090000000000003</v>
      </c>
      <c r="AZ387" s="3">
        <f ca="1">IFERROR(__xludf.DUMMYFUNCTION("""COMPUTED_VALUE"""),31.78)</f>
        <v>31.78</v>
      </c>
      <c r="BA387" s="3">
        <f ca="1">IFERROR(__xludf.DUMMYFUNCTION("""COMPUTED_VALUE"""),31.81)</f>
        <v>31.81</v>
      </c>
      <c r="BB387" s="3">
        <f ca="1">IFERROR(__xludf.DUMMYFUNCTION("""COMPUTED_VALUE"""),1489440)</f>
        <v>1489440</v>
      </c>
      <c r="BC387" s="4">
        <f ca="1">IFERROR(__xludf.DUMMYFUNCTION("""COMPUTED_VALUE"""),42683.6666666666)</f>
        <v>42683.666666666599</v>
      </c>
      <c r="BD387" s="3">
        <f ca="1">IFERROR(__xludf.DUMMYFUNCTION("""COMPUTED_VALUE"""),46.69)</f>
        <v>46.69</v>
      </c>
      <c r="BE387" s="3">
        <f ca="1">IFERROR(__xludf.DUMMYFUNCTION("""COMPUTED_VALUE"""),47.43)</f>
        <v>47.43</v>
      </c>
      <c r="BF387" s="3">
        <f ca="1">IFERROR(__xludf.DUMMYFUNCTION("""COMPUTED_VALUE"""),46.44)</f>
        <v>46.44</v>
      </c>
      <c r="BG387" s="3">
        <f ca="1">IFERROR(__xludf.DUMMYFUNCTION("""COMPUTED_VALUE"""),47.35)</f>
        <v>47.35</v>
      </c>
      <c r="BH387" s="3">
        <f ca="1">IFERROR(__xludf.DUMMYFUNCTION("""COMPUTED_VALUE"""),27129429)</f>
        <v>27129429</v>
      </c>
      <c r="BI387" s="4">
        <f ca="1">IFERROR(__xludf.DUMMYFUNCTION("""COMPUTED_VALUE"""),42683.6666666666)</f>
        <v>42683.666666666599</v>
      </c>
      <c r="BJ387" s="3">
        <f ca="1">IFERROR(__xludf.DUMMYFUNCTION("""COMPUTED_VALUE"""),48.31)</f>
        <v>48.31</v>
      </c>
      <c r="BK387" s="3">
        <f ca="1">IFERROR(__xludf.DUMMYFUNCTION("""COMPUTED_VALUE"""),48.35)</f>
        <v>48.35</v>
      </c>
      <c r="BL387" s="3">
        <f ca="1">IFERROR(__xludf.DUMMYFUNCTION("""COMPUTED_VALUE"""),47.28)</f>
        <v>47.28</v>
      </c>
      <c r="BM387" s="3">
        <f ca="1">IFERROR(__xludf.DUMMYFUNCTION("""COMPUTED_VALUE"""),47.36)</f>
        <v>47.36</v>
      </c>
      <c r="BN387" s="3">
        <f ca="1">IFERROR(__xludf.DUMMYFUNCTION("""COMPUTED_VALUE"""),42810214)</f>
        <v>42810214</v>
      </c>
    </row>
    <row r="388" spans="7:66" ht="13" x14ac:dyDescent="0.15">
      <c r="G388" s="4">
        <f ca="1">IFERROR(__xludf.DUMMYFUNCTION("""COMPUTED_VALUE"""),42684.6666666666)</f>
        <v>42684.666666666599</v>
      </c>
      <c r="H388" s="3">
        <f ca="1">IFERROR(__xludf.DUMMYFUNCTION("""COMPUTED_VALUE"""),79.29)</f>
        <v>79.290000000000006</v>
      </c>
      <c r="I388" s="3">
        <f ca="1">IFERROR(__xludf.DUMMYFUNCTION("""COMPUTED_VALUE"""),80.15)</f>
        <v>80.150000000000006</v>
      </c>
      <c r="J388" s="3">
        <f ca="1">IFERROR(__xludf.DUMMYFUNCTION("""COMPUTED_VALUE"""),78.67)</f>
        <v>78.67</v>
      </c>
      <c r="K388" s="3">
        <f ca="1">IFERROR(__xludf.DUMMYFUNCTION("""COMPUTED_VALUE"""),79.27)</f>
        <v>79.27</v>
      </c>
      <c r="L388" s="3">
        <f ca="1">IFERROR(__xludf.DUMMYFUNCTION("""COMPUTED_VALUE"""),16685235)</f>
        <v>16685235</v>
      </c>
      <c r="M388" s="4">
        <f ca="1">IFERROR(__xludf.DUMMYFUNCTION("""COMPUTED_VALUE"""),42684.6666666666)</f>
        <v>42684.666666666599</v>
      </c>
      <c r="N388" s="3">
        <f ca="1">IFERROR(__xludf.DUMMYFUNCTION("""COMPUTED_VALUE"""),52)</f>
        <v>52</v>
      </c>
      <c r="O388" s="3">
        <f ca="1">IFERROR(__xludf.DUMMYFUNCTION("""COMPUTED_VALUE"""),52)</f>
        <v>52</v>
      </c>
      <c r="P388" s="3">
        <f ca="1">IFERROR(__xludf.DUMMYFUNCTION("""COMPUTED_VALUE"""),50.49)</f>
        <v>50.49</v>
      </c>
      <c r="Q388" s="3">
        <f ca="1">IFERROR(__xludf.DUMMYFUNCTION("""COMPUTED_VALUE"""),50.59)</f>
        <v>50.59</v>
      </c>
      <c r="R388" s="3">
        <f ca="1">IFERROR(__xludf.DUMMYFUNCTION("""COMPUTED_VALUE"""),52820781)</f>
        <v>52820781</v>
      </c>
      <c r="S388" s="4">
        <f ca="1">IFERROR(__xludf.DUMMYFUNCTION("""COMPUTED_VALUE"""),42684.6666666666)</f>
        <v>42684.666666666599</v>
      </c>
      <c r="T388" s="3">
        <f ca="1">IFERROR(__xludf.DUMMYFUNCTION("""COMPUTED_VALUE"""),70.4)</f>
        <v>70.400000000000006</v>
      </c>
      <c r="U388" s="3">
        <f ca="1">IFERROR(__xludf.DUMMYFUNCTION("""COMPUTED_VALUE"""),71.28)</f>
        <v>71.28</v>
      </c>
      <c r="V388" s="3">
        <f ca="1">IFERROR(__xludf.DUMMYFUNCTION("""COMPUTED_VALUE"""),70.16)</f>
        <v>70.16</v>
      </c>
      <c r="W388" s="3">
        <f ca="1">IFERROR(__xludf.DUMMYFUNCTION("""COMPUTED_VALUE"""),70.75)</f>
        <v>70.75</v>
      </c>
      <c r="X388" s="3">
        <f ca="1">IFERROR(__xludf.DUMMYFUNCTION("""COMPUTED_VALUE"""),20634829)</f>
        <v>20634829</v>
      </c>
      <c r="Y388" s="4">
        <f ca="1">IFERROR(__xludf.DUMMYFUNCTION("""COMPUTED_VALUE"""),42684.6666666666)</f>
        <v>42684.666666666599</v>
      </c>
      <c r="Z388" s="3">
        <f ca="1">IFERROR(__xludf.DUMMYFUNCTION("""COMPUTED_VALUE"""),21.16)</f>
        <v>21.16</v>
      </c>
      <c r="AA388" s="3">
        <f ca="1">IFERROR(__xludf.DUMMYFUNCTION("""COMPUTED_VALUE"""),21.7)</f>
        <v>21.7</v>
      </c>
      <c r="AB388" s="3">
        <f ca="1">IFERROR(__xludf.DUMMYFUNCTION("""COMPUTED_VALUE"""),21.08)</f>
        <v>21.08</v>
      </c>
      <c r="AC388" s="3">
        <f ca="1">IFERROR(__xludf.DUMMYFUNCTION("""COMPUTED_VALUE"""),21.61)</f>
        <v>21.61</v>
      </c>
      <c r="AD388" s="3">
        <f ca="1">IFERROR(__xludf.DUMMYFUNCTION("""COMPUTED_VALUE"""),241635544)</f>
        <v>241635544</v>
      </c>
      <c r="AE388" s="4">
        <f ca="1">IFERROR(__xludf.DUMMYFUNCTION("""COMPUTED_VALUE"""),42684.6666666666)</f>
        <v>42684.666666666599</v>
      </c>
      <c r="AF388" s="3">
        <f ca="1">IFERROR(__xludf.DUMMYFUNCTION("""COMPUTED_VALUE"""),71.94)</f>
        <v>71.94</v>
      </c>
      <c r="AG388" s="3">
        <f ca="1">IFERROR(__xludf.DUMMYFUNCTION("""COMPUTED_VALUE"""),72.08)</f>
        <v>72.08</v>
      </c>
      <c r="AH388" s="3">
        <f ca="1">IFERROR(__xludf.DUMMYFUNCTION("""COMPUTED_VALUE"""),71.06)</f>
        <v>71.06</v>
      </c>
      <c r="AI388" s="3">
        <f ca="1">IFERROR(__xludf.DUMMYFUNCTION("""COMPUTED_VALUE"""),71.56)</f>
        <v>71.56</v>
      </c>
      <c r="AJ388" s="3">
        <f ca="1">IFERROR(__xludf.DUMMYFUNCTION("""COMPUTED_VALUE"""),28379153)</f>
        <v>28379153</v>
      </c>
      <c r="AK388" s="4">
        <f ca="1">IFERROR(__xludf.DUMMYFUNCTION("""COMPUTED_VALUE"""),42684.6666666666)</f>
        <v>42684.666666666599</v>
      </c>
      <c r="AL388" s="3">
        <f ca="1">IFERROR(__xludf.DUMMYFUNCTION("""COMPUTED_VALUE"""),60.3)</f>
        <v>60.3</v>
      </c>
      <c r="AM388" s="3">
        <f ca="1">IFERROR(__xludf.DUMMYFUNCTION("""COMPUTED_VALUE"""),61.04)</f>
        <v>61.04</v>
      </c>
      <c r="AN388" s="3">
        <f ca="1">IFERROR(__xludf.DUMMYFUNCTION("""COMPUTED_VALUE"""),60.13)</f>
        <v>60.13</v>
      </c>
      <c r="AO388" s="3">
        <f ca="1">IFERROR(__xludf.DUMMYFUNCTION("""COMPUTED_VALUE"""),60.94)</f>
        <v>60.94</v>
      </c>
      <c r="AP388" s="3">
        <f ca="1">IFERROR(__xludf.DUMMYFUNCTION("""COMPUTED_VALUE"""),41589801)</f>
        <v>41589801</v>
      </c>
      <c r="AQ388" s="4">
        <f ca="1">IFERROR(__xludf.DUMMYFUNCTION("""COMPUTED_VALUE"""),42684.6666666666)</f>
        <v>42684.666666666599</v>
      </c>
      <c r="AR388" s="3">
        <f ca="1">IFERROR(__xludf.DUMMYFUNCTION("""COMPUTED_VALUE"""),48.48)</f>
        <v>48.48</v>
      </c>
      <c r="AS388" s="3">
        <f ca="1">IFERROR(__xludf.DUMMYFUNCTION("""COMPUTED_VALUE"""),49.06)</f>
        <v>49.06</v>
      </c>
      <c r="AT388" s="3">
        <f ca="1">IFERROR(__xludf.DUMMYFUNCTION("""COMPUTED_VALUE"""),48.46)</f>
        <v>48.46</v>
      </c>
      <c r="AU388" s="3">
        <f ca="1">IFERROR(__xludf.DUMMYFUNCTION("""COMPUTED_VALUE"""),48.82)</f>
        <v>48.82</v>
      </c>
      <c r="AV388" s="3">
        <f ca="1">IFERROR(__xludf.DUMMYFUNCTION("""COMPUTED_VALUE"""),20335357)</f>
        <v>20335357</v>
      </c>
      <c r="AW388" s="4">
        <f ca="1">IFERROR(__xludf.DUMMYFUNCTION("""COMPUTED_VALUE"""),42852.6666666666)</f>
        <v>42852.666666666599</v>
      </c>
      <c r="AX388" s="3">
        <f ca="1">IFERROR(__xludf.DUMMYFUNCTION("""COMPUTED_VALUE"""),31.82)</f>
        <v>31.82</v>
      </c>
      <c r="AY388" s="3">
        <f ca="1">IFERROR(__xludf.DUMMYFUNCTION("""COMPUTED_VALUE"""),32.02)</f>
        <v>32.020000000000003</v>
      </c>
      <c r="AZ388" s="3">
        <f ca="1">IFERROR(__xludf.DUMMYFUNCTION("""COMPUTED_VALUE"""),31.77)</f>
        <v>31.77</v>
      </c>
      <c r="BA388" s="3">
        <f ca="1">IFERROR(__xludf.DUMMYFUNCTION("""COMPUTED_VALUE"""),31.83)</f>
        <v>31.83</v>
      </c>
      <c r="BB388" s="3">
        <f ca="1">IFERROR(__xludf.DUMMYFUNCTION("""COMPUTED_VALUE"""),1436546)</f>
        <v>1436546</v>
      </c>
      <c r="BC388" s="4">
        <f ca="1">IFERROR(__xludf.DUMMYFUNCTION("""COMPUTED_VALUE"""),42684.6666666666)</f>
        <v>42684.666666666599</v>
      </c>
      <c r="BD388" s="3">
        <f ca="1">IFERROR(__xludf.DUMMYFUNCTION("""COMPUTED_VALUE"""),47.62)</f>
        <v>47.62</v>
      </c>
      <c r="BE388" s="3">
        <f ca="1">IFERROR(__xludf.DUMMYFUNCTION("""COMPUTED_VALUE"""),47.62)</f>
        <v>47.62</v>
      </c>
      <c r="BF388" s="3">
        <f ca="1">IFERROR(__xludf.DUMMYFUNCTION("""COMPUTED_VALUE"""),45.94)</f>
        <v>45.94</v>
      </c>
      <c r="BG388" s="3">
        <f ca="1">IFERROR(__xludf.DUMMYFUNCTION("""COMPUTED_VALUE"""),46.59)</f>
        <v>46.59</v>
      </c>
      <c r="BH388" s="3">
        <f ca="1">IFERROR(__xludf.DUMMYFUNCTION("""COMPUTED_VALUE"""),39515508)</f>
        <v>39515508</v>
      </c>
      <c r="BI388" s="4">
        <f ca="1">IFERROR(__xludf.DUMMYFUNCTION("""COMPUTED_VALUE"""),42684.6666666666)</f>
        <v>42684.666666666599</v>
      </c>
      <c r="BJ388" s="3">
        <f ca="1">IFERROR(__xludf.DUMMYFUNCTION("""COMPUTED_VALUE"""),47.11)</f>
        <v>47.11</v>
      </c>
      <c r="BK388" s="3">
        <f ca="1">IFERROR(__xludf.DUMMYFUNCTION("""COMPUTED_VALUE"""),47.16)</f>
        <v>47.16</v>
      </c>
      <c r="BL388" s="3">
        <f ca="1">IFERROR(__xludf.DUMMYFUNCTION("""COMPUTED_VALUE"""),45.61)</f>
        <v>45.61</v>
      </c>
      <c r="BM388" s="3">
        <f ca="1">IFERROR(__xludf.DUMMYFUNCTION("""COMPUTED_VALUE"""),46.22)</f>
        <v>46.22</v>
      </c>
      <c r="BN388" s="3">
        <f ca="1">IFERROR(__xludf.DUMMYFUNCTION("""COMPUTED_VALUE"""),53123432)</f>
        <v>53123432</v>
      </c>
    </row>
    <row r="389" spans="7:66" ht="13" x14ac:dyDescent="0.15">
      <c r="G389" s="4">
        <f ca="1">IFERROR(__xludf.DUMMYFUNCTION("""COMPUTED_VALUE"""),42685.6666666666)</f>
        <v>42685.666666666599</v>
      </c>
      <c r="H389" s="3">
        <f ca="1">IFERROR(__xludf.DUMMYFUNCTION("""COMPUTED_VALUE"""),78.97)</f>
        <v>78.97</v>
      </c>
      <c r="I389" s="3">
        <f ca="1">IFERROR(__xludf.DUMMYFUNCTION("""COMPUTED_VALUE"""),79.83)</f>
        <v>79.83</v>
      </c>
      <c r="J389" s="3">
        <f ca="1">IFERROR(__xludf.DUMMYFUNCTION("""COMPUTED_VALUE"""),78.92)</f>
        <v>78.92</v>
      </c>
      <c r="K389" s="3">
        <f ca="1">IFERROR(__xludf.DUMMYFUNCTION("""COMPUTED_VALUE"""),79.72)</f>
        <v>79.72</v>
      </c>
      <c r="L389" s="3">
        <f ca="1">IFERROR(__xludf.DUMMYFUNCTION("""COMPUTED_VALUE"""),6039266)</f>
        <v>6039266</v>
      </c>
      <c r="M389" s="4">
        <f ca="1">IFERROR(__xludf.DUMMYFUNCTION("""COMPUTED_VALUE"""),42685.6666666666)</f>
        <v>42685.666666666599</v>
      </c>
      <c r="N389" s="3">
        <f ca="1">IFERROR(__xludf.DUMMYFUNCTION("""COMPUTED_VALUE"""),50.45)</f>
        <v>50.45</v>
      </c>
      <c r="O389" s="3">
        <f ca="1">IFERROR(__xludf.DUMMYFUNCTION("""COMPUTED_VALUE"""),50.71)</f>
        <v>50.71</v>
      </c>
      <c r="P389" s="3">
        <f ca="1">IFERROR(__xludf.DUMMYFUNCTION("""COMPUTED_VALUE"""),50.21)</f>
        <v>50.21</v>
      </c>
      <c r="Q389" s="3">
        <f ca="1">IFERROR(__xludf.DUMMYFUNCTION("""COMPUTED_VALUE"""),50.54)</f>
        <v>50.54</v>
      </c>
      <c r="R389" s="3">
        <f ca="1">IFERROR(__xludf.DUMMYFUNCTION("""COMPUTED_VALUE"""),20828070)</f>
        <v>20828070</v>
      </c>
      <c r="S389" s="4">
        <f ca="1">IFERROR(__xludf.DUMMYFUNCTION("""COMPUTED_VALUE"""),42685.6666666666)</f>
        <v>42685.666666666599</v>
      </c>
      <c r="T389" s="3">
        <f ca="1">IFERROR(__xludf.DUMMYFUNCTION("""COMPUTED_VALUE"""),70.33)</f>
        <v>70.33</v>
      </c>
      <c r="U389" s="3">
        <f ca="1">IFERROR(__xludf.DUMMYFUNCTION("""COMPUTED_VALUE"""),70.47)</f>
        <v>70.47</v>
      </c>
      <c r="V389" s="3">
        <f ca="1">IFERROR(__xludf.DUMMYFUNCTION("""COMPUTED_VALUE"""),68.89)</f>
        <v>68.89</v>
      </c>
      <c r="W389" s="3">
        <f ca="1">IFERROR(__xludf.DUMMYFUNCTION("""COMPUTED_VALUE"""),69.46)</f>
        <v>69.459999999999994</v>
      </c>
      <c r="X389" s="3">
        <f ca="1">IFERROR(__xludf.DUMMYFUNCTION("""COMPUTED_VALUE"""),17659713)</f>
        <v>17659713</v>
      </c>
      <c r="Y389" s="4">
        <f ca="1">IFERROR(__xludf.DUMMYFUNCTION("""COMPUTED_VALUE"""),42685.6666666666)</f>
        <v>42685.666666666599</v>
      </c>
      <c r="Z389" s="3">
        <f ca="1">IFERROR(__xludf.DUMMYFUNCTION("""COMPUTED_VALUE"""),21.47)</f>
        <v>21.47</v>
      </c>
      <c r="AA389" s="3">
        <f ca="1">IFERROR(__xludf.DUMMYFUNCTION("""COMPUTED_VALUE"""),21.7)</f>
        <v>21.7</v>
      </c>
      <c r="AB389" s="3">
        <f ca="1">IFERROR(__xludf.DUMMYFUNCTION("""COMPUTED_VALUE"""),21.4)</f>
        <v>21.4</v>
      </c>
      <c r="AC389" s="3">
        <f ca="1">IFERROR(__xludf.DUMMYFUNCTION("""COMPUTED_VALUE"""),21.67)</f>
        <v>21.67</v>
      </c>
      <c r="AD389" s="3">
        <f ca="1">IFERROR(__xludf.DUMMYFUNCTION("""COMPUTED_VALUE"""),134954549)</f>
        <v>134954549</v>
      </c>
      <c r="AE389" s="4">
        <f ca="1">IFERROR(__xludf.DUMMYFUNCTION("""COMPUTED_VALUE"""),42685.6666666666)</f>
        <v>42685.666666666599</v>
      </c>
      <c r="AF389" s="3">
        <f ca="1">IFERROR(__xludf.DUMMYFUNCTION("""COMPUTED_VALUE"""),71.36)</f>
        <v>71.36</v>
      </c>
      <c r="AG389" s="3">
        <f ca="1">IFERROR(__xludf.DUMMYFUNCTION("""COMPUTED_VALUE"""),71.36)</f>
        <v>71.36</v>
      </c>
      <c r="AH389" s="3">
        <f ca="1">IFERROR(__xludf.DUMMYFUNCTION("""COMPUTED_VALUE"""),70.18)</f>
        <v>70.180000000000007</v>
      </c>
      <c r="AI389" s="3">
        <f ca="1">IFERROR(__xludf.DUMMYFUNCTION("""COMPUTED_VALUE"""),70.49)</f>
        <v>70.489999999999995</v>
      </c>
      <c r="AJ389" s="3">
        <f ca="1">IFERROR(__xludf.DUMMYFUNCTION("""COMPUTED_VALUE"""),15866062)</f>
        <v>15866062</v>
      </c>
      <c r="AK389" s="4">
        <f ca="1">IFERROR(__xludf.DUMMYFUNCTION("""COMPUTED_VALUE"""),42685.6666666666)</f>
        <v>42685.666666666599</v>
      </c>
      <c r="AL389" s="3">
        <f ca="1">IFERROR(__xludf.DUMMYFUNCTION("""COMPUTED_VALUE"""),60.78)</f>
        <v>60.78</v>
      </c>
      <c r="AM389" s="3">
        <f ca="1">IFERROR(__xludf.DUMMYFUNCTION("""COMPUTED_VALUE"""),61.08)</f>
        <v>61.08</v>
      </c>
      <c r="AN389" s="3">
        <f ca="1">IFERROR(__xludf.DUMMYFUNCTION("""COMPUTED_VALUE"""),60.53)</f>
        <v>60.53</v>
      </c>
      <c r="AO389" s="3">
        <f ca="1">IFERROR(__xludf.DUMMYFUNCTION("""COMPUTED_VALUE"""),61.05)</f>
        <v>61.05</v>
      </c>
      <c r="AP389" s="3">
        <f ca="1">IFERROR(__xludf.DUMMYFUNCTION("""COMPUTED_VALUE"""),24055139)</f>
        <v>24055139</v>
      </c>
      <c r="AQ389" s="4">
        <f ca="1">IFERROR(__xludf.DUMMYFUNCTION("""COMPUTED_VALUE"""),42685.6666666666)</f>
        <v>42685.666666666599</v>
      </c>
      <c r="AR389" s="3">
        <f ca="1">IFERROR(__xludf.DUMMYFUNCTION("""COMPUTED_VALUE"""),48.75)</f>
        <v>48.75</v>
      </c>
      <c r="AS389" s="3">
        <f ca="1">IFERROR(__xludf.DUMMYFUNCTION("""COMPUTED_VALUE"""),48.8)</f>
        <v>48.8</v>
      </c>
      <c r="AT389" s="3">
        <f ca="1">IFERROR(__xludf.DUMMYFUNCTION("""COMPUTED_VALUE"""),47.85)</f>
        <v>47.85</v>
      </c>
      <c r="AU389" s="3">
        <f ca="1">IFERROR(__xludf.DUMMYFUNCTION("""COMPUTED_VALUE"""),48.15)</f>
        <v>48.15</v>
      </c>
      <c r="AV389" s="3">
        <f ca="1">IFERROR(__xludf.DUMMYFUNCTION("""COMPUTED_VALUE"""),6714039)</f>
        <v>6714039</v>
      </c>
      <c r="AW389" s="4">
        <f ca="1">IFERROR(__xludf.DUMMYFUNCTION("""COMPUTED_VALUE"""),42853.6666666666)</f>
        <v>42853.666666666599</v>
      </c>
      <c r="AX389" s="3">
        <f ca="1">IFERROR(__xludf.DUMMYFUNCTION("""COMPUTED_VALUE"""),31.79)</f>
        <v>31.79</v>
      </c>
      <c r="AY389" s="3">
        <f ca="1">IFERROR(__xludf.DUMMYFUNCTION("""COMPUTED_VALUE"""),31.82)</f>
        <v>31.82</v>
      </c>
      <c r="AZ389" s="3">
        <f ca="1">IFERROR(__xludf.DUMMYFUNCTION("""COMPUTED_VALUE"""),31.49)</f>
        <v>31.49</v>
      </c>
      <c r="BA389" s="3">
        <f ca="1">IFERROR(__xludf.DUMMYFUNCTION("""COMPUTED_VALUE"""),31.65)</f>
        <v>31.65</v>
      </c>
      <c r="BB389" s="3">
        <f ca="1">IFERROR(__xludf.DUMMYFUNCTION("""COMPUTED_VALUE"""),1816717)</f>
        <v>1816717</v>
      </c>
      <c r="BC389" s="4">
        <f ca="1">IFERROR(__xludf.DUMMYFUNCTION("""COMPUTED_VALUE"""),42685.6666666666)</f>
        <v>42685.666666666599</v>
      </c>
      <c r="BD389" s="3">
        <f ca="1">IFERROR(__xludf.DUMMYFUNCTION("""COMPUTED_VALUE"""),46.33)</f>
        <v>46.33</v>
      </c>
      <c r="BE389" s="3">
        <f ca="1">IFERROR(__xludf.DUMMYFUNCTION("""COMPUTED_VALUE"""),46.83)</f>
        <v>46.83</v>
      </c>
      <c r="BF389" s="3">
        <f ca="1">IFERROR(__xludf.DUMMYFUNCTION("""COMPUTED_VALUE"""),46.33)</f>
        <v>46.33</v>
      </c>
      <c r="BG389" s="3">
        <f ca="1">IFERROR(__xludf.DUMMYFUNCTION("""COMPUTED_VALUE"""),46.73)</f>
        <v>46.73</v>
      </c>
      <c r="BH389" s="3">
        <f ca="1">IFERROR(__xludf.DUMMYFUNCTION("""COMPUTED_VALUE"""),14091551)</f>
        <v>14091551</v>
      </c>
      <c r="BI389" s="4">
        <f ca="1">IFERROR(__xludf.DUMMYFUNCTION("""COMPUTED_VALUE"""),42685.6666666666)</f>
        <v>42685.666666666599</v>
      </c>
      <c r="BJ389" s="3">
        <f ca="1">IFERROR(__xludf.DUMMYFUNCTION("""COMPUTED_VALUE"""),46.12)</f>
        <v>46.12</v>
      </c>
      <c r="BK389" s="3">
        <f ca="1">IFERROR(__xludf.DUMMYFUNCTION("""COMPUTED_VALUE"""),46.66)</f>
        <v>46.66</v>
      </c>
      <c r="BL389" s="3">
        <f ca="1">IFERROR(__xludf.DUMMYFUNCTION("""COMPUTED_VALUE"""),45.85)</f>
        <v>45.85</v>
      </c>
      <c r="BM389" s="3">
        <f ca="1">IFERROR(__xludf.DUMMYFUNCTION("""COMPUTED_VALUE"""),46.03)</f>
        <v>46.03</v>
      </c>
      <c r="BN389" s="3">
        <f ca="1">IFERROR(__xludf.DUMMYFUNCTION("""COMPUTED_VALUE"""),30951469)</f>
        <v>30951469</v>
      </c>
    </row>
    <row r="390" spans="7:66" ht="13" x14ac:dyDescent="0.15">
      <c r="G390" s="4">
        <f ca="1">IFERROR(__xludf.DUMMYFUNCTION("""COMPUTED_VALUE"""),42688.6666666666)</f>
        <v>42688.666666666599</v>
      </c>
      <c r="H390" s="3">
        <f ca="1">IFERROR(__xludf.DUMMYFUNCTION("""COMPUTED_VALUE"""),80.09)</f>
        <v>80.09</v>
      </c>
      <c r="I390" s="3">
        <f ca="1">IFERROR(__xludf.DUMMYFUNCTION("""COMPUTED_VALUE"""),80.33)</f>
        <v>80.33</v>
      </c>
      <c r="J390" s="3">
        <f ca="1">IFERROR(__xludf.DUMMYFUNCTION("""COMPUTED_VALUE"""),79.63)</f>
        <v>79.63</v>
      </c>
      <c r="K390" s="3">
        <f ca="1">IFERROR(__xludf.DUMMYFUNCTION("""COMPUTED_VALUE"""),79.73)</f>
        <v>79.73</v>
      </c>
      <c r="L390" s="3">
        <f ca="1">IFERROR(__xludf.DUMMYFUNCTION("""COMPUTED_VALUE"""),6329677)</f>
        <v>6329677</v>
      </c>
      <c r="M390" s="4">
        <f ca="1">IFERROR(__xludf.DUMMYFUNCTION("""COMPUTED_VALUE"""),42688.6666666666)</f>
        <v>42688.666666666599</v>
      </c>
      <c r="N390" s="3">
        <f ca="1">IFERROR(__xludf.DUMMYFUNCTION("""COMPUTED_VALUE"""),50.54)</f>
        <v>50.54</v>
      </c>
      <c r="O390" s="3">
        <f ca="1">IFERROR(__xludf.DUMMYFUNCTION("""COMPUTED_VALUE"""),50.58)</f>
        <v>50.58</v>
      </c>
      <c r="P390" s="3">
        <f ca="1">IFERROR(__xludf.DUMMYFUNCTION("""COMPUTED_VALUE"""),50.26)</f>
        <v>50.26</v>
      </c>
      <c r="Q390" s="3">
        <f ca="1">IFERROR(__xludf.DUMMYFUNCTION("""COMPUTED_VALUE"""),50.45)</f>
        <v>50.45</v>
      </c>
      <c r="R390" s="3">
        <f ca="1">IFERROR(__xludf.DUMMYFUNCTION("""COMPUTED_VALUE"""),20591812)</f>
        <v>20591812</v>
      </c>
      <c r="S390" s="4">
        <f ca="1">IFERROR(__xludf.DUMMYFUNCTION("""COMPUTED_VALUE"""),42688.6666666666)</f>
        <v>42688.666666666599</v>
      </c>
      <c r="T390" s="3">
        <f ca="1">IFERROR(__xludf.DUMMYFUNCTION("""COMPUTED_VALUE"""),69.21)</f>
        <v>69.209999999999994</v>
      </c>
      <c r="U390" s="3">
        <f ca="1">IFERROR(__xludf.DUMMYFUNCTION("""COMPUTED_VALUE"""),69.92)</f>
        <v>69.92</v>
      </c>
      <c r="V390" s="3">
        <f ca="1">IFERROR(__xludf.DUMMYFUNCTION("""COMPUTED_VALUE"""),68.83)</f>
        <v>68.83</v>
      </c>
      <c r="W390" s="3">
        <f ca="1">IFERROR(__xludf.DUMMYFUNCTION("""COMPUTED_VALUE"""),69.85)</f>
        <v>69.849999999999994</v>
      </c>
      <c r="X390" s="3">
        <f ca="1">IFERROR(__xludf.DUMMYFUNCTION("""COMPUTED_VALUE"""),12572005)</f>
        <v>12572005</v>
      </c>
      <c r="Y390" s="4">
        <f ca="1">IFERROR(__xludf.DUMMYFUNCTION("""COMPUTED_VALUE"""),42688.6666666666)</f>
        <v>42688.666666666599</v>
      </c>
      <c r="Z390" s="3">
        <f ca="1">IFERROR(__xludf.DUMMYFUNCTION("""COMPUTED_VALUE"""),21.88)</f>
        <v>21.88</v>
      </c>
      <c r="AA390" s="3">
        <f ca="1">IFERROR(__xludf.DUMMYFUNCTION("""COMPUTED_VALUE"""),22.33)</f>
        <v>22.33</v>
      </c>
      <c r="AB390" s="3">
        <f ca="1">IFERROR(__xludf.DUMMYFUNCTION("""COMPUTED_VALUE"""),21.85)</f>
        <v>21.85</v>
      </c>
      <c r="AC390" s="3">
        <f ca="1">IFERROR(__xludf.DUMMYFUNCTION("""COMPUTED_VALUE"""),22.2)</f>
        <v>22.2</v>
      </c>
      <c r="AD390" s="3">
        <f ca="1">IFERROR(__xludf.DUMMYFUNCTION("""COMPUTED_VALUE"""),261730895)</f>
        <v>261730895</v>
      </c>
      <c r="AE390" s="4">
        <f ca="1">IFERROR(__xludf.DUMMYFUNCTION("""COMPUTED_VALUE"""),42688.6666666666)</f>
        <v>42688.666666666599</v>
      </c>
      <c r="AF390" s="3">
        <f ca="1">IFERROR(__xludf.DUMMYFUNCTION("""COMPUTED_VALUE"""),70.8)</f>
        <v>70.8</v>
      </c>
      <c r="AG390" s="3">
        <f ca="1">IFERROR(__xludf.DUMMYFUNCTION("""COMPUTED_VALUE"""),70.88)</f>
        <v>70.88</v>
      </c>
      <c r="AH390" s="3">
        <f ca="1">IFERROR(__xludf.DUMMYFUNCTION("""COMPUTED_VALUE"""),70.13)</f>
        <v>70.13</v>
      </c>
      <c r="AI390" s="3">
        <f ca="1">IFERROR(__xludf.DUMMYFUNCTION("""COMPUTED_VALUE"""),70.27)</f>
        <v>70.27</v>
      </c>
      <c r="AJ390" s="3">
        <f ca="1">IFERROR(__xludf.DUMMYFUNCTION("""COMPUTED_VALUE"""),17406162)</f>
        <v>17406162</v>
      </c>
      <c r="AK390" s="4">
        <f ca="1">IFERROR(__xludf.DUMMYFUNCTION("""COMPUTED_VALUE"""),42688.6666666666)</f>
        <v>42688.666666666599</v>
      </c>
      <c r="AL390" s="3">
        <f ca="1">IFERROR(__xludf.DUMMYFUNCTION("""COMPUTED_VALUE"""),61.5)</f>
        <v>61.5</v>
      </c>
      <c r="AM390" s="3">
        <f ca="1">IFERROR(__xludf.DUMMYFUNCTION("""COMPUTED_VALUE"""),61.54)</f>
        <v>61.54</v>
      </c>
      <c r="AN390" s="3">
        <f ca="1">IFERROR(__xludf.DUMMYFUNCTION("""COMPUTED_VALUE"""),61.2)</f>
        <v>61.2</v>
      </c>
      <c r="AO390" s="3">
        <f ca="1">IFERROR(__xludf.DUMMYFUNCTION("""COMPUTED_VALUE"""),61.31)</f>
        <v>61.31</v>
      </c>
      <c r="AP390" s="3">
        <f ca="1">IFERROR(__xludf.DUMMYFUNCTION("""COMPUTED_VALUE"""),17076979)</f>
        <v>17076979</v>
      </c>
      <c r="AQ390" s="4">
        <f ca="1">IFERROR(__xludf.DUMMYFUNCTION("""COMPUTED_VALUE"""),42688.6666666666)</f>
        <v>42688.666666666599</v>
      </c>
      <c r="AR390" s="3">
        <f ca="1">IFERROR(__xludf.DUMMYFUNCTION("""COMPUTED_VALUE"""),48.37)</f>
        <v>48.37</v>
      </c>
      <c r="AS390" s="3">
        <f ca="1">IFERROR(__xludf.DUMMYFUNCTION("""COMPUTED_VALUE"""),48.42)</f>
        <v>48.42</v>
      </c>
      <c r="AT390" s="3">
        <f ca="1">IFERROR(__xludf.DUMMYFUNCTION("""COMPUTED_VALUE"""),47.96)</f>
        <v>47.96</v>
      </c>
      <c r="AU390" s="3">
        <f ca="1">IFERROR(__xludf.DUMMYFUNCTION("""COMPUTED_VALUE"""),48.26)</f>
        <v>48.26</v>
      </c>
      <c r="AV390" s="3">
        <f ca="1">IFERROR(__xludf.DUMMYFUNCTION("""COMPUTED_VALUE"""),8338953)</f>
        <v>8338953</v>
      </c>
      <c r="AW390" s="4">
        <f ca="1">IFERROR(__xludf.DUMMYFUNCTION("""COMPUTED_VALUE"""),42856.6666666666)</f>
        <v>42856.666666666599</v>
      </c>
      <c r="AX390" s="3">
        <f ca="1">IFERROR(__xludf.DUMMYFUNCTION("""COMPUTED_VALUE"""),31.7)</f>
        <v>31.7</v>
      </c>
      <c r="AY390" s="3">
        <f ca="1">IFERROR(__xludf.DUMMYFUNCTION("""COMPUTED_VALUE"""),31.91)</f>
        <v>31.91</v>
      </c>
      <c r="AZ390" s="3">
        <f ca="1">IFERROR(__xludf.DUMMYFUNCTION("""COMPUTED_VALUE"""),31.58)</f>
        <v>31.58</v>
      </c>
      <c r="BA390" s="3">
        <f ca="1">IFERROR(__xludf.DUMMYFUNCTION("""COMPUTED_VALUE"""),31.85)</f>
        <v>31.85</v>
      </c>
      <c r="BB390" s="3">
        <f ca="1">IFERROR(__xludf.DUMMYFUNCTION("""COMPUTED_VALUE"""),2636705)</f>
        <v>2636705</v>
      </c>
      <c r="BC390" s="4">
        <f ca="1">IFERROR(__xludf.DUMMYFUNCTION("""COMPUTED_VALUE"""),42688.6666666666)</f>
        <v>42688.666666666599</v>
      </c>
      <c r="BD390" s="3">
        <f ca="1">IFERROR(__xludf.DUMMYFUNCTION("""COMPUTED_VALUE"""),46.77)</f>
        <v>46.77</v>
      </c>
      <c r="BE390" s="3">
        <f ca="1">IFERROR(__xludf.DUMMYFUNCTION("""COMPUTED_VALUE"""),46.8)</f>
        <v>46.8</v>
      </c>
      <c r="BF390" s="3">
        <f ca="1">IFERROR(__xludf.DUMMYFUNCTION("""COMPUTED_VALUE"""),45.8)</f>
        <v>45.8</v>
      </c>
      <c r="BG390" s="3">
        <f ca="1">IFERROR(__xludf.DUMMYFUNCTION("""COMPUTED_VALUE"""),46.02)</f>
        <v>46.02</v>
      </c>
      <c r="BH390" s="3">
        <f ca="1">IFERROR(__xludf.DUMMYFUNCTION("""COMPUTED_VALUE"""),18970968)</f>
        <v>18970968</v>
      </c>
      <c r="BI390" s="4">
        <f ca="1">IFERROR(__xludf.DUMMYFUNCTION("""COMPUTED_VALUE"""),42688.6666666666)</f>
        <v>42688.666666666599</v>
      </c>
      <c r="BJ390" s="3">
        <f ca="1">IFERROR(__xludf.DUMMYFUNCTION("""COMPUTED_VALUE"""),45.68)</f>
        <v>45.68</v>
      </c>
      <c r="BK390" s="3">
        <f ca="1">IFERROR(__xludf.DUMMYFUNCTION("""COMPUTED_VALUE"""),46.1)</f>
        <v>46.1</v>
      </c>
      <c r="BL390" s="3">
        <f ca="1">IFERROR(__xludf.DUMMYFUNCTION("""COMPUTED_VALUE"""),45.33)</f>
        <v>45.33</v>
      </c>
      <c r="BM390" s="3">
        <f ca="1">IFERROR(__xludf.DUMMYFUNCTION("""COMPUTED_VALUE"""),46)</f>
        <v>46</v>
      </c>
      <c r="BN390" s="3">
        <f ca="1">IFERROR(__xludf.DUMMYFUNCTION("""COMPUTED_VALUE"""),28190802)</f>
        <v>28190802</v>
      </c>
    </row>
    <row r="391" spans="7:66" ht="13" x14ac:dyDescent="0.15">
      <c r="G391" s="4">
        <f ca="1">IFERROR(__xludf.DUMMYFUNCTION("""COMPUTED_VALUE"""),42689.6666666666)</f>
        <v>42689.666666666599</v>
      </c>
      <c r="H391" s="3">
        <f ca="1">IFERROR(__xludf.DUMMYFUNCTION("""COMPUTED_VALUE"""),80.01)</f>
        <v>80.010000000000005</v>
      </c>
      <c r="I391" s="3">
        <f ca="1">IFERROR(__xludf.DUMMYFUNCTION("""COMPUTED_VALUE"""),80.15)</f>
        <v>80.150000000000006</v>
      </c>
      <c r="J391" s="3">
        <f ca="1">IFERROR(__xludf.DUMMYFUNCTION("""COMPUTED_VALUE"""),79.62)</f>
        <v>79.62</v>
      </c>
      <c r="K391" s="3">
        <f ca="1">IFERROR(__xludf.DUMMYFUNCTION("""COMPUTED_VALUE"""),80.04)</f>
        <v>80.040000000000006</v>
      </c>
      <c r="L391" s="3">
        <f ca="1">IFERROR(__xludf.DUMMYFUNCTION("""COMPUTED_VALUE"""),6010155)</f>
        <v>6010155</v>
      </c>
      <c r="M391" s="4">
        <f ca="1">IFERROR(__xludf.DUMMYFUNCTION("""COMPUTED_VALUE"""),42689.6666666666)</f>
        <v>42689.666666666599</v>
      </c>
      <c r="N391" s="3">
        <f ca="1">IFERROR(__xludf.DUMMYFUNCTION("""COMPUTED_VALUE"""),50.55)</f>
        <v>50.55</v>
      </c>
      <c r="O391" s="3">
        <f ca="1">IFERROR(__xludf.DUMMYFUNCTION("""COMPUTED_VALUE"""),50.84)</f>
        <v>50.84</v>
      </c>
      <c r="P391" s="3">
        <f ca="1">IFERROR(__xludf.DUMMYFUNCTION("""COMPUTED_VALUE"""),50.47)</f>
        <v>50.47</v>
      </c>
      <c r="Q391" s="3">
        <f ca="1">IFERROR(__xludf.DUMMYFUNCTION("""COMPUTED_VALUE"""),50.76)</f>
        <v>50.76</v>
      </c>
      <c r="R391" s="3">
        <f ca="1">IFERROR(__xludf.DUMMYFUNCTION("""COMPUTED_VALUE"""),23028687)</f>
        <v>23028687</v>
      </c>
      <c r="S391" s="4">
        <f ca="1">IFERROR(__xludf.DUMMYFUNCTION("""COMPUTED_VALUE"""),42689.6666666666)</f>
        <v>42689.666666666599</v>
      </c>
      <c r="T391" s="3">
        <f ca="1">IFERROR(__xludf.DUMMYFUNCTION("""COMPUTED_VALUE"""),70.46)</f>
        <v>70.459999999999994</v>
      </c>
      <c r="U391" s="3">
        <f ca="1">IFERROR(__xludf.DUMMYFUNCTION("""COMPUTED_VALUE"""),71.86)</f>
        <v>71.86</v>
      </c>
      <c r="V391" s="3">
        <f ca="1">IFERROR(__xludf.DUMMYFUNCTION("""COMPUTED_VALUE"""),70.4)</f>
        <v>70.400000000000006</v>
      </c>
      <c r="W391" s="3">
        <f ca="1">IFERROR(__xludf.DUMMYFUNCTION("""COMPUTED_VALUE"""),71.82)</f>
        <v>71.819999999999993</v>
      </c>
      <c r="X391" s="3">
        <f ca="1">IFERROR(__xludf.DUMMYFUNCTION("""COMPUTED_VALUE"""),19228710)</f>
        <v>19228710</v>
      </c>
      <c r="Y391" s="4">
        <f ca="1">IFERROR(__xludf.DUMMYFUNCTION("""COMPUTED_VALUE"""),42689.6666666666)</f>
        <v>42689.666666666599</v>
      </c>
      <c r="Z391" s="3">
        <f ca="1">IFERROR(__xludf.DUMMYFUNCTION("""COMPUTED_VALUE"""),22.01)</f>
        <v>22.01</v>
      </c>
      <c r="AA391" s="3">
        <f ca="1">IFERROR(__xludf.DUMMYFUNCTION("""COMPUTED_VALUE"""),22.2)</f>
        <v>22.2</v>
      </c>
      <c r="AB391" s="3">
        <f ca="1">IFERROR(__xludf.DUMMYFUNCTION("""COMPUTED_VALUE"""),21.79)</f>
        <v>21.79</v>
      </c>
      <c r="AC391" s="3">
        <f ca="1">IFERROR(__xludf.DUMMYFUNCTION("""COMPUTED_VALUE"""),22.18)</f>
        <v>22.18</v>
      </c>
      <c r="AD391" s="3">
        <f ca="1">IFERROR(__xludf.DUMMYFUNCTION("""COMPUTED_VALUE"""),122754546)</f>
        <v>122754546</v>
      </c>
      <c r="AE391" s="4">
        <f ca="1">IFERROR(__xludf.DUMMYFUNCTION("""COMPUTED_VALUE"""),42689.6666666666)</f>
        <v>42689.666666666599</v>
      </c>
      <c r="AF391" s="3">
        <f ca="1">IFERROR(__xludf.DUMMYFUNCTION("""COMPUTED_VALUE"""),70.54)</f>
        <v>70.540000000000006</v>
      </c>
      <c r="AG391" s="3">
        <f ca="1">IFERROR(__xludf.DUMMYFUNCTION("""COMPUTED_VALUE"""),70.54)</f>
        <v>70.540000000000006</v>
      </c>
      <c r="AH391" s="3">
        <f ca="1">IFERROR(__xludf.DUMMYFUNCTION("""COMPUTED_VALUE"""),69.82)</f>
        <v>69.819999999999993</v>
      </c>
      <c r="AI391" s="3">
        <f ca="1">IFERROR(__xludf.DUMMYFUNCTION("""COMPUTED_VALUE"""),70.47)</f>
        <v>70.47</v>
      </c>
      <c r="AJ391" s="3">
        <f ca="1">IFERROR(__xludf.DUMMYFUNCTION("""COMPUTED_VALUE"""),10371554)</f>
        <v>10371554</v>
      </c>
      <c r="AK391" s="4">
        <f ca="1">IFERROR(__xludf.DUMMYFUNCTION("""COMPUTED_VALUE"""),42689.6666666666)</f>
        <v>42689.666666666599</v>
      </c>
      <c r="AL391" s="3">
        <f ca="1">IFERROR(__xludf.DUMMYFUNCTION("""COMPUTED_VALUE"""),61.45)</f>
        <v>61.45</v>
      </c>
      <c r="AM391" s="3">
        <f ca="1">IFERROR(__xludf.DUMMYFUNCTION("""COMPUTED_VALUE"""),61.54)</f>
        <v>61.54</v>
      </c>
      <c r="AN391" s="3">
        <f ca="1">IFERROR(__xludf.DUMMYFUNCTION("""COMPUTED_VALUE"""),60.97)</f>
        <v>60.97</v>
      </c>
      <c r="AO391" s="3">
        <f ca="1">IFERROR(__xludf.DUMMYFUNCTION("""COMPUTED_VALUE"""),61.54)</f>
        <v>61.54</v>
      </c>
      <c r="AP391" s="3">
        <f ca="1">IFERROR(__xludf.DUMMYFUNCTION("""COMPUTED_VALUE"""),12828377)</f>
        <v>12828377</v>
      </c>
      <c r="AQ391" s="4">
        <f ca="1">IFERROR(__xludf.DUMMYFUNCTION("""COMPUTED_VALUE"""),42689.6666666666)</f>
        <v>42689.666666666599</v>
      </c>
      <c r="AR391" s="3">
        <f ca="1">IFERROR(__xludf.DUMMYFUNCTION("""COMPUTED_VALUE"""),48.23)</f>
        <v>48.23</v>
      </c>
      <c r="AS391" s="3">
        <f ca="1">IFERROR(__xludf.DUMMYFUNCTION("""COMPUTED_VALUE"""),48.47)</f>
        <v>48.47</v>
      </c>
      <c r="AT391" s="3">
        <f ca="1">IFERROR(__xludf.DUMMYFUNCTION("""COMPUTED_VALUE"""),47.89)</f>
        <v>47.89</v>
      </c>
      <c r="AU391" s="3">
        <f ca="1">IFERROR(__xludf.DUMMYFUNCTION("""COMPUTED_VALUE"""),48.46)</f>
        <v>48.46</v>
      </c>
      <c r="AV391" s="3">
        <f ca="1">IFERROR(__xludf.DUMMYFUNCTION("""COMPUTED_VALUE"""),6960690)</f>
        <v>6960690</v>
      </c>
      <c r="AW391" s="4">
        <f ca="1">IFERROR(__xludf.DUMMYFUNCTION("""COMPUTED_VALUE"""),42857.6666666666)</f>
        <v>42857.666666666599</v>
      </c>
      <c r="AX391" s="3">
        <f ca="1">IFERROR(__xludf.DUMMYFUNCTION("""COMPUTED_VALUE"""),31.82)</f>
        <v>31.82</v>
      </c>
      <c r="AY391" s="3">
        <f ca="1">IFERROR(__xludf.DUMMYFUNCTION("""COMPUTED_VALUE"""),31.97)</f>
        <v>31.97</v>
      </c>
      <c r="AZ391" s="3">
        <f ca="1">IFERROR(__xludf.DUMMYFUNCTION("""COMPUTED_VALUE"""),31.72)</f>
        <v>31.72</v>
      </c>
      <c r="BA391" s="3">
        <f ca="1">IFERROR(__xludf.DUMMYFUNCTION("""COMPUTED_VALUE"""),31.86)</f>
        <v>31.86</v>
      </c>
      <c r="BB391" s="3">
        <f ca="1">IFERROR(__xludf.DUMMYFUNCTION("""COMPUTED_VALUE"""),1845637)</f>
        <v>1845637</v>
      </c>
      <c r="BC391" s="4">
        <f ca="1">IFERROR(__xludf.DUMMYFUNCTION("""COMPUTED_VALUE"""),42689.6666666666)</f>
        <v>42689.666666666599</v>
      </c>
      <c r="BD391" s="3">
        <f ca="1">IFERROR(__xludf.DUMMYFUNCTION("""COMPUTED_VALUE"""),46.33)</f>
        <v>46.33</v>
      </c>
      <c r="BE391" s="3">
        <f ca="1">IFERROR(__xludf.DUMMYFUNCTION("""COMPUTED_VALUE"""),46.83)</f>
        <v>46.83</v>
      </c>
      <c r="BF391" s="3">
        <f ca="1">IFERROR(__xludf.DUMMYFUNCTION("""COMPUTED_VALUE"""),46.31)</f>
        <v>46.31</v>
      </c>
      <c r="BG391" s="3">
        <f ca="1">IFERROR(__xludf.DUMMYFUNCTION("""COMPUTED_VALUE"""),46.67)</f>
        <v>46.67</v>
      </c>
      <c r="BH391" s="3">
        <f ca="1">IFERROR(__xludf.DUMMYFUNCTION("""COMPUTED_VALUE"""),17370846)</f>
        <v>17370846</v>
      </c>
      <c r="BI391" s="4">
        <f ca="1">IFERROR(__xludf.DUMMYFUNCTION("""COMPUTED_VALUE"""),42689.6666666666)</f>
        <v>42689.666666666599</v>
      </c>
      <c r="BJ391" s="3">
        <f ca="1">IFERROR(__xludf.DUMMYFUNCTION("""COMPUTED_VALUE"""),46.26)</f>
        <v>46.26</v>
      </c>
      <c r="BK391" s="3">
        <f ca="1">IFERROR(__xludf.DUMMYFUNCTION("""COMPUTED_VALUE"""),46.85)</f>
        <v>46.85</v>
      </c>
      <c r="BL391" s="3">
        <f ca="1">IFERROR(__xludf.DUMMYFUNCTION("""COMPUTED_VALUE"""),46.24)</f>
        <v>46.24</v>
      </c>
      <c r="BM391" s="3">
        <f ca="1">IFERROR(__xludf.DUMMYFUNCTION("""COMPUTED_VALUE"""),46.74)</f>
        <v>46.74</v>
      </c>
      <c r="BN391" s="3">
        <f ca="1">IFERROR(__xludf.DUMMYFUNCTION("""COMPUTED_VALUE"""),25191815)</f>
        <v>25191815</v>
      </c>
    </row>
    <row r="392" spans="7:66" ht="13" x14ac:dyDescent="0.15">
      <c r="G392" s="4">
        <f ca="1">IFERROR(__xludf.DUMMYFUNCTION("""COMPUTED_VALUE"""),42690.6666666666)</f>
        <v>42690.666666666599</v>
      </c>
      <c r="H392" s="3">
        <f ca="1">IFERROR(__xludf.DUMMYFUNCTION("""COMPUTED_VALUE"""),79.87)</f>
        <v>79.87</v>
      </c>
      <c r="I392" s="3">
        <f ca="1">IFERROR(__xludf.DUMMYFUNCTION("""COMPUTED_VALUE"""),80.48)</f>
        <v>80.48</v>
      </c>
      <c r="J392" s="3">
        <f ca="1">IFERROR(__xludf.DUMMYFUNCTION("""COMPUTED_VALUE"""),79.76)</f>
        <v>79.760000000000005</v>
      </c>
      <c r="K392" s="3">
        <f ca="1">IFERROR(__xludf.DUMMYFUNCTION("""COMPUTED_VALUE"""),80.48)</f>
        <v>80.48</v>
      </c>
      <c r="L392" s="3">
        <f ca="1">IFERROR(__xludf.DUMMYFUNCTION("""COMPUTED_VALUE"""),3993203)</f>
        <v>3993203</v>
      </c>
      <c r="M392" s="4">
        <f ca="1">IFERROR(__xludf.DUMMYFUNCTION("""COMPUTED_VALUE"""),42690.6666666666)</f>
        <v>42690.666666666599</v>
      </c>
      <c r="N392" s="3">
        <f ca="1">IFERROR(__xludf.DUMMYFUNCTION("""COMPUTED_VALUE"""),50.77)</f>
        <v>50.77</v>
      </c>
      <c r="O392" s="3">
        <f ca="1">IFERROR(__xludf.DUMMYFUNCTION("""COMPUTED_VALUE"""),50.99)</f>
        <v>50.99</v>
      </c>
      <c r="P392" s="3">
        <f ca="1">IFERROR(__xludf.DUMMYFUNCTION("""COMPUTED_VALUE"""),50.69)</f>
        <v>50.69</v>
      </c>
      <c r="Q392" s="3">
        <f ca="1">IFERROR(__xludf.DUMMYFUNCTION("""COMPUTED_VALUE"""),50.77)</f>
        <v>50.77</v>
      </c>
      <c r="R392" s="3">
        <f ca="1">IFERROR(__xludf.DUMMYFUNCTION("""COMPUTED_VALUE"""),16034236)</f>
        <v>16034236</v>
      </c>
      <c r="S392" s="4">
        <f ca="1">IFERROR(__xludf.DUMMYFUNCTION("""COMPUTED_VALUE"""),42690.6666666666)</f>
        <v>42690.666666666599</v>
      </c>
      <c r="T392" s="3">
        <f ca="1">IFERROR(__xludf.DUMMYFUNCTION("""COMPUTED_VALUE"""),71.66)</f>
        <v>71.66</v>
      </c>
      <c r="U392" s="3">
        <f ca="1">IFERROR(__xludf.DUMMYFUNCTION("""COMPUTED_VALUE"""),72.14)</f>
        <v>72.14</v>
      </c>
      <c r="V392" s="3">
        <f ca="1">IFERROR(__xludf.DUMMYFUNCTION("""COMPUTED_VALUE"""),71.1)</f>
        <v>71.099999999999994</v>
      </c>
      <c r="W392" s="3">
        <f ca="1">IFERROR(__xludf.DUMMYFUNCTION("""COMPUTED_VALUE"""),71.32)</f>
        <v>71.319999999999993</v>
      </c>
      <c r="X392" s="3">
        <f ca="1">IFERROR(__xludf.DUMMYFUNCTION("""COMPUTED_VALUE"""),16609103)</f>
        <v>16609103</v>
      </c>
      <c r="Y392" s="4">
        <f ca="1">IFERROR(__xludf.DUMMYFUNCTION("""COMPUTED_VALUE"""),42690.6666666666)</f>
        <v>42690.666666666599</v>
      </c>
      <c r="Z392" s="3">
        <f ca="1">IFERROR(__xludf.DUMMYFUNCTION("""COMPUTED_VALUE"""),21.98)</f>
        <v>21.98</v>
      </c>
      <c r="AA392" s="3">
        <f ca="1">IFERROR(__xludf.DUMMYFUNCTION("""COMPUTED_VALUE"""),22.03)</f>
        <v>22.03</v>
      </c>
      <c r="AB392" s="3">
        <f ca="1">IFERROR(__xludf.DUMMYFUNCTION("""COMPUTED_VALUE"""),21.8)</f>
        <v>21.8</v>
      </c>
      <c r="AC392" s="3">
        <f ca="1">IFERROR(__xludf.DUMMYFUNCTION("""COMPUTED_VALUE"""),21.86)</f>
        <v>21.86</v>
      </c>
      <c r="AD392" s="3">
        <f ca="1">IFERROR(__xludf.DUMMYFUNCTION("""COMPUTED_VALUE"""),117887705)</f>
        <v>117887705</v>
      </c>
      <c r="AE392" s="4">
        <f ca="1">IFERROR(__xludf.DUMMYFUNCTION("""COMPUTED_VALUE"""),42690.6666666666)</f>
        <v>42690.666666666599</v>
      </c>
      <c r="AF392" s="3">
        <f ca="1">IFERROR(__xludf.DUMMYFUNCTION("""COMPUTED_VALUE"""),70.29)</f>
        <v>70.290000000000006</v>
      </c>
      <c r="AG392" s="3">
        <f ca="1">IFERROR(__xludf.DUMMYFUNCTION("""COMPUTED_VALUE"""),70.63)</f>
        <v>70.63</v>
      </c>
      <c r="AH392" s="3">
        <f ca="1">IFERROR(__xludf.DUMMYFUNCTION("""COMPUTED_VALUE"""),70.08)</f>
        <v>70.08</v>
      </c>
      <c r="AI392" s="3">
        <f ca="1">IFERROR(__xludf.DUMMYFUNCTION("""COMPUTED_VALUE"""),70.17)</f>
        <v>70.17</v>
      </c>
      <c r="AJ392" s="3">
        <f ca="1">IFERROR(__xludf.DUMMYFUNCTION("""COMPUTED_VALUE"""),7585042)</f>
        <v>7585042</v>
      </c>
      <c r="AK392" s="4">
        <f ca="1">IFERROR(__xludf.DUMMYFUNCTION("""COMPUTED_VALUE"""),42690.6666666666)</f>
        <v>42690.666666666599</v>
      </c>
      <c r="AL392" s="3">
        <f ca="1">IFERROR(__xludf.DUMMYFUNCTION("""COMPUTED_VALUE"""),61.4)</f>
        <v>61.4</v>
      </c>
      <c r="AM392" s="3">
        <f ca="1">IFERROR(__xludf.DUMMYFUNCTION("""COMPUTED_VALUE"""),61.48)</f>
        <v>61.48</v>
      </c>
      <c r="AN392" s="3">
        <f ca="1">IFERROR(__xludf.DUMMYFUNCTION("""COMPUTED_VALUE"""),60.98)</f>
        <v>60.98</v>
      </c>
      <c r="AO392" s="3">
        <f ca="1">IFERROR(__xludf.DUMMYFUNCTION("""COMPUTED_VALUE"""),61.19)</f>
        <v>61.19</v>
      </c>
      <c r="AP392" s="3">
        <f ca="1">IFERROR(__xludf.DUMMYFUNCTION("""COMPUTED_VALUE"""),14472901)</f>
        <v>14472901</v>
      </c>
      <c r="AQ392" s="4">
        <f ca="1">IFERROR(__xludf.DUMMYFUNCTION("""COMPUTED_VALUE"""),42690.6666666666)</f>
        <v>42690.666666666599</v>
      </c>
      <c r="AR392" s="3">
        <f ca="1">IFERROR(__xludf.DUMMYFUNCTION("""COMPUTED_VALUE"""),48.35)</f>
        <v>48.35</v>
      </c>
      <c r="AS392" s="3">
        <f ca="1">IFERROR(__xludf.DUMMYFUNCTION("""COMPUTED_VALUE"""),48.54)</f>
        <v>48.54</v>
      </c>
      <c r="AT392" s="3">
        <f ca="1">IFERROR(__xludf.DUMMYFUNCTION("""COMPUTED_VALUE"""),48.21)</f>
        <v>48.21</v>
      </c>
      <c r="AU392" s="3">
        <f ca="1">IFERROR(__xludf.DUMMYFUNCTION("""COMPUTED_VALUE"""),48.37)</f>
        <v>48.37</v>
      </c>
      <c r="AV392" s="3">
        <f ca="1">IFERROR(__xludf.DUMMYFUNCTION("""COMPUTED_VALUE"""),3716488)</f>
        <v>3716488</v>
      </c>
      <c r="AW392" s="4">
        <f ca="1">IFERROR(__xludf.DUMMYFUNCTION("""COMPUTED_VALUE"""),42858.6666666666)</f>
        <v>42858.666666666599</v>
      </c>
      <c r="AX392" s="3">
        <f ca="1">IFERROR(__xludf.DUMMYFUNCTION("""COMPUTED_VALUE"""),31.81)</f>
        <v>31.81</v>
      </c>
      <c r="AY392" s="3">
        <f ca="1">IFERROR(__xludf.DUMMYFUNCTION("""COMPUTED_VALUE"""),31.93)</f>
        <v>31.93</v>
      </c>
      <c r="AZ392" s="3">
        <f ca="1">IFERROR(__xludf.DUMMYFUNCTION("""COMPUTED_VALUE"""),31.39)</f>
        <v>31.39</v>
      </c>
      <c r="BA392" s="3">
        <f ca="1">IFERROR(__xludf.DUMMYFUNCTION("""COMPUTED_VALUE"""),31.47)</f>
        <v>31.47</v>
      </c>
      <c r="BB392" s="3">
        <f ca="1">IFERROR(__xludf.DUMMYFUNCTION("""COMPUTED_VALUE"""),2193432)</f>
        <v>2193432</v>
      </c>
      <c r="BC392" s="4">
        <f ca="1">IFERROR(__xludf.DUMMYFUNCTION("""COMPUTED_VALUE"""),42690.6666666666)</f>
        <v>42690.666666666599</v>
      </c>
      <c r="BD392" s="3">
        <f ca="1">IFERROR(__xludf.DUMMYFUNCTION("""COMPUTED_VALUE"""),46.56)</f>
        <v>46.56</v>
      </c>
      <c r="BE392" s="3">
        <f ca="1">IFERROR(__xludf.DUMMYFUNCTION("""COMPUTED_VALUE"""),47.13)</f>
        <v>47.13</v>
      </c>
      <c r="BF392" s="3">
        <f ca="1">IFERROR(__xludf.DUMMYFUNCTION("""COMPUTED_VALUE"""),46.5)</f>
        <v>46.5</v>
      </c>
      <c r="BG392" s="3">
        <f ca="1">IFERROR(__xludf.DUMMYFUNCTION("""COMPUTED_VALUE"""),47.1)</f>
        <v>47.1</v>
      </c>
      <c r="BH392" s="3">
        <f ca="1">IFERROR(__xludf.DUMMYFUNCTION("""COMPUTED_VALUE"""),10124244)</f>
        <v>10124244</v>
      </c>
      <c r="BI392" s="4">
        <f ca="1">IFERROR(__xludf.DUMMYFUNCTION("""COMPUTED_VALUE"""),42690.6666666666)</f>
        <v>42690.666666666599</v>
      </c>
      <c r="BJ392" s="3">
        <f ca="1">IFERROR(__xludf.DUMMYFUNCTION("""COMPUTED_VALUE"""),46.85)</f>
        <v>46.85</v>
      </c>
      <c r="BK392" s="3">
        <f ca="1">IFERROR(__xludf.DUMMYFUNCTION("""COMPUTED_VALUE"""),46.97)</f>
        <v>46.97</v>
      </c>
      <c r="BL392" s="3">
        <f ca="1">IFERROR(__xludf.DUMMYFUNCTION("""COMPUTED_VALUE"""),46.12)</f>
        <v>46.12</v>
      </c>
      <c r="BM392" s="3">
        <f ca="1">IFERROR(__xludf.DUMMYFUNCTION("""COMPUTED_VALUE"""),46.42)</f>
        <v>46.42</v>
      </c>
      <c r="BN392" s="3">
        <f ca="1">IFERROR(__xludf.DUMMYFUNCTION("""COMPUTED_VALUE"""),16817428)</f>
        <v>16817428</v>
      </c>
    </row>
    <row r="393" spans="7:66" ht="13" x14ac:dyDescent="0.15">
      <c r="G393" s="4">
        <f ca="1">IFERROR(__xludf.DUMMYFUNCTION("""COMPUTED_VALUE"""),42691.6666666666)</f>
        <v>42691.666666666599</v>
      </c>
      <c r="H393" s="3">
        <f ca="1">IFERROR(__xludf.DUMMYFUNCTION("""COMPUTED_VALUE"""),80.55)</f>
        <v>80.55</v>
      </c>
      <c r="I393" s="3">
        <f ca="1">IFERROR(__xludf.DUMMYFUNCTION("""COMPUTED_VALUE"""),81.45)</f>
        <v>81.45</v>
      </c>
      <c r="J393" s="3">
        <f ca="1">IFERROR(__xludf.DUMMYFUNCTION("""COMPUTED_VALUE"""),80.39)</f>
        <v>80.39</v>
      </c>
      <c r="K393" s="3">
        <f ca="1">IFERROR(__xludf.DUMMYFUNCTION("""COMPUTED_VALUE"""),81.45)</f>
        <v>81.45</v>
      </c>
      <c r="L393" s="3">
        <f ca="1">IFERROR(__xludf.DUMMYFUNCTION("""COMPUTED_VALUE"""),5701050)</f>
        <v>5701050</v>
      </c>
      <c r="M393" s="4">
        <f ca="1">IFERROR(__xludf.DUMMYFUNCTION("""COMPUTED_VALUE"""),42691.6666666666)</f>
        <v>42691.666666666599</v>
      </c>
      <c r="N393" s="3">
        <f ca="1">IFERROR(__xludf.DUMMYFUNCTION("""COMPUTED_VALUE"""),50.73)</f>
        <v>50.73</v>
      </c>
      <c r="O393" s="3">
        <f ca="1">IFERROR(__xludf.DUMMYFUNCTION("""COMPUTED_VALUE"""),50.78)</f>
        <v>50.78</v>
      </c>
      <c r="P393" s="3">
        <f ca="1">IFERROR(__xludf.DUMMYFUNCTION("""COMPUTED_VALUE"""),50.45)</f>
        <v>50.45</v>
      </c>
      <c r="Q393" s="3">
        <f ca="1">IFERROR(__xludf.DUMMYFUNCTION("""COMPUTED_VALUE"""),50.68)</f>
        <v>50.68</v>
      </c>
      <c r="R393" s="3">
        <f ca="1">IFERROR(__xludf.DUMMYFUNCTION("""COMPUTED_VALUE"""),15626709)</f>
        <v>15626709</v>
      </c>
      <c r="S393" s="4">
        <f ca="1">IFERROR(__xludf.DUMMYFUNCTION("""COMPUTED_VALUE"""),42691.6666666666)</f>
        <v>42691.666666666599</v>
      </c>
      <c r="T393" s="3">
        <f ca="1">IFERROR(__xludf.DUMMYFUNCTION("""COMPUTED_VALUE"""),71.92)</f>
        <v>71.92</v>
      </c>
      <c r="U393" s="3">
        <f ca="1">IFERROR(__xludf.DUMMYFUNCTION("""COMPUTED_VALUE"""),72.39)</f>
        <v>72.39</v>
      </c>
      <c r="V393" s="3">
        <f ca="1">IFERROR(__xludf.DUMMYFUNCTION("""COMPUTED_VALUE"""),70.66)</f>
        <v>70.66</v>
      </c>
      <c r="W393" s="3">
        <f ca="1">IFERROR(__xludf.DUMMYFUNCTION("""COMPUTED_VALUE"""),70.84)</f>
        <v>70.84</v>
      </c>
      <c r="X393" s="3">
        <f ca="1">IFERROR(__xludf.DUMMYFUNCTION("""COMPUTED_VALUE"""),10337975)</f>
        <v>10337975</v>
      </c>
      <c r="Y393" s="4">
        <f ca="1">IFERROR(__xludf.DUMMYFUNCTION("""COMPUTED_VALUE"""),42691.6666666666)</f>
        <v>42691.666666666599</v>
      </c>
      <c r="Z393" s="3">
        <f ca="1">IFERROR(__xludf.DUMMYFUNCTION("""COMPUTED_VALUE"""),21.86)</f>
        <v>21.86</v>
      </c>
      <c r="AA393" s="3">
        <f ca="1">IFERROR(__xludf.DUMMYFUNCTION("""COMPUTED_VALUE"""),22.18)</f>
        <v>22.18</v>
      </c>
      <c r="AB393" s="3">
        <f ca="1">IFERROR(__xludf.DUMMYFUNCTION("""COMPUTED_VALUE"""),21.81)</f>
        <v>21.81</v>
      </c>
      <c r="AC393" s="3">
        <f ca="1">IFERROR(__xludf.DUMMYFUNCTION("""COMPUTED_VALUE"""),22.16)</f>
        <v>22.16</v>
      </c>
      <c r="AD393" s="3">
        <f ca="1">IFERROR(__xludf.DUMMYFUNCTION("""COMPUTED_VALUE"""),98536426)</f>
        <v>98536426</v>
      </c>
      <c r="AE393" s="4">
        <f ca="1">IFERROR(__xludf.DUMMYFUNCTION("""COMPUTED_VALUE"""),42691.6666666666)</f>
        <v>42691.666666666599</v>
      </c>
      <c r="AF393" s="3">
        <f ca="1">IFERROR(__xludf.DUMMYFUNCTION("""COMPUTED_VALUE"""),70.22)</f>
        <v>70.22</v>
      </c>
      <c r="AG393" s="3">
        <f ca="1">IFERROR(__xludf.DUMMYFUNCTION("""COMPUTED_VALUE"""),70.47)</f>
        <v>70.47</v>
      </c>
      <c r="AH393" s="3">
        <f ca="1">IFERROR(__xludf.DUMMYFUNCTION("""COMPUTED_VALUE"""),70.02)</f>
        <v>70.02</v>
      </c>
      <c r="AI393" s="3">
        <f ca="1">IFERROR(__xludf.DUMMYFUNCTION("""COMPUTED_VALUE"""),70.45)</f>
        <v>70.45</v>
      </c>
      <c r="AJ393" s="3">
        <f ca="1">IFERROR(__xludf.DUMMYFUNCTION("""COMPUTED_VALUE"""),12856186)</f>
        <v>12856186</v>
      </c>
      <c r="AK393" s="4">
        <f ca="1">IFERROR(__xludf.DUMMYFUNCTION("""COMPUTED_VALUE"""),42691.6666666666)</f>
        <v>42691.666666666599</v>
      </c>
      <c r="AL393" s="3">
        <f ca="1">IFERROR(__xludf.DUMMYFUNCTION("""COMPUTED_VALUE"""),61.14)</f>
        <v>61.14</v>
      </c>
      <c r="AM393" s="3">
        <f ca="1">IFERROR(__xludf.DUMMYFUNCTION("""COMPUTED_VALUE"""),61.35)</f>
        <v>61.35</v>
      </c>
      <c r="AN393" s="3">
        <f ca="1">IFERROR(__xludf.DUMMYFUNCTION("""COMPUTED_VALUE"""),61.14)</f>
        <v>61.14</v>
      </c>
      <c r="AO393" s="3">
        <f ca="1">IFERROR(__xludf.DUMMYFUNCTION("""COMPUTED_VALUE"""),61.32)</f>
        <v>61.32</v>
      </c>
      <c r="AP393" s="3">
        <f ca="1">IFERROR(__xludf.DUMMYFUNCTION("""COMPUTED_VALUE"""),10382833)</f>
        <v>10382833</v>
      </c>
      <c r="AQ393" s="4">
        <f ca="1">IFERROR(__xludf.DUMMYFUNCTION("""COMPUTED_VALUE"""),42691.6666666666)</f>
        <v>42691.666666666599</v>
      </c>
      <c r="AR393" s="3">
        <f ca="1">IFERROR(__xludf.DUMMYFUNCTION("""COMPUTED_VALUE"""),48.52)</f>
        <v>48.52</v>
      </c>
      <c r="AS393" s="3">
        <f ca="1">IFERROR(__xludf.DUMMYFUNCTION("""COMPUTED_VALUE"""),48.56)</f>
        <v>48.56</v>
      </c>
      <c r="AT393" s="3">
        <f ca="1">IFERROR(__xludf.DUMMYFUNCTION("""COMPUTED_VALUE"""),48.14)</f>
        <v>48.14</v>
      </c>
      <c r="AU393" s="3">
        <f ca="1">IFERROR(__xludf.DUMMYFUNCTION("""COMPUTED_VALUE"""),48.39)</f>
        <v>48.39</v>
      </c>
      <c r="AV393" s="3">
        <f ca="1">IFERROR(__xludf.DUMMYFUNCTION("""COMPUTED_VALUE"""),4135866)</f>
        <v>4135866</v>
      </c>
      <c r="AW393" s="4">
        <f ca="1">IFERROR(__xludf.DUMMYFUNCTION("""COMPUTED_VALUE"""),42859.6666666666)</f>
        <v>42859.666666666599</v>
      </c>
      <c r="AX393" s="3">
        <f ca="1">IFERROR(__xludf.DUMMYFUNCTION("""COMPUTED_VALUE"""),31.31)</f>
        <v>31.31</v>
      </c>
      <c r="AY393" s="3">
        <f ca="1">IFERROR(__xludf.DUMMYFUNCTION("""COMPUTED_VALUE"""),31.53)</f>
        <v>31.53</v>
      </c>
      <c r="AZ393" s="3">
        <f ca="1">IFERROR(__xludf.DUMMYFUNCTION("""COMPUTED_VALUE"""),31.14)</f>
        <v>31.14</v>
      </c>
      <c r="BA393" s="3">
        <f ca="1">IFERROR(__xludf.DUMMYFUNCTION("""COMPUTED_VALUE"""),31.5)</f>
        <v>31.5</v>
      </c>
      <c r="BB393" s="3">
        <f ca="1">IFERROR(__xludf.DUMMYFUNCTION("""COMPUTED_VALUE"""),1428508)</f>
        <v>1428508</v>
      </c>
      <c r="BC393" s="4">
        <f ca="1">IFERROR(__xludf.DUMMYFUNCTION("""COMPUTED_VALUE"""),42691.6666666666)</f>
        <v>42691.666666666599</v>
      </c>
      <c r="BD393" s="3">
        <f ca="1">IFERROR(__xludf.DUMMYFUNCTION("""COMPUTED_VALUE"""),47.16)</f>
        <v>47.16</v>
      </c>
      <c r="BE393" s="3">
        <f ca="1">IFERROR(__xludf.DUMMYFUNCTION("""COMPUTED_VALUE"""),47.44)</f>
        <v>47.44</v>
      </c>
      <c r="BF393" s="3">
        <f ca="1">IFERROR(__xludf.DUMMYFUNCTION("""COMPUTED_VALUE"""),47.05)</f>
        <v>47.05</v>
      </c>
      <c r="BG393" s="3">
        <f ca="1">IFERROR(__xludf.DUMMYFUNCTION("""COMPUTED_VALUE"""),47.4)</f>
        <v>47.4</v>
      </c>
      <c r="BH393" s="3">
        <f ca="1">IFERROR(__xludf.DUMMYFUNCTION("""COMPUTED_VALUE"""),8524101)</f>
        <v>8524101</v>
      </c>
      <c r="BI393" s="4">
        <f ca="1">IFERROR(__xludf.DUMMYFUNCTION("""COMPUTED_VALUE"""),42691.6666666666)</f>
        <v>42691.666666666599</v>
      </c>
      <c r="BJ393" s="3">
        <f ca="1">IFERROR(__xludf.DUMMYFUNCTION("""COMPUTED_VALUE"""),46.2)</f>
        <v>46.2</v>
      </c>
      <c r="BK393" s="3">
        <f ca="1">IFERROR(__xludf.DUMMYFUNCTION("""COMPUTED_VALUE"""),46.68)</f>
        <v>46.68</v>
      </c>
      <c r="BL393" s="3">
        <f ca="1">IFERROR(__xludf.DUMMYFUNCTION("""COMPUTED_VALUE"""),46.2)</f>
        <v>46.2</v>
      </c>
      <c r="BM393" s="3">
        <f ca="1">IFERROR(__xludf.DUMMYFUNCTION("""COMPUTED_VALUE"""),46.43)</f>
        <v>46.43</v>
      </c>
      <c r="BN393" s="3">
        <f ca="1">IFERROR(__xludf.DUMMYFUNCTION("""COMPUTED_VALUE"""),19199784)</f>
        <v>19199784</v>
      </c>
    </row>
    <row r="394" spans="7:66" ht="13" x14ac:dyDescent="0.15">
      <c r="G394" s="4">
        <f ca="1">IFERROR(__xludf.DUMMYFUNCTION("""COMPUTED_VALUE"""),42692.6666666666)</f>
        <v>42692.666666666599</v>
      </c>
      <c r="H394" s="3">
        <f ca="1">IFERROR(__xludf.DUMMYFUNCTION("""COMPUTED_VALUE"""),81.4)</f>
        <v>81.400000000000006</v>
      </c>
      <c r="I394" s="3">
        <f ca="1">IFERROR(__xludf.DUMMYFUNCTION("""COMPUTED_VALUE"""),81.58)</f>
        <v>81.58</v>
      </c>
      <c r="J394" s="3">
        <f ca="1">IFERROR(__xludf.DUMMYFUNCTION("""COMPUTED_VALUE"""),81.1)</f>
        <v>81.099999999999994</v>
      </c>
      <c r="K394" s="3">
        <f ca="1">IFERROR(__xludf.DUMMYFUNCTION("""COMPUTED_VALUE"""),81.2)</f>
        <v>81.2</v>
      </c>
      <c r="L394" s="3">
        <f ca="1">IFERROR(__xludf.DUMMYFUNCTION("""COMPUTED_VALUE"""),4293571)</f>
        <v>4293571</v>
      </c>
      <c r="M394" s="4">
        <f ca="1">IFERROR(__xludf.DUMMYFUNCTION("""COMPUTED_VALUE"""),42692.6666666666)</f>
        <v>42692.666666666599</v>
      </c>
      <c r="N394" s="3">
        <f ca="1">IFERROR(__xludf.DUMMYFUNCTION("""COMPUTED_VALUE"""),50.68)</f>
        <v>50.68</v>
      </c>
      <c r="O394" s="3">
        <f ca="1">IFERROR(__xludf.DUMMYFUNCTION("""COMPUTED_VALUE"""),50.72)</f>
        <v>50.72</v>
      </c>
      <c r="P394" s="3">
        <f ca="1">IFERROR(__xludf.DUMMYFUNCTION("""COMPUTED_VALUE"""),50.43)</f>
        <v>50.43</v>
      </c>
      <c r="Q394" s="3">
        <f ca="1">IFERROR(__xludf.DUMMYFUNCTION("""COMPUTED_VALUE"""),50.5)</f>
        <v>50.5</v>
      </c>
      <c r="R394" s="3">
        <f ca="1">IFERROR(__xludf.DUMMYFUNCTION("""COMPUTED_VALUE"""),14786066)</f>
        <v>14786066</v>
      </c>
      <c r="S394" s="4">
        <f ca="1">IFERROR(__xludf.DUMMYFUNCTION("""COMPUTED_VALUE"""),42692.6666666666)</f>
        <v>42692.666666666599</v>
      </c>
      <c r="T394" s="3">
        <f ca="1">IFERROR(__xludf.DUMMYFUNCTION("""COMPUTED_VALUE"""),71.09)</f>
        <v>71.09</v>
      </c>
      <c r="U394" s="3">
        <f ca="1">IFERROR(__xludf.DUMMYFUNCTION("""COMPUTED_VALUE"""),71.53)</f>
        <v>71.53</v>
      </c>
      <c r="V394" s="3">
        <f ca="1">IFERROR(__xludf.DUMMYFUNCTION("""COMPUTED_VALUE"""),70.73)</f>
        <v>70.73</v>
      </c>
      <c r="W394" s="3">
        <f ca="1">IFERROR(__xludf.DUMMYFUNCTION("""COMPUTED_VALUE"""),71.13)</f>
        <v>71.13</v>
      </c>
      <c r="X394" s="3">
        <f ca="1">IFERROR(__xludf.DUMMYFUNCTION("""COMPUTED_VALUE"""),11962308)</f>
        <v>11962308</v>
      </c>
      <c r="Y394" s="4">
        <f ca="1">IFERROR(__xludf.DUMMYFUNCTION("""COMPUTED_VALUE"""),42692.6666666666)</f>
        <v>42692.666666666599</v>
      </c>
      <c r="Z394" s="3">
        <f ca="1">IFERROR(__xludf.DUMMYFUNCTION("""COMPUTED_VALUE"""),22.14)</f>
        <v>22.14</v>
      </c>
      <c r="AA394" s="3">
        <f ca="1">IFERROR(__xludf.DUMMYFUNCTION("""COMPUTED_VALUE"""),22.24)</f>
        <v>22.24</v>
      </c>
      <c r="AB394" s="3">
        <f ca="1">IFERROR(__xludf.DUMMYFUNCTION("""COMPUTED_VALUE"""),22.06)</f>
        <v>22.06</v>
      </c>
      <c r="AC394" s="3">
        <f ca="1">IFERROR(__xludf.DUMMYFUNCTION("""COMPUTED_VALUE"""),22.16)</f>
        <v>22.16</v>
      </c>
      <c r="AD394" s="3">
        <f ca="1">IFERROR(__xludf.DUMMYFUNCTION("""COMPUTED_VALUE"""),92344297)</f>
        <v>92344297</v>
      </c>
      <c r="AE394" s="4">
        <f ca="1">IFERROR(__xludf.DUMMYFUNCTION("""COMPUTED_VALUE"""),42692.6666666666)</f>
        <v>42692.666666666599</v>
      </c>
      <c r="AF394" s="3">
        <f ca="1">IFERROR(__xludf.DUMMYFUNCTION("""COMPUTED_VALUE"""),70.51)</f>
        <v>70.510000000000005</v>
      </c>
      <c r="AG394" s="3">
        <f ca="1">IFERROR(__xludf.DUMMYFUNCTION("""COMPUTED_VALUE"""),70.7)</f>
        <v>70.7</v>
      </c>
      <c r="AH394" s="3">
        <f ca="1">IFERROR(__xludf.DUMMYFUNCTION("""COMPUTED_VALUE"""),69.66)</f>
        <v>69.66</v>
      </c>
      <c r="AI394" s="3">
        <f ca="1">IFERROR(__xludf.DUMMYFUNCTION("""COMPUTED_VALUE"""),69.7)</f>
        <v>69.7</v>
      </c>
      <c r="AJ394" s="3">
        <f ca="1">IFERROR(__xludf.DUMMYFUNCTION("""COMPUTED_VALUE"""),12185025)</f>
        <v>12185025</v>
      </c>
      <c r="AK394" s="4">
        <f ca="1">IFERROR(__xludf.DUMMYFUNCTION("""COMPUTED_VALUE"""),42692.6666666666)</f>
        <v>42692.666666666599</v>
      </c>
      <c r="AL394" s="3">
        <f ca="1">IFERROR(__xludf.DUMMYFUNCTION("""COMPUTED_VALUE"""),61.38)</f>
        <v>61.38</v>
      </c>
      <c r="AM394" s="3">
        <f ca="1">IFERROR(__xludf.DUMMYFUNCTION("""COMPUTED_VALUE"""),61.38)</f>
        <v>61.38</v>
      </c>
      <c r="AN394" s="3">
        <f ca="1">IFERROR(__xludf.DUMMYFUNCTION("""COMPUTED_VALUE"""),61.11)</f>
        <v>61.11</v>
      </c>
      <c r="AO394" s="3">
        <f ca="1">IFERROR(__xludf.DUMMYFUNCTION("""COMPUTED_VALUE"""),61.3)</f>
        <v>61.3</v>
      </c>
      <c r="AP394" s="3">
        <f ca="1">IFERROR(__xludf.DUMMYFUNCTION("""COMPUTED_VALUE"""),9246448)</f>
        <v>9246448</v>
      </c>
      <c r="AQ394" s="4">
        <f ca="1">IFERROR(__xludf.DUMMYFUNCTION("""COMPUTED_VALUE"""),42692.6666666666)</f>
        <v>42692.666666666599</v>
      </c>
      <c r="AR394" s="3">
        <f ca="1">IFERROR(__xludf.DUMMYFUNCTION("""COMPUTED_VALUE"""),48.38)</f>
        <v>48.38</v>
      </c>
      <c r="AS394" s="3">
        <f ca="1">IFERROR(__xludf.DUMMYFUNCTION("""COMPUTED_VALUE"""),48.38)</f>
        <v>48.38</v>
      </c>
      <c r="AT394" s="3">
        <f ca="1">IFERROR(__xludf.DUMMYFUNCTION("""COMPUTED_VALUE"""),48.18)</f>
        <v>48.18</v>
      </c>
      <c r="AU394" s="3">
        <f ca="1">IFERROR(__xludf.DUMMYFUNCTION("""COMPUTED_VALUE"""),48.32)</f>
        <v>48.32</v>
      </c>
      <c r="AV394" s="3">
        <f ca="1">IFERROR(__xludf.DUMMYFUNCTION("""COMPUTED_VALUE"""),3894162)</f>
        <v>3894162</v>
      </c>
      <c r="AW394" s="4">
        <f ca="1">IFERROR(__xludf.DUMMYFUNCTION("""COMPUTED_VALUE"""),42860.6666666666)</f>
        <v>42860.666666666599</v>
      </c>
      <c r="AX394" s="3">
        <f ca="1">IFERROR(__xludf.DUMMYFUNCTION("""COMPUTED_VALUE"""),31.53)</f>
        <v>31.53</v>
      </c>
      <c r="AY394" s="3">
        <f ca="1">IFERROR(__xludf.DUMMYFUNCTION("""COMPUTED_VALUE"""),31.76)</f>
        <v>31.76</v>
      </c>
      <c r="AZ394" s="3">
        <f ca="1">IFERROR(__xludf.DUMMYFUNCTION("""COMPUTED_VALUE"""),31.53)</f>
        <v>31.53</v>
      </c>
      <c r="BA394" s="3">
        <f ca="1">IFERROR(__xludf.DUMMYFUNCTION("""COMPUTED_VALUE"""),31.75)</f>
        <v>31.75</v>
      </c>
      <c r="BB394" s="3">
        <f ca="1">IFERROR(__xludf.DUMMYFUNCTION("""COMPUTED_VALUE"""),1717402)</f>
        <v>1717402</v>
      </c>
      <c r="BC394" s="4">
        <f ca="1">IFERROR(__xludf.DUMMYFUNCTION("""COMPUTED_VALUE"""),42692.6666666666)</f>
        <v>42692.666666666599</v>
      </c>
      <c r="BD394" s="3">
        <f ca="1">IFERROR(__xludf.DUMMYFUNCTION("""COMPUTED_VALUE"""),47.51)</f>
        <v>47.51</v>
      </c>
      <c r="BE394" s="3">
        <f ca="1">IFERROR(__xludf.DUMMYFUNCTION("""COMPUTED_VALUE"""),47.61)</f>
        <v>47.61</v>
      </c>
      <c r="BF394" s="3">
        <f ca="1">IFERROR(__xludf.DUMMYFUNCTION("""COMPUTED_VALUE"""),47.27)</f>
        <v>47.27</v>
      </c>
      <c r="BG394" s="3">
        <f ca="1">IFERROR(__xludf.DUMMYFUNCTION("""COMPUTED_VALUE"""),47.36)</f>
        <v>47.36</v>
      </c>
      <c r="BH394" s="3">
        <f ca="1">IFERROR(__xludf.DUMMYFUNCTION("""COMPUTED_VALUE"""),8822991)</f>
        <v>8822991</v>
      </c>
      <c r="BI394" s="4">
        <f ca="1">IFERROR(__xludf.DUMMYFUNCTION("""COMPUTED_VALUE"""),42692.6666666666)</f>
        <v>42692.666666666599</v>
      </c>
      <c r="BJ394" s="3">
        <f ca="1">IFERROR(__xludf.DUMMYFUNCTION("""COMPUTED_VALUE"""),46.56)</f>
        <v>46.56</v>
      </c>
      <c r="BK394" s="3">
        <f ca="1">IFERROR(__xludf.DUMMYFUNCTION("""COMPUTED_VALUE"""),46.66)</f>
        <v>46.66</v>
      </c>
      <c r="BL394" s="3">
        <f ca="1">IFERROR(__xludf.DUMMYFUNCTION("""COMPUTED_VALUE"""),46.09)</f>
        <v>46.09</v>
      </c>
      <c r="BM394" s="3">
        <f ca="1">IFERROR(__xludf.DUMMYFUNCTION("""COMPUTED_VALUE"""),46.29)</f>
        <v>46.29</v>
      </c>
      <c r="BN394" s="3">
        <f ca="1">IFERROR(__xludf.DUMMYFUNCTION("""COMPUTED_VALUE"""),10698464)</f>
        <v>10698464</v>
      </c>
    </row>
    <row r="395" spans="7:66" ht="13" x14ac:dyDescent="0.15">
      <c r="G395" s="4">
        <f ca="1">IFERROR(__xludf.DUMMYFUNCTION("""COMPUTED_VALUE"""),42695.6666666666)</f>
        <v>42695.666666666599</v>
      </c>
      <c r="H395" s="3">
        <f ca="1">IFERROR(__xludf.DUMMYFUNCTION("""COMPUTED_VALUE"""),81.35)</f>
        <v>81.349999999999994</v>
      </c>
      <c r="I395" s="3">
        <f ca="1">IFERROR(__xludf.DUMMYFUNCTION("""COMPUTED_VALUE"""),81.73)</f>
        <v>81.73</v>
      </c>
      <c r="J395" s="3">
        <f ca="1">IFERROR(__xludf.DUMMYFUNCTION("""COMPUTED_VALUE"""),81.24)</f>
        <v>81.239999999999995</v>
      </c>
      <c r="K395" s="3">
        <f ca="1">IFERROR(__xludf.DUMMYFUNCTION("""COMPUTED_VALUE"""),81.73)</f>
        <v>81.73</v>
      </c>
      <c r="L395" s="3">
        <f ca="1">IFERROR(__xludf.DUMMYFUNCTION("""COMPUTED_VALUE"""),4763423)</f>
        <v>4763423</v>
      </c>
      <c r="M395" s="4">
        <f ca="1">IFERROR(__xludf.DUMMYFUNCTION("""COMPUTED_VALUE"""),42695.6666666666)</f>
        <v>42695.666666666599</v>
      </c>
      <c r="N395" s="3">
        <f ca="1">IFERROR(__xludf.DUMMYFUNCTION("""COMPUTED_VALUE"""),50.57)</f>
        <v>50.57</v>
      </c>
      <c r="O395" s="3">
        <f ca="1">IFERROR(__xludf.DUMMYFUNCTION("""COMPUTED_VALUE"""),50.86)</f>
        <v>50.86</v>
      </c>
      <c r="P395" s="3">
        <f ca="1">IFERROR(__xludf.DUMMYFUNCTION("""COMPUTED_VALUE"""),50.34)</f>
        <v>50.34</v>
      </c>
      <c r="Q395" s="3">
        <f ca="1">IFERROR(__xludf.DUMMYFUNCTION("""COMPUTED_VALUE"""),50.84)</f>
        <v>50.84</v>
      </c>
      <c r="R395" s="3">
        <f ca="1">IFERROR(__xludf.DUMMYFUNCTION("""COMPUTED_VALUE"""),18968738)</f>
        <v>18968738</v>
      </c>
      <c r="S395" s="4">
        <f ca="1">IFERROR(__xludf.DUMMYFUNCTION("""COMPUTED_VALUE"""),42695.6666666666)</f>
        <v>42695.666666666599</v>
      </c>
      <c r="T395" s="3">
        <f ca="1">IFERROR(__xludf.DUMMYFUNCTION("""COMPUTED_VALUE"""),72.13)</f>
        <v>72.13</v>
      </c>
      <c r="U395" s="3">
        <f ca="1">IFERROR(__xludf.DUMMYFUNCTION("""COMPUTED_VALUE"""),72.9)</f>
        <v>72.900000000000006</v>
      </c>
      <c r="V395" s="3">
        <f ca="1">IFERROR(__xludf.DUMMYFUNCTION("""COMPUTED_VALUE"""),72.13)</f>
        <v>72.13</v>
      </c>
      <c r="W395" s="3">
        <f ca="1">IFERROR(__xludf.DUMMYFUNCTION("""COMPUTED_VALUE"""),72.82)</f>
        <v>72.819999999999993</v>
      </c>
      <c r="X395" s="3">
        <f ca="1">IFERROR(__xludf.DUMMYFUNCTION("""COMPUTED_VALUE"""),16875395)</f>
        <v>16875395</v>
      </c>
      <c r="Y395" s="4">
        <f ca="1">IFERROR(__xludf.DUMMYFUNCTION("""COMPUTED_VALUE"""),42695.6666666666)</f>
        <v>42695.666666666599</v>
      </c>
      <c r="Z395" s="3">
        <f ca="1">IFERROR(__xludf.DUMMYFUNCTION("""COMPUTED_VALUE"""),22.28)</f>
        <v>22.28</v>
      </c>
      <c r="AA395" s="3">
        <f ca="1">IFERROR(__xludf.DUMMYFUNCTION("""COMPUTED_VALUE"""),22.3)</f>
        <v>22.3</v>
      </c>
      <c r="AB395" s="3">
        <f ca="1">IFERROR(__xludf.DUMMYFUNCTION("""COMPUTED_VALUE"""),22.09)</f>
        <v>22.09</v>
      </c>
      <c r="AC395" s="3">
        <f ca="1">IFERROR(__xludf.DUMMYFUNCTION("""COMPUTED_VALUE"""),22.24)</f>
        <v>22.24</v>
      </c>
      <c r="AD395" s="3">
        <f ca="1">IFERROR(__xludf.DUMMYFUNCTION("""COMPUTED_VALUE"""),71943930)</f>
        <v>71943930</v>
      </c>
      <c r="AE395" s="4">
        <f ca="1">IFERROR(__xludf.DUMMYFUNCTION("""COMPUTED_VALUE"""),42695.6666666666)</f>
        <v>42695.666666666599</v>
      </c>
      <c r="AF395" s="3">
        <f ca="1">IFERROR(__xludf.DUMMYFUNCTION("""COMPUTED_VALUE"""),69.85)</f>
        <v>69.849999999999994</v>
      </c>
      <c r="AG395" s="3">
        <f ca="1">IFERROR(__xludf.DUMMYFUNCTION("""COMPUTED_VALUE"""),70.02)</f>
        <v>70.02</v>
      </c>
      <c r="AH395" s="3">
        <f ca="1">IFERROR(__xludf.DUMMYFUNCTION("""COMPUTED_VALUE"""),69.77)</f>
        <v>69.77</v>
      </c>
      <c r="AI395" s="3">
        <f ca="1">IFERROR(__xludf.DUMMYFUNCTION("""COMPUTED_VALUE"""),69.95)</f>
        <v>69.95</v>
      </c>
      <c r="AJ395" s="3">
        <f ca="1">IFERROR(__xludf.DUMMYFUNCTION("""COMPUTED_VALUE"""),6791829)</f>
        <v>6791829</v>
      </c>
      <c r="AK395" s="4">
        <f ca="1">IFERROR(__xludf.DUMMYFUNCTION("""COMPUTED_VALUE"""),42695.6666666666)</f>
        <v>42695.666666666599</v>
      </c>
      <c r="AL395" s="3">
        <f ca="1">IFERROR(__xludf.DUMMYFUNCTION("""COMPUTED_VALUE"""),61.49)</f>
        <v>61.49</v>
      </c>
      <c r="AM395" s="3">
        <f ca="1">IFERROR(__xludf.DUMMYFUNCTION("""COMPUTED_VALUE"""),61.66)</f>
        <v>61.66</v>
      </c>
      <c r="AN395" s="3">
        <f ca="1">IFERROR(__xludf.DUMMYFUNCTION("""COMPUTED_VALUE"""),61.37)</f>
        <v>61.37</v>
      </c>
      <c r="AO395" s="3">
        <f ca="1">IFERROR(__xludf.DUMMYFUNCTION("""COMPUTED_VALUE"""),61.63)</f>
        <v>61.63</v>
      </c>
      <c r="AP395" s="3">
        <f ca="1">IFERROR(__xludf.DUMMYFUNCTION("""COMPUTED_VALUE"""),11767769)</f>
        <v>11767769</v>
      </c>
      <c r="AQ395" s="4">
        <f ca="1">IFERROR(__xludf.DUMMYFUNCTION("""COMPUTED_VALUE"""),42695.6666666666)</f>
        <v>42695.666666666599</v>
      </c>
      <c r="AR395" s="3">
        <f ca="1">IFERROR(__xludf.DUMMYFUNCTION("""COMPUTED_VALUE"""),48.39)</f>
        <v>48.39</v>
      </c>
      <c r="AS395" s="3">
        <f ca="1">IFERROR(__xludf.DUMMYFUNCTION("""COMPUTED_VALUE"""),48.91)</f>
        <v>48.91</v>
      </c>
      <c r="AT395" s="3">
        <f ca="1">IFERROR(__xludf.DUMMYFUNCTION("""COMPUTED_VALUE"""),48.39)</f>
        <v>48.39</v>
      </c>
      <c r="AU395" s="3">
        <f ca="1">IFERROR(__xludf.DUMMYFUNCTION("""COMPUTED_VALUE"""),48.89)</f>
        <v>48.89</v>
      </c>
      <c r="AV395" s="3">
        <f ca="1">IFERROR(__xludf.DUMMYFUNCTION("""COMPUTED_VALUE"""),3799109)</f>
        <v>3799109</v>
      </c>
      <c r="AW395" s="4">
        <f ca="1">IFERROR(__xludf.DUMMYFUNCTION("""COMPUTED_VALUE"""),42863.6666666666)</f>
        <v>42863.666666666599</v>
      </c>
      <c r="AX395" s="3">
        <f ca="1">IFERROR(__xludf.DUMMYFUNCTION("""COMPUTED_VALUE"""),31.71)</f>
        <v>31.71</v>
      </c>
      <c r="AY395" s="3">
        <f ca="1">IFERROR(__xludf.DUMMYFUNCTION("""COMPUTED_VALUE"""),31.83)</f>
        <v>31.83</v>
      </c>
      <c r="AZ395" s="3">
        <f ca="1">IFERROR(__xludf.DUMMYFUNCTION("""COMPUTED_VALUE"""),31.42)</f>
        <v>31.42</v>
      </c>
      <c r="BA395" s="3">
        <f ca="1">IFERROR(__xludf.DUMMYFUNCTION("""COMPUTED_VALUE"""),31.58)</f>
        <v>31.58</v>
      </c>
      <c r="BB395" s="3">
        <f ca="1">IFERROR(__xludf.DUMMYFUNCTION("""COMPUTED_VALUE"""),1279826)</f>
        <v>1279826</v>
      </c>
      <c r="BC395" s="4">
        <f ca="1">IFERROR(__xludf.DUMMYFUNCTION("""COMPUTED_VALUE"""),42695.6666666666)</f>
        <v>42695.666666666599</v>
      </c>
      <c r="BD395" s="3">
        <f ca="1">IFERROR(__xludf.DUMMYFUNCTION("""COMPUTED_VALUE"""),47.53)</f>
        <v>47.53</v>
      </c>
      <c r="BE395" s="3">
        <f ca="1">IFERROR(__xludf.DUMMYFUNCTION("""COMPUTED_VALUE"""),47.88)</f>
        <v>47.88</v>
      </c>
      <c r="BF395" s="3">
        <f ca="1">IFERROR(__xludf.DUMMYFUNCTION("""COMPUTED_VALUE"""),47.46)</f>
        <v>47.46</v>
      </c>
      <c r="BG395" s="3">
        <f ca="1">IFERROR(__xludf.DUMMYFUNCTION("""COMPUTED_VALUE"""),47.84)</f>
        <v>47.84</v>
      </c>
      <c r="BH395" s="3">
        <f ca="1">IFERROR(__xludf.DUMMYFUNCTION("""COMPUTED_VALUE"""),8975710)</f>
        <v>8975710</v>
      </c>
      <c r="BI395" s="4">
        <f ca="1">IFERROR(__xludf.DUMMYFUNCTION("""COMPUTED_VALUE"""),42695.6666666666)</f>
        <v>42695.666666666599</v>
      </c>
      <c r="BJ395" s="3">
        <f ca="1">IFERROR(__xludf.DUMMYFUNCTION("""COMPUTED_VALUE"""),46.42)</f>
        <v>46.42</v>
      </c>
      <c r="BK395" s="3">
        <f ca="1">IFERROR(__xludf.DUMMYFUNCTION("""COMPUTED_VALUE"""),46.79)</f>
        <v>46.79</v>
      </c>
      <c r="BL395" s="3">
        <f ca="1">IFERROR(__xludf.DUMMYFUNCTION("""COMPUTED_VALUE"""),46.35)</f>
        <v>46.35</v>
      </c>
      <c r="BM395" s="3">
        <f ca="1">IFERROR(__xludf.DUMMYFUNCTION("""COMPUTED_VALUE"""),46.78)</f>
        <v>46.78</v>
      </c>
      <c r="BN395" s="3">
        <f ca="1">IFERROR(__xludf.DUMMYFUNCTION("""COMPUTED_VALUE"""),12298269)</f>
        <v>12298269</v>
      </c>
    </row>
    <row r="396" spans="7:66" ht="13" x14ac:dyDescent="0.15">
      <c r="G396" s="4">
        <f ca="1">IFERROR(__xludf.DUMMYFUNCTION("""COMPUTED_VALUE"""),42696.6666666666)</f>
        <v>42696.666666666599</v>
      </c>
      <c r="H396" s="3">
        <f ca="1">IFERROR(__xludf.DUMMYFUNCTION("""COMPUTED_VALUE"""),81.98)</f>
        <v>81.98</v>
      </c>
      <c r="I396" s="3">
        <f ca="1">IFERROR(__xludf.DUMMYFUNCTION("""COMPUTED_VALUE"""),82.77)</f>
        <v>82.77</v>
      </c>
      <c r="J396" s="3">
        <f ca="1">IFERROR(__xludf.DUMMYFUNCTION("""COMPUTED_VALUE"""),81.9)</f>
        <v>81.900000000000006</v>
      </c>
      <c r="K396" s="3">
        <f ca="1">IFERROR(__xludf.DUMMYFUNCTION("""COMPUTED_VALUE"""),82.7)</f>
        <v>82.7</v>
      </c>
      <c r="L396" s="3">
        <f ca="1">IFERROR(__xludf.DUMMYFUNCTION("""COMPUTED_VALUE"""),5750061)</f>
        <v>5750061</v>
      </c>
      <c r="M396" s="4">
        <f ca="1">IFERROR(__xludf.DUMMYFUNCTION("""COMPUTED_VALUE"""),42696.6666666666)</f>
        <v>42696.666666666599</v>
      </c>
      <c r="N396" s="3">
        <f ca="1">IFERROR(__xludf.DUMMYFUNCTION("""COMPUTED_VALUE"""),50.99)</f>
        <v>50.99</v>
      </c>
      <c r="O396" s="3">
        <f ca="1">IFERROR(__xludf.DUMMYFUNCTION("""COMPUTED_VALUE"""),51.2)</f>
        <v>51.2</v>
      </c>
      <c r="P396" s="3">
        <f ca="1">IFERROR(__xludf.DUMMYFUNCTION("""COMPUTED_VALUE"""),50.96)</f>
        <v>50.96</v>
      </c>
      <c r="Q396" s="3">
        <f ca="1">IFERROR(__xludf.DUMMYFUNCTION("""COMPUTED_VALUE"""),51.1)</f>
        <v>51.1</v>
      </c>
      <c r="R396" s="3">
        <f ca="1">IFERROR(__xludf.DUMMYFUNCTION("""COMPUTED_VALUE"""),11991815)</f>
        <v>11991815</v>
      </c>
      <c r="S396" s="4">
        <f ca="1">IFERROR(__xludf.DUMMYFUNCTION("""COMPUTED_VALUE"""),42696.6666666666)</f>
        <v>42696.666666666599</v>
      </c>
      <c r="T396" s="3">
        <f ca="1">IFERROR(__xludf.DUMMYFUNCTION("""COMPUTED_VALUE"""),72.84)</f>
        <v>72.84</v>
      </c>
      <c r="U396" s="3">
        <f ca="1">IFERROR(__xludf.DUMMYFUNCTION("""COMPUTED_VALUE"""),73.2)</f>
        <v>73.2</v>
      </c>
      <c r="V396" s="3">
        <f ca="1">IFERROR(__xludf.DUMMYFUNCTION("""COMPUTED_VALUE"""),71.9)</f>
        <v>71.900000000000006</v>
      </c>
      <c r="W396" s="3">
        <f ca="1">IFERROR(__xludf.DUMMYFUNCTION("""COMPUTED_VALUE"""),72.78)</f>
        <v>72.78</v>
      </c>
      <c r="X396" s="3">
        <f ca="1">IFERROR(__xludf.DUMMYFUNCTION("""COMPUTED_VALUE"""),16013243)</f>
        <v>16013243</v>
      </c>
      <c r="Y396" s="4">
        <f ca="1">IFERROR(__xludf.DUMMYFUNCTION("""COMPUTED_VALUE"""),42696.6666666666)</f>
        <v>42696.666666666599</v>
      </c>
      <c r="Z396" s="3">
        <f ca="1">IFERROR(__xludf.DUMMYFUNCTION("""COMPUTED_VALUE"""),22.34)</f>
        <v>22.34</v>
      </c>
      <c r="AA396" s="3">
        <f ca="1">IFERROR(__xludf.DUMMYFUNCTION("""COMPUTED_VALUE"""),22.35)</f>
        <v>22.35</v>
      </c>
      <c r="AB396" s="3">
        <f ca="1">IFERROR(__xludf.DUMMYFUNCTION("""COMPUTED_VALUE"""),22.12)</f>
        <v>22.12</v>
      </c>
      <c r="AC396" s="3">
        <f ca="1">IFERROR(__xludf.DUMMYFUNCTION("""COMPUTED_VALUE"""),22.25)</f>
        <v>22.25</v>
      </c>
      <c r="AD396" s="3">
        <f ca="1">IFERROR(__xludf.DUMMYFUNCTION("""COMPUTED_VALUE"""),98286517)</f>
        <v>98286517</v>
      </c>
      <c r="AE396" s="4">
        <f ca="1">IFERROR(__xludf.DUMMYFUNCTION("""COMPUTED_VALUE"""),42696.6666666666)</f>
        <v>42696.666666666599</v>
      </c>
      <c r="AF396" s="3">
        <f ca="1">IFERROR(__xludf.DUMMYFUNCTION("""COMPUTED_VALUE"""),69.92)</f>
        <v>69.92</v>
      </c>
      <c r="AG396" s="3">
        <f ca="1">IFERROR(__xludf.DUMMYFUNCTION("""COMPUTED_VALUE"""),69.92)</f>
        <v>69.92</v>
      </c>
      <c r="AH396" s="3">
        <f ca="1">IFERROR(__xludf.DUMMYFUNCTION("""COMPUTED_VALUE"""),68.47)</f>
        <v>68.47</v>
      </c>
      <c r="AI396" s="3">
        <f ca="1">IFERROR(__xludf.DUMMYFUNCTION("""COMPUTED_VALUE"""),68.94)</f>
        <v>68.94</v>
      </c>
      <c r="AJ396" s="3">
        <f ca="1">IFERROR(__xludf.DUMMYFUNCTION("""COMPUTED_VALUE"""),14522066)</f>
        <v>14522066</v>
      </c>
      <c r="AK396" s="4">
        <f ca="1">IFERROR(__xludf.DUMMYFUNCTION("""COMPUTED_VALUE"""),42696.6666666666)</f>
        <v>42696.666666666599</v>
      </c>
      <c r="AL396" s="3">
        <f ca="1">IFERROR(__xludf.DUMMYFUNCTION("""COMPUTED_VALUE"""),61.8)</f>
        <v>61.8</v>
      </c>
      <c r="AM396" s="3">
        <f ca="1">IFERROR(__xludf.DUMMYFUNCTION("""COMPUTED_VALUE"""),61.96)</f>
        <v>61.96</v>
      </c>
      <c r="AN396" s="3">
        <f ca="1">IFERROR(__xludf.DUMMYFUNCTION("""COMPUTED_VALUE"""),61.71)</f>
        <v>61.71</v>
      </c>
      <c r="AO396" s="3">
        <f ca="1">IFERROR(__xludf.DUMMYFUNCTION("""COMPUTED_VALUE"""),61.91)</f>
        <v>61.91</v>
      </c>
      <c r="AP396" s="3">
        <f ca="1">IFERROR(__xludf.DUMMYFUNCTION("""COMPUTED_VALUE"""),8901275)</f>
        <v>8901275</v>
      </c>
      <c r="AQ396" s="4">
        <f ca="1">IFERROR(__xludf.DUMMYFUNCTION("""COMPUTED_VALUE"""),42696.6666666666)</f>
        <v>42696.666666666599</v>
      </c>
      <c r="AR396" s="3">
        <f ca="1">IFERROR(__xludf.DUMMYFUNCTION("""COMPUTED_VALUE"""),49.02)</f>
        <v>49.02</v>
      </c>
      <c r="AS396" s="3">
        <f ca="1">IFERROR(__xludf.DUMMYFUNCTION("""COMPUTED_VALUE"""),49.29)</f>
        <v>49.29</v>
      </c>
      <c r="AT396" s="3">
        <f ca="1">IFERROR(__xludf.DUMMYFUNCTION("""COMPUTED_VALUE"""),48.88)</f>
        <v>48.88</v>
      </c>
      <c r="AU396" s="3">
        <f ca="1">IFERROR(__xludf.DUMMYFUNCTION("""COMPUTED_VALUE"""),49.19)</f>
        <v>49.19</v>
      </c>
      <c r="AV396" s="3">
        <f ca="1">IFERROR(__xludf.DUMMYFUNCTION("""COMPUTED_VALUE"""),5135054)</f>
        <v>5135054</v>
      </c>
      <c r="AW396" s="4">
        <f ca="1">IFERROR(__xludf.DUMMYFUNCTION("""COMPUTED_VALUE"""),42864.6666666666)</f>
        <v>42864.666666666599</v>
      </c>
      <c r="AX396" s="3">
        <f ca="1">IFERROR(__xludf.DUMMYFUNCTION("""COMPUTED_VALUE"""),31.54)</f>
        <v>31.54</v>
      </c>
      <c r="AY396" s="3">
        <f ca="1">IFERROR(__xludf.DUMMYFUNCTION("""COMPUTED_VALUE"""),31.59)</f>
        <v>31.59</v>
      </c>
      <c r="AZ396" s="3">
        <f ca="1">IFERROR(__xludf.DUMMYFUNCTION("""COMPUTED_VALUE"""),31.35)</f>
        <v>31.35</v>
      </c>
      <c r="BA396" s="3">
        <f ca="1">IFERROR(__xludf.DUMMYFUNCTION("""COMPUTED_VALUE"""),31.46)</f>
        <v>31.46</v>
      </c>
      <c r="BB396" s="3">
        <f ca="1">IFERROR(__xludf.DUMMYFUNCTION("""COMPUTED_VALUE"""),1770226)</f>
        <v>1770226</v>
      </c>
      <c r="BC396" s="4">
        <f ca="1">IFERROR(__xludf.DUMMYFUNCTION("""COMPUTED_VALUE"""),42696.6666666666)</f>
        <v>42696.666666666599</v>
      </c>
      <c r="BD396" s="3">
        <f ca="1">IFERROR(__xludf.DUMMYFUNCTION("""COMPUTED_VALUE"""),48)</f>
        <v>48</v>
      </c>
      <c r="BE396" s="3">
        <f ca="1">IFERROR(__xludf.DUMMYFUNCTION("""COMPUTED_VALUE"""),48.07)</f>
        <v>48.07</v>
      </c>
      <c r="BF396" s="3">
        <f ca="1">IFERROR(__xludf.DUMMYFUNCTION("""COMPUTED_VALUE"""),47.88)</f>
        <v>47.88</v>
      </c>
      <c r="BG396" s="3">
        <f ca="1">IFERROR(__xludf.DUMMYFUNCTION("""COMPUTED_VALUE"""),47.99)</f>
        <v>47.99</v>
      </c>
      <c r="BH396" s="3">
        <f ca="1">IFERROR(__xludf.DUMMYFUNCTION("""COMPUTED_VALUE"""),8489187)</f>
        <v>8489187</v>
      </c>
      <c r="BI396" s="4">
        <f ca="1">IFERROR(__xludf.DUMMYFUNCTION("""COMPUTED_VALUE"""),42696.6666666666)</f>
        <v>42696.666666666599</v>
      </c>
      <c r="BJ396" s="3">
        <f ca="1">IFERROR(__xludf.DUMMYFUNCTION("""COMPUTED_VALUE"""),46.8)</f>
        <v>46.8</v>
      </c>
      <c r="BK396" s="3">
        <f ca="1">IFERROR(__xludf.DUMMYFUNCTION("""COMPUTED_VALUE"""),47.03)</f>
        <v>47.03</v>
      </c>
      <c r="BL396" s="3">
        <f ca="1">IFERROR(__xludf.DUMMYFUNCTION("""COMPUTED_VALUE"""),46.56)</f>
        <v>46.56</v>
      </c>
      <c r="BM396" s="3">
        <f ca="1">IFERROR(__xludf.DUMMYFUNCTION("""COMPUTED_VALUE"""),46.96)</f>
        <v>46.96</v>
      </c>
      <c r="BN396" s="3">
        <f ca="1">IFERROR(__xludf.DUMMYFUNCTION("""COMPUTED_VALUE"""),10642964)</f>
        <v>10642964</v>
      </c>
    </row>
    <row r="397" spans="7:66" ht="13" x14ac:dyDescent="0.15">
      <c r="G397" s="4">
        <f ca="1">IFERROR(__xludf.DUMMYFUNCTION("""COMPUTED_VALUE"""),42697.6666666666)</f>
        <v>42697.666666666599</v>
      </c>
      <c r="H397" s="3">
        <f ca="1">IFERROR(__xludf.DUMMYFUNCTION("""COMPUTED_VALUE"""),82.56)</f>
        <v>82.56</v>
      </c>
      <c r="I397" s="3">
        <f ca="1">IFERROR(__xludf.DUMMYFUNCTION("""COMPUTED_VALUE"""),82.83)</f>
        <v>82.83</v>
      </c>
      <c r="J397" s="3">
        <f ca="1">IFERROR(__xludf.DUMMYFUNCTION("""COMPUTED_VALUE"""),82.5)</f>
        <v>82.5</v>
      </c>
      <c r="K397" s="3">
        <f ca="1">IFERROR(__xludf.DUMMYFUNCTION("""COMPUTED_VALUE"""),82.78)</f>
        <v>82.78</v>
      </c>
      <c r="L397" s="3">
        <f ca="1">IFERROR(__xludf.DUMMYFUNCTION("""COMPUTED_VALUE"""),4437205)</f>
        <v>4437205</v>
      </c>
      <c r="M397" s="4">
        <f ca="1">IFERROR(__xludf.DUMMYFUNCTION("""COMPUTED_VALUE"""),42697.6666666666)</f>
        <v>42697.666666666599</v>
      </c>
      <c r="N397" s="3">
        <f ca="1">IFERROR(__xludf.DUMMYFUNCTION("""COMPUTED_VALUE"""),50.9)</f>
        <v>50.9</v>
      </c>
      <c r="O397" s="3">
        <f ca="1">IFERROR(__xludf.DUMMYFUNCTION("""COMPUTED_VALUE"""),51.07)</f>
        <v>51.07</v>
      </c>
      <c r="P397" s="3">
        <f ca="1">IFERROR(__xludf.DUMMYFUNCTION("""COMPUTED_VALUE"""),50.75)</f>
        <v>50.75</v>
      </c>
      <c r="Q397" s="3">
        <f ca="1">IFERROR(__xludf.DUMMYFUNCTION("""COMPUTED_VALUE"""),50.82)</f>
        <v>50.82</v>
      </c>
      <c r="R397" s="3">
        <f ca="1">IFERROR(__xludf.DUMMYFUNCTION("""COMPUTED_VALUE"""),14783646)</f>
        <v>14783646</v>
      </c>
      <c r="S397" s="4">
        <f ca="1">IFERROR(__xludf.DUMMYFUNCTION("""COMPUTED_VALUE"""),42697.6666666666)</f>
        <v>42697.666666666599</v>
      </c>
      <c r="T397" s="3">
        <f ca="1">IFERROR(__xludf.DUMMYFUNCTION("""COMPUTED_VALUE"""),72.43)</f>
        <v>72.430000000000007</v>
      </c>
      <c r="U397" s="3">
        <f ca="1">IFERROR(__xludf.DUMMYFUNCTION("""COMPUTED_VALUE"""),73.31)</f>
        <v>73.31</v>
      </c>
      <c r="V397" s="3">
        <f ca="1">IFERROR(__xludf.DUMMYFUNCTION("""COMPUTED_VALUE"""),72.35)</f>
        <v>72.349999999999994</v>
      </c>
      <c r="W397" s="3">
        <f ca="1">IFERROR(__xludf.DUMMYFUNCTION("""COMPUTED_VALUE"""),73.08)</f>
        <v>73.08</v>
      </c>
      <c r="X397" s="3">
        <f ca="1">IFERROR(__xludf.DUMMYFUNCTION("""COMPUTED_VALUE"""),11461958)</f>
        <v>11461958</v>
      </c>
      <c r="Y397" s="4">
        <f ca="1">IFERROR(__xludf.DUMMYFUNCTION("""COMPUTED_VALUE"""),42697.6666666666)</f>
        <v>42697.666666666599</v>
      </c>
      <c r="Z397" s="3">
        <f ca="1">IFERROR(__xludf.DUMMYFUNCTION("""COMPUTED_VALUE"""),22.34)</f>
        <v>22.34</v>
      </c>
      <c r="AA397" s="3">
        <f ca="1">IFERROR(__xludf.DUMMYFUNCTION("""COMPUTED_VALUE"""),22.41)</f>
        <v>22.41</v>
      </c>
      <c r="AB397" s="3">
        <f ca="1">IFERROR(__xludf.DUMMYFUNCTION("""COMPUTED_VALUE"""),22.17)</f>
        <v>22.17</v>
      </c>
      <c r="AC397" s="3">
        <f ca="1">IFERROR(__xludf.DUMMYFUNCTION("""COMPUTED_VALUE"""),22.38)</f>
        <v>22.38</v>
      </c>
      <c r="AD397" s="3">
        <f ca="1">IFERROR(__xludf.DUMMYFUNCTION("""COMPUTED_VALUE"""),101948383)</f>
        <v>101948383</v>
      </c>
      <c r="AE397" s="4">
        <f ca="1">IFERROR(__xludf.DUMMYFUNCTION("""COMPUTED_VALUE"""),42697.6666666666)</f>
        <v>42697.666666666599</v>
      </c>
      <c r="AF397" s="3">
        <f ca="1">IFERROR(__xludf.DUMMYFUNCTION("""COMPUTED_VALUE"""),67.79)</f>
        <v>67.790000000000006</v>
      </c>
      <c r="AG397" s="3">
        <f ca="1">IFERROR(__xludf.DUMMYFUNCTION("""COMPUTED_VALUE"""),69.22)</f>
        <v>69.22</v>
      </c>
      <c r="AH397" s="3">
        <f ca="1">IFERROR(__xludf.DUMMYFUNCTION("""COMPUTED_VALUE"""),67.79)</f>
        <v>67.790000000000006</v>
      </c>
      <c r="AI397" s="3">
        <f ca="1">IFERROR(__xludf.DUMMYFUNCTION("""COMPUTED_VALUE"""),69.21)</f>
        <v>69.209999999999994</v>
      </c>
      <c r="AJ397" s="3">
        <f ca="1">IFERROR(__xludf.DUMMYFUNCTION("""COMPUTED_VALUE"""),13676020)</f>
        <v>13676020</v>
      </c>
      <c r="AK397" s="4">
        <f ca="1">IFERROR(__xludf.DUMMYFUNCTION("""COMPUTED_VALUE"""),42697.6666666666)</f>
        <v>42697.666666666599</v>
      </c>
      <c r="AL397" s="3">
        <f ca="1">IFERROR(__xludf.DUMMYFUNCTION("""COMPUTED_VALUE"""),62.05)</f>
        <v>62.05</v>
      </c>
      <c r="AM397" s="3">
        <f ca="1">IFERROR(__xludf.DUMMYFUNCTION("""COMPUTED_VALUE"""),62.44)</f>
        <v>62.44</v>
      </c>
      <c r="AN397" s="3">
        <f ca="1">IFERROR(__xludf.DUMMYFUNCTION("""COMPUTED_VALUE"""),61.99)</f>
        <v>61.99</v>
      </c>
      <c r="AO397" s="3">
        <f ca="1">IFERROR(__xludf.DUMMYFUNCTION("""COMPUTED_VALUE"""),62.37)</f>
        <v>62.37</v>
      </c>
      <c r="AP397" s="3">
        <f ca="1">IFERROR(__xludf.DUMMYFUNCTION("""COMPUTED_VALUE"""),15506832)</f>
        <v>15506832</v>
      </c>
      <c r="AQ397" s="4">
        <f ca="1">IFERROR(__xludf.DUMMYFUNCTION("""COMPUTED_VALUE"""),42697.6666666666)</f>
        <v>42697.666666666599</v>
      </c>
      <c r="AR397" s="3">
        <f ca="1">IFERROR(__xludf.DUMMYFUNCTION("""COMPUTED_VALUE"""),49.1)</f>
        <v>49.1</v>
      </c>
      <c r="AS397" s="3">
        <f ca="1">IFERROR(__xludf.DUMMYFUNCTION("""COMPUTED_VALUE"""),49.44)</f>
        <v>49.44</v>
      </c>
      <c r="AT397" s="3">
        <f ca="1">IFERROR(__xludf.DUMMYFUNCTION("""COMPUTED_VALUE"""),48.96)</f>
        <v>48.96</v>
      </c>
      <c r="AU397" s="3">
        <f ca="1">IFERROR(__xludf.DUMMYFUNCTION("""COMPUTED_VALUE"""),49.41)</f>
        <v>49.41</v>
      </c>
      <c r="AV397" s="3">
        <f ca="1">IFERROR(__xludf.DUMMYFUNCTION("""COMPUTED_VALUE"""),3498823)</f>
        <v>3498823</v>
      </c>
      <c r="AW397" s="4">
        <f ca="1">IFERROR(__xludf.DUMMYFUNCTION("""COMPUTED_VALUE"""),42865.6666666666)</f>
        <v>42865.666666666599</v>
      </c>
      <c r="AX397" s="3">
        <f ca="1">IFERROR(__xludf.DUMMYFUNCTION("""COMPUTED_VALUE"""),31.46)</f>
        <v>31.46</v>
      </c>
      <c r="AY397" s="3">
        <f ca="1">IFERROR(__xludf.DUMMYFUNCTION("""COMPUTED_VALUE"""),31.74)</f>
        <v>31.74</v>
      </c>
      <c r="AZ397" s="3">
        <f ca="1">IFERROR(__xludf.DUMMYFUNCTION("""COMPUTED_VALUE"""),31.4)</f>
        <v>31.4</v>
      </c>
      <c r="BA397" s="3">
        <f ca="1">IFERROR(__xludf.DUMMYFUNCTION("""COMPUTED_VALUE"""),31.63)</f>
        <v>31.63</v>
      </c>
      <c r="BB397" s="3">
        <f ca="1">IFERROR(__xludf.DUMMYFUNCTION("""COMPUTED_VALUE"""),1520304)</f>
        <v>1520304</v>
      </c>
      <c r="BC397" s="4">
        <f ca="1">IFERROR(__xludf.DUMMYFUNCTION("""COMPUTED_VALUE"""),42697.6666666666)</f>
        <v>42697.666666666599</v>
      </c>
      <c r="BD397" s="3">
        <f ca="1">IFERROR(__xludf.DUMMYFUNCTION("""COMPUTED_VALUE"""),47.96)</f>
        <v>47.96</v>
      </c>
      <c r="BE397" s="3">
        <f ca="1">IFERROR(__xludf.DUMMYFUNCTION("""COMPUTED_VALUE"""),47.96)</f>
        <v>47.96</v>
      </c>
      <c r="BF397" s="3">
        <f ca="1">IFERROR(__xludf.DUMMYFUNCTION("""COMPUTED_VALUE"""),47.63)</f>
        <v>47.63</v>
      </c>
      <c r="BG397" s="3">
        <f ca="1">IFERROR(__xludf.DUMMYFUNCTION("""COMPUTED_VALUE"""),47.8)</f>
        <v>47.8</v>
      </c>
      <c r="BH397" s="3">
        <f ca="1">IFERROR(__xludf.DUMMYFUNCTION("""COMPUTED_VALUE"""),8116794)</f>
        <v>8116794</v>
      </c>
      <c r="BI397" s="4">
        <f ca="1">IFERROR(__xludf.DUMMYFUNCTION("""COMPUTED_VALUE"""),42697.6666666666)</f>
        <v>42697.666666666599</v>
      </c>
      <c r="BJ397" s="3">
        <f ca="1">IFERROR(__xludf.DUMMYFUNCTION("""COMPUTED_VALUE"""),46.3)</f>
        <v>46.3</v>
      </c>
      <c r="BK397" s="3">
        <f ca="1">IFERROR(__xludf.DUMMYFUNCTION("""COMPUTED_VALUE"""),46.92)</f>
        <v>46.92</v>
      </c>
      <c r="BL397" s="3">
        <f ca="1">IFERROR(__xludf.DUMMYFUNCTION("""COMPUTED_VALUE"""),46.3)</f>
        <v>46.3</v>
      </c>
      <c r="BM397" s="3">
        <f ca="1">IFERROR(__xludf.DUMMYFUNCTION("""COMPUTED_VALUE"""),46.49)</f>
        <v>46.49</v>
      </c>
      <c r="BN397" s="3">
        <f ca="1">IFERROR(__xludf.DUMMYFUNCTION("""COMPUTED_VALUE"""),14153403)</f>
        <v>14153403</v>
      </c>
    </row>
    <row r="398" spans="7:66" ht="13" x14ac:dyDescent="0.15">
      <c r="G398" s="4">
        <f ca="1">IFERROR(__xludf.DUMMYFUNCTION("""COMPUTED_VALUE"""),42699.6666666666)</f>
        <v>42699.666666666599</v>
      </c>
      <c r="H398" s="3">
        <f ca="1">IFERROR(__xludf.DUMMYFUNCTION("""COMPUTED_VALUE"""),82.91)</f>
        <v>82.91</v>
      </c>
      <c r="I398" s="3">
        <f ca="1">IFERROR(__xludf.DUMMYFUNCTION("""COMPUTED_VALUE"""),83.07)</f>
        <v>83.07</v>
      </c>
      <c r="J398" s="3">
        <f ca="1">IFERROR(__xludf.DUMMYFUNCTION("""COMPUTED_VALUE"""),82.78)</f>
        <v>82.78</v>
      </c>
      <c r="K398" s="3">
        <f ca="1">IFERROR(__xludf.DUMMYFUNCTION("""COMPUTED_VALUE"""),82.98)</f>
        <v>82.98</v>
      </c>
      <c r="L398" s="3">
        <f ca="1">IFERROR(__xludf.DUMMYFUNCTION("""COMPUTED_VALUE"""),4271318)</f>
        <v>4271318</v>
      </c>
      <c r="M398" s="4">
        <f ca="1">IFERROR(__xludf.DUMMYFUNCTION("""COMPUTED_VALUE"""),42699.6666666666)</f>
        <v>42699.666666666599</v>
      </c>
      <c r="N398" s="3">
        <f ca="1">IFERROR(__xludf.DUMMYFUNCTION("""COMPUTED_VALUE"""),50.93)</f>
        <v>50.93</v>
      </c>
      <c r="O398" s="3">
        <f ca="1">IFERROR(__xludf.DUMMYFUNCTION("""COMPUTED_VALUE"""),51.23)</f>
        <v>51.23</v>
      </c>
      <c r="P398" s="3">
        <f ca="1">IFERROR(__xludf.DUMMYFUNCTION("""COMPUTED_VALUE"""),50.93)</f>
        <v>50.93</v>
      </c>
      <c r="Q398" s="3">
        <f ca="1">IFERROR(__xludf.DUMMYFUNCTION("""COMPUTED_VALUE"""),51.22)</f>
        <v>51.22</v>
      </c>
      <c r="R398" s="3">
        <f ca="1">IFERROR(__xludf.DUMMYFUNCTION("""COMPUTED_VALUE"""),10823549)</f>
        <v>10823549</v>
      </c>
      <c r="S398" s="4">
        <f ca="1">IFERROR(__xludf.DUMMYFUNCTION("""COMPUTED_VALUE"""),42699.6666666666)</f>
        <v>42699.666666666599</v>
      </c>
      <c r="T398" s="3">
        <f ca="1">IFERROR(__xludf.DUMMYFUNCTION("""COMPUTED_VALUE"""),72.77)</f>
        <v>72.77</v>
      </c>
      <c r="U398" s="3">
        <f ca="1">IFERROR(__xludf.DUMMYFUNCTION("""COMPUTED_VALUE"""),72.93)</f>
        <v>72.930000000000007</v>
      </c>
      <c r="V398" s="3">
        <f ca="1">IFERROR(__xludf.DUMMYFUNCTION("""COMPUTED_VALUE"""),72.36)</f>
        <v>72.36</v>
      </c>
      <c r="W398" s="3">
        <f ca="1">IFERROR(__xludf.DUMMYFUNCTION("""COMPUTED_VALUE"""),72.72)</f>
        <v>72.72</v>
      </c>
      <c r="X398" s="3">
        <f ca="1">IFERROR(__xludf.DUMMYFUNCTION("""COMPUTED_VALUE"""),8791783)</f>
        <v>8791783</v>
      </c>
      <c r="Y398" s="4">
        <f ca="1">IFERROR(__xludf.DUMMYFUNCTION("""COMPUTED_VALUE"""),42699.6666666666)</f>
        <v>42699.666666666599</v>
      </c>
      <c r="Z398" s="3">
        <f ca="1">IFERROR(__xludf.DUMMYFUNCTION("""COMPUTED_VALUE"""),22.43)</f>
        <v>22.43</v>
      </c>
      <c r="AA398" s="3">
        <f ca="1">IFERROR(__xludf.DUMMYFUNCTION("""COMPUTED_VALUE"""),22.45)</f>
        <v>22.45</v>
      </c>
      <c r="AB398" s="3">
        <f ca="1">IFERROR(__xludf.DUMMYFUNCTION("""COMPUTED_VALUE"""),22.32)</f>
        <v>22.32</v>
      </c>
      <c r="AC398" s="3">
        <f ca="1">IFERROR(__xludf.DUMMYFUNCTION("""COMPUTED_VALUE"""),22.41)</f>
        <v>22.41</v>
      </c>
      <c r="AD398" s="3">
        <f ca="1">IFERROR(__xludf.DUMMYFUNCTION("""COMPUTED_VALUE"""),33114823)</f>
        <v>33114823</v>
      </c>
      <c r="AE398" s="4">
        <f ca="1">IFERROR(__xludf.DUMMYFUNCTION("""COMPUTED_VALUE"""),42699.6666666666)</f>
        <v>42699.666666666599</v>
      </c>
      <c r="AF398" s="3">
        <f ca="1">IFERROR(__xludf.DUMMYFUNCTION("""COMPUTED_VALUE"""),69.41)</f>
        <v>69.41</v>
      </c>
      <c r="AG398" s="3">
        <f ca="1">IFERROR(__xludf.DUMMYFUNCTION("""COMPUTED_VALUE"""),69.54)</f>
        <v>69.540000000000006</v>
      </c>
      <c r="AH398" s="3">
        <f ca="1">IFERROR(__xludf.DUMMYFUNCTION("""COMPUTED_VALUE"""),69.21)</f>
        <v>69.209999999999994</v>
      </c>
      <c r="AI398" s="3">
        <f ca="1">IFERROR(__xludf.DUMMYFUNCTION("""COMPUTED_VALUE"""),69.48)</f>
        <v>69.48</v>
      </c>
      <c r="AJ398" s="3">
        <f ca="1">IFERROR(__xludf.DUMMYFUNCTION("""COMPUTED_VALUE"""),4009283)</f>
        <v>4009283</v>
      </c>
      <c r="AK398" s="4">
        <f ca="1">IFERROR(__xludf.DUMMYFUNCTION("""COMPUTED_VALUE"""),42699.6666666666)</f>
        <v>42699.666666666599</v>
      </c>
      <c r="AL398" s="3">
        <f ca="1">IFERROR(__xludf.DUMMYFUNCTION("""COMPUTED_VALUE"""),62.55)</f>
        <v>62.55</v>
      </c>
      <c r="AM398" s="3">
        <f ca="1">IFERROR(__xludf.DUMMYFUNCTION("""COMPUTED_VALUE"""),62.71)</f>
        <v>62.71</v>
      </c>
      <c r="AN398" s="3">
        <f ca="1">IFERROR(__xludf.DUMMYFUNCTION("""COMPUTED_VALUE"""),62.45)</f>
        <v>62.45</v>
      </c>
      <c r="AO398" s="3">
        <f ca="1">IFERROR(__xludf.DUMMYFUNCTION("""COMPUTED_VALUE"""),62.71)</f>
        <v>62.71</v>
      </c>
      <c r="AP398" s="3">
        <f ca="1">IFERROR(__xludf.DUMMYFUNCTION("""COMPUTED_VALUE"""),4172535)</f>
        <v>4172535</v>
      </c>
      <c r="AQ398" s="4">
        <f ca="1">IFERROR(__xludf.DUMMYFUNCTION("""COMPUTED_VALUE"""),42699.6666666666)</f>
        <v>42699.666666666599</v>
      </c>
      <c r="AR398" s="3">
        <f ca="1">IFERROR(__xludf.DUMMYFUNCTION("""COMPUTED_VALUE"""),49.46)</f>
        <v>49.46</v>
      </c>
      <c r="AS398" s="3">
        <f ca="1">IFERROR(__xludf.DUMMYFUNCTION("""COMPUTED_VALUE"""),49.59)</f>
        <v>49.59</v>
      </c>
      <c r="AT398" s="3">
        <f ca="1">IFERROR(__xludf.DUMMYFUNCTION("""COMPUTED_VALUE"""),49.38)</f>
        <v>49.38</v>
      </c>
      <c r="AU398" s="3">
        <f ca="1">IFERROR(__xludf.DUMMYFUNCTION("""COMPUTED_VALUE"""),49.56)</f>
        <v>49.56</v>
      </c>
      <c r="AV398" s="3">
        <f ca="1">IFERROR(__xludf.DUMMYFUNCTION("""COMPUTED_VALUE"""),1602589)</f>
        <v>1602589</v>
      </c>
      <c r="AW398" s="4">
        <f ca="1">IFERROR(__xludf.DUMMYFUNCTION("""COMPUTED_VALUE"""),42866.6666666666)</f>
        <v>42866.666666666599</v>
      </c>
      <c r="AX398" s="3">
        <f ca="1">IFERROR(__xludf.DUMMYFUNCTION("""COMPUTED_VALUE"""),31.49)</f>
        <v>31.49</v>
      </c>
      <c r="AY398" s="3">
        <f ca="1">IFERROR(__xludf.DUMMYFUNCTION("""COMPUTED_VALUE"""),31.51)</f>
        <v>31.51</v>
      </c>
      <c r="AZ398" s="3">
        <f ca="1">IFERROR(__xludf.DUMMYFUNCTION("""COMPUTED_VALUE"""),31.23)</f>
        <v>31.23</v>
      </c>
      <c r="BA398" s="3">
        <f ca="1">IFERROR(__xludf.DUMMYFUNCTION("""COMPUTED_VALUE"""),31.48)</f>
        <v>31.48</v>
      </c>
      <c r="BB398" s="3">
        <f ca="1">IFERROR(__xludf.DUMMYFUNCTION("""COMPUTED_VALUE"""),1999056)</f>
        <v>1999056</v>
      </c>
      <c r="BC398" s="4">
        <f ca="1">IFERROR(__xludf.DUMMYFUNCTION("""COMPUTED_VALUE"""),42699.6666666666)</f>
        <v>42699.666666666599</v>
      </c>
      <c r="BD398" s="3">
        <f ca="1">IFERROR(__xludf.DUMMYFUNCTION("""COMPUTED_VALUE"""),47.83)</f>
        <v>47.83</v>
      </c>
      <c r="BE398" s="3">
        <f ca="1">IFERROR(__xludf.DUMMYFUNCTION("""COMPUTED_VALUE"""),48.01)</f>
        <v>48.01</v>
      </c>
      <c r="BF398" s="3">
        <f ca="1">IFERROR(__xludf.DUMMYFUNCTION("""COMPUTED_VALUE"""),47.78)</f>
        <v>47.78</v>
      </c>
      <c r="BG398" s="3">
        <f ca="1">IFERROR(__xludf.DUMMYFUNCTION("""COMPUTED_VALUE"""),48)</f>
        <v>48</v>
      </c>
      <c r="BH398" s="3">
        <f ca="1">IFERROR(__xludf.DUMMYFUNCTION("""COMPUTED_VALUE"""),3109508)</f>
        <v>3109508</v>
      </c>
      <c r="BI398" s="4">
        <f ca="1">IFERROR(__xludf.DUMMYFUNCTION("""COMPUTED_VALUE"""),42699.6666666666)</f>
        <v>42699.666666666599</v>
      </c>
      <c r="BJ398" s="3">
        <f ca="1">IFERROR(__xludf.DUMMYFUNCTION("""COMPUTED_VALUE"""),46.56)</f>
        <v>46.56</v>
      </c>
      <c r="BK398" s="3">
        <f ca="1">IFERROR(__xludf.DUMMYFUNCTION("""COMPUTED_VALUE"""),47.32)</f>
        <v>47.32</v>
      </c>
      <c r="BL398" s="3">
        <f ca="1">IFERROR(__xludf.DUMMYFUNCTION("""COMPUTED_VALUE"""),46.56)</f>
        <v>46.56</v>
      </c>
      <c r="BM398" s="3">
        <f ca="1">IFERROR(__xludf.DUMMYFUNCTION("""COMPUTED_VALUE"""),47.16)</f>
        <v>47.16</v>
      </c>
      <c r="BN398" s="3">
        <f ca="1">IFERROR(__xludf.DUMMYFUNCTION("""COMPUTED_VALUE"""),7866207)</f>
        <v>7866207</v>
      </c>
    </row>
    <row r="399" spans="7:66" ht="13" x14ac:dyDescent="0.15">
      <c r="G399" s="4">
        <f ca="1">IFERROR(__xludf.DUMMYFUNCTION("""COMPUTED_VALUE"""),42702.6666666666)</f>
        <v>42702.666666666599</v>
      </c>
      <c r="H399" s="3">
        <f ca="1">IFERROR(__xludf.DUMMYFUNCTION("""COMPUTED_VALUE"""),82.78)</f>
        <v>82.78</v>
      </c>
      <c r="I399" s="3">
        <f ca="1">IFERROR(__xludf.DUMMYFUNCTION("""COMPUTED_VALUE"""),82.79)</f>
        <v>82.79</v>
      </c>
      <c r="J399" s="3">
        <f ca="1">IFERROR(__xludf.DUMMYFUNCTION("""COMPUTED_VALUE"""),82.15)</f>
        <v>82.15</v>
      </c>
      <c r="K399" s="3">
        <f ca="1">IFERROR(__xludf.DUMMYFUNCTION("""COMPUTED_VALUE"""),82.32)</f>
        <v>82.32</v>
      </c>
      <c r="L399" s="3">
        <f ca="1">IFERROR(__xludf.DUMMYFUNCTION("""COMPUTED_VALUE"""),5146847)</f>
        <v>5146847</v>
      </c>
      <c r="M399" s="4">
        <f ca="1">IFERROR(__xludf.DUMMYFUNCTION("""COMPUTED_VALUE"""),42702.6666666666)</f>
        <v>42702.666666666599</v>
      </c>
      <c r="N399" s="3">
        <f ca="1">IFERROR(__xludf.DUMMYFUNCTION("""COMPUTED_VALUE"""),51.21)</f>
        <v>51.21</v>
      </c>
      <c r="O399" s="3">
        <f ca="1">IFERROR(__xludf.DUMMYFUNCTION("""COMPUTED_VALUE"""),51.42)</f>
        <v>51.42</v>
      </c>
      <c r="P399" s="3">
        <f ca="1">IFERROR(__xludf.DUMMYFUNCTION("""COMPUTED_VALUE"""),51.09)</f>
        <v>51.09</v>
      </c>
      <c r="Q399" s="3">
        <f ca="1">IFERROR(__xludf.DUMMYFUNCTION("""COMPUTED_VALUE"""),51.33)</f>
        <v>51.33</v>
      </c>
      <c r="R399" s="3">
        <f ca="1">IFERROR(__xludf.DUMMYFUNCTION("""COMPUTED_VALUE"""),15116511)</f>
        <v>15116511</v>
      </c>
      <c r="S399" s="4">
        <f ca="1">IFERROR(__xludf.DUMMYFUNCTION("""COMPUTED_VALUE"""),42702.6666666666)</f>
        <v>42702.666666666599</v>
      </c>
      <c r="T399" s="3">
        <f ca="1">IFERROR(__xludf.DUMMYFUNCTION("""COMPUTED_VALUE"""),73.07)</f>
        <v>73.069999999999993</v>
      </c>
      <c r="U399" s="3">
        <f ca="1">IFERROR(__xludf.DUMMYFUNCTION("""COMPUTED_VALUE"""),73.09)</f>
        <v>73.09</v>
      </c>
      <c r="V399" s="3">
        <f ca="1">IFERROR(__xludf.DUMMYFUNCTION("""COMPUTED_VALUE"""),71.58)</f>
        <v>71.58</v>
      </c>
      <c r="W399" s="3">
        <f ca="1">IFERROR(__xludf.DUMMYFUNCTION("""COMPUTED_VALUE"""),71.71)</f>
        <v>71.709999999999994</v>
      </c>
      <c r="X399" s="3">
        <f ca="1">IFERROR(__xludf.DUMMYFUNCTION("""COMPUTED_VALUE"""),18790091)</f>
        <v>18790091</v>
      </c>
      <c r="Y399" s="4">
        <f ca="1">IFERROR(__xludf.DUMMYFUNCTION("""COMPUTED_VALUE"""),42702.6666666666)</f>
        <v>42702.666666666599</v>
      </c>
      <c r="Z399" s="3">
        <f ca="1">IFERROR(__xludf.DUMMYFUNCTION("""COMPUTED_VALUE"""),22.25)</f>
        <v>22.25</v>
      </c>
      <c r="AA399" s="3">
        <f ca="1">IFERROR(__xludf.DUMMYFUNCTION("""COMPUTED_VALUE"""),22.38)</f>
        <v>22.38</v>
      </c>
      <c r="AB399" s="3">
        <f ca="1">IFERROR(__xludf.DUMMYFUNCTION("""COMPUTED_VALUE"""),22.09)</f>
        <v>22.09</v>
      </c>
      <c r="AC399" s="3">
        <f ca="1">IFERROR(__xludf.DUMMYFUNCTION("""COMPUTED_VALUE"""),22.15)</f>
        <v>22.15</v>
      </c>
      <c r="AD399" s="3">
        <f ca="1">IFERROR(__xludf.DUMMYFUNCTION("""COMPUTED_VALUE"""),99791424)</f>
        <v>99791424</v>
      </c>
      <c r="AE399" s="4">
        <f ca="1">IFERROR(__xludf.DUMMYFUNCTION("""COMPUTED_VALUE"""),42702.6666666666)</f>
        <v>42702.666666666599</v>
      </c>
      <c r="AF399" s="3">
        <f ca="1">IFERROR(__xludf.DUMMYFUNCTION("""COMPUTED_VALUE"""),69.35)</f>
        <v>69.349999999999994</v>
      </c>
      <c r="AG399" s="3">
        <f ca="1">IFERROR(__xludf.DUMMYFUNCTION("""COMPUTED_VALUE"""),69.36)</f>
        <v>69.36</v>
      </c>
      <c r="AH399" s="3">
        <f ca="1">IFERROR(__xludf.DUMMYFUNCTION("""COMPUTED_VALUE"""),68.85)</f>
        <v>68.849999999999994</v>
      </c>
      <c r="AI399" s="3">
        <f ca="1">IFERROR(__xludf.DUMMYFUNCTION("""COMPUTED_VALUE"""),68.96)</f>
        <v>68.959999999999994</v>
      </c>
      <c r="AJ399" s="3">
        <f ca="1">IFERROR(__xludf.DUMMYFUNCTION("""COMPUTED_VALUE"""),6507177)</f>
        <v>6507177</v>
      </c>
      <c r="AK399" s="4">
        <f ca="1">IFERROR(__xludf.DUMMYFUNCTION("""COMPUTED_VALUE"""),42702.6666666666)</f>
        <v>42702.666666666599</v>
      </c>
      <c r="AL399" s="3">
        <f ca="1">IFERROR(__xludf.DUMMYFUNCTION("""COMPUTED_VALUE"""),62.59)</f>
        <v>62.59</v>
      </c>
      <c r="AM399" s="3">
        <f ca="1">IFERROR(__xludf.DUMMYFUNCTION("""COMPUTED_VALUE"""),62.61)</f>
        <v>62.61</v>
      </c>
      <c r="AN399" s="3">
        <f ca="1">IFERROR(__xludf.DUMMYFUNCTION("""COMPUTED_VALUE"""),62.21)</f>
        <v>62.21</v>
      </c>
      <c r="AO399" s="3">
        <f ca="1">IFERROR(__xludf.DUMMYFUNCTION("""COMPUTED_VALUE"""),62.28)</f>
        <v>62.28</v>
      </c>
      <c r="AP399" s="3">
        <f ca="1">IFERROR(__xludf.DUMMYFUNCTION("""COMPUTED_VALUE"""),15898466)</f>
        <v>15898466</v>
      </c>
      <c r="AQ399" s="4">
        <f ca="1">IFERROR(__xludf.DUMMYFUNCTION("""COMPUTED_VALUE"""),42702.6666666666)</f>
        <v>42702.666666666599</v>
      </c>
      <c r="AR399" s="3">
        <f ca="1">IFERROR(__xludf.DUMMYFUNCTION("""COMPUTED_VALUE"""),49.59)</f>
        <v>49.59</v>
      </c>
      <c r="AS399" s="3">
        <f ca="1">IFERROR(__xludf.DUMMYFUNCTION("""COMPUTED_VALUE"""),49.59)</f>
        <v>49.59</v>
      </c>
      <c r="AT399" s="3">
        <f ca="1">IFERROR(__xludf.DUMMYFUNCTION("""COMPUTED_VALUE"""),49.25)</f>
        <v>49.25</v>
      </c>
      <c r="AU399" s="3">
        <f ca="1">IFERROR(__xludf.DUMMYFUNCTION("""COMPUTED_VALUE"""),49.36)</f>
        <v>49.36</v>
      </c>
      <c r="AV399" s="3">
        <f ca="1">IFERROR(__xludf.DUMMYFUNCTION("""COMPUTED_VALUE"""),4529691)</f>
        <v>4529691</v>
      </c>
      <c r="AW399" s="4">
        <f ca="1">IFERROR(__xludf.DUMMYFUNCTION("""COMPUTED_VALUE"""),42867.6666666666)</f>
        <v>42867.666666666599</v>
      </c>
      <c r="AX399" s="3">
        <f ca="1">IFERROR(__xludf.DUMMYFUNCTION("""COMPUTED_VALUE"""),31.47)</f>
        <v>31.47</v>
      </c>
      <c r="AY399" s="3">
        <f ca="1">IFERROR(__xludf.DUMMYFUNCTION("""COMPUTED_VALUE"""),31.51)</f>
        <v>31.51</v>
      </c>
      <c r="AZ399" s="3">
        <f ca="1">IFERROR(__xludf.DUMMYFUNCTION("""COMPUTED_VALUE"""),31.32)</f>
        <v>31.32</v>
      </c>
      <c r="BA399" s="3">
        <f ca="1">IFERROR(__xludf.DUMMYFUNCTION("""COMPUTED_VALUE"""),31.36)</f>
        <v>31.36</v>
      </c>
      <c r="BB399" s="3">
        <f ca="1">IFERROR(__xludf.DUMMYFUNCTION("""COMPUTED_VALUE"""),1506755)</f>
        <v>1506755</v>
      </c>
      <c r="BC399" s="4">
        <f ca="1">IFERROR(__xludf.DUMMYFUNCTION("""COMPUTED_VALUE"""),42702.6666666666)</f>
        <v>42702.666666666599</v>
      </c>
      <c r="BD399" s="3">
        <f ca="1">IFERROR(__xludf.DUMMYFUNCTION("""COMPUTED_VALUE"""),47.96)</f>
        <v>47.96</v>
      </c>
      <c r="BE399" s="3">
        <f ca="1">IFERROR(__xludf.DUMMYFUNCTION("""COMPUTED_VALUE"""),48.26)</f>
        <v>48.26</v>
      </c>
      <c r="BF399" s="3">
        <f ca="1">IFERROR(__xludf.DUMMYFUNCTION("""COMPUTED_VALUE"""),47.93)</f>
        <v>47.93</v>
      </c>
      <c r="BG399" s="3">
        <f ca="1">IFERROR(__xludf.DUMMYFUNCTION("""COMPUTED_VALUE"""),48.04)</f>
        <v>48.04</v>
      </c>
      <c r="BH399" s="3">
        <f ca="1">IFERROR(__xludf.DUMMYFUNCTION("""COMPUTED_VALUE"""),7487843)</f>
        <v>7487843</v>
      </c>
      <c r="BI399" s="4">
        <f ca="1">IFERROR(__xludf.DUMMYFUNCTION("""COMPUTED_VALUE"""),42702.6666666666)</f>
        <v>42702.666666666599</v>
      </c>
      <c r="BJ399" s="3">
        <f ca="1">IFERROR(__xludf.DUMMYFUNCTION("""COMPUTED_VALUE"""),47.3)</f>
        <v>47.3</v>
      </c>
      <c r="BK399" s="3">
        <f ca="1">IFERROR(__xludf.DUMMYFUNCTION("""COMPUTED_VALUE"""),48.18)</f>
        <v>48.18</v>
      </c>
      <c r="BL399" s="3">
        <f ca="1">IFERROR(__xludf.DUMMYFUNCTION("""COMPUTED_VALUE"""),47.29)</f>
        <v>47.29</v>
      </c>
      <c r="BM399" s="3">
        <f ca="1">IFERROR(__xludf.DUMMYFUNCTION("""COMPUTED_VALUE"""),48.07)</f>
        <v>48.07</v>
      </c>
      <c r="BN399" s="3">
        <f ca="1">IFERROR(__xludf.DUMMYFUNCTION("""COMPUTED_VALUE"""),23431731)</f>
        <v>23431731</v>
      </c>
    </row>
    <row r="400" spans="7:66" ht="13" x14ac:dyDescent="0.15">
      <c r="G400" s="4">
        <f ca="1">IFERROR(__xludf.DUMMYFUNCTION("""COMPUTED_VALUE"""),42703.6666666666)</f>
        <v>42703.666666666599</v>
      </c>
      <c r="H400" s="3">
        <f ca="1">IFERROR(__xludf.DUMMYFUNCTION("""COMPUTED_VALUE"""),82.41)</f>
        <v>82.41</v>
      </c>
      <c r="I400" s="3">
        <f ca="1">IFERROR(__xludf.DUMMYFUNCTION("""COMPUTED_VALUE"""),82.67)</f>
        <v>82.67</v>
      </c>
      <c r="J400" s="3">
        <f ca="1">IFERROR(__xludf.DUMMYFUNCTION("""COMPUTED_VALUE"""),82.32)</f>
        <v>82.32</v>
      </c>
      <c r="K400" s="3">
        <f ca="1">IFERROR(__xludf.DUMMYFUNCTION("""COMPUTED_VALUE"""),82.54)</f>
        <v>82.54</v>
      </c>
      <c r="L400" s="3">
        <f ca="1">IFERROR(__xludf.DUMMYFUNCTION("""COMPUTED_VALUE"""),4367618)</f>
        <v>4367618</v>
      </c>
      <c r="M400" s="4">
        <f ca="1">IFERROR(__xludf.DUMMYFUNCTION("""COMPUTED_VALUE"""),42703.6666666666)</f>
        <v>42703.666666666599</v>
      </c>
      <c r="N400" s="3">
        <f ca="1">IFERROR(__xludf.DUMMYFUNCTION("""COMPUTED_VALUE"""),51.34)</f>
        <v>51.34</v>
      </c>
      <c r="O400" s="3">
        <f ca="1">IFERROR(__xludf.DUMMYFUNCTION("""COMPUTED_VALUE"""),51.46)</f>
        <v>51.46</v>
      </c>
      <c r="P400" s="3">
        <f ca="1">IFERROR(__xludf.DUMMYFUNCTION("""COMPUTED_VALUE"""),51.22)</f>
        <v>51.22</v>
      </c>
      <c r="Q400" s="3">
        <f ca="1">IFERROR(__xludf.DUMMYFUNCTION("""COMPUTED_VALUE"""),51.4)</f>
        <v>51.4</v>
      </c>
      <c r="R400" s="3">
        <f ca="1">IFERROR(__xludf.DUMMYFUNCTION("""COMPUTED_VALUE"""),7915374)</f>
        <v>7915374</v>
      </c>
      <c r="S400" s="4">
        <f ca="1">IFERROR(__xludf.DUMMYFUNCTION("""COMPUTED_VALUE"""),42703.6666666666)</f>
        <v>42703.666666666599</v>
      </c>
      <c r="T400" s="3">
        <f ca="1">IFERROR(__xludf.DUMMYFUNCTION("""COMPUTED_VALUE"""),70.62)</f>
        <v>70.62</v>
      </c>
      <c r="U400" s="3">
        <f ca="1">IFERROR(__xludf.DUMMYFUNCTION("""COMPUTED_VALUE"""),71.26)</f>
        <v>71.260000000000005</v>
      </c>
      <c r="V400" s="3">
        <f ca="1">IFERROR(__xludf.DUMMYFUNCTION("""COMPUTED_VALUE"""),70.07)</f>
        <v>70.069999999999993</v>
      </c>
      <c r="W400" s="3">
        <f ca="1">IFERROR(__xludf.DUMMYFUNCTION("""COMPUTED_VALUE"""),70.83)</f>
        <v>70.83</v>
      </c>
      <c r="X400" s="3">
        <f ca="1">IFERROR(__xludf.DUMMYFUNCTION("""COMPUTED_VALUE"""),18361744)</f>
        <v>18361744</v>
      </c>
      <c r="Y400" s="4">
        <f ca="1">IFERROR(__xludf.DUMMYFUNCTION("""COMPUTED_VALUE"""),42703.6666666666)</f>
        <v>42703.666666666599</v>
      </c>
      <c r="Z400" s="3">
        <f ca="1">IFERROR(__xludf.DUMMYFUNCTION("""COMPUTED_VALUE"""),22.19)</f>
        <v>22.19</v>
      </c>
      <c r="AA400" s="3">
        <f ca="1">IFERROR(__xludf.DUMMYFUNCTION("""COMPUTED_VALUE"""),22.28)</f>
        <v>22.28</v>
      </c>
      <c r="AB400" s="3">
        <f ca="1">IFERROR(__xludf.DUMMYFUNCTION("""COMPUTED_VALUE"""),22.11)</f>
        <v>22.11</v>
      </c>
      <c r="AC400" s="3">
        <f ca="1">IFERROR(__xludf.DUMMYFUNCTION("""COMPUTED_VALUE"""),22.21)</f>
        <v>22.21</v>
      </c>
      <c r="AD400" s="3">
        <f ca="1">IFERROR(__xludf.DUMMYFUNCTION("""COMPUTED_VALUE"""),74645748)</f>
        <v>74645748</v>
      </c>
      <c r="AE400" s="4">
        <f ca="1">IFERROR(__xludf.DUMMYFUNCTION("""COMPUTED_VALUE"""),42703.6666666666)</f>
        <v>42703.666666666599</v>
      </c>
      <c r="AF400" s="3">
        <f ca="1">IFERROR(__xludf.DUMMYFUNCTION("""COMPUTED_VALUE"""),69.12)</f>
        <v>69.12</v>
      </c>
      <c r="AG400" s="3">
        <f ca="1">IFERROR(__xludf.DUMMYFUNCTION("""COMPUTED_VALUE"""),69.61)</f>
        <v>69.61</v>
      </c>
      <c r="AH400" s="3">
        <f ca="1">IFERROR(__xludf.DUMMYFUNCTION("""COMPUTED_VALUE"""),69.11)</f>
        <v>69.11</v>
      </c>
      <c r="AI400" s="3">
        <f ca="1">IFERROR(__xludf.DUMMYFUNCTION("""COMPUTED_VALUE"""),69.41)</f>
        <v>69.41</v>
      </c>
      <c r="AJ400" s="3">
        <f ca="1">IFERROR(__xludf.DUMMYFUNCTION("""COMPUTED_VALUE"""),7093901)</f>
        <v>7093901</v>
      </c>
      <c r="AK400" s="4">
        <f ca="1">IFERROR(__xludf.DUMMYFUNCTION("""COMPUTED_VALUE"""),42703.6666666666)</f>
        <v>42703.666666666599</v>
      </c>
      <c r="AL400" s="3">
        <f ca="1">IFERROR(__xludf.DUMMYFUNCTION("""COMPUTED_VALUE"""),62.24)</f>
        <v>62.24</v>
      </c>
      <c r="AM400" s="3">
        <f ca="1">IFERROR(__xludf.DUMMYFUNCTION("""COMPUTED_VALUE"""),62.53)</f>
        <v>62.53</v>
      </c>
      <c r="AN400" s="3">
        <f ca="1">IFERROR(__xludf.DUMMYFUNCTION("""COMPUTED_VALUE"""),62.06)</f>
        <v>62.06</v>
      </c>
      <c r="AO400" s="3">
        <f ca="1">IFERROR(__xludf.DUMMYFUNCTION("""COMPUTED_VALUE"""),62.33)</f>
        <v>62.33</v>
      </c>
      <c r="AP400" s="3">
        <f ca="1">IFERROR(__xludf.DUMMYFUNCTION("""COMPUTED_VALUE"""),12692440)</f>
        <v>12692440</v>
      </c>
      <c r="AQ400" s="4">
        <f ca="1">IFERROR(__xludf.DUMMYFUNCTION("""COMPUTED_VALUE"""),42703.6666666666)</f>
        <v>42703.666666666599</v>
      </c>
      <c r="AR400" s="3">
        <f ca="1">IFERROR(__xludf.DUMMYFUNCTION("""COMPUTED_VALUE"""),49.19)</f>
        <v>49.19</v>
      </c>
      <c r="AS400" s="3">
        <f ca="1">IFERROR(__xludf.DUMMYFUNCTION("""COMPUTED_VALUE"""),49.61)</f>
        <v>49.61</v>
      </c>
      <c r="AT400" s="3">
        <f ca="1">IFERROR(__xludf.DUMMYFUNCTION("""COMPUTED_VALUE"""),49)</f>
        <v>49</v>
      </c>
      <c r="AU400" s="3">
        <f ca="1">IFERROR(__xludf.DUMMYFUNCTION("""COMPUTED_VALUE"""),49.41)</f>
        <v>49.41</v>
      </c>
      <c r="AV400" s="3">
        <f ca="1">IFERROR(__xludf.DUMMYFUNCTION("""COMPUTED_VALUE"""),3430694)</f>
        <v>3430694</v>
      </c>
      <c r="AW400" s="4">
        <f ca="1">IFERROR(__xludf.DUMMYFUNCTION("""COMPUTED_VALUE"""),42870.6666666666)</f>
        <v>42870.666666666599</v>
      </c>
      <c r="AX400" s="3">
        <f ca="1">IFERROR(__xludf.DUMMYFUNCTION("""COMPUTED_VALUE"""),31.36)</f>
        <v>31.36</v>
      </c>
      <c r="AY400" s="3">
        <f ca="1">IFERROR(__xludf.DUMMYFUNCTION("""COMPUTED_VALUE"""),31.66)</f>
        <v>31.66</v>
      </c>
      <c r="AZ400" s="3">
        <f ca="1">IFERROR(__xludf.DUMMYFUNCTION("""COMPUTED_VALUE"""),31.35)</f>
        <v>31.35</v>
      </c>
      <c r="BA400" s="3">
        <f ca="1">IFERROR(__xludf.DUMMYFUNCTION("""COMPUTED_VALUE"""),31.5)</f>
        <v>31.5</v>
      </c>
      <c r="BB400" s="3">
        <f ca="1">IFERROR(__xludf.DUMMYFUNCTION("""COMPUTED_VALUE"""),2380075)</f>
        <v>2380075</v>
      </c>
      <c r="BC400" s="4">
        <f ca="1">IFERROR(__xludf.DUMMYFUNCTION("""COMPUTED_VALUE"""),42703.6666666666)</f>
        <v>42703.666666666599</v>
      </c>
      <c r="BD400" s="3">
        <f ca="1">IFERROR(__xludf.DUMMYFUNCTION("""COMPUTED_VALUE"""),48.01)</f>
        <v>48.01</v>
      </c>
      <c r="BE400" s="3">
        <f ca="1">IFERROR(__xludf.DUMMYFUNCTION("""COMPUTED_VALUE"""),48.3)</f>
        <v>48.3</v>
      </c>
      <c r="BF400" s="3">
        <f ca="1">IFERROR(__xludf.DUMMYFUNCTION("""COMPUTED_VALUE"""),47.9)</f>
        <v>47.9</v>
      </c>
      <c r="BG400" s="3">
        <f ca="1">IFERROR(__xludf.DUMMYFUNCTION("""COMPUTED_VALUE"""),48.07)</f>
        <v>48.07</v>
      </c>
      <c r="BH400" s="3">
        <f ca="1">IFERROR(__xludf.DUMMYFUNCTION("""COMPUTED_VALUE"""),5928430)</f>
        <v>5928430</v>
      </c>
      <c r="BI400" s="4">
        <f ca="1">IFERROR(__xludf.DUMMYFUNCTION("""COMPUTED_VALUE"""),42703.6666666666)</f>
        <v>42703.666666666599</v>
      </c>
      <c r="BJ400" s="3">
        <f ca="1">IFERROR(__xludf.DUMMYFUNCTION("""COMPUTED_VALUE"""),47.95)</f>
        <v>47.95</v>
      </c>
      <c r="BK400" s="3">
        <f ca="1">IFERROR(__xludf.DUMMYFUNCTION("""COMPUTED_VALUE"""),48.5)</f>
        <v>48.5</v>
      </c>
      <c r="BL400" s="3">
        <f ca="1">IFERROR(__xludf.DUMMYFUNCTION("""COMPUTED_VALUE"""),47.87)</f>
        <v>47.87</v>
      </c>
      <c r="BM400" s="3">
        <f ca="1">IFERROR(__xludf.DUMMYFUNCTION("""COMPUTED_VALUE"""),48.27)</f>
        <v>48.27</v>
      </c>
      <c r="BN400" s="3">
        <f ca="1">IFERROR(__xludf.DUMMYFUNCTION("""COMPUTED_VALUE"""),14447687)</f>
        <v>14447687</v>
      </c>
    </row>
    <row r="401" spans="7:66" ht="13" x14ac:dyDescent="0.15">
      <c r="G401" s="4">
        <f ca="1">IFERROR(__xludf.DUMMYFUNCTION("""COMPUTED_VALUE"""),42704.6666666666)</f>
        <v>42704.666666666599</v>
      </c>
      <c r="H401" s="3">
        <f ca="1">IFERROR(__xludf.DUMMYFUNCTION("""COMPUTED_VALUE"""),82.5)</f>
        <v>82.5</v>
      </c>
      <c r="I401" s="3">
        <f ca="1">IFERROR(__xludf.DUMMYFUNCTION("""COMPUTED_VALUE"""),82.54)</f>
        <v>82.54</v>
      </c>
      <c r="J401" s="3">
        <f ca="1">IFERROR(__xludf.DUMMYFUNCTION("""COMPUTED_VALUE"""),81.83)</f>
        <v>81.83</v>
      </c>
      <c r="K401" s="3">
        <f ca="1">IFERROR(__xludf.DUMMYFUNCTION("""COMPUTED_VALUE"""),81.85)</f>
        <v>81.849999999999994</v>
      </c>
      <c r="L401" s="3">
        <f ca="1">IFERROR(__xludf.DUMMYFUNCTION("""COMPUTED_VALUE"""),5066564)</f>
        <v>5066564</v>
      </c>
      <c r="M401" s="4">
        <f ca="1">IFERROR(__xludf.DUMMYFUNCTION("""COMPUTED_VALUE"""),42704.6666666666)</f>
        <v>42704.666666666599</v>
      </c>
      <c r="N401" s="3">
        <f ca="1">IFERROR(__xludf.DUMMYFUNCTION("""COMPUTED_VALUE"""),51.14)</f>
        <v>51.14</v>
      </c>
      <c r="O401" s="3">
        <f ca="1">IFERROR(__xludf.DUMMYFUNCTION("""COMPUTED_VALUE"""),51.29)</f>
        <v>51.29</v>
      </c>
      <c r="P401" s="3">
        <f ca="1">IFERROR(__xludf.DUMMYFUNCTION("""COMPUTED_VALUE"""),50.57)</f>
        <v>50.57</v>
      </c>
      <c r="Q401" s="3">
        <f ca="1">IFERROR(__xludf.DUMMYFUNCTION("""COMPUTED_VALUE"""),50.58)</f>
        <v>50.58</v>
      </c>
      <c r="R401" s="3">
        <f ca="1">IFERROR(__xludf.DUMMYFUNCTION("""COMPUTED_VALUE"""),16837588)</f>
        <v>16837588</v>
      </c>
      <c r="S401" s="4">
        <f ca="1">IFERROR(__xludf.DUMMYFUNCTION("""COMPUTED_VALUE"""),42704.6666666666)</f>
        <v>42704.666666666599</v>
      </c>
      <c r="T401" s="3">
        <f ca="1">IFERROR(__xludf.DUMMYFUNCTION("""COMPUTED_VALUE"""),73.29)</f>
        <v>73.290000000000006</v>
      </c>
      <c r="U401" s="3">
        <f ca="1">IFERROR(__xludf.DUMMYFUNCTION("""COMPUTED_VALUE"""),75.12)</f>
        <v>75.12</v>
      </c>
      <c r="V401" s="3">
        <f ca="1">IFERROR(__xludf.DUMMYFUNCTION("""COMPUTED_VALUE"""),73.29)</f>
        <v>73.290000000000006</v>
      </c>
      <c r="W401" s="3">
        <f ca="1">IFERROR(__xludf.DUMMYFUNCTION("""COMPUTED_VALUE"""),74.43)</f>
        <v>74.430000000000007</v>
      </c>
      <c r="X401" s="3">
        <f ca="1">IFERROR(__xludf.DUMMYFUNCTION("""COMPUTED_VALUE"""),44854795)</f>
        <v>44854795</v>
      </c>
      <c r="Y401" s="4">
        <f ca="1">IFERROR(__xludf.DUMMYFUNCTION("""COMPUTED_VALUE"""),42704.6666666666)</f>
        <v>42704.666666666599</v>
      </c>
      <c r="Z401" s="3">
        <f ca="1">IFERROR(__xludf.DUMMYFUNCTION("""COMPUTED_VALUE"""),22.52)</f>
        <v>22.52</v>
      </c>
      <c r="AA401" s="3">
        <f ca="1">IFERROR(__xludf.DUMMYFUNCTION("""COMPUTED_VALUE"""),22.57)</f>
        <v>22.57</v>
      </c>
      <c r="AB401" s="3">
        <f ca="1">IFERROR(__xludf.DUMMYFUNCTION("""COMPUTED_VALUE"""),22.43)</f>
        <v>22.43</v>
      </c>
      <c r="AC401" s="3">
        <f ca="1">IFERROR(__xludf.DUMMYFUNCTION("""COMPUTED_VALUE"""),22.51)</f>
        <v>22.51</v>
      </c>
      <c r="AD401" s="3">
        <f ca="1">IFERROR(__xludf.DUMMYFUNCTION("""COMPUTED_VALUE"""),98843676)</f>
        <v>98843676</v>
      </c>
      <c r="AE401" s="4">
        <f ca="1">IFERROR(__xludf.DUMMYFUNCTION("""COMPUTED_VALUE"""),42704.6666666666)</f>
        <v>42704.666666666599</v>
      </c>
      <c r="AF401" s="3">
        <f ca="1">IFERROR(__xludf.DUMMYFUNCTION("""COMPUTED_VALUE"""),69.46)</f>
        <v>69.459999999999994</v>
      </c>
      <c r="AG401" s="3">
        <f ca="1">IFERROR(__xludf.DUMMYFUNCTION("""COMPUTED_VALUE"""),69.48)</f>
        <v>69.48</v>
      </c>
      <c r="AH401" s="3">
        <f ca="1">IFERROR(__xludf.DUMMYFUNCTION("""COMPUTED_VALUE"""),68.72)</f>
        <v>68.72</v>
      </c>
      <c r="AI401" s="3">
        <f ca="1">IFERROR(__xludf.DUMMYFUNCTION("""COMPUTED_VALUE"""),68.75)</f>
        <v>68.75</v>
      </c>
      <c r="AJ401" s="3">
        <f ca="1">IFERROR(__xludf.DUMMYFUNCTION("""COMPUTED_VALUE"""),8640677)</f>
        <v>8640677</v>
      </c>
      <c r="AK401" s="4">
        <f ca="1">IFERROR(__xludf.DUMMYFUNCTION("""COMPUTED_VALUE"""),42704.6666666666)</f>
        <v>42704.666666666599</v>
      </c>
      <c r="AL401" s="3">
        <f ca="1">IFERROR(__xludf.DUMMYFUNCTION("""COMPUTED_VALUE"""),62.68)</f>
        <v>62.68</v>
      </c>
      <c r="AM401" s="3">
        <f ca="1">IFERROR(__xludf.DUMMYFUNCTION("""COMPUTED_VALUE"""),62.85)</f>
        <v>62.85</v>
      </c>
      <c r="AN401" s="3">
        <f ca="1">IFERROR(__xludf.DUMMYFUNCTION("""COMPUTED_VALUE"""),62.39)</f>
        <v>62.39</v>
      </c>
      <c r="AO401" s="3">
        <f ca="1">IFERROR(__xludf.DUMMYFUNCTION("""COMPUTED_VALUE"""),62.41)</f>
        <v>62.41</v>
      </c>
      <c r="AP401" s="3">
        <f ca="1">IFERROR(__xludf.DUMMYFUNCTION("""COMPUTED_VALUE"""),14903778)</f>
        <v>14903778</v>
      </c>
      <c r="AQ401" s="4">
        <f ca="1">IFERROR(__xludf.DUMMYFUNCTION("""COMPUTED_VALUE"""),42704.6666666666)</f>
        <v>42704.666666666599</v>
      </c>
      <c r="AR401" s="3">
        <f ca="1">IFERROR(__xludf.DUMMYFUNCTION("""COMPUTED_VALUE"""),49.67)</f>
        <v>49.67</v>
      </c>
      <c r="AS401" s="3">
        <f ca="1">IFERROR(__xludf.DUMMYFUNCTION("""COMPUTED_VALUE"""),50.06)</f>
        <v>50.06</v>
      </c>
      <c r="AT401" s="3">
        <f ca="1">IFERROR(__xludf.DUMMYFUNCTION("""COMPUTED_VALUE"""),49.51)</f>
        <v>49.51</v>
      </c>
      <c r="AU401" s="3">
        <f ca="1">IFERROR(__xludf.DUMMYFUNCTION("""COMPUTED_VALUE"""),49.94)</f>
        <v>49.94</v>
      </c>
      <c r="AV401" s="3">
        <f ca="1">IFERROR(__xludf.DUMMYFUNCTION("""COMPUTED_VALUE"""),7427726)</f>
        <v>7427726</v>
      </c>
      <c r="AW401" s="4">
        <f ca="1">IFERROR(__xludf.DUMMYFUNCTION("""COMPUTED_VALUE"""),42871.6666666666)</f>
        <v>42871.666666666599</v>
      </c>
      <c r="AX401" s="3">
        <f ca="1">IFERROR(__xludf.DUMMYFUNCTION("""COMPUTED_VALUE"""),31.48)</f>
        <v>31.48</v>
      </c>
      <c r="AY401" s="3">
        <f ca="1">IFERROR(__xludf.DUMMYFUNCTION("""COMPUTED_VALUE"""),31.49)</f>
        <v>31.49</v>
      </c>
      <c r="AZ401" s="3">
        <f ca="1">IFERROR(__xludf.DUMMYFUNCTION("""COMPUTED_VALUE"""),31.27)</f>
        <v>31.27</v>
      </c>
      <c r="BA401" s="3">
        <f ca="1">IFERROR(__xludf.DUMMYFUNCTION("""COMPUTED_VALUE"""),31.34)</f>
        <v>31.34</v>
      </c>
      <c r="BB401" s="3">
        <f ca="1">IFERROR(__xludf.DUMMYFUNCTION("""COMPUTED_VALUE"""),1369108)</f>
        <v>1369108</v>
      </c>
      <c r="BC401" s="4">
        <f ca="1">IFERROR(__xludf.DUMMYFUNCTION("""COMPUTED_VALUE"""),42704.6666666666)</f>
        <v>42704.666666666599</v>
      </c>
      <c r="BD401" s="3">
        <f ca="1">IFERROR(__xludf.DUMMYFUNCTION("""COMPUTED_VALUE"""),48.14)</f>
        <v>48.14</v>
      </c>
      <c r="BE401" s="3">
        <f ca="1">IFERROR(__xludf.DUMMYFUNCTION("""COMPUTED_VALUE"""),48.14)</f>
        <v>48.14</v>
      </c>
      <c r="BF401" s="3">
        <f ca="1">IFERROR(__xludf.DUMMYFUNCTION("""COMPUTED_VALUE"""),47.49)</f>
        <v>47.49</v>
      </c>
      <c r="BG401" s="3">
        <f ca="1">IFERROR(__xludf.DUMMYFUNCTION("""COMPUTED_VALUE"""),47.5)</f>
        <v>47.5</v>
      </c>
      <c r="BH401" s="3">
        <f ca="1">IFERROR(__xludf.DUMMYFUNCTION("""COMPUTED_VALUE"""),11816590)</f>
        <v>11816590</v>
      </c>
      <c r="BI401" s="4">
        <f ca="1">IFERROR(__xludf.DUMMYFUNCTION("""COMPUTED_VALUE"""),42704.6666666666)</f>
        <v>42704.666666666599</v>
      </c>
      <c r="BJ401" s="3">
        <f ca="1">IFERROR(__xludf.DUMMYFUNCTION("""COMPUTED_VALUE"""),47.56)</f>
        <v>47.56</v>
      </c>
      <c r="BK401" s="3">
        <f ca="1">IFERROR(__xludf.DUMMYFUNCTION("""COMPUTED_VALUE"""),47.67)</f>
        <v>47.67</v>
      </c>
      <c r="BL401" s="3">
        <f ca="1">IFERROR(__xludf.DUMMYFUNCTION("""COMPUTED_VALUE"""),46.75)</f>
        <v>46.75</v>
      </c>
      <c r="BM401" s="3">
        <f ca="1">IFERROR(__xludf.DUMMYFUNCTION("""COMPUTED_VALUE"""),46.75)</f>
        <v>46.75</v>
      </c>
      <c r="BN401" s="3">
        <f ca="1">IFERROR(__xludf.DUMMYFUNCTION("""COMPUTED_VALUE"""),23467383)</f>
        <v>23467383</v>
      </c>
    </row>
    <row r="402" spans="7:66" ht="13" x14ac:dyDescent="0.15">
      <c r="G402" s="4">
        <f ca="1">IFERROR(__xludf.DUMMYFUNCTION("""COMPUTED_VALUE"""),42705.6666666666)</f>
        <v>42705.666666666599</v>
      </c>
      <c r="H402" s="3">
        <f ca="1">IFERROR(__xludf.DUMMYFUNCTION("""COMPUTED_VALUE"""),81.78)</f>
        <v>81.78</v>
      </c>
      <c r="I402" s="3">
        <f ca="1">IFERROR(__xludf.DUMMYFUNCTION("""COMPUTED_VALUE"""),82.31)</f>
        <v>82.31</v>
      </c>
      <c r="J402" s="3">
        <f ca="1">IFERROR(__xludf.DUMMYFUNCTION("""COMPUTED_VALUE"""),81.63)</f>
        <v>81.63</v>
      </c>
      <c r="K402" s="3">
        <f ca="1">IFERROR(__xludf.DUMMYFUNCTION("""COMPUTED_VALUE"""),81.89)</f>
        <v>81.89</v>
      </c>
      <c r="L402" s="3">
        <f ca="1">IFERROR(__xludf.DUMMYFUNCTION("""COMPUTED_VALUE"""),9366082)</f>
        <v>9366082</v>
      </c>
      <c r="M402" s="4">
        <f ca="1">IFERROR(__xludf.DUMMYFUNCTION("""COMPUTED_VALUE"""),42705.6666666666)</f>
        <v>42705.666666666599</v>
      </c>
      <c r="N402" s="3">
        <f ca="1">IFERROR(__xludf.DUMMYFUNCTION("""COMPUTED_VALUE"""),50.39)</f>
        <v>50.39</v>
      </c>
      <c r="O402" s="3">
        <f ca="1">IFERROR(__xludf.DUMMYFUNCTION("""COMPUTED_VALUE"""),50.44)</f>
        <v>50.44</v>
      </c>
      <c r="P402" s="3">
        <f ca="1">IFERROR(__xludf.DUMMYFUNCTION("""COMPUTED_VALUE"""),49.98)</f>
        <v>49.98</v>
      </c>
      <c r="Q402" s="3">
        <f ca="1">IFERROR(__xludf.DUMMYFUNCTION("""COMPUTED_VALUE"""),50.25)</f>
        <v>50.25</v>
      </c>
      <c r="R402" s="3">
        <f ca="1">IFERROR(__xludf.DUMMYFUNCTION("""COMPUTED_VALUE"""),33621069)</f>
        <v>33621069</v>
      </c>
      <c r="S402" s="4">
        <f ca="1">IFERROR(__xludf.DUMMYFUNCTION("""COMPUTED_VALUE"""),42705.6666666666)</f>
        <v>42705.666666666599</v>
      </c>
      <c r="T402" s="3">
        <f ca="1">IFERROR(__xludf.DUMMYFUNCTION("""COMPUTED_VALUE"""),75.81)</f>
        <v>75.81</v>
      </c>
      <c r="U402" s="3">
        <f ca="1">IFERROR(__xludf.DUMMYFUNCTION("""COMPUTED_VALUE"""),76.06)</f>
        <v>76.06</v>
      </c>
      <c r="V402" s="3">
        <f ca="1">IFERROR(__xludf.DUMMYFUNCTION("""COMPUTED_VALUE"""),74.55)</f>
        <v>74.55</v>
      </c>
      <c r="W402" s="3">
        <f ca="1">IFERROR(__xludf.DUMMYFUNCTION("""COMPUTED_VALUE"""),74.61)</f>
        <v>74.61</v>
      </c>
      <c r="X402" s="3">
        <f ca="1">IFERROR(__xludf.DUMMYFUNCTION("""COMPUTED_VALUE"""),27382379)</f>
        <v>27382379</v>
      </c>
      <c r="Y402" s="4">
        <f ca="1">IFERROR(__xludf.DUMMYFUNCTION("""COMPUTED_VALUE"""),42705.6666666666)</f>
        <v>42705.666666666599</v>
      </c>
      <c r="Z402" s="3">
        <f ca="1">IFERROR(__xludf.DUMMYFUNCTION("""COMPUTED_VALUE"""),22.63)</f>
        <v>22.63</v>
      </c>
      <c r="AA402" s="3">
        <f ca="1">IFERROR(__xludf.DUMMYFUNCTION("""COMPUTED_VALUE"""),22.95)</f>
        <v>22.95</v>
      </c>
      <c r="AB402" s="3">
        <f ca="1">IFERROR(__xludf.DUMMYFUNCTION("""COMPUTED_VALUE"""),22.6)</f>
        <v>22.6</v>
      </c>
      <c r="AC402" s="3">
        <f ca="1">IFERROR(__xludf.DUMMYFUNCTION("""COMPUTED_VALUE"""),22.9)</f>
        <v>22.9</v>
      </c>
      <c r="AD402" s="3">
        <f ca="1">IFERROR(__xludf.DUMMYFUNCTION("""COMPUTED_VALUE"""),120088254)</f>
        <v>120088254</v>
      </c>
      <c r="AE402" s="4">
        <f ca="1">IFERROR(__xludf.DUMMYFUNCTION("""COMPUTED_VALUE"""),42705.6666666666)</f>
        <v>42705.666666666599</v>
      </c>
      <c r="AF402" s="3">
        <f ca="1">IFERROR(__xludf.DUMMYFUNCTION("""COMPUTED_VALUE"""),68.83)</f>
        <v>68.83</v>
      </c>
      <c r="AG402" s="3">
        <f ca="1">IFERROR(__xludf.DUMMYFUNCTION("""COMPUTED_VALUE"""),69)</f>
        <v>69</v>
      </c>
      <c r="AH402" s="3">
        <f ca="1">IFERROR(__xludf.DUMMYFUNCTION("""COMPUTED_VALUE"""),68.05)</f>
        <v>68.05</v>
      </c>
      <c r="AI402" s="3">
        <f ca="1">IFERROR(__xludf.DUMMYFUNCTION("""COMPUTED_VALUE"""),68.25)</f>
        <v>68.25</v>
      </c>
      <c r="AJ402" s="3">
        <f ca="1">IFERROR(__xludf.DUMMYFUNCTION("""COMPUTED_VALUE"""),11360653)</f>
        <v>11360653</v>
      </c>
      <c r="AK402" s="4">
        <f ca="1">IFERROR(__xludf.DUMMYFUNCTION("""COMPUTED_VALUE"""),42705.6666666666)</f>
        <v>42705.666666666599</v>
      </c>
      <c r="AL402" s="3">
        <f ca="1">IFERROR(__xludf.DUMMYFUNCTION("""COMPUTED_VALUE"""),62.53)</f>
        <v>62.53</v>
      </c>
      <c r="AM402" s="3">
        <f ca="1">IFERROR(__xludf.DUMMYFUNCTION("""COMPUTED_VALUE"""),63.01)</f>
        <v>63.01</v>
      </c>
      <c r="AN402" s="3">
        <f ca="1">IFERROR(__xludf.DUMMYFUNCTION("""COMPUTED_VALUE"""),62.41)</f>
        <v>62.41</v>
      </c>
      <c r="AO402" s="3">
        <f ca="1">IFERROR(__xludf.DUMMYFUNCTION("""COMPUTED_VALUE"""),62.82)</f>
        <v>62.82</v>
      </c>
      <c r="AP402" s="3">
        <f ca="1">IFERROR(__xludf.DUMMYFUNCTION("""COMPUTED_VALUE"""),24438467)</f>
        <v>24438467</v>
      </c>
      <c r="AQ402" s="4">
        <f ca="1">IFERROR(__xludf.DUMMYFUNCTION("""COMPUTED_VALUE"""),42705.6666666666)</f>
        <v>42705.666666666599</v>
      </c>
      <c r="AR402" s="3">
        <f ca="1">IFERROR(__xludf.DUMMYFUNCTION("""COMPUTED_VALUE"""),50.11)</f>
        <v>50.11</v>
      </c>
      <c r="AS402" s="3">
        <f ca="1">IFERROR(__xludf.DUMMYFUNCTION("""COMPUTED_VALUE"""),50.33)</f>
        <v>50.33</v>
      </c>
      <c r="AT402" s="3">
        <f ca="1">IFERROR(__xludf.DUMMYFUNCTION("""COMPUTED_VALUE"""),49.81)</f>
        <v>49.81</v>
      </c>
      <c r="AU402" s="3">
        <f ca="1">IFERROR(__xludf.DUMMYFUNCTION("""COMPUTED_VALUE"""),49.96)</f>
        <v>49.96</v>
      </c>
      <c r="AV402" s="3">
        <f ca="1">IFERROR(__xludf.DUMMYFUNCTION("""COMPUTED_VALUE"""),8206717)</f>
        <v>8206717</v>
      </c>
      <c r="AW402" s="4">
        <f ca="1">IFERROR(__xludf.DUMMYFUNCTION("""COMPUTED_VALUE"""),42872.6666666666)</f>
        <v>42872.666666666599</v>
      </c>
      <c r="AX402" s="3">
        <f ca="1">IFERROR(__xludf.DUMMYFUNCTION("""COMPUTED_VALUE"""),31.25)</f>
        <v>31.25</v>
      </c>
      <c r="AY402" s="3">
        <f ca="1">IFERROR(__xludf.DUMMYFUNCTION("""COMPUTED_VALUE"""),31.69)</f>
        <v>31.69</v>
      </c>
      <c r="AZ402" s="3">
        <f ca="1">IFERROR(__xludf.DUMMYFUNCTION("""COMPUTED_VALUE"""),31.25)</f>
        <v>31.25</v>
      </c>
      <c r="BA402" s="3">
        <f ca="1">IFERROR(__xludf.DUMMYFUNCTION("""COMPUTED_VALUE"""),31.54)</f>
        <v>31.54</v>
      </c>
      <c r="BB402" s="3">
        <f ca="1">IFERROR(__xludf.DUMMYFUNCTION("""COMPUTED_VALUE"""),2978798)</f>
        <v>2978798</v>
      </c>
      <c r="BC402" s="4">
        <f ca="1">IFERROR(__xludf.DUMMYFUNCTION("""COMPUTED_VALUE"""),42705.6666666666)</f>
        <v>42705.666666666599</v>
      </c>
      <c r="BD402" s="3">
        <f ca="1">IFERROR(__xludf.DUMMYFUNCTION("""COMPUTED_VALUE"""),47.44)</f>
        <v>47.44</v>
      </c>
      <c r="BE402" s="3">
        <f ca="1">IFERROR(__xludf.DUMMYFUNCTION("""COMPUTED_VALUE"""),47.56)</f>
        <v>47.56</v>
      </c>
      <c r="BF402" s="3">
        <f ca="1">IFERROR(__xludf.DUMMYFUNCTION("""COMPUTED_VALUE"""),46.39)</f>
        <v>46.39</v>
      </c>
      <c r="BG402" s="3">
        <f ca="1">IFERROR(__xludf.DUMMYFUNCTION("""COMPUTED_VALUE"""),46.52)</f>
        <v>46.52</v>
      </c>
      <c r="BH402" s="3">
        <f ca="1">IFERROR(__xludf.DUMMYFUNCTION("""COMPUTED_VALUE"""),21865579)</f>
        <v>21865579</v>
      </c>
      <c r="BI402" s="4">
        <f ca="1">IFERROR(__xludf.DUMMYFUNCTION("""COMPUTED_VALUE"""),42705.6666666666)</f>
        <v>42705.666666666599</v>
      </c>
      <c r="BJ402" s="3">
        <f ca="1">IFERROR(__xludf.DUMMYFUNCTION("""COMPUTED_VALUE"""),46.36)</f>
        <v>46.36</v>
      </c>
      <c r="BK402" s="3">
        <f ca="1">IFERROR(__xludf.DUMMYFUNCTION("""COMPUTED_VALUE"""),46.57)</f>
        <v>46.57</v>
      </c>
      <c r="BL402" s="3">
        <f ca="1">IFERROR(__xludf.DUMMYFUNCTION("""COMPUTED_VALUE"""),46.04)</f>
        <v>46.04</v>
      </c>
      <c r="BM402" s="3">
        <f ca="1">IFERROR(__xludf.DUMMYFUNCTION("""COMPUTED_VALUE"""),46.38)</f>
        <v>46.38</v>
      </c>
      <c r="BN402" s="3">
        <f ca="1">IFERROR(__xludf.DUMMYFUNCTION("""COMPUTED_VALUE"""),18366065)</f>
        <v>18366065</v>
      </c>
    </row>
    <row r="403" spans="7:66" ht="13" x14ac:dyDescent="0.15">
      <c r="G403" s="4">
        <f ca="1">IFERROR(__xludf.DUMMYFUNCTION("""COMPUTED_VALUE"""),42706.6666666666)</f>
        <v>42706.666666666599</v>
      </c>
      <c r="H403" s="3">
        <f ca="1">IFERROR(__xludf.DUMMYFUNCTION("""COMPUTED_VALUE"""),81.9)</f>
        <v>81.900000000000006</v>
      </c>
      <c r="I403" s="3">
        <f ca="1">IFERROR(__xludf.DUMMYFUNCTION("""COMPUTED_VALUE"""),82.12)</f>
        <v>82.12</v>
      </c>
      <c r="J403" s="3">
        <f ca="1">IFERROR(__xludf.DUMMYFUNCTION("""COMPUTED_VALUE"""),81.34)</f>
        <v>81.34</v>
      </c>
      <c r="K403" s="3">
        <f ca="1">IFERROR(__xludf.DUMMYFUNCTION("""COMPUTED_VALUE"""),81.44)</f>
        <v>81.44</v>
      </c>
      <c r="L403" s="3">
        <f ca="1">IFERROR(__xludf.DUMMYFUNCTION("""COMPUTED_VALUE"""),7657527)</f>
        <v>7657527</v>
      </c>
      <c r="M403" s="4">
        <f ca="1">IFERROR(__xludf.DUMMYFUNCTION("""COMPUTED_VALUE"""),42706.6666666666)</f>
        <v>42706.666666666599</v>
      </c>
      <c r="N403" s="3">
        <f ca="1">IFERROR(__xludf.DUMMYFUNCTION("""COMPUTED_VALUE"""),50.38)</f>
        <v>50.38</v>
      </c>
      <c r="O403" s="3">
        <f ca="1">IFERROR(__xludf.DUMMYFUNCTION("""COMPUTED_VALUE"""),50.61)</f>
        <v>50.61</v>
      </c>
      <c r="P403" s="3">
        <f ca="1">IFERROR(__xludf.DUMMYFUNCTION("""COMPUTED_VALUE"""),50.35)</f>
        <v>50.35</v>
      </c>
      <c r="Q403" s="3">
        <f ca="1">IFERROR(__xludf.DUMMYFUNCTION("""COMPUTED_VALUE"""),50.57)</f>
        <v>50.57</v>
      </c>
      <c r="R403" s="3">
        <f ca="1">IFERROR(__xludf.DUMMYFUNCTION("""COMPUTED_VALUE"""),21587233)</f>
        <v>21587233</v>
      </c>
      <c r="S403" s="4">
        <f ca="1">IFERROR(__xludf.DUMMYFUNCTION("""COMPUTED_VALUE"""),42706.6666666666)</f>
        <v>42706.666666666599</v>
      </c>
      <c r="T403" s="3">
        <f ca="1">IFERROR(__xludf.DUMMYFUNCTION("""COMPUTED_VALUE"""),74.57)</f>
        <v>74.569999999999993</v>
      </c>
      <c r="U403" s="3">
        <f ca="1">IFERROR(__xludf.DUMMYFUNCTION("""COMPUTED_VALUE"""),75.18)</f>
        <v>75.180000000000007</v>
      </c>
      <c r="V403" s="3">
        <f ca="1">IFERROR(__xludf.DUMMYFUNCTION("""COMPUTED_VALUE"""),74.36)</f>
        <v>74.36</v>
      </c>
      <c r="W403" s="3">
        <f ca="1">IFERROR(__xludf.DUMMYFUNCTION("""COMPUTED_VALUE"""),74.83)</f>
        <v>74.83</v>
      </c>
      <c r="X403" s="3">
        <f ca="1">IFERROR(__xludf.DUMMYFUNCTION("""COMPUTED_VALUE"""),18338849)</f>
        <v>18338849</v>
      </c>
      <c r="Y403" s="4">
        <f ca="1">IFERROR(__xludf.DUMMYFUNCTION("""COMPUTED_VALUE"""),42706.6666666666)</f>
        <v>42706.666666666599</v>
      </c>
      <c r="Z403" s="3">
        <f ca="1">IFERROR(__xludf.DUMMYFUNCTION("""COMPUTED_VALUE"""),22.84)</f>
        <v>22.84</v>
      </c>
      <c r="AA403" s="3">
        <f ca="1">IFERROR(__xludf.DUMMYFUNCTION("""COMPUTED_VALUE"""),22.85)</f>
        <v>22.85</v>
      </c>
      <c r="AB403" s="3">
        <f ca="1">IFERROR(__xludf.DUMMYFUNCTION("""COMPUTED_VALUE"""),22.55)</f>
        <v>22.55</v>
      </c>
      <c r="AC403" s="3">
        <f ca="1">IFERROR(__xludf.DUMMYFUNCTION("""COMPUTED_VALUE"""),22.65)</f>
        <v>22.65</v>
      </c>
      <c r="AD403" s="3">
        <f ca="1">IFERROR(__xludf.DUMMYFUNCTION("""COMPUTED_VALUE"""),82108345)</f>
        <v>82108345</v>
      </c>
      <c r="AE403" s="4">
        <f ca="1">IFERROR(__xludf.DUMMYFUNCTION("""COMPUTED_VALUE"""),42706.6666666666)</f>
        <v>42706.666666666599</v>
      </c>
      <c r="AF403" s="3">
        <f ca="1">IFERROR(__xludf.DUMMYFUNCTION("""COMPUTED_VALUE"""),68.37)</f>
        <v>68.37</v>
      </c>
      <c r="AG403" s="3">
        <f ca="1">IFERROR(__xludf.DUMMYFUNCTION("""COMPUTED_VALUE"""),68.68)</f>
        <v>68.680000000000007</v>
      </c>
      <c r="AH403" s="3">
        <f ca="1">IFERROR(__xludf.DUMMYFUNCTION("""COMPUTED_VALUE"""),68.14)</f>
        <v>68.14</v>
      </c>
      <c r="AI403" s="3">
        <f ca="1">IFERROR(__xludf.DUMMYFUNCTION("""COMPUTED_VALUE"""),68.41)</f>
        <v>68.41</v>
      </c>
      <c r="AJ403" s="3">
        <f ca="1">IFERROR(__xludf.DUMMYFUNCTION("""COMPUTED_VALUE"""),7964530)</f>
        <v>7964530</v>
      </c>
      <c r="AK403" s="4">
        <f ca="1">IFERROR(__xludf.DUMMYFUNCTION("""COMPUTED_VALUE"""),42706.6666666666)</f>
        <v>42706.666666666599</v>
      </c>
      <c r="AL403" s="3">
        <f ca="1">IFERROR(__xludf.DUMMYFUNCTION("""COMPUTED_VALUE"""),62.92)</f>
        <v>62.92</v>
      </c>
      <c r="AM403" s="3">
        <f ca="1">IFERROR(__xludf.DUMMYFUNCTION("""COMPUTED_VALUE"""),63.03)</f>
        <v>63.03</v>
      </c>
      <c r="AN403" s="3">
        <f ca="1">IFERROR(__xludf.DUMMYFUNCTION("""COMPUTED_VALUE"""),62.67)</f>
        <v>62.67</v>
      </c>
      <c r="AO403" s="3">
        <f ca="1">IFERROR(__xludf.DUMMYFUNCTION("""COMPUTED_VALUE"""),62.81)</f>
        <v>62.81</v>
      </c>
      <c r="AP403" s="3">
        <f ca="1">IFERROR(__xludf.DUMMYFUNCTION("""COMPUTED_VALUE"""),11902466)</f>
        <v>11902466</v>
      </c>
      <c r="AQ403" s="4">
        <f ca="1">IFERROR(__xludf.DUMMYFUNCTION("""COMPUTED_VALUE"""),42706.6666666666)</f>
        <v>42706.666666666599</v>
      </c>
      <c r="AR403" s="3">
        <f ca="1">IFERROR(__xludf.DUMMYFUNCTION("""COMPUTED_VALUE"""),49.92)</f>
        <v>49.92</v>
      </c>
      <c r="AS403" s="3">
        <f ca="1">IFERROR(__xludf.DUMMYFUNCTION("""COMPUTED_VALUE"""),50.14)</f>
        <v>50.14</v>
      </c>
      <c r="AT403" s="3">
        <f ca="1">IFERROR(__xludf.DUMMYFUNCTION("""COMPUTED_VALUE"""),49.69)</f>
        <v>49.69</v>
      </c>
      <c r="AU403" s="3">
        <f ca="1">IFERROR(__xludf.DUMMYFUNCTION("""COMPUTED_VALUE"""),49.98)</f>
        <v>49.98</v>
      </c>
      <c r="AV403" s="3">
        <f ca="1">IFERROR(__xludf.DUMMYFUNCTION("""COMPUTED_VALUE"""),6264132)</f>
        <v>6264132</v>
      </c>
      <c r="AW403" s="4">
        <f ca="1">IFERROR(__xludf.DUMMYFUNCTION("""COMPUTED_VALUE"""),42873.6666666666)</f>
        <v>42873.666666666599</v>
      </c>
      <c r="AX403" s="3">
        <f ca="1">IFERROR(__xludf.DUMMYFUNCTION("""COMPUTED_VALUE"""),31.45)</f>
        <v>31.45</v>
      </c>
      <c r="AY403" s="3">
        <f ca="1">IFERROR(__xludf.DUMMYFUNCTION("""COMPUTED_VALUE"""),31.67)</f>
        <v>31.67</v>
      </c>
      <c r="AZ403" s="3">
        <f ca="1">IFERROR(__xludf.DUMMYFUNCTION("""COMPUTED_VALUE"""),31.29)</f>
        <v>31.29</v>
      </c>
      <c r="BA403" s="3">
        <f ca="1">IFERROR(__xludf.DUMMYFUNCTION("""COMPUTED_VALUE"""),31.6)</f>
        <v>31.6</v>
      </c>
      <c r="BB403" s="3">
        <f ca="1">IFERROR(__xludf.DUMMYFUNCTION("""COMPUTED_VALUE"""),2455843)</f>
        <v>2455843</v>
      </c>
      <c r="BC403" s="4">
        <f ca="1">IFERROR(__xludf.DUMMYFUNCTION("""COMPUTED_VALUE"""),42706.6666666666)</f>
        <v>42706.666666666599</v>
      </c>
      <c r="BD403" s="3">
        <f ca="1">IFERROR(__xludf.DUMMYFUNCTION("""COMPUTED_VALUE"""),46.48)</f>
        <v>46.48</v>
      </c>
      <c r="BE403" s="3">
        <f ca="1">IFERROR(__xludf.DUMMYFUNCTION("""COMPUTED_VALUE"""),46.8)</f>
        <v>46.8</v>
      </c>
      <c r="BF403" s="3">
        <f ca="1">IFERROR(__xludf.DUMMYFUNCTION("""COMPUTED_VALUE"""),46.37)</f>
        <v>46.37</v>
      </c>
      <c r="BG403" s="3">
        <f ca="1">IFERROR(__xludf.DUMMYFUNCTION("""COMPUTED_VALUE"""),46.69)</f>
        <v>46.69</v>
      </c>
      <c r="BH403" s="3">
        <f ca="1">IFERROR(__xludf.DUMMYFUNCTION("""COMPUTED_VALUE"""),10052653)</f>
        <v>10052653</v>
      </c>
      <c r="BI403" s="4">
        <f ca="1">IFERROR(__xludf.DUMMYFUNCTION("""COMPUTED_VALUE"""),42706.6666666666)</f>
        <v>42706.666666666599</v>
      </c>
      <c r="BJ403" s="3">
        <f ca="1">IFERROR(__xludf.DUMMYFUNCTION("""COMPUTED_VALUE"""),46.65)</f>
        <v>46.65</v>
      </c>
      <c r="BK403" s="3">
        <f ca="1">IFERROR(__xludf.DUMMYFUNCTION("""COMPUTED_VALUE"""),47.13)</f>
        <v>47.13</v>
      </c>
      <c r="BL403" s="3">
        <f ca="1">IFERROR(__xludf.DUMMYFUNCTION("""COMPUTED_VALUE"""),46.49)</f>
        <v>46.49</v>
      </c>
      <c r="BM403" s="3">
        <f ca="1">IFERROR(__xludf.DUMMYFUNCTION("""COMPUTED_VALUE"""),46.8)</f>
        <v>46.8</v>
      </c>
      <c r="BN403" s="3">
        <f ca="1">IFERROR(__xludf.DUMMYFUNCTION("""COMPUTED_VALUE"""),16399407)</f>
        <v>16399407</v>
      </c>
    </row>
    <row r="404" spans="7:66" ht="13" x14ac:dyDescent="0.15">
      <c r="G404" s="4">
        <f ca="1">IFERROR(__xludf.DUMMYFUNCTION("""COMPUTED_VALUE"""),42709.6666666666)</f>
        <v>42709.666666666599</v>
      </c>
      <c r="H404" s="3">
        <f ca="1">IFERROR(__xludf.DUMMYFUNCTION("""COMPUTED_VALUE"""),81.78)</f>
        <v>81.78</v>
      </c>
      <c r="I404" s="3">
        <f ca="1">IFERROR(__xludf.DUMMYFUNCTION("""COMPUTED_VALUE"""),82.47)</f>
        <v>82.47</v>
      </c>
      <c r="J404" s="3">
        <f ca="1">IFERROR(__xludf.DUMMYFUNCTION("""COMPUTED_VALUE"""),81.43)</f>
        <v>81.430000000000007</v>
      </c>
      <c r="K404" s="3">
        <f ca="1">IFERROR(__xludf.DUMMYFUNCTION("""COMPUTED_VALUE"""),82.33)</f>
        <v>82.33</v>
      </c>
      <c r="L404" s="3">
        <f ca="1">IFERROR(__xludf.DUMMYFUNCTION("""COMPUTED_VALUE"""),8105186)</f>
        <v>8105186</v>
      </c>
      <c r="M404" s="4">
        <f ca="1">IFERROR(__xludf.DUMMYFUNCTION("""COMPUTED_VALUE"""),42709.6666666666)</f>
        <v>42709.666666666599</v>
      </c>
      <c r="N404" s="3">
        <f ca="1">IFERROR(__xludf.DUMMYFUNCTION("""COMPUTED_VALUE"""),50.58)</f>
        <v>50.58</v>
      </c>
      <c r="O404" s="3">
        <f ca="1">IFERROR(__xludf.DUMMYFUNCTION("""COMPUTED_VALUE"""),50.71)</f>
        <v>50.71</v>
      </c>
      <c r="P404" s="3">
        <f ca="1">IFERROR(__xludf.DUMMYFUNCTION("""COMPUTED_VALUE"""),50.48)</f>
        <v>50.48</v>
      </c>
      <c r="Q404" s="3">
        <f ca="1">IFERROR(__xludf.DUMMYFUNCTION("""COMPUTED_VALUE"""),50.63)</f>
        <v>50.63</v>
      </c>
      <c r="R404" s="3">
        <f ca="1">IFERROR(__xludf.DUMMYFUNCTION("""COMPUTED_VALUE"""),21223431)</f>
        <v>21223431</v>
      </c>
      <c r="S404" s="4">
        <f ca="1">IFERROR(__xludf.DUMMYFUNCTION("""COMPUTED_VALUE"""),42709.6666666666)</f>
        <v>42709.666666666599</v>
      </c>
      <c r="T404" s="3">
        <f ca="1">IFERROR(__xludf.DUMMYFUNCTION("""COMPUTED_VALUE"""),75.51)</f>
        <v>75.510000000000005</v>
      </c>
      <c r="U404" s="3">
        <f ca="1">IFERROR(__xludf.DUMMYFUNCTION("""COMPUTED_VALUE"""),76.1)</f>
        <v>76.099999999999994</v>
      </c>
      <c r="V404" s="3">
        <f ca="1">IFERROR(__xludf.DUMMYFUNCTION("""COMPUTED_VALUE"""),75.19)</f>
        <v>75.19</v>
      </c>
      <c r="W404" s="3">
        <f ca="1">IFERROR(__xludf.DUMMYFUNCTION("""COMPUTED_VALUE"""),75.49)</f>
        <v>75.489999999999995</v>
      </c>
      <c r="X404" s="3">
        <f ca="1">IFERROR(__xludf.DUMMYFUNCTION("""COMPUTED_VALUE"""),22535118)</f>
        <v>22535118</v>
      </c>
      <c r="Y404" s="4">
        <f ca="1">IFERROR(__xludf.DUMMYFUNCTION("""COMPUTED_VALUE"""),42709.6666666666)</f>
        <v>42709.666666666599</v>
      </c>
      <c r="Z404" s="3">
        <f ca="1">IFERROR(__xludf.DUMMYFUNCTION("""COMPUTED_VALUE"""),22.85)</f>
        <v>22.85</v>
      </c>
      <c r="AA404" s="3">
        <f ca="1">IFERROR(__xludf.DUMMYFUNCTION("""COMPUTED_VALUE"""),23)</f>
        <v>23</v>
      </c>
      <c r="AB404" s="3">
        <f ca="1">IFERROR(__xludf.DUMMYFUNCTION("""COMPUTED_VALUE"""),22.79)</f>
        <v>22.79</v>
      </c>
      <c r="AC404" s="3">
        <f ca="1">IFERROR(__xludf.DUMMYFUNCTION("""COMPUTED_VALUE"""),22.92)</f>
        <v>22.92</v>
      </c>
      <c r="AD404" s="3">
        <f ca="1">IFERROR(__xludf.DUMMYFUNCTION("""COMPUTED_VALUE"""),95145737)</f>
        <v>95145737</v>
      </c>
      <c r="AE404" s="4">
        <f ca="1">IFERROR(__xludf.DUMMYFUNCTION("""COMPUTED_VALUE"""),42709.6666666666)</f>
        <v>42709.666666666599</v>
      </c>
      <c r="AF404" s="3">
        <f ca="1">IFERROR(__xludf.DUMMYFUNCTION("""COMPUTED_VALUE"""),68.69)</f>
        <v>68.69</v>
      </c>
      <c r="AG404" s="3">
        <f ca="1">IFERROR(__xludf.DUMMYFUNCTION("""COMPUTED_VALUE"""),68.79)</f>
        <v>68.790000000000006</v>
      </c>
      <c r="AH404" s="3">
        <f ca="1">IFERROR(__xludf.DUMMYFUNCTION("""COMPUTED_VALUE"""),68.07)</f>
        <v>68.069999999999993</v>
      </c>
      <c r="AI404" s="3">
        <f ca="1">IFERROR(__xludf.DUMMYFUNCTION("""COMPUTED_VALUE"""),68.29)</f>
        <v>68.290000000000006</v>
      </c>
      <c r="AJ404" s="3">
        <f ca="1">IFERROR(__xludf.DUMMYFUNCTION("""COMPUTED_VALUE"""),5832104)</f>
        <v>5832104</v>
      </c>
      <c r="AK404" s="4">
        <f ca="1">IFERROR(__xludf.DUMMYFUNCTION("""COMPUTED_VALUE"""),42709.6666666666)</f>
        <v>42709.666666666599</v>
      </c>
      <c r="AL404" s="3">
        <f ca="1">IFERROR(__xludf.DUMMYFUNCTION("""COMPUTED_VALUE"""),63.08)</f>
        <v>63.08</v>
      </c>
      <c r="AM404" s="3">
        <f ca="1">IFERROR(__xludf.DUMMYFUNCTION("""COMPUTED_VALUE"""),63.19)</f>
        <v>63.19</v>
      </c>
      <c r="AN404" s="3">
        <f ca="1">IFERROR(__xludf.DUMMYFUNCTION("""COMPUTED_VALUE"""),62.63)</f>
        <v>62.63</v>
      </c>
      <c r="AO404" s="3">
        <f ca="1">IFERROR(__xludf.DUMMYFUNCTION("""COMPUTED_VALUE"""),62.76)</f>
        <v>62.76</v>
      </c>
      <c r="AP404" s="3">
        <f ca="1">IFERROR(__xludf.DUMMYFUNCTION("""COMPUTED_VALUE"""),9448801)</f>
        <v>9448801</v>
      </c>
      <c r="AQ404" s="4">
        <f ca="1">IFERROR(__xludf.DUMMYFUNCTION("""COMPUTED_VALUE"""),42709.6666666666)</f>
        <v>42709.666666666599</v>
      </c>
      <c r="AR404" s="3">
        <f ca="1">IFERROR(__xludf.DUMMYFUNCTION("""COMPUTED_VALUE"""),50.18)</f>
        <v>50.18</v>
      </c>
      <c r="AS404" s="3">
        <f ca="1">IFERROR(__xludf.DUMMYFUNCTION("""COMPUTED_VALUE"""),50.54)</f>
        <v>50.54</v>
      </c>
      <c r="AT404" s="3">
        <f ca="1">IFERROR(__xludf.DUMMYFUNCTION("""COMPUTED_VALUE"""),50.06)</f>
        <v>50.06</v>
      </c>
      <c r="AU404" s="3">
        <f ca="1">IFERROR(__xludf.DUMMYFUNCTION("""COMPUTED_VALUE"""),50.37)</f>
        <v>50.37</v>
      </c>
      <c r="AV404" s="3">
        <f ca="1">IFERROR(__xludf.DUMMYFUNCTION("""COMPUTED_VALUE"""),5312900)</f>
        <v>5312900</v>
      </c>
      <c r="AW404" s="4">
        <f ca="1">IFERROR(__xludf.DUMMYFUNCTION("""COMPUTED_VALUE"""),42874.6666666666)</f>
        <v>42874.666666666599</v>
      </c>
      <c r="AX404" s="3">
        <f ca="1">IFERROR(__xludf.DUMMYFUNCTION("""COMPUTED_VALUE"""),31.57)</f>
        <v>31.57</v>
      </c>
      <c r="AY404" s="3">
        <f ca="1">IFERROR(__xludf.DUMMYFUNCTION("""COMPUTED_VALUE"""),31.93)</f>
        <v>31.93</v>
      </c>
      <c r="AZ404" s="3">
        <f ca="1">IFERROR(__xludf.DUMMYFUNCTION("""COMPUTED_VALUE"""),31.44)</f>
        <v>31.44</v>
      </c>
      <c r="BA404" s="3">
        <f ca="1">IFERROR(__xludf.DUMMYFUNCTION("""COMPUTED_VALUE"""),31.78)</f>
        <v>31.78</v>
      </c>
      <c r="BB404" s="3">
        <f ca="1">IFERROR(__xludf.DUMMYFUNCTION("""COMPUTED_VALUE"""),1397266)</f>
        <v>1397266</v>
      </c>
      <c r="BC404" s="4">
        <f ca="1">IFERROR(__xludf.DUMMYFUNCTION("""COMPUTED_VALUE"""),42709.6666666666)</f>
        <v>42709.666666666599</v>
      </c>
      <c r="BD404" s="3">
        <f ca="1">IFERROR(__xludf.DUMMYFUNCTION("""COMPUTED_VALUE"""),46.95)</f>
        <v>46.95</v>
      </c>
      <c r="BE404" s="3">
        <f ca="1">IFERROR(__xludf.DUMMYFUNCTION("""COMPUTED_VALUE"""),47.26)</f>
        <v>47.26</v>
      </c>
      <c r="BF404" s="3">
        <f ca="1">IFERROR(__xludf.DUMMYFUNCTION("""COMPUTED_VALUE"""),46.76)</f>
        <v>46.76</v>
      </c>
      <c r="BG404" s="3">
        <f ca="1">IFERROR(__xludf.DUMMYFUNCTION("""COMPUTED_VALUE"""),47.14)</f>
        <v>47.14</v>
      </c>
      <c r="BH404" s="3">
        <f ca="1">IFERROR(__xludf.DUMMYFUNCTION("""COMPUTED_VALUE"""),9005036)</f>
        <v>9005036</v>
      </c>
      <c r="BI404" s="4">
        <f ca="1">IFERROR(__xludf.DUMMYFUNCTION("""COMPUTED_VALUE"""),42709.6666666666)</f>
        <v>42709.666666666599</v>
      </c>
      <c r="BJ404" s="3">
        <f ca="1">IFERROR(__xludf.DUMMYFUNCTION("""COMPUTED_VALUE"""),46.6)</f>
        <v>46.6</v>
      </c>
      <c r="BK404" s="3">
        <f ca="1">IFERROR(__xludf.DUMMYFUNCTION("""COMPUTED_VALUE"""),46.87)</f>
        <v>46.87</v>
      </c>
      <c r="BL404" s="3">
        <f ca="1">IFERROR(__xludf.DUMMYFUNCTION("""COMPUTED_VALUE"""),46.17)</f>
        <v>46.17</v>
      </c>
      <c r="BM404" s="3">
        <f ca="1">IFERROR(__xludf.DUMMYFUNCTION("""COMPUTED_VALUE"""),46.86)</f>
        <v>46.86</v>
      </c>
      <c r="BN404" s="3">
        <f ca="1">IFERROR(__xludf.DUMMYFUNCTION("""COMPUTED_VALUE"""),14888299)</f>
        <v>14888299</v>
      </c>
    </row>
    <row r="405" spans="7:66" ht="13" x14ac:dyDescent="0.15">
      <c r="G405" s="4">
        <f ca="1">IFERROR(__xludf.DUMMYFUNCTION("""COMPUTED_VALUE"""),42710.6666666666)</f>
        <v>42710.666666666599</v>
      </c>
      <c r="H405" s="3">
        <f ca="1">IFERROR(__xludf.DUMMYFUNCTION("""COMPUTED_VALUE"""),82.39)</f>
        <v>82.39</v>
      </c>
      <c r="I405" s="3">
        <f ca="1">IFERROR(__xludf.DUMMYFUNCTION("""COMPUTED_VALUE"""),82.53)</f>
        <v>82.53</v>
      </c>
      <c r="J405" s="3">
        <f ca="1">IFERROR(__xludf.DUMMYFUNCTION("""COMPUTED_VALUE"""),82.15)</f>
        <v>82.15</v>
      </c>
      <c r="K405" s="3">
        <f ca="1">IFERROR(__xludf.DUMMYFUNCTION("""COMPUTED_VALUE"""),82.52)</f>
        <v>82.52</v>
      </c>
      <c r="L405" s="3">
        <f ca="1">IFERROR(__xludf.DUMMYFUNCTION("""COMPUTED_VALUE"""),7033303)</f>
        <v>7033303</v>
      </c>
      <c r="M405" s="4">
        <f ca="1">IFERROR(__xludf.DUMMYFUNCTION("""COMPUTED_VALUE"""),42710.6666666666)</f>
        <v>42710.666666666599</v>
      </c>
      <c r="N405" s="3">
        <f ca="1">IFERROR(__xludf.DUMMYFUNCTION("""COMPUTED_VALUE"""),50.61)</f>
        <v>50.61</v>
      </c>
      <c r="O405" s="3">
        <f ca="1">IFERROR(__xludf.DUMMYFUNCTION("""COMPUTED_VALUE"""),50.78)</f>
        <v>50.78</v>
      </c>
      <c r="P405" s="3">
        <f ca="1">IFERROR(__xludf.DUMMYFUNCTION("""COMPUTED_VALUE"""),50.58)</f>
        <v>50.58</v>
      </c>
      <c r="Q405" s="3">
        <f ca="1">IFERROR(__xludf.DUMMYFUNCTION("""COMPUTED_VALUE"""),50.78)</f>
        <v>50.78</v>
      </c>
      <c r="R405" s="3">
        <f ca="1">IFERROR(__xludf.DUMMYFUNCTION("""COMPUTED_VALUE"""),16546284)</f>
        <v>16546284</v>
      </c>
      <c r="S405" s="4">
        <f ca="1">IFERROR(__xludf.DUMMYFUNCTION("""COMPUTED_VALUE"""),42710.6666666666)</f>
        <v>42710.666666666599</v>
      </c>
      <c r="T405" s="3">
        <f ca="1">IFERROR(__xludf.DUMMYFUNCTION("""COMPUTED_VALUE"""),75.03)</f>
        <v>75.03</v>
      </c>
      <c r="U405" s="3">
        <f ca="1">IFERROR(__xludf.DUMMYFUNCTION("""COMPUTED_VALUE"""),75.65)</f>
        <v>75.650000000000006</v>
      </c>
      <c r="V405" s="3">
        <f ca="1">IFERROR(__xludf.DUMMYFUNCTION("""COMPUTED_VALUE"""),74.58)</f>
        <v>74.58</v>
      </c>
      <c r="W405" s="3">
        <f ca="1">IFERROR(__xludf.DUMMYFUNCTION("""COMPUTED_VALUE"""),75.35)</f>
        <v>75.349999999999994</v>
      </c>
      <c r="X405" s="3">
        <f ca="1">IFERROR(__xludf.DUMMYFUNCTION("""COMPUTED_VALUE"""),16963504)</f>
        <v>16963504</v>
      </c>
      <c r="Y405" s="4">
        <f ca="1">IFERROR(__xludf.DUMMYFUNCTION("""COMPUTED_VALUE"""),42710.6666666666)</f>
        <v>42710.666666666599</v>
      </c>
      <c r="Z405" s="3">
        <f ca="1">IFERROR(__xludf.DUMMYFUNCTION("""COMPUTED_VALUE"""),23.07)</f>
        <v>23.07</v>
      </c>
      <c r="AA405" s="3">
        <f ca="1">IFERROR(__xludf.DUMMYFUNCTION("""COMPUTED_VALUE"""),23.14)</f>
        <v>23.14</v>
      </c>
      <c r="AB405" s="3">
        <f ca="1">IFERROR(__xludf.DUMMYFUNCTION("""COMPUTED_VALUE"""),22.84)</f>
        <v>22.84</v>
      </c>
      <c r="AC405" s="3">
        <f ca="1">IFERROR(__xludf.DUMMYFUNCTION("""COMPUTED_VALUE"""),23.12)</f>
        <v>23.12</v>
      </c>
      <c r="AD405" s="3">
        <f ca="1">IFERROR(__xludf.DUMMYFUNCTION("""COMPUTED_VALUE"""),79142635)</f>
        <v>79142635</v>
      </c>
      <c r="AE405" s="4">
        <f ca="1">IFERROR(__xludf.DUMMYFUNCTION("""COMPUTED_VALUE"""),42710.6666666666)</f>
        <v>42710.666666666599</v>
      </c>
      <c r="AF405" s="3">
        <f ca="1">IFERROR(__xludf.DUMMYFUNCTION("""COMPUTED_VALUE"""),68.49)</f>
        <v>68.489999999999995</v>
      </c>
      <c r="AG405" s="3">
        <f ca="1">IFERROR(__xludf.DUMMYFUNCTION("""COMPUTED_VALUE"""),68.5)</f>
        <v>68.5</v>
      </c>
      <c r="AH405" s="3">
        <f ca="1">IFERROR(__xludf.DUMMYFUNCTION("""COMPUTED_VALUE"""),68.09)</f>
        <v>68.09</v>
      </c>
      <c r="AI405" s="3">
        <f ca="1">IFERROR(__xludf.DUMMYFUNCTION("""COMPUTED_VALUE"""),68.48)</f>
        <v>68.48</v>
      </c>
      <c r="AJ405" s="3">
        <f ca="1">IFERROR(__xludf.DUMMYFUNCTION("""COMPUTED_VALUE"""),5490793)</f>
        <v>5490793</v>
      </c>
      <c r="AK405" s="4">
        <f ca="1">IFERROR(__xludf.DUMMYFUNCTION("""COMPUTED_VALUE"""),42710.6666666666)</f>
        <v>42710.666666666599</v>
      </c>
      <c r="AL405" s="3">
        <f ca="1">IFERROR(__xludf.DUMMYFUNCTION("""COMPUTED_VALUE"""),62.72)</f>
        <v>62.72</v>
      </c>
      <c r="AM405" s="3">
        <f ca="1">IFERROR(__xludf.DUMMYFUNCTION("""COMPUTED_VALUE"""),62.95)</f>
        <v>62.95</v>
      </c>
      <c r="AN405" s="3">
        <f ca="1">IFERROR(__xludf.DUMMYFUNCTION("""COMPUTED_VALUE"""),62.51)</f>
        <v>62.51</v>
      </c>
      <c r="AO405" s="3">
        <f ca="1">IFERROR(__xludf.DUMMYFUNCTION("""COMPUTED_VALUE"""),62.88)</f>
        <v>62.88</v>
      </c>
      <c r="AP405" s="3">
        <f ca="1">IFERROR(__xludf.DUMMYFUNCTION("""COMPUTED_VALUE"""),10543579)</f>
        <v>10543579</v>
      </c>
      <c r="AQ405" s="4">
        <f ca="1">IFERROR(__xludf.DUMMYFUNCTION("""COMPUTED_VALUE"""),42710.6666666666)</f>
        <v>42710.666666666599</v>
      </c>
      <c r="AR405" s="3">
        <f ca="1">IFERROR(__xludf.DUMMYFUNCTION("""COMPUTED_VALUE"""),50.37)</f>
        <v>50.37</v>
      </c>
      <c r="AS405" s="3">
        <f ca="1">IFERROR(__xludf.DUMMYFUNCTION("""COMPUTED_VALUE"""),50.44)</f>
        <v>50.44</v>
      </c>
      <c r="AT405" s="3">
        <f ca="1">IFERROR(__xludf.DUMMYFUNCTION("""COMPUTED_VALUE"""),50.05)</f>
        <v>50.05</v>
      </c>
      <c r="AU405" s="3">
        <f ca="1">IFERROR(__xludf.DUMMYFUNCTION("""COMPUTED_VALUE"""),50.43)</f>
        <v>50.43</v>
      </c>
      <c r="AV405" s="3">
        <f ca="1">IFERROR(__xludf.DUMMYFUNCTION("""COMPUTED_VALUE"""),6714811)</f>
        <v>6714811</v>
      </c>
      <c r="AW405" s="4">
        <f ca="1">IFERROR(__xludf.DUMMYFUNCTION("""COMPUTED_VALUE"""),42877.6666666666)</f>
        <v>42877.666666666599</v>
      </c>
      <c r="AX405" s="3">
        <f ca="1">IFERROR(__xludf.DUMMYFUNCTION("""COMPUTED_VALUE"""),31.78)</f>
        <v>31.78</v>
      </c>
      <c r="AY405" s="3">
        <f ca="1">IFERROR(__xludf.DUMMYFUNCTION("""COMPUTED_VALUE"""),31.97)</f>
        <v>31.97</v>
      </c>
      <c r="AZ405" s="3">
        <f ca="1">IFERROR(__xludf.DUMMYFUNCTION("""COMPUTED_VALUE"""),31.72)</f>
        <v>31.72</v>
      </c>
      <c r="BA405" s="3">
        <f ca="1">IFERROR(__xludf.DUMMYFUNCTION("""COMPUTED_VALUE"""),31.86)</f>
        <v>31.86</v>
      </c>
      <c r="BB405" s="3">
        <f ca="1">IFERROR(__xludf.DUMMYFUNCTION("""COMPUTED_VALUE"""),1371299)</f>
        <v>1371299</v>
      </c>
      <c r="BC405" s="4">
        <f ca="1">IFERROR(__xludf.DUMMYFUNCTION("""COMPUTED_VALUE"""),42710.6666666666)</f>
        <v>42710.666666666599</v>
      </c>
      <c r="BD405" s="3">
        <f ca="1">IFERROR(__xludf.DUMMYFUNCTION("""COMPUTED_VALUE"""),47.25)</f>
        <v>47.25</v>
      </c>
      <c r="BE405" s="3">
        <f ca="1">IFERROR(__xludf.DUMMYFUNCTION("""COMPUTED_VALUE"""),47.36)</f>
        <v>47.36</v>
      </c>
      <c r="BF405" s="3">
        <f ca="1">IFERROR(__xludf.DUMMYFUNCTION("""COMPUTED_VALUE"""),47.06)</f>
        <v>47.06</v>
      </c>
      <c r="BG405" s="3">
        <f ca="1">IFERROR(__xludf.DUMMYFUNCTION("""COMPUTED_VALUE"""),47.28)</f>
        <v>47.28</v>
      </c>
      <c r="BH405" s="3">
        <f ca="1">IFERROR(__xludf.DUMMYFUNCTION("""COMPUTED_VALUE"""),9254789)</f>
        <v>9254789</v>
      </c>
      <c r="BI405" s="4">
        <f ca="1">IFERROR(__xludf.DUMMYFUNCTION("""COMPUTED_VALUE"""),42710.6666666666)</f>
        <v>42710.666666666599</v>
      </c>
      <c r="BJ405" s="3">
        <f ca="1">IFERROR(__xludf.DUMMYFUNCTION("""COMPUTED_VALUE"""),46.84)</f>
        <v>46.84</v>
      </c>
      <c r="BK405" s="3">
        <f ca="1">IFERROR(__xludf.DUMMYFUNCTION("""COMPUTED_VALUE"""),47.03)</f>
        <v>47.03</v>
      </c>
      <c r="BL405" s="3">
        <f ca="1">IFERROR(__xludf.DUMMYFUNCTION("""COMPUTED_VALUE"""),46.66)</f>
        <v>46.66</v>
      </c>
      <c r="BM405" s="3">
        <f ca="1">IFERROR(__xludf.DUMMYFUNCTION("""COMPUTED_VALUE"""),46.77)</f>
        <v>46.77</v>
      </c>
      <c r="BN405" s="3">
        <f ca="1">IFERROR(__xludf.DUMMYFUNCTION("""COMPUTED_VALUE"""),8421968)</f>
        <v>8421968</v>
      </c>
    </row>
    <row r="406" spans="7:66" ht="13" x14ac:dyDescent="0.15">
      <c r="G406" s="4">
        <f ca="1">IFERROR(__xludf.DUMMYFUNCTION("""COMPUTED_VALUE"""),42711.6666666666)</f>
        <v>42711.666666666599</v>
      </c>
      <c r="H406" s="3">
        <f ca="1">IFERROR(__xludf.DUMMYFUNCTION("""COMPUTED_VALUE"""),82.56)</f>
        <v>82.56</v>
      </c>
      <c r="I406" s="3">
        <f ca="1">IFERROR(__xludf.DUMMYFUNCTION("""COMPUTED_VALUE"""),84.16)</f>
        <v>84.16</v>
      </c>
      <c r="J406" s="3">
        <f ca="1">IFERROR(__xludf.DUMMYFUNCTION("""COMPUTED_VALUE"""),82.46)</f>
        <v>82.46</v>
      </c>
      <c r="K406" s="3">
        <f ca="1">IFERROR(__xludf.DUMMYFUNCTION("""COMPUTED_VALUE"""),84.12)</f>
        <v>84.12</v>
      </c>
      <c r="L406" s="3">
        <f ca="1">IFERROR(__xludf.DUMMYFUNCTION("""COMPUTED_VALUE"""),7972115)</f>
        <v>7972115</v>
      </c>
      <c r="M406" s="4">
        <f ca="1">IFERROR(__xludf.DUMMYFUNCTION("""COMPUTED_VALUE"""),42711.6666666666)</f>
        <v>42711.666666666599</v>
      </c>
      <c r="N406" s="3">
        <f ca="1">IFERROR(__xludf.DUMMYFUNCTION("""COMPUTED_VALUE"""),50.76)</f>
        <v>50.76</v>
      </c>
      <c r="O406" s="3">
        <f ca="1">IFERROR(__xludf.DUMMYFUNCTION("""COMPUTED_VALUE"""),51.55)</f>
        <v>51.55</v>
      </c>
      <c r="P406" s="3">
        <f ca="1">IFERROR(__xludf.DUMMYFUNCTION("""COMPUTED_VALUE"""),50.75)</f>
        <v>50.75</v>
      </c>
      <c r="Q406" s="3">
        <f ca="1">IFERROR(__xludf.DUMMYFUNCTION("""COMPUTED_VALUE"""),51.51)</f>
        <v>51.51</v>
      </c>
      <c r="R406" s="3">
        <f ca="1">IFERROR(__xludf.DUMMYFUNCTION("""COMPUTED_VALUE"""),11756499)</f>
        <v>11756499</v>
      </c>
      <c r="S406" s="4">
        <f ca="1">IFERROR(__xludf.DUMMYFUNCTION("""COMPUTED_VALUE"""),42711.6666666666)</f>
        <v>42711.666666666599</v>
      </c>
      <c r="T406" s="3">
        <f ca="1">IFERROR(__xludf.DUMMYFUNCTION("""COMPUTED_VALUE"""),75.18)</f>
        <v>75.180000000000007</v>
      </c>
      <c r="U406" s="3">
        <f ca="1">IFERROR(__xludf.DUMMYFUNCTION("""COMPUTED_VALUE"""),76.06)</f>
        <v>76.06</v>
      </c>
      <c r="V406" s="3">
        <f ca="1">IFERROR(__xludf.DUMMYFUNCTION("""COMPUTED_VALUE"""),75.18)</f>
        <v>75.180000000000007</v>
      </c>
      <c r="W406" s="3">
        <f ca="1">IFERROR(__xludf.DUMMYFUNCTION("""COMPUTED_VALUE"""),75.95)</f>
        <v>75.95</v>
      </c>
      <c r="X406" s="3">
        <f ca="1">IFERROR(__xludf.DUMMYFUNCTION("""COMPUTED_VALUE"""),16008265)</f>
        <v>16008265</v>
      </c>
      <c r="Y406" s="4">
        <f ca="1">IFERROR(__xludf.DUMMYFUNCTION("""COMPUTED_VALUE"""),42711.6666666666)</f>
        <v>42711.666666666599</v>
      </c>
      <c r="Z406" s="3">
        <f ca="1">IFERROR(__xludf.DUMMYFUNCTION("""COMPUTED_VALUE"""),23.18)</f>
        <v>23.18</v>
      </c>
      <c r="AA406" s="3">
        <f ca="1">IFERROR(__xludf.DUMMYFUNCTION("""COMPUTED_VALUE"""),23.5)</f>
        <v>23.5</v>
      </c>
      <c r="AB406" s="3">
        <f ca="1">IFERROR(__xludf.DUMMYFUNCTION("""COMPUTED_VALUE"""),23.1)</f>
        <v>23.1</v>
      </c>
      <c r="AC406" s="3">
        <f ca="1">IFERROR(__xludf.DUMMYFUNCTION("""COMPUTED_VALUE"""),23.48)</f>
        <v>23.48</v>
      </c>
      <c r="AD406" s="3">
        <f ca="1">IFERROR(__xludf.DUMMYFUNCTION("""COMPUTED_VALUE"""),120172457)</f>
        <v>120172457</v>
      </c>
      <c r="AE406" s="4">
        <f ca="1">IFERROR(__xludf.DUMMYFUNCTION("""COMPUTED_VALUE"""),42711.6666666666)</f>
        <v>42711.666666666599</v>
      </c>
      <c r="AF406" s="3">
        <f ca="1">IFERROR(__xludf.DUMMYFUNCTION("""COMPUTED_VALUE"""),67.94)</f>
        <v>67.94</v>
      </c>
      <c r="AG406" s="3">
        <f ca="1">IFERROR(__xludf.DUMMYFUNCTION("""COMPUTED_VALUE"""),67.94)</f>
        <v>67.94</v>
      </c>
      <c r="AH406" s="3">
        <f ca="1">IFERROR(__xludf.DUMMYFUNCTION("""COMPUTED_VALUE"""),66.97)</f>
        <v>66.97</v>
      </c>
      <c r="AI406" s="3">
        <f ca="1">IFERROR(__xludf.DUMMYFUNCTION("""COMPUTED_VALUE"""),67.89)</f>
        <v>67.89</v>
      </c>
      <c r="AJ406" s="3">
        <f ca="1">IFERROR(__xludf.DUMMYFUNCTION("""COMPUTED_VALUE"""),12758870)</f>
        <v>12758870</v>
      </c>
      <c r="AK406" s="4">
        <f ca="1">IFERROR(__xludf.DUMMYFUNCTION("""COMPUTED_VALUE"""),42711.6666666666)</f>
        <v>42711.666666666599</v>
      </c>
      <c r="AL406" s="3">
        <f ca="1">IFERROR(__xludf.DUMMYFUNCTION("""COMPUTED_VALUE"""),62.9)</f>
        <v>62.9</v>
      </c>
      <c r="AM406" s="3">
        <f ca="1">IFERROR(__xludf.DUMMYFUNCTION("""COMPUTED_VALUE"""),64.07)</f>
        <v>64.069999999999993</v>
      </c>
      <c r="AN406" s="3">
        <f ca="1">IFERROR(__xludf.DUMMYFUNCTION("""COMPUTED_VALUE"""),62.86)</f>
        <v>62.86</v>
      </c>
      <c r="AO406" s="3">
        <f ca="1">IFERROR(__xludf.DUMMYFUNCTION("""COMPUTED_VALUE"""),64.05)</f>
        <v>64.05</v>
      </c>
      <c r="AP406" s="3">
        <f ca="1">IFERROR(__xludf.DUMMYFUNCTION("""COMPUTED_VALUE"""),10416830)</f>
        <v>10416830</v>
      </c>
      <c r="AQ406" s="4">
        <f ca="1">IFERROR(__xludf.DUMMYFUNCTION("""COMPUTED_VALUE"""),42711.6666666666)</f>
        <v>42711.666666666599</v>
      </c>
      <c r="AR406" s="3">
        <f ca="1">IFERROR(__xludf.DUMMYFUNCTION("""COMPUTED_VALUE"""),50.53)</f>
        <v>50.53</v>
      </c>
      <c r="AS406" s="3">
        <f ca="1">IFERROR(__xludf.DUMMYFUNCTION("""COMPUTED_VALUE"""),51.18)</f>
        <v>51.18</v>
      </c>
      <c r="AT406" s="3">
        <f ca="1">IFERROR(__xludf.DUMMYFUNCTION("""COMPUTED_VALUE"""),50.43)</f>
        <v>50.43</v>
      </c>
      <c r="AU406" s="3">
        <f ca="1">IFERROR(__xludf.DUMMYFUNCTION("""COMPUTED_VALUE"""),51.15)</f>
        <v>51.15</v>
      </c>
      <c r="AV406" s="3">
        <f ca="1">IFERROR(__xludf.DUMMYFUNCTION("""COMPUTED_VALUE"""),7450712)</f>
        <v>7450712</v>
      </c>
      <c r="AW406" s="4">
        <f ca="1">IFERROR(__xludf.DUMMYFUNCTION("""COMPUTED_VALUE"""),42878.6666666666)</f>
        <v>42878.666666666599</v>
      </c>
      <c r="AX406" s="3">
        <f ca="1">IFERROR(__xludf.DUMMYFUNCTION("""COMPUTED_VALUE"""),31.89)</f>
        <v>31.89</v>
      </c>
      <c r="AY406" s="3">
        <f ca="1">IFERROR(__xludf.DUMMYFUNCTION("""COMPUTED_VALUE"""),32.03)</f>
        <v>32.03</v>
      </c>
      <c r="AZ406" s="3">
        <f ca="1">IFERROR(__xludf.DUMMYFUNCTION("""COMPUTED_VALUE"""),31.85)</f>
        <v>31.85</v>
      </c>
      <c r="BA406" s="3">
        <f ca="1">IFERROR(__xludf.DUMMYFUNCTION("""COMPUTED_VALUE"""),31.9)</f>
        <v>31.9</v>
      </c>
      <c r="BB406" s="3">
        <f ca="1">IFERROR(__xludf.DUMMYFUNCTION("""COMPUTED_VALUE"""),1995037)</f>
        <v>1995037</v>
      </c>
      <c r="BC406" s="4">
        <f ca="1">IFERROR(__xludf.DUMMYFUNCTION("""COMPUTED_VALUE"""),42711.6666666666)</f>
        <v>42711.666666666599</v>
      </c>
      <c r="BD406" s="3">
        <f ca="1">IFERROR(__xludf.DUMMYFUNCTION("""COMPUTED_VALUE"""),47.25)</f>
        <v>47.25</v>
      </c>
      <c r="BE406" s="3">
        <f ca="1">IFERROR(__xludf.DUMMYFUNCTION("""COMPUTED_VALUE"""),48.22)</f>
        <v>48.22</v>
      </c>
      <c r="BF406" s="3">
        <f ca="1">IFERROR(__xludf.DUMMYFUNCTION("""COMPUTED_VALUE"""),47.22)</f>
        <v>47.22</v>
      </c>
      <c r="BG406" s="3">
        <f ca="1">IFERROR(__xludf.DUMMYFUNCTION("""COMPUTED_VALUE"""),48.18)</f>
        <v>48.18</v>
      </c>
      <c r="BH406" s="3">
        <f ca="1">IFERROR(__xludf.DUMMYFUNCTION("""COMPUTED_VALUE"""),9972934)</f>
        <v>9972934</v>
      </c>
      <c r="BI406" s="4">
        <f ca="1">IFERROR(__xludf.DUMMYFUNCTION("""COMPUTED_VALUE"""),42711.6666666666)</f>
        <v>42711.666666666599</v>
      </c>
      <c r="BJ406" s="3">
        <f ca="1">IFERROR(__xludf.DUMMYFUNCTION("""COMPUTED_VALUE"""),46.94)</f>
        <v>46.94</v>
      </c>
      <c r="BK406" s="3">
        <f ca="1">IFERROR(__xludf.DUMMYFUNCTION("""COMPUTED_VALUE"""),47.38)</f>
        <v>47.38</v>
      </c>
      <c r="BL406" s="3">
        <f ca="1">IFERROR(__xludf.DUMMYFUNCTION("""COMPUTED_VALUE"""),46.89)</f>
        <v>46.89</v>
      </c>
      <c r="BM406" s="3">
        <f ca="1">IFERROR(__xludf.DUMMYFUNCTION("""COMPUTED_VALUE"""),47.38)</f>
        <v>47.38</v>
      </c>
      <c r="BN406" s="3">
        <f ca="1">IFERROR(__xludf.DUMMYFUNCTION("""COMPUTED_VALUE"""),12902391)</f>
        <v>12902391</v>
      </c>
    </row>
    <row r="407" spans="7:66" ht="13" x14ac:dyDescent="0.15">
      <c r="G407" s="4">
        <f ca="1">IFERROR(__xludf.DUMMYFUNCTION("""COMPUTED_VALUE"""),42712.6666666666)</f>
        <v>42712.666666666599</v>
      </c>
      <c r="H407" s="3">
        <f ca="1">IFERROR(__xludf.DUMMYFUNCTION("""COMPUTED_VALUE"""),84.15)</f>
        <v>84.15</v>
      </c>
      <c r="I407" s="3">
        <f ca="1">IFERROR(__xludf.DUMMYFUNCTION("""COMPUTED_VALUE"""),84.34)</f>
        <v>84.34</v>
      </c>
      <c r="J407" s="3">
        <f ca="1">IFERROR(__xludf.DUMMYFUNCTION("""COMPUTED_VALUE"""),83.93)</f>
        <v>83.93</v>
      </c>
      <c r="K407" s="3">
        <f ca="1">IFERROR(__xludf.DUMMYFUNCTION("""COMPUTED_VALUE"""),84.12)</f>
        <v>84.12</v>
      </c>
      <c r="L407" s="3">
        <f ca="1">IFERROR(__xludf.DUMMYFUNCTION("""COMPUTED_VALUE"""),5605852)</f>
        <v>5605852</v>
      </c>
      <c r="M407" s="4">
        <f ca="1">IFERROR(__xludf.DUMMYFUNCTION("""COMPUTED_VALUE"""),42712.6666666666)</f>
        <v>42712.666666666599</v>
      </c>
      <c r="N407" s="3">
        <f ca="1">IFERROR(__xludf.DUMMYFUNCTION("""COMPUTED_VALUE"""),51.31)</f>
        <v>51.31</v>
      </c>
      <c r="O407" s="3">
        <f ca="1">IFERROR(__xludf.DUMMYFUNCTION("""COMPUTED_VALUE"""),51.55)</f>
        <v>51.55</v>
      </c>
      <c r="P407" s="3">
        <f ca="1">IFERROR(__xludf.DUMMYFUNCTION("""COMPUTED_VALUE"""),51.21)</f>
        <v>51.21</v>
      </c>
      <c r="Q407" s="3">
        <f ca="1">IFERROR(__xludf.DUMMYFUNCTION("""COMPUTED_VALUE"""),51.3)</f>
        <v>51.3</v>
      </c>
      <c r="R407" s="3">
        <f ca="1">IFERROR(__xludf.DUMMYFUNCTION("""COMPUTED_VALUE"""),17006369)</f>
        <v>17006369</v>
      </c>
      <c r="S407" s="4">
        <f ca="1">IFERROR(__xludf.DUMMYFUNCTION("""COMPUTED_VALUE"""),42712.6666666666)</f>
        <v>42712.666666666599</v>
      </c>
      <c r="T407" s="3">
        <f ca="1">IFERROR(__xludf.DUMMYFUNCTION("""COMPUTED_VALUE"""),76.15)</f>
        <v>76.150000000000006</v>
      </c>
      <c r="U407" s="3">
        <f ca="1">IFERROR(__xludf.DUMMYFUNCTION("""COMPUTED_VALUE"""),76.46)</f>
        <v>76.459999999999994</v>
      </c>
      <c r="V407" s="3">
        <f ca="1">IFERROR(__xludf.DUMMYFUNCTION("""COMPUTED_VALUE"""),75.56)</f>
        <v>75.56</v>
      </c>
      <c r="W407" s="3">
        <f ca="1">IFERROR(__xludf.DUMMYFUNCTION("""COMPUTED_VALUE"""),76.36)</f>
        <v>76.36</v>
      </c>
      <c r="X407" s="3">
        <f ca="1">IFERROR(__xludf.DUMMYFUNCTION("""COMPUTED_VALUE"""),14600157)</f>
        <v>14600157</v>
      </c>
      <c r="Y407" s="4">
        <f ca="1">IFERROR(__xludf.DUMMYFUNCTION("""COMPUTED_VALUE"""),42712.6666666666)</f>
        <v>42712.666666666599</v>
      </c>
      <c r="Z407" s="3">
        <f ca="1">IFERROR(__xludf.DUMMYFUNCTION("""COMPUTED_VALUE"""),23.61)</f>
        <v>23.61</v>
      </c>
      <c r="AA407" s="3">
        <f ca="1">IFERROR(__xludf.DUMMYFUNCTION("""COMPUTED_VALUE"""),23.84)</f>
        <v>23.84</v>
      </c>
      <c r="AB407" s="3">
        <f ca="1">IFERROR(__xludf.DUMMYFUNCTION("""COMPUTED_VALUE"""),23.47)</f>
        <v>23.47</v>
      </c>
      <c r="AC407" s="3">
        <f ca="1">IFERROR(__xludf.DUMMYFUNCTION("""COMPUTED_VALUE"""),23.7)</f>
        <v>23.7</v>
      </c>
      <c r="AD407" s="3">
        <f ca="1">IFERROR(__xludf.DUMMYFUNCTION("""COMPUTED_VALUE"""),116856521)</f>
        <v>116856521</v>
      </c>
      <c r="AE407" s="4">
        <f ca="1">IFERROR(__xludf.DUMMYFUNCTION("""COMPUTED_VALUE"""),42712.6666666666)</f>
        <v>42712.666666666599</v>
      </c>
      <c r="AF407" s="3">
        <f ca="1">IFERROR(__xludf.DUMMYFUNCTION("""COMPUTED_VALUE"""),67.68)</f>
        <v>67.680000000000007</v>
      </c>
      <c r="AG407" s="3">
        <f ca="1">IFERROR(__xludf.DUMMYFUNCTION("""COMPUTED_VALUE"""),68.09)</f>
        <v>68.09</v>
      </c>
      <c r="AH407" s="3">
        <f ca="1">IFERROR(__xludf.DUMMYFUNCTION("""COMPUTED_VALUE"""),67.29)</f>
        <v>67.290000000000006</v>
      </c>
      <c r="AI407" s="3">
        <f ca="1">IFERROR(__xludf.DUMMYFUNCTION("""COMPUTED_VALUE"""),68.02)</f>
        <v>68.02</v>
      </c>
      <c r="AJ407" s="3">
        <f ca="1">IFERROR(__xludf.DUMMYFUNCTION("""COMPUTED_VALUE"""),7586638)</f>
        <v>7586638</v>
      </c>
      <c r="AK407" s="4">
        <f ca="1">IFERROR(__xludf.DUMMYFUNCTION("""COMPUTED_VALUE"""),42712.6666666666)</f>
        <v>42712.666666666599</v>
      </c>
      <c r="AL407" s="3">
        <f ca="1">IFERROR(__xludf.DUMMYFUNCTION("""COMPUTED_VALUE"""),64.05)</f>
        <v>64.05</v>
      </c>
      <c r="AM407" s="3">
        <f ca="1">IFERROR(__xludf.DUMMYFUNCTION("""COMPUTED_VALUE"""),64.05)</f>
        <v>64.05</v>
      </c>
      <c r="AN407" s="3">
        <f ca="1">IFERROR(__xludf.DUMMYFUNCTION("""COMPUTED_VALUE"""),63.56)</f>
        <v>63.56</v>
      </c>
      <c r="AO407" s="3">
        <f ca="1">IFERROR(__xludf.DUMMYFUNCTION("""COMPUTED_VALUE"""),63.69)</f>
        <v>63.69</v>
      </c>
      <c r="AP407" s="3">
        <f ca="1">IFERROR(__xludf.DUMMYFUNCTION("""COMPUTED_VALUE"""),10688158)</f>
        <v>10688158</v>
      </c>
      <c r="AQ407" s="4">
        <f ca="1">IFERROR(__xludf.DUMMYFUNCTION("""COMPUTED_VALUE"""),42712.6666666666)</f>
        <v>42712.666666666599</v>
      </c>
      <c r="AR407" s="3">
        <f ca="1">IFERROR(__xludf.DUMMYFUNCTION("""COMPUTED_VALUE"""),51.21)</f>
        <v>51.21</v>
      </c>
      <c r="AS407" s="3">
        <f ca="1">IFERROR(__xludf.DUMMYFUNCTION("""COMPUTED_VALUE"""),51.69)</f>
        <v>51.69</v>
      </c>
      <c r="AT407" s="3">
        <f ca="1">IFERROR(__xludf.DUMMYFUNCTION("""COMPUTED_VALUE"""),51.19)</f>
        <v>51.19</v>
      </c>
      <c r="AU407" s="3">
        <f ca="1">IFERROR(__xludf.DUMMYFUNCTION("""COMPUTED_VALUE"""),51.49)</f>
        <v>51.49</v>
      </c>
      <c r="AV407" s="3">
        <f ca="1">IFERROR(__xludf.DUMMYFUNCTION("""COMPUTED_VALUE"""),7007109)</f>
        <v>7007109</v>
      </c>
      <c r="AW407" s="4">
        <f ca="1">IFERROR(__xludf.DUMMYFUNCTION("""COMPUTED_VALUE"""),42879.6666666666)</f>
        <v>42879.666666666599</v>
      </c>
      <c r="AX407" s="3">
        <f ca="1">IFERROR(__xludf.DUMMYFUNCTION("""COMPUTED_VALUE"""),31.87)</f>
        <v>31.87</v>
      </c>
      <c r="AY407" s="3">
        <f ca="1">IFERROR(__xludf.DUMMYFUNCTION("""COMPUTED_VALUE"""),32.13)</f>
        <v>32.130000000000003</v>
      </c>
      <c r="AZ407" s="3">
        <f ca="1">IFERROR(__xludf.DUMMYFUNCTION("""COMPUTED_VALUE"""),31.87)</f>
        <v>31.87</v>
      </c>
      <c r="BA407" s="3">
        <f ca="1">IFERROR(__xludf.DUMMYFUNCTION("""COMPUTED_VALUE"""),32.08)</f>
        <v>32.08</v>
      </c>
      <c r="BB407" s="3">
        <f ca="1">IFERROR(__xludf.DUMMYFUNCTION("""COMPUTED_VALUE"""),1051724)</f>
        <v>1051724</v>
      </c>
      <c r="BC407" s="4">
        <f ca="1">IFERROR(__xludf.DUMMYFUNCTION("""COMPUTED_VALUE"""),42712.6666666666)</f>
        <v>42712.666666666599</v>
      </c>
      <c r="BD407" s="3">
        <f ca="1">IFERROR(__xludf.DUMMYFUNCTION("""COMPUTED_VALUE"""),48.2)</f>
        <v>48.2</v>
      </c>
      <c r="BE407" s="3">
        <f ca="1">IFERROR(__xludf.DUMMYFUNCTION("""COMPUTED_VALUE"""),48.51)</f>
        <v>48.51</v>
      </c>
      <c r="BF407" s="3">
        <f ca="1">IFERROR(__xludf.DUMMYFUNCTION("""COMPUTED_VALUE"""),48.07)</f>
        <v>48.07</v>
      </c>
      <c r="BG407" s="3">
        <f ca="1">IFERROR(__xludf.DUMMYFUNCTION("""COMPUTED_VALUE"""),48.3)</f>
        <v>48.3</v>
      </c>
      <c r="BH407" s="3">
        <f ca="1">IFERROR(__xludf.DUMMYFUNCTION("""COMPUTED_VALUE"""),9677051)</f>
        <v>9677051</v>
      </c>
      <c r="BI407" s="4">
        <f ca="1">IFERROR(__xludf.DUMMYFUNCTION("""COMPUTED_VALUE"""),42712.6666666666)</f>
        <v>42712.666666666599</v>
      </c>
      <c r="BJ407" s="3">
        <f ca="1">IFERROR(__xludf.DUMMYFUNCTION("""COMPUTED_VALUE"""),47.08)</f>
        <v>47.08</v>
      </c>
      <c r="BK407" s="3">
        <f ca="1">IFERROR(__xludf.DUMMYFUNCTION("""COMPUTED_VALUE"""),47.55)</f>
        <v>47.55</v>
      </c>
      <c r="BL407" s="3">
        <f ca="1">IFERROR(__xludf.DUMMYFUNCTION("""COMPUTED_VALUE"""),46.74)</f>
        <v>46.74</v>
      </c>
      <c r="BM407" s="3">
        <f ca="1">IFERROR(__xludf.DUMMYFUNCTION("""COMPUTED_VALUE"""),47.46)</f>
        <v>47.46</v>
      </c>
      <c r="BN407" s="3">
        <f ca="1">IFERROR(__xludf.DUMMYFUNCTION("""COMPUTED_VALUE"""),14395480)</f>
        <v>14395480</v>
      </c>
    </row>
    <row r="408" spans="7:66" ht="13" x14ac:dyDescent="0.15">
      <c r="G408" s="4">
        <f ca="1">IFERROR(__xludf.DUMMYFUNCTION("""COMPUTED_VALUE"""),42713.6666666666)</f>
        <v>42713.666666666599</v>
      </c>
      <c r="H408" s="3">
        <f ca="1">IFERROR(__xludf.DUMMYFUNCTION("""COMPUTED_VALUE"""),84.32)</f>
        <v>84.32</v>
      </c>
      <c r="I408" s="3">
        <f ca="1">IFERROR(__xludf.DUMMYFUNCTION("""COMPUTED_VALUE"""),84.32)</f>
        <v>84.32</v>
      </c>
      <c r="J408" s="3">
        <f ca="1">IFERROR(__xludf.DUMMYFUNCTION("""COMPUTED_VALUE"""),83.88)</f>
        <v>83.88</v>
      </c>
      <c r="K408" s="3">
        <f ca="1">IFERROR(__xludf.DUMMYFUNCTION("""COMPUTED_VALUE"""),84.31)</f>
        <v>84.31</v>
      </c>
      <c r="L408" s="3">
        <f ca="1">IFERROR(__xludf.DUMMYFUNCTION("""COMPUTED_VALUE"""),4801567)</f>
        <v>4801567</v>
      </c>
      <c r="M408" s="4">
        <f ca="1">IFERROR(__xludf.DUMMYFUNCTION("""COMPUTED_VALUE"""),42713.6666666666)</f>
        <v>42713.666666666599</v>
      </c>
      <c r="N408" s="3">
        <f ca="1">IFERROR(__xludf.DUMMYFUNCTION("""COMPUTED_VALUE"""),51.33)</f>
        <v>51.33</v>
      </c>
      <c r="O408" s="3">
        <f ca="1">IFERROR(__xludf.DUMMYFUNCTION("""COMPUTED_VALUE"""),52.05)</f>
        <v>52.05</v>
      </c>
      <c r="P408" s="3">
        <f ca="1">IFERROR(__xludf.DUMMYFUNCTION("""COMPUTED_VALUE"""),51.33)</f>
        <v>51.33</v>
      </c>
      <c r="Q408" s="3">
        <f ca="1">IFERROR(__xludf.DUMMYFUNCTION("""COMPUTED_VALUE"""),52.04)</f>
        <v>52.04</v>
      </c>
      <c r="R408" s="3">
        <f ca="1">IFERROR(__xludf.DUMMYFUNCTION("""COMPUTED_VALUE"""),14415862)</f>
        <v>14415862</v>
      </c>
      <c r="S408" s="4">
        <f ca="1">IFERROR(__xludf.DUMMYFUNCTION("""COMPUTED_VALUE"""),42713.6666666666)</f>
        <v>42713.666666666599</v>
      </c>
      <c r="T408" s="3">
        <f ca="1">IFERROR(__xludf.DUMMYFUNCTION("""COMPUTED_VALUE"""),76.76)</f>
        <v>76.760000000000005</v>
      </c>
      <c r="U408" s="3">
        <f ca="1">IFERROR(__xludf.DUMMYFUNCTION("""COMPUTED_VALUE"""),76.76)</f>
        <v>76.760000000000005</v>
      </c>
      <c r="V408" s="3">
        <f ca="1">IFERROR(__xludf.DUMMYFUNCTION("""COMPUTED_VALUE"""),76.16)</f>
        <v>76.16</v>
      </c>
      <c r="W408" s="3">
        <f ca="1">IFERROR(__xludf.DUMMYFUNCTION("""COMPUTED_VALUE"""),76.6)</f>
        <v>76.599999999999994</v>
      </c>
      <c r="X408" s="3">
        <f ca="1">IFERROR(__xludf.DUMMYFUNCTION("""COMPUTED_VALUE"""),8974831)</f>
        <v>8974831</v>
      </c>
      <c r="Y408" s="4">
        <f ca="1">IFERROR(__xludf.DUMMYFUNCTION("""COMPUTED_VALUE"""),42713.6666666666)</f>
        <v>42713.666666666599</v>
      </c>
      <c r="Z408" s="3">
        <f ca="1">IFERROR(__xludf.DUMMYFUNCTION("""COMPUTED_VALUE"""),23.7)</f>
        <v>23.7</v>
      </c>
      <c r="AA408" s="3">
        <f ca="1">IFERROR(__xludf.DUMMYFUNCTION("""COMPUTED_VALUE"""),23.75)</f>
        <v>23.75</v>
      </c>
      <c r="AB408" s="3">
        <f ca="1">IFERROR(__xludf.DUMMYFUNCTION("""COMPUTED_VALUE"""),23.53)</f>
        <v>23.53</v>
      </c>
      <c r="AC408" s="3">
        <f ca="1">IFERROR(__xludf.DUMMYFUNCTION("""COMPUTED_VALUE"""),23.75)</f>
        <v>23.75</v>
      </c>
      <c r="AD408" s="3">
        <f ca="1">IFERROR(__xludf.DUMMYFUNCTION("""COMPUTED_VALUE"""),95677338)</f>
        <v>95677338</v>
      </c>
      <c r="AE408" s="4">
        <f ca="1">IFERROR(__xludf.DUMMYFUNCTION("""COMPUTED_VALUE"""),42713.6666666666)</f>
        <v>42713.666666666599</v>
      </c>
      <c r="AF408" s="3">
        <f ca="1">IFERROR(__xludf.DUMMYFUNCTION("""COMPUTED_VALUE"""),68.26)</f>
        <v>68.260000000000005</v>
      </c>
      <c r="AG408" s="3">
        <f ca="1">IFERROR(__xludf.DUMMYFUNCTION("""COMPUTED_VALUE"""),68.98)</f>
        <v>68.98</v>
      </c>
      <c r="AH408" s="3">
        <f ca="1">IFERROR(__xludf.DUMMYFUNCTION("""COMPUTED_VALUE"""),68.26)</f>
        <v>68.260000000000005</v>
      </c>
      <c r="AI408" s="3">
        <f ca="1">IFERROR(__xludf.DUMMYFUNCTION("""COMPUTED_VALUE"""),68.85)</f>
        <v>68.849999999999994</v>
      </c>
      <c r="AJ408" s="3">
        <f ca="1">IFERROR(__xludf.DUMMYFUNCTION("""COMPUTED_VALUE"""),12100155)</f>
        <v>12100155</v>
      </c>
      <c r="AK408" s="4">
        <f ca="1">IFERROR(__xludf.DUMMYFUNCTION("""COMPUTED_VALUE"""),42713.6666666666)</f>
        <v>42713.666666666599</v>
      </c>
      <c r="AL408" s="3">
        <f ca="1">IFERROR(__xludf.DUMMYFUNCTION("""COMPUTED_VALUE"""),63.69)</f>
        <v>63.69</v>
      </c>
      <c r="AM408" s="3">
        <f ca="1">IFERROR(__xludf.DUMMYFUNCTION("""COMPUTED_VALUE"""),64.04)</f>
        <v>64.040000000000006</v>
      </c>
      <c r="AN408" s="3">
        <f ca="1">IFERROR(__xludf.DUMMYFUNCTION("""COMPUTED_VALUE"""),63.66)</f>
        <v>63.66</v>
      </c>
      <c r="AO408" s="3">
        <f ca="1">IFERROR(__xludf.DUMMYFUNCTION("""COMPUTED_VALUE"""),63.98)</f>
        <v>63.98</v>
      </c>
      <c r="AP408" s="3">
        <f ca="1">IFERROR(__xludf.DUMMYFUNCTION("""COMPUTED_VALUE"""),7939580)</f>
        <v>7939580</v>
      </c>
      <c r="AQ408" s="4">
        <f ca="1">IFERROR(__xludf.DUMMYFUNCTION("""COMPUTED_VALUE"""),42713.6666666666)</f>
        <v>42713.666666666599</v>
      </c>
      <c r="AR408" s="3">
        <f ca="1">IFERROR(__xludf.DUMMYFUNCTION("""COMPUTED_VALUE"""),51.62)</f>
        <v>51.62</v>
      </c>
      <c r="AS408" s="3">
        <f ca="1">IFERROR(__xludf.DUMMYFUNCTION("""COMPUTED_VALUE"""),51.62)</f>
        <v>51.62</v>
      </c>
      <c r="AT408" s="3">
        <f ca="1">IFERROR(__xludf.DUMMYFUNCTION("""COMPUTED_VALUE"""),51.24)</f>
        <v>51.24</v>
      </c>
      <c r="AU408" s="3">
        <f ca="1">IFERROR(__xludf.DUMMYFUNCTION("""COMPUTED_VALUE"""),51.5)</f>
        <v>51.5</v>
      </c>
      <c r="AV408" s="3">
        <f ca="1">IFERROR(__xludf.DUMMYFUNCTION("""COMPUTED_VALUE"""),4492418)</f>
        <v>4492418</v>
      </c>
      <c r="AW408" s="4">
        <f ca="1">IFERROR(__xludf.DUMMYFUNCTION("""COMPUTED_VALUE"""),42880.6666666666)</f>
        <v>42880.666666666599</v>
      </c>
      <c r="AX408" s="3">
        <f ca="1">IFERROR(__xludf.DUMMYFUNCTION("""COMPUTED_VALUE"""),32.14)</f>
        <v>32.14</v>
      </c>
      <c r="AY408" s="3">
        <f ca="1">IFERROR(__xludf.DUMMYFUNCTION("""COMPUTED_VALUE"""),32.35)</f>
        <v>32.35</v>
      </c>
      <c r="AZ408" s="3">
        <f ca="1">IFERROR(__xludf.DUMMYFUNCTION("""COMPUTED_VALUE"""),32.03)</f>
        <v>32.03</v>
      </c>
      <c r="BA408" s="3">
        <f ca="1">IFERROR(__xludf.DUMMYFUNCTION("""COMPUTED_VALUE"""),32.2)</f>
        <v>32.200000000000003</v>
      </c>
      <c r="BB408" s="3">
        <f ca="1">IFERROR(__xludf.DUMMYFUNCTION("""COMPUTED_VALUE"""),1042874)</f>
        <v>1042874</v>
      </c>
      <c r="BC408" s="4">
        <f ca="1">IFERROR(__xludf.DUMMYFUNCTION("""COMPUTED_VALUE"""),42713.6666666666)</f>
        <v>42713.666666666599</v>
      </c>
      <c r="BD408" s="3">
        <f ca="1">IFERROR(__xludf.DUMMYFUNCTION("""COMPUTED_VALUE"""),48.48)</f>
        <v>48.48</v>
      </c>
      <c r="BE408" s="3">
        <f ca="1">IFERROR(__xludf.DUMMYFUNCTION("""COMPUTED_VALUE"""),48.65)</f>
        <v>48.65</v>
      </c>
      <c r="BF408" s="3">
        <f ca="1">IFERROR(__xludf.DUMMYFUNCTION("""COMPUTED_VALUE"""),48.4)</f>
        <v>48.4</v>
      </c>
      <c r="BG408" s="3">
        <f ca="1">IFERROR(__xludf.DUMMYFUNCTION("""COMPUTED_VALUE"""),48.65)</f>
        <v>48.65</v>
      </c>
      <c r="BH408" s="3">
        <f ca="1">IFERROR(__xludf.DUMMYFUNCTION("""COMPUTED_VALUE"""),12307454)</f>
        <v>12307454</v>
      </c>
      <c r="BI408" s="4">
        <f ca="1">IFERROR(__xludf.DUMMYFUNCTION("""COMPUTED_VALUE"""),42713.6666666666)</f>
        <v>42713.666666666599</v>
      </c>
      <c r="BJ408" s="3">
        <f ca="1">IFERROR(__xludf.DUMMYFUNCTION("""COMPUTED_VALUE"""),47.42)</f>
        <v>47.42</v>
      </c>
      <c r="BK408" s="3">
        <f ca="1">IFERROR(__xludf.DUMMYFUNCTION("""COMPUTED_VALUE"""),47.98)</f>
        <v>47.98</v>
      </c>
      <c r="BL408" s="3">
        <f ca="1">IFERROR(__xludf.DUMMYFUNCTION("""COMPUTED_VALUE"""),47.42)</f>
        <v>47.42</v>
      </c>
      <c r="BM408" s="3">
        <f ca="1">IFERROR(__xludf.DUMMYFUNCTION("""COMPUTED_VALUE"""),47.96)</f>
        <v>47.96</v>
      </c>
      <c r="BN408" s="3">
        <f ca="1">IFERROR(__xludf.DUMMYFUNCTION("""COMPUTED_VALUE"""),16018916)</f>
        <v>16018916</v>
      </c>
    </row>
    <row r="409" spans="7:66" ht="13" x14ac:dyDescent="0.15">
      <c r="G409" s="4">
        <f ca="1">IFERROR(__xludf.DUMMYFUNCTION("""COMPUTED_VALUE"""),42716.6666666666)</f>
        <v>42716.666666666599</v>
      </c>
      <c r="H409" s="3">
        <f ca="1">IFERROR(__xludf.DUMMYFUNCTION("""COMPUTED_VALUE"""),84.14)</f>
        <v>84.14</v>
      </c>
      <c r="I409" s="3">
        <f ca="1">IFERROR(__xludf.DUMMYFUNCTION("""COMPUTED_VALUE"""),84.28)</f>
        <v>84.28</v>
      </c>
      <c r="J409" s="3">
        <f ca="1">IFERROR(__xludf.DUMMYFUNCTION("""COMPUTED_VALUE"""),83.43)</f>
        <v>83.43</v>
      </c>
      <c r="K409" s="3">
        <f ca="1">IFERROR(__xludf.DUMMYFUNCTION("""COMPUTED_VALUE"""),83.61)</f>
        <v>83.61</v>
      </c>
      <c r="L409" s="3">
        <f ca="1">IFERROR(__xludf.DUMMYFUNCTION("""COMPUTED_VALUE"""),5942154)</f>
        <v>5942154</v>
      </c>
      <c r="M409" s="4">
        <f ca="1">IFERROR(__xludf.DUMMYFUNCTION("""COMPUTED_VALUE"""),42716.6666666666)</f>
        <v>42716.666666666599</v>
      </c>
      <c r="N409" s="3">
        <f ca="1">IFERROR(__xludf.DUMMYFUNCTION("""COMPUTED_VALUE"""),51.91)</f>
        <v>51.91</v>
      </c>
      <c r="O409" s="3">
        <f ca="1">IFERROR(__xludf.DUMMYFUNCTION("""COMPUTED_VALUE"""),52.3)</f>
        <v>52.3</v>
      </c>
      <c r="P409" s="3">
        <f ca="1">IFERROR(__xludf.DUMMYFUNCTION("""COMPUTED_VALUE"""),51.91)</f>
        <v>51.91</v>
      </c>
      <c r="Q409" s="3">
        <f ca="1">IFERROR(__xludf.DUMMYFUNCTION("""COMPUTED_VALUE"""),52.25)</f>
        <v>52.25</v>
      </c>
      <c r="R409" s="3">
        <f ca="1">IFERROR(__xludf.DUMMYFUNCTION("""COMPUTED_VALUE"""),9935922)</f>
        <v>9935922</v>
      </c>
      <c r="S409" s="4">
        <f ca="1">IFERROR(__xludf.DUMMYFUNCTION("""COMPUTED_VALUE"""),42716.6666666666)</f>
        <v>42716.666666666599</v>
      </c>
      <c r="T409" s="3">
        <f ca="1">IFERROR(__xludf.DUMMYFUNCTION("""COMPUTED_VALUE"""),78.3)</f>
        <v>78.3</v>
      </c>
      <c r="U409" s="3">
        <f ca="1">IFERROR(__xludf.DUMMYFUNCTION("""COMPUTED_VALUE"""),78.45)</f>
        <v>78.45</v>
      </c>
      <c r="V409" s="3">
        <f ca="1">IFERROR(__xludf.DUMMYFUNCTION("""COMPUTED_VALUE"""),76.64)</f>
        <v>76.64</v>
      </c>
      <c r="W409" s="3">
        <f ca="1">IFERROR(__xludf.DUMMYFUNCTION("""COMPUTED_VALUE"""),76.96)</f>
        <v>76.959999999999994</v>
      </c>
      <c r="X409" s="3">
        <f ca="1">IFERROR(__xludf.DUMMYFUNCTION("""COMPUTED_VALUE"""),16130187)</f>
        <v>16130187</v>
      </c>
      <c r="Y409" s="4">
        <f ca="1">IFERROR(__xludf.DUMMYFUNCTION("""COMPUTED_VALUE"""),42716.6666666666)</f>
        <v>42716.666666666599</v>
      </c>
      <c r="Z409" s="3">
        <f ca="1">IFERROR(__xludf.DUMMYFUNCTION("""COMPUTED_VALUE"""),23.68)</f>
        <v>23.68</v>
      </c>
      <c r="AA409" s="3">
        <f ca="1">IFERROR(__xludf.DUMMYFUNCTION("""COMPUTED_VALUE"""),23.78)</f>
        <v>23.78</v>
      </c>
      <c r="AB409" s="3">
        <f ca="1">IFERROR(__xludf.DUMMYFUNCTION("""COMPUTED_VALUE"""),23.46)</f>
        <v>23.46</v>
      </c>
      <c r="AC409" s="3">
        <f ca="1">IFERROR(__xludf.DUMMYFUNCTION("""COMPUTED_VALUE"""),23.52)</f>
        <v>23.52</v>
      </c>
      <c r="AD409" s="3">
        <f ca="1">IFERROR(__xludf.DUMMYFUNCTION("""COMPUTED_VALUE"""),85143226)</f>
        <v>85143226</v>
      </c>
      <c r="AE409" s="4">
        <f ca="1">IFERROR(__xludf.DUMMYFUNCTION("""COMPUTED_VALUE"""),42716.6666666666)</f>
        <v>42716.666666666599</v>
      </c>
      <c r="AF409" s="3">
        <f ca="1">IFERROR(__xludf.DUMMYFUNCTION("""COMPUTED_VALUE"""),68.72)</f>
        <v>68.72</v>
      </c>
      <c r="AG409" s="3">
        <f ca="1">IFERROR(__xludf.DUMMYFUNCTION("""COMPUTED_VALUE"""),69.28)</f>
        <v>69.28</v>
      </c>
      <c r="AH409" s="3">
        <f ca="1">IFERROR(__xludf.DUMMYFUNCTION("""COMPUTED_VALUE"""),68.72)</f>
        <v>68.72</v>
      </c>
      <c r="AI409" s="3">
        <f ca="1">IFERROR(__xludf.DUMMYFUNCTION("""COMPUTED_VALUE"""),69.18)</f>
        <v>69.180000000000007</v>
      </c>
      <c r="AJ409" s="3">
        <f ca="1">IFERROR(__xludf.DUMMYFUNCTION("""COMPUTED_VALUE"""),15018142)</f>
        <v>15018142</v>
      </c>
      <c r="AK409" s="4">
        <f ca="1">IFERROR(__xludf.DUMMYFUNCTION("""COMPUTED_VALUE"""),42716.6666666666)</f>
        <v>42716.666666666599</v>
      </c>
      <c r="AL409" s="3">
        <f ca="1">IFERROR(__xludf.DUMMYFUNCTION("""COMPUTED_VALUE"""),63.75)</f>
        <v>63.75</v>
      </c>
      <c r="AM409" s="3">
        <f ca="1">IFERROR(__xludf.DUMMYFUNCTION("""COMPUTED_VALUE"""),63.87)</f>
        <v>63.87</v>
      </c>
      <c r="AN409" s="3">
        <f ca="1">IFERROR(__xludf.DUMMYFUNCTION("""COMPUTED_VALUE"""),63.32)</f>
        <v>63.32</v>
      </c>
      <c r="AO409" s="3">
        <f ca="1">IFERROR(__xludf.DUMMYFUNCTION("""COMPUTED_VALUE"""),63.75)</f>
        <v>63.75</v>
      </c>
      <c r="AP409" s="3">
        <f ca="1">IFERROR(__xludf.DUMMYFUNCTION("""COMPUTED_VALUE"""),9519567)</f>
        <v>9519567</v>
      </c>
      <c r="AQ409" s="4">
        <f ca="1">IFERROR(__xludf.DUMMYFUNCTION("""COMPUTED_VALUE"""),42716.6666666666)</f>
        <v>42716.666666666599</v>
      </c>
      <c r="AR409" s="3">
        <f ca="1">IFERROR(__xludf.DUMMYFUNCTION("""COMPUTED_VALUE"""),51.57)</f>
        <v>51.57</v>
      </c>
      <c r="AS409" s="3">
        <f ca="1">IFERROR(__xludf.DUMMYFUNCTION("""COMPUTED_VALUE"""),51.69)</f>
        <v>51.69</v>
      </c>
      <c r="AT409" s="3">
        <f ca="1">IFERROR(__xludf.DUMMYFUNCTION("""COMPUTED_VALUE"""),51.24)</f>
        <v>51.24</v>
      </c>
      <c r="AU409" s="3">
        <f ca="1">IFERROR(__xludf.DUMMYFUNCTION("""COMPUTED_VALUE"""),51.27)</f>
        <v>51.27</v>
      </c>
      <c r="AV409" s="3">
        <f ca="1">IFERROR(__xludf.DUMMYFUNCTION("""COMPUTED_VALUE"""),4737486)</f>
        <v>4737486</v>
      </c>
      <c r="AW409" s="4">
        <f ca="1">IFERROR(__xludf.DUMMYFUNCTION("""COMPUTED_VALUE"""),42881.6666666666)</f>
        <v>42881.666666666599</v>
      </c>
      <c r="AX409" s="3">
        <f ca="1">IFERROR(__xludf.DUMMYFUNCTION("""COMPUTED_VALUE"""),32.21)</f>
        <v>32.21</v>
      </c>
      <c r="AY409" s="3">
        <f ca="1">IFERROR(__xludf.DUMMYFUNCTION("""COMPUTED_VALUE"""),32.27)</f>
        <v>32.270000000000003</v>
      </c>
      <c r="AZ409" s="3">
        <f ca="1">IFERROR(__xludf.DUMMYFUNCTION("""COMPUTED_VALUE"""),31.92)</f>
        <v>31.92</v>
      </c>
      <c r="BA409" s="3">
        <f ca="1">IFERROR(__xludf.DUMMYFUNCTION("""COMPUTED_VALUE"""),32)</f>
        <v>32</v>
      </c>
      <c r="BB409" s="3">
        <f ca="1">IFERROR(__xludf.DUMMYFUNCTION("""COMPUTED_VALUE"""),1352143)</f>
        <v>1352143</v>
      </c>
      <c r="BC409" s="4">
        <f ca="1">IFERROR(__xludf.DUMMYFUNCTION("""COMPUTED_VALUE"""),42716.6666666666)</f>
        <v>42716.666666666599</v>
      </c>
      <c r="BD409" s="3">
        <f ca="1">IFERROR(__xludf.DUMMYFUNCTION("""COMPUTED_VALUE"""),48.5)</f>
        <v>48.5</v>
      </c>
      <c r="BE409" s="3">
        <f ca="1">IFERROR(__xludf.DUMMYFUNCTION("""COMPUTED_VALUE"""),48.61)</f>
        <v>48.61</v>
      </c>
      <c r="BF409" s="3">
        <f ca="1">IFERROR(__xludf.DUMMYFUNCTION("""COMPUTED_VALUE"""),48.35)</f>
        <v>48.35</v>
      </c>
      <c r="BG409" s="3">
        <f ca="1">IFERROR(__xludf.DUMMYFUNCTION("""COMPUTED_VALUE"""),48.5)</f>
        <v>48.5</v>
      </c>
      <c r="BH409" s="3">
        <f ca="1">IFERROR(__xludf.DUMMYFUNCTION("""COMPUTED_VALUE"""),9585230)</f>
        <v>9585230</v>
      </c>
      <c r="BI409" s="4">
        <f ca="1">IFERROR(__xludf.DUMMYFUNCTION("""COMPUTED_VALUE"""),42716.6666666666)</f>
        <v>42716.666666666599</v>
      </c>
      <c r="BJ409" s="3">
        <f ca="1">IFERROR(__xludf.DUMMYFUNCTION("""COMPUTED_VALUE"""),47.76)</f>
        <v>47.76</v>
      </c>
      <c r="BK409" s="3">
        <f ca="1">IFERROR(__xludf.DUMMYFUNCTION("""COMPUTED_VALUE"""),48.51)</f>
        <v>48.51</v>
      </c>
      <c r="BL409" s="3">
        <f ca="1">IFERROR(__xludf.DUMMYFUNCTION("""COMPUTED_VALUE"""),47.75)</f>
        <v>47.75</v>
      </c>
      <c r="BM409" s="3">
        <f ca="1">IFERROR(__xludf.DUMMYFUNCTION("""COMPUTED_VALUE"""),48.46)</f>
        <v>48.46</v>
      </c>
      <c r="BN409" s="3">
        <f ca="1">IFERROR(__xludf.DUMMYFUNCTION("""COMPUTED_VALUE"""),21980069)</f>
        <v>21980069</v>
      </c>
    </row>
    <row r="410" spans="7:66" ht="13" x14ac:dyDescent="0.15">
      <c r="G410" s="4">
        <f ca="1">IFERROR(__xludf.DUMMYFUNCTION("""COMPUTED_VALUE"""),42717.6666666666)</f>
        <v>42717.666666666599</v>
      </c>
      <c r="H410" s="3">
        <f ca="1">IFERROR(__xludf.DUMMYFUNCTION("""COMPUTED_VALUE"""),83.92)</f>
        <v>83.92</v>
      </c>
      <c r="I410" s="3">
        <f ca="1">IFERROR(__xludf.DUMMYFUNCTION("""COMPUTED_VALUE"""),84.68)</f>
        <v>84.68</v>
      </c>
      <c r="J410" s="3">
        <f ca="1">IFERROR(__xludf.DUMMYFUNCTION("""COMPUTED_VALUE"""),83.65)</f>
        <v>83.65</v>
      </c>
      <c r="K410" s="3">
        <f ca="1">IFERROR(__xludf.DUMMYFUNCTION("""COMPUTED_VALUE"""),84.36)</f>
        <v>84.36</v>
      </c>
      <c r="L410" s="3">
        <f ca="1">IFERROR(__xludf.DUMMYFUNCTION("""COMPUTED_VALUE"""),4824205)</f>
        <v>4824205</v>
      </c>
      <c r="M410" s="4">
        <f ca="1">IFERROR(__xludf.DUMMYFUNCTION("""COMPUTED_VALUE"""),42717.6666666666)</f>
        <v>42717.666666666599</v>
      </c>
      <c r="N410" s="3">
        <f ca="1">IFERROR(__xludf.DUMMYFUNCTION("""COMPUTED_VALUE"""),52.35)</f>
        <v>52.35</v>
      </c>
      <c r="O410" s="3">
        <f ca="1">IFERROR(__xludf.DUMMYFUNCTION("""COMPUTED_VALUE"""),52.61)</f>
        <v>52.61</v>
      </c>
      <c r="P410" s="3">
        <f ca="1">IFERROR(__xludf.DUMMYFUNCTION("""COMPUTED_VALUE"""),52.23)</f>
        <v>52.23</v>
      </c>
      <c r="Q410" s="3">
        <f ca="1">IFERROR(__xludf.DUMMYFUNCTION("""COMPUTED_VALUE"""),52.49)</f>
        <v>52.49</v>
      </c>
      <c r="R410" s="3">
        <f ca="1">IFERROR(__xludf.DUMMYFUNCTION("""COMPUTED_VALUE"""),10452370)</f>
        <v>10452370</v>
      </c>
      <c r="S410" s="4">
        <f ca="1">IFERROR(__xludf.DUMMYFUNCTION("""COMPUTED_VALUE"""),42717.6666666666)</f>
        <v>42717.666666666599</v>
      </c>
      <c r="T410" s="3">
        <f ca="1">IFERROR(__xludf.DUMMYFUNCTION("""COMPUTED_VALUE"""),77.54)</f>
        <v>77.540000000000006</v>
      </c>
      <c r="U410" s="3">
        <f ca="1">IFERROR(__xludf.DUMMYFUNCTION("""COMPUTED_VALUE"""),78.39)</f>
        <v>78.39</v>
      </c>
      <c r="V410" s="3">
        <f ca="1">IFERROR(__xludf.DUMMYFUNCTION("""COMPUTED_VALUE"""),76.83)</f>
        <v>76.83</v>
      </c>
      <c r="W410" s="3">
        <f ca="1">IFERROR(__xludf.DUMMYFUNCTION("""COMPUTED_VALUE"""),77.83)</f>
        <v>77.83</v>
      </c>
      <c r="X410" s="3">
        <f ca="1">IFERROR(__xludf.DUMMYFUNCTION("""COMPUTED_VALUE"""),16028550)</f>
        <v>16028550</v>
      </c>
      <c r="Y410" s="4">
        <f ca="1">IFERROR(__xludf.DUMMYFUNCTION("""COMPUTED_VALUE"""),42717.6666666666)</f>
        <v>42717.666666666599</v>
      </c>
      <c r="Z410" s="3">
        <f ca="1">IFERROR(__xludf.DUMMYFUNCTION("""COMPUTED_VALUE"""),23.58)</f>
        <v>23.58</v>
      </c>
      <c r="AA410" s="3">
        <f ca="1">IFERROR(__xludf.DUMMYFUNCTION("""COMPUTED_VALUE"""),23.72)</f>
        <v>23.72</v>
      </c>
      <c r="AB410" s="3">
        <f ca="1">IFERROR(__xludf.DUMMYFUNCTION("""COMPUTED_VALUE"""),23.38)</f>
        <v>23.38</v>
      </c>
      <c r="AC410" s="3">
        <f ca="1">IFERROR(__xludf.DUMMYFUNCTION("""COMPUTED_VALUE"""),23.58)</f>
        <v>23.58</v>
      </c>
      <c r="AD410" s="3">
        <f ca="1">IFERROR(__xludf.DUMMYFUNCTION("""COMPUTED_VALUE"""),113420674)</f>
        <v>113420674</v>
      </c>
      <c r="AE410" s="4">
        <f ca="1">IFERROR(__xludf.DUMMYFUNCTION("""COMPUTED_VALUE"""),42717.6666666666)</f>
        <v>42717.666666666599</v>
      </c>
      <c r="AF410" s="3">
        <f ca="1">IFERROR(__xludf.DUMMYFUNCTION("""COMPUTED_VALUE"""),69.43)</f>
        <v>69.430000000000007</v>
      </c>
      <c r="AG410" s="3">
        <f ca="1">IFERROR(__xludf.DUMMYFUNCTION("""COMPUTED_VALUE"""),69.84)</f>
        <v>69.84</v>
      </c>
      <c r="AH410" s="3">
        <f ca="1">IFERROR(__xludf.DUMMYFUNCTION("""COMPUTED_VALUE"""),69.23)</f>
        <v>69.23</v>
      </c>
      <c r="AI410" s="3">
        <f ca="1">IFERROR(__xludf.DUMMYFUNCTION("""COMPUTED_VALUE"""),69.74)</f>
        <v>69.739999999999995</v>
      </c>
      <c r="AJ410" s="3">
        <f ca="1">IFERROR(__xludf.DUMMYFUNCTION("""COMPUTED_VALUE"""),11041413)</f>
        <v>11041413</v>
      </c>
      <c r="AK410" s="4">
        <f ca="1">IFERROR(__xludf.DUMMYFUNCTION("""COMPUTED_VALUE"""),42717.6666666666)</f>
        <v>42717.666666666599</v>
      </c>
      <c r="AL410" s="3">
        <f ca="1">IFERROR(__xludf.DUMMYFUNCTION("""COMPUTED_VALUE"""),63.93)</f>
        <v>63.93</v>
      </c>
      <c r="AM410" s="3">
        <f ca="1">IFERROR(__xludf.DUMMYFUNCTION("""COMPUTED_VALUE"""),64.01)</f>
        <v>64.010000000000005</v>
      </c>
      <c r="AN410" s="3">
        <f ca="1">IFERROR(__xludf.DUMMYFUNCTION("""COMPUTED_VALUE"""),63.45)</f>
        <v>63.45</v>
      </c>
      <c r="AO410" s="3">
        <f ca="1">IFERROR(__xludf.DUMMYFUNCTION("""COMPUTED_VALUE"""),63.66)</f>
        <v>63.66</v>
      </c>
      <c r="AP410" s="3">
        <f ca="1">IFERROR(__xludf.DUMMYFUNCTION("""COMPUTED_VALUE"""),8280852)</f>
        <v>8280852</v>
      </c>
      <c r="AQ410" s="4">
        <f ca="1">IFERROR(__xludf.DUMMYFUNCTION("""COMPUTED_VALUE"""),42717.6666666666)</f>
        <v>42717.666666666599</v>
      </c>
      <c r="AR410" s="3">
        <f ca="1">IFERROR(__xludf.DUMMYFUNCTION("""COMPUTED_VALUE"""),51.46)</f>
        <v>51.46</v>
      </c>
      <c r="AS410" s="3">
        <f ca="1">IFERROR(__xludf.DUMMYFUNCTION("""COMPUTED_VALUE"""),51.49)</f>
        <v>51.49</v>
      </c>
      <c r="AT410" s="3">
        <f ca="1">IFERROR(__xludf.DUMMYFUNCTION("""COMPUTED_VALUE"""),50.88)</f>
        <v>50.88</v>
      </c>
      <c r="AU410" s="3">
        <f ca="1">IFERROR(__xludf.DUMMYFUNCTION("""COMPUTED_VALUE"""),51.19)</f>
        <v>51.19</v>
      </c>
      <c r="AV410" s="3">
        <f ca="1">IFERROR(__xludf.DUMMYFUNCTION("""COMPUTED_VALUE"""),4637285)</f>
        <v>4637285</v>
      </c>
      <c r="AW410" s="4">
        <f ca="1">IFERROR(__xludf.DUMMYFUNCTION("""COMPUTED_VALUE"""),42885.6666666666)</f>
        <v>42885.666666666599</v>
      </c>
      <c r="AX410" s="3">
        <f ca="1">IFERROR(__xludf.DUMMYFUNCTION("""COMPUTED_VALUE"""),31.99)</f>
        <v>31.99</v>
      </c>
      <c r="AY410" s="3">
        <f ca="1">IFERROR(__xludf.DUMMYFUNCTION("""COMPUTED_VALUE"""),32.06)</f>
        <v>32.06</v>
      </c>
      <c r="AZ410" s="3">
        <f ca="1">IFERROR(__xludf.DUMMYFUNCTION("""COMPUTED_VALUE"""),31.9)</f>
        <v>31.9</v>
      </c>
      <c r="BA410" s="3">
        <f ca="1">IFERROR(__xludf.DUMMYFUNCTION("""COMPUTED_VALUE"""),31.91)</f>
        <v>31.91</v>
      </c>
      <c r="BB410" s="3">
        <f ca="1">IFERROR(__xludf.DUMMYFUNCTION("""COMPUTED_VALUE"""),898798)</f>
        <v>898798</v>
      </c>
      <c r="BC410" s="4">
        <f ca="1">IFERROR(__xludf.DUMMYFUNCTION("""COMPUTED_VALUE"""),42717.6666666666)</f>
        <v>42717.666666666599</v>
      </c>
      <c r="BD410" s="3">
        <f ca="1">IFERROR(__xludf.DUMMYFUNCTION("""COMPUTED_VALUE"""),48.71)</f>
        <v>48.71</v>
      </c>
      <c r="BE410" s="3">
        <f ca="1">IFERROR(__xludf.DUMMYFUNCTION("""COMPUTED_VALUE"""),49.35)</f>
        <v>49.35</v>
      </c>
      <c r="BF410" s="3">
        <f ca="1">IFERROR(__xludf.DUMMYFUNCTION("""COMPUTED_VALUE"""),48.68)</f>
        <v>48.68</v>
      </c>
      <c r="BG410" s="3">
        <f ca="1">IFERROR(__xludf.DUMMYFUNCTION("""COMPUTED_VALUE"""),49.11)</f>
        <v>49.11</v>
      </c>
      <c r="BH410" s="3">
        <f ca="1">IFERROR(__xludf.DUMMYFUNCTION("""COMPUTED_VALUE"""),13966966)</f>
        <v>13966966</v>
      </c>
      <c r="BI410" s="4">
        <f ca="1">IFERROR(__xludf.DUMMYFUNCTION("""COMPUTED_VALUE"""),42717.6666666666)</f>
        <v>42717.666666666599</v>
      </c>
      <c r="BJ410" s="3">
        <f ca="1">IFERROR(__xludf.DUMMYFUNCTION("""COMPUTED_VALUE"""),48.7)</f>
        <v>48.7</v>
      </c>
      <c r="BK410" s="3">
        <f ca="1">IFERROR(__xludf.DUMMYFUNCTION("""COMPUTED_VALUE"""),49)</f>
        <v>49</v>
      </c>
      <c r="BL410" s="3">
        <f ca="1">IFERROR(__xludf.DUMMYFUNCTION("""COMPUTED_VALUE"""),48.52)</f>
        <v>48.52</v>
      </c>
      <c r="BM410" s="3">
        <f ca="1">IFERROR(__xludf.DUMMYFUNCTION("""COMPUTED_VALUE"""),48.96)</f>
        <v>48.96</v>
      </c>
      <c r="BN410" s="3">
        <f ca="1">IFERROR(__xludf.DUMMYFUNCTION("""COMPUTED_VALUE"""),20216974)</f>
        <v>20216974</v>
      </c>
    </row>
    <row r="411" spans="7:66" ht="13" x14ac:dyDescent="0.15">
      <c r="G411" s="4">
        <f ca="1">IFERROR(__xludf.DUMMYFUNCTION("""COMPUTED_VALUE"""),42718.6666666666)</f>
        <v>42718.666666666599</v>
      </c>
      <c r="H411" s="3">
        <f ca="1">IFERROR(__xludf.DUMMYFUNCTION("""COMPUTED_VALUE"""),84.34)</f>
        <v>84.34</v>
      </c>
      <c r="I411" s="3">
        <f ca="1">IFERROR(__xludf.DUMMYFUNCTION("""COMPUTED_VALUE"""),84.51)</f>
        <v>84.51</v>
      </c>
      <c r="J411" s="3">
        <f ca="1">IFERROR(__xludf.DUMMYFUNCTION("""COMPUTED_VALUE"""),83.64)</f>
        <v>83.64</v>
      </c>
      <c r="K411" s="3">
        <f ca="1">IFERROR(__xludf.DUMMYFUNCTION("""COMPUTED_VALUE"""),83.79)</f>
        <v>83.79</v>
      </c>
      <c r="L411" s="3">
        <f ca="1">IFERROR(__xludf.DUMMYFUNCTION("""COMPUTED_VALUE"""),8457288)</f>
        <v>8457288</v>
      </c>
      <c r="M411" s="4">
        <f ca="1">IFERROR(__xludf.DUMMYFUNCTION("""COMPUTED_VALUE"""),42718.6666666666)</f>
        <v>42718.666666666599</v>
      </c>
      <c r="N411" s="3">
        <f ca="1">IFERROR(__xludf.DUMMYFUNCTION("""COMPUTED_VALUE"""),52.52)</f>
        <v>52.52</v>
      </c>
      <c r="O411" s="3">
        <f ca="1">IFERROR(__xludf.DUMMYFUNCTION("""COMPUTED_VALUE"""),52.69)</f>
        <v>52.69</v>
      </c>
      <c r="P411" s="3">
        <f ca="1">IFERROR(__xludf.DUMMYFUNCTION("""COMPUTED_VALUE"""),51.78)</f>
        <v>51.78</v>
      </c>
      <c r="Q411" s="3">
        <f ca="1">IFERROR(__xludf.DUMMYFUNCTION("""COMPUTED_VALUE"""),51.92)</f>
        <v>51.92</v>
      </c>
      <c r="R411" s="3">
        <f ca="1">IFERROR(__xludf.DUMMYFUNCTION("""COMPUTED_VALUE"""),25363222)</f>
        <v>25363222</v>
      </c>
      <c r="S411" s="4">
        <f ca="1">IFERROR(__xludf.DUMMYFUNCTION("""COMPUTED_VALUE"""),42718.6666666666)</f>
        <v>42718.666666666599</v>
      </c>
      <c r="T411" s="3">
        <f ca="1">IFERROR(__xludf.DUMMYFUNCTION("""COMPUTED_VALUE"""),77.46)</f>
        <v>77.459999999999994</v>
      </c>
      <c r="U411" s="3">
        <f ca="1">IFERROR(__xludf.DUMMYFUNCTION("""COMPUTED_VALUE"""),77.77)</f>
        <v>77.77</v>
      </c>
      <c r="V411" s="3">
        <f ca="1">IFERROR(__xludf.DUMMYFUNCTION("""COMPUTED_VALUE"""),76.06)</f>
        <v>76.06</v>
      </c>
      <c r="W411" s="3">
        <f ca="1">IFERROR(__xludf.DUMMYFUNCTION("""COMPUTED_VALUE"""),76.27)</f>
        <v>76.27</v>
      </c>
      <c r="X411" s="3">
        <f ca="1">IFERROR(__xludf.DUMMYFUNCTION("""COMPUTED_VALUE"""),19851365)</f>
        <v>19851365</v>
      </c>
      <c r="Y411" s="4">
        <f ca="1">IFERROR(__xludf.DUMMYFUNCTION("""COMPUTED_VALUE"""),42718.6666666666)</f>
        <v>42718.666666666599</v>
      </c>
      <c r="Z411" s="3">
        <f ca="1">IFERROR(__xludf.DUMMYFUNCTION("""COMPUTED_VALUE"""),23.4)</f>
        <v>23.4</v>
      </c>
      <c r="AA411" s="3">
        <f ca="1">IFERROR(__xludf.DUMMYFUNCTION("""COMPUTED_VALUE"""),23.83)</f>
        <v>23.83</v>
      </c>
      <c r="AB411" s="3">
        <f ca="1">IFERROR(__xludf.DUMMYFUNCTION("""COMPUTED_VALUE"""),23.31)</f>
        <v>23.31</v>
      </c>
      <c r="AC411" s="3">
        <f ca="1">IFERROR(__xludf.DUMMYFUNCTION("""COMPUTED_VALUE"""),23.47)</f>
        <v>23.47</v>
      </c>
      <c r="AD411" s="3">
        <f ca="1">IFERROR(__xludf.DUMMYFUNCTION("""COMPUTED_VALUE"""),142995830)</f>
        <v>142995830</v>
      </c>
      <c r="AE411" s="4">
        <f ca="1">IFERROR(__xludf.DUMMYFUNCTION("""COMPUTED_VALUE"""),42718.6666666666)</f>
        <v>42718.666666666599</v>
      </c>
      <c r="AF411" s="3">
        <f ca="1">IFERROR(__xludf.DUMMYFUNCTION("""COMPUTED_VALUE"""),69.73)</f>
        <v>69.73</v>
      </c>
      <c r="AG411" s="3">
        <f ca="1">IFERROR(__xludf.DUMMYFUNCTION("""COMPUTED_VALUE"""),70.1)</f>
        <v>70.099999999999994</v>
      </c>
      <c r="AH411" s="3">
        <f ca="1">IFERROR(__xludf.DUMMYFUNCTION("""COMPUTED_VALUE"""),69.14)</f>
        <v>69.14</v>
      </c>
      <c r="AI411" s="3">
        <f ca="1">IFERROR(__xludf.DUMMYFUNCTION("""COMPUTED_VALUE"""),69.38)</f>
        <v>69.38</v>
      </c>
      <c r="AJ411" s="3">
        <f ca="1">IFERROR(__xludf.DUMMYFUNCTION("""COMPUTED_VALUE"""),11682151)</f>
        <v>11682151</v>
      </c>
      <c r="AK411" s="4">
        <f ca="1">IFERROR(__xludf.DUMMYFUNCTION("""COMPUTED_VALUE"""),42718.6666666666)</f>
        <v>42718.666666666599</v>
      </c>
      <c r="AL411" s="3">
        <f ca="1">IFERROR(__xludf.DUMMYFUNCTION("""COMPUTED_VALUE"""),63.5)</f>
        <v>63.5</v>
      </c>
      <c r="AM411" s="3">
        <f ca="1">IFERROR(__xludf.DUMMYFUNCTION("""COMPUTED_VALUE"""),63.81)</f>
        <v>63.81</v>
      </c>
      <c r="AN411" s="3">
        <f ca="1">IFERROR(__xludf.DUMMYFUNCTION("""COMPUTED_VALUE"""),62.95)</f>
        <v>62.95</v>
      </c>
      <c r="AO411" s="3">
        <f ca="1">IFERROR(__xludf.DUMMYFUNCTION("""COMPUTED_VALUE"""),63.02)</f>
        <v>63.02</v>
      </c>
      <c r="AP411" s="3">
        <f ca="1">IFERROR(__xludf.DUMMYFUNCTION("""COMPUTED_VALUE"""),19782911)</f>
        <v>19782911</v>
      </c>
      <c r="AQ411" s="4">
        <f ca="1">IFERROR(__xludf.DUMMYFUNCTION("""COMPUTED_VALUE"""),42718.6666666666)</f>
        <v>42718.666666666599</v>
      </c>
      <c r="AR411" s="3">
        <f ca="1">IFERROR(__xludf.DUMMYFUNCTION("""COMPUTED_VALUE"""),51.18)</f>
        <v>51.18</v>
      </c>
      <c r="AS411" s="3">
        <f ca="1">IFERROR(__xludf.DUMMYFUNCTION("""COMPUTED_VALUE"""),51.26)</f>
        <v>51.26</v>
      </c>
      <c r="AT411" s="3">
        <f ca="1">IFERROR(__xludf.DUMMYFUNCTION("""COMPUTED_VALUE"""),50.49)</f>
        <v>50.49</v>
      </c>
      <c r="AU411" s="3">
        <f ca="1">IFERROR(__xludf.DUMMYFUNCTION("""COMPUTED_VALUE"""),50.58)</f>
        <v>50.58</v>
      </c>
      <c r="AV411" s="3">
        <f ca="1">IFERROR(__xludf.DUMMYFUNCTION("""COMPUTED_VALUE"""),9369166)</f>
        <v>9369166</v>
      </c>
      <c r="AW411" s="4">
        <f ca="1">IFERROR(__xludf.DUMMYFUNCTION("""COMPUTED_VALUE"""),42886.6666666666)</f>
        <v>42886.666666666599</v>
      </c>
      <c r="AX411" s="3">
        <f ca="1">IFERROR(__xludf.DUMMYFUNCTION("""COMPUTED_VALUE"""),31.95)</f>
        <v>31.95</v>
      </c>
      <c r="AY411" s="3">
        <f ca="1">IFERROR(__xludf.DUMMYFUNCTION("""COMPUTED_VALUE"""),32.06)</f>
        <v>32.06</v>
      </c>
      <c r="AZ411" s="3">
        <f ca="1">IFERROR(__xludf.DUMMYFUNCTION("""COMPUTED_VALUE"""),31.81)</f>
        <v>31.81</v>
      </c>
      <c r="BA411" s="3">
        <f ca="1">IFERROR(__xludf.DUMMYFUNCTION("""COMPUTED_VALUE"""),31.86)</f>
        <v>31.86</v>
      </c>
      <c r="BB411" s="3">
        <f ca="1">IFERROR(__xludf.DUMMYFUNCTION("""COMPUTED_VALUE"""),1616250)</f>
        <v>1616250</v>
      </c>
      <c r="BC411" s="4">
        <f ca="1">IFERROR(__xludf.DUMMYFUNCTION("""COMPUTED_VALUE"""),42718.6666666666)</f>
        <v>42718.666666666599</v>
      </c>
      <c r="BD411" s="3">
        <f ca="1">IFERROR(__xludf.DUMMYFUNCTION("""COMPUTED_VALUE"""),49.14)</f>
        <v>49.14</v>
      </c>
      <c r="BE411" s="3">
        <f ca="1">IFERROR(__xludf.DUMMYFUNCTION("""COMPUTED_VALUE"""),49.33)</f>
        <v>49.33</v>
      </c>
      <c r="BF411" s="3">
        <f ca="1">IFERROR(__xludf.DUMMYFUNCTION("""COMPUTED_VALUE"""),48.84)</f>
        <v>48.84</v>
      </c>
      <c r="BG411" s="3">
        <f ca="1">IFERROR(__xludf.DUMMYFUNCTION("""COMPUTED_VALUE"""),48.94)</f>
        <v>48.94</v>
      </c>
      <c r="BH411" s="3">
        <f ca="1">IFERROR(__xludf.DUMMYFUNCTION("""COMPUTED_VALUE"""),17915012)</f>
        <v>17915012</v>
      </c>
      <c r="BI411" s="4">
        <f ca="1">IFERROR(__xludf.DUMMYFUNCTION("""COMPUTED_VALUE"""),42718.6666666666)</f>
        <v>42718.666666666599</v>
      </c>
      <c r="BJ411" s="3">
        <f ca="1">IFERROR(__xludf.DUMMYFUNCTION("""COMPUTED_VALUE"""),49.18)</f>
        <v>49.18</v>
      </c>
      <c r="BK411" s="3">
        <f ca="1">IFERROR(__xludf.DUMMYFUNCTION("""COMPUTED_VALUE"""),49.44)</f>
        <v>49.44</v>
      </c>
      <c r="BL411" s="3">
        <f ca="1">IFERROR(__xludf.DUMMYFUNCTION("""COMPUTED_VALUE"""),47.89)</f>
        <v>47.89</v>
      </c>
      <c r="BM411" s="3">
        <f ca="1">IFERROR(__xludf.DUMMYFUNCTION("""COMPUTED_VALUE"""),47.95)</f>
        <v>47.95</v>
      </c>
      <c r="BN411" s="3">
        <f ca="1">IFERROR(__xludf.DUMMYFUNCTION("""COMPUTED_VALUE"""),28353928)</f>
        <v>28353928</v>
      </c>
    </row>
    <row r="412" spans="7:66" ht="13" x14ac:dyDescent="0.15">
      <c r="G412" s="4">
        <f ca="1">IFERROR(__xludf.DUMMYFUNCTION("""COMPUTED_VALUE"""),42719.6666666666)</f>
        <v>42719.666666666599</v>
      </c>
      <c r="H412" s="3">
        <f ca="1">IFERROR(__xludf.DUMMYFUNCTION("""COMPUTED_VALUE"""),83.93)</f>
        <v>83.93</v>
      </c>
      <c r="I412" s="3">
        <f ca="1">IFERROR(__xludf.DUMMYFUNCTION("""COMPUTED_VALUE"""),84.17)</f>
        <v>84.17</v>
      </c>
      <c r="J412" s="3">
        <f ca="1">IFERROR(__xludf.DUMMYFUNCTION("""COMPUTED_VALUE"""),83.54)</f>
        <v>83.54</v>
      </c>
      <c r="K412" s="3">
        <f ca="1">IFERROR(__xludf.DUMMYFUNCTION("""COMPUTED_VALUE"""),83.59)</f>
        <v>83.59</v>
      </c>
      <c r="L412" s="3">
        <f ca="1">IFERROR(__xludf.DUMMYFUNCTION("""COMPUTED_VALUE"""),6109437)</f>
        <v>6109437</v>
      </c>
      <c r="M412" s="4">
        <f ca="1">IFERROR(__xludf.DUMMYFUNCTION("""COMPUTED_VALUE"""),42719.6666666666)</f>
        <v>42719.666666666599</v>
      </c>
      <c r="N412" s="3">
        <f ca="1">IFERROR(__xludf.DUMMYFUNCTION("""COMPUTED_VALUE"""),51.92)</f>
        <v>51.92</v>
      </c>
      <c r="O412" s="3">
        <f ca="1">IFERROR(__xludf.DUMMYFUNCTION("""COMPUTED_VALUE"""),52.31)</f>
        <v>52.31</v>
      </c>
      <c r="P412" s="3">
        <f ca="1">IFERROR(__xludf.DUMMYFUNCTION("""COMPUTED_VALUE"""),51.76)</f>
        <v>51.76</v>
      </c>
      <c r="Q412" s="3">
        <f ca="1">IFERROR(__xludf.DUMMYFUNCTION("""COMPUTED_VALUE"""),52.14)</f>
        <v>52.14</v>
      </c>
      <c r="R412" s="3">
        <f ca="1">IFERROR(__xludf.DUMMYFUNCTION("""COMPUTED_VALUE"""),16154516)</f>
        <v>16154516</v>
      </c>
      <c r="S412" s="4">
        <f ca="1">IFERROR(__xludf.DUMMYFUNCTION("""COMPUTED_VALUE"""),42719.6666666666)</f>
        <v>42719.666666666599</v>
      </c>
      <c r="T412" s="3">
        <f ca="1">IFERROR(__xludf.DUMMYFUNCTION("""COMPUTED_VALUE"""),75.95)</f>
        <v>75.95</v>
      </c>
      <c r="U412" s="3">
        <f ca="1">IFERROR(__xludf.DUMMYFUNCTION("""COMPUTED_VALUE"""),76.72)</f>
        <v>76.72</v>
      </c>
      <c r="V412" s="3">
        <f ca="1">IFERROR(__xludf.DUMMYFUNCTION("""COMPUTED_VALUE"""),75.52)</f>
        <v>75.52</v>
      </c>
      <c r="W412" s="3">
        <f ca="1">IFERROR(__xludf.DUMMYFUNCTION("""COMPUTED_VALUE"""),76.44)</f>
        <v>76.44</v>
      </c>
      <c r="X412" s="3">
        <f ca="1">IFERROR(__xludf.DUMMYFUNCTION("""COMPUTED_VALUE"""),20251775)</f>
        <v>20251775</v>
      </c>
      <c r="Y412" s="4">
        <f ca="1">IFERROR(__xludf.DUMMYFUNCTION("""COMPUTED_VALUE"""),42719.6666666666)</f>
        <v>42719.666666666599</v>
      </c>
      <c r="Z412" s="3">
        <f ca="1">IFERROR(__xludf.DUMMYFUNCTION("""COMPUTED_VALUE"""),23.59)</f>
        <v>23.59</v>
      </c>
      <c r="AA412" s="3">
        <f ca="1">IFERROR(__xludf.DUMMYFUNCTION("""COMPUTED_VALUE"""),23.87)</f>
        <v>23.87</v>
      </c>
      <c r="AB412" s="3">
        <f ca="1">IFERROR(__xludf.DUMMYFUNCTION("""COMPUTED_VALUE"""),23.5)</f>
        <v>23.5</v>
      </c>
      <c r="AC412" s="3">
        <f ca="1">IFERROR(__xludf.DUMMYFUNCTION("""COMPUTED_VALUE"""),23.67)</f>
        <v>23.67</v>
      </c>
      <c r="AD412" s="3">
        <f ca="1">IFERROR(__xludf.DUMMYFUNCTION("""COMPUTED_VALUE"""),110426017)</f>
        <v>110426017</v>
      </c>
      <c r="AE412" s="4">
        <f ca="1">IFERROR(__xludf.DUMMYFUNCTION("""COMPUTED_VALUE"""),42719.6666666666)</f>
        <v>42719.666666666599</v>
      </c>
      <c r="AF412" s="3">
        <f ca="1">IFERROR(__xludf.DUMMYFUNCTION("""COMPUTED_VALUE"""),69.66)</f>
        <v>69.66</v>
      </c>
      <c r="AG412" s="3">
        <f ca="1">IFERROR(__xludf.DUMMYFUNCTION("""COMPUTED_VALUE"""),69.9)</f>
        <v>69.900000000000006</v>
      </c>
      <c r="AH412" s="3">
        <f ca="1">IFERROR(__xludf.DUMMYFUNCTION("""COMPUTED_VALUE"""),69.41)</f>
        <v>69.41</v>
      </c>
      <c r="AI412" s="3">
        <f ca="1">IFERROR(__xludf.DUMMYFUNCTION("""COMPUTED_VALUE"""),69.83)</f>
        <v>69.83</v>
      </c>
      <c r="AJ412" s="3">
        <f ca="1">IFERROR(__xludf.DUMMYFUNCTION("""COMPUTED_VALUE"""),8210088)</f>
        <v>8210088</v>
      </c>
      <c r="AK412" s="4">
        <f ca="1">IFERROR(__xludf.DUMMYFUNCTION("""COMPUTED_VALUE"""),42719.6666666666)</f>
        <v>42719.666666666599</v>
      </c>
      <c r="AL412" s="3">
        <f ca="1">IFERROR(__xludf.DUMMYFUNCTION("""COMPUTED_VALUE"""),62.95)</f>
        <v>62.95</v>
      </c>
      <c r="AM412" s="3">
        <f ca="1">IFERROR(__xludf.DUMMYFUNCTION("""COMPUTED_VALUE"""),63.54)</f>
        <v>63.54</v>
      </c>
      <c r="AN412" s="3">
        <f ca="1">IFERROR(__xludf.DUMMYFUNCTION("""COMPUTED_VALUE"""),62.92)</f>
        <v>62.92</v>
      </c>
      <c r="AO412" s="3">
        <f ca="1">IFERROR(__xludf.DUMMYFUNCTION("""COMPUTED_VALUE"""),63.09)</f>
        <v>63.09</v>
      </c>
      <c r="AP412" s="3">
        <f ca="1">IFERROR(__xludf.DUMMYFUNCTION("""COMPUTED_VALUE"""),12262075)</f>
        <v>12262075</v>
      </c>
      <c r="AQ412" s="4">
        <f ca="1">IFERROR(__xludf.DUMMYFUNCTION("""COMPUTED_VALUE"""),42719.6666666666)</f>
        <v>42719.666666666599</v>
      </c>
      <c r="AR412" s="3">
        <f ca="1">IFERROR(__xludf.DUMMYFUNCTION("""COMPUTED_VALUE"""),50.4)</f>
        <v>50.4</v>
      </c>
      <c r="AS412" s="3">
        <f ca="1">IFERROR(__xludf.DUMMYFUNCTION("""COMPUTED_VALUE"""),51.04)</f>
        <v>51.04</v>
      </c>
      <c r="AT412" s="3">
        <f ca="1">IFERROR(__xludf.DUMMYFUNCTION("""COMPUTED_VALUE"""),50.31)</f>
        <v>50.31</v>
      </c>
      <c r="AU412" s="3">
        <f ca="1">IFERROR(__xludf.DUMMYFUNCTION("""COMPUTED_VALUE"""),50.91)</f>
        <v>50.91</v>
      </c>
      <c r="AV412" s="3">
        <f ca="1">IFERROR(__xludf.DUMMYFUNCTION("""COMPUTED_VALUE"""),6431039)</f>
        <v>6431039</v>
      </c>
      <c r="AW412" s="4">
        <f ca="1">IFERROR(__xludf.DUMMYFUNCTION("""COMPUTED_VALUE"""),42887.6666666666)</f>
        <v>42887.666666666599</v>
      </c>
      <c r="AX412" s="3">
        <f ca="1">IFERROR(__xludf.DUMMYFUNCTION("""COMPUTED_VALUE"""),31.87)</f>
        <v>31.87</v>
      </c>
      <c r="AY412" s="3">
        <f ca="1">IFERROR(__xludf.DUMMYFUNCTION("""COMPUTED_VALUE"""),32.01)</f>
        <v>32.01</v>
      </c>
      <c r="AZ412" s="3">
        <f ca="1">IFERROR(__xludf.DUMMYFUNCTION("""COMPUTED_VALUE"""),31.72)</f>
        <v>31.72</v>
      </c>
      <c r="BA412" s="3">
        <f ca="1">IFERROR(__xludf.DUMMYFUNCTION("""COMPUTED_VALUE"""),31.96)</f>
        <v>31.96</v>
      </c>
      <c r="BB412" s="3">
        <f ca="1">IFERROR(__xludf.DUMMYFUNCTION("""COMPUTED_VALUE"""),1563040)</f>
        <v>1563040</v>
      </c>
      <c r="BC412" s="4">
        <f ca="1">IFERROR(__xludf.DUMMYFUNCTION("""COMPUTED_VALUE"""),42719.6666666666)</f>
        <v>42719.666666666599</v>
      </c>
      <c r="BD412" s="3">
        <f ca="1">IFERROR(__xludf.DUMMYFUNCTION("""COMPUTED_VALUE"""),49)</f>
        <v>49</v>
      </c>
      <c r="BE412" s="3">
        <f ca="1">IFERROR(__xludf.DUMMYFUNCTION("""COMPUTED_VALUE"""),49.41)</f>
        <v>49.41</v>
      </c>
      <c r="BF412" s="3">
        <f ca="1">IFERROR(__xludf.DUMMYFUNCTION("""COMPUTED_VALUE"""),48.92)</f>
        <v>48.92</v>
      </c>
      <c r="BG412" s="3">
        <f ca="1">IFERROR(__xludf.DUMMYFUNCTION("""COMPUTED_VALUE"""),49.16)</f>
        <v>49.16</v>
      </c>
      <c r="BH412" s="3">
        <f ca="1">IFERROR(__xludf.DUMMYFUNCTION("""COMPUTED_VALUE"""),11570018)</f>
        <v>11570018</v>
      </c>
      <c r="BI412" s="4">
        <f ca="1">IFERROR(__xludf.DUMMYFUNCTION("""COMPUTED_VALUE"""),42719.6666666666)</f>
        <v>42719.666666666599</v>
      </c>
      <c r="BJ412" s="3">
        <f ca="1">IFERROR(__xludf.DUMMYFUNCTION("""COMPUTED_VALUE"""),47.85)</f>
        <v>47.85</v>
      </c>
      <c r="BK412" s="3">
        <f ca="1">IFERROR(__xludf.DUMMYFUNCTION("""COMPUTED_VALUE"""),48.34)</f>
        <v>48.34</v>
      </c>
      <c r="BL412" s="3">
        <f ca="1">IFERROR(__xludf.DUMMYFUNCTION("""COMPUTED_VALUE"""),47.6)</f>
        <v>47.6</v>
      </c>
      <c r="BM412" s="3">
        <f ca="1">IFERROR(__xludf.DUMMYFUNCTION("""COMPUTED_VALUE"""),48.29)</f>
        <v>48.29</v>
      </c>
      <c r="BN412" s="3">
        <f ca="1">IFERROR(__xludf.DUMMYFUNCTION("""COMPUTED_VALUE"""),17821563)</f>
        <v>17821563</v>
      </c>
    </row>
    <row r="413" spans="7:66" ht="13" x14ac:dyDescent="0.15">
      <c r="G413" s="4">
        <f ca="1">IFERROR(__xludf.DUMMYFUNCTION("""COMPUTED_VALUE"""),42720.6666666666)</f>
        <v>42720.666666666599</v>
      </c>
      <c r="H413" s="3">
        <f ca="1">IFERROR(__xludf.DUMMYFUNCTION("""COMPUTED_VALUE"""),83.34)</f>
        <v>83.34</v>
      </c>
      <c r="I413" s="3">
        <f ca="1">IFERROR(__xludf.DUMMYFUNCTION("""COMPUTED_VALUE"""),83.38)</f>
        <v>83.38</v>
      </c>
      <c r="J413" s="3">
        <f ca="1">IFERROR(__xludf.DUMMYFUNCTION("""COMPUTED_VALUE"""),82.57)</f>
        <v>82.57</v>
      </c>
      <c r="K413" s="3">
        <f ca="1">IFERROR(__xludf.DUMMYFUNCTION("""COMPUTED_VALUE"""),82.69)</f>
        <v>82.69</v>
      </c>
      <c r="L413" s="3">
        <f ca="1">IFERROR(__xludf.DUMMYFUNCTION("""COMPUTED_VALUE"""),9868723)</f>
        <v>9868723</v>
      </c>
      <c r="M413" s="4">
        <f ca="1">IFERROR(__xludf.DUMMYFUNCTION("""COMPUTED_VALUE"""),42720.6666666666)</f>
        <v>42720.666666666599</v>
      </c>
      <c r="N413" s="3">
        <f ca="1">IFERROR(__xludf.DUMMYFUNCTION("""COMPUTED_VALUE"""),51.92)</f>
        <v>51.92</v>
      </c>
      <c r="O413" s="3">
        <f ca="1">IFERROR(__xludf.DUMMYFUNCTION("""COMPUTED_VALUE"""),52.08)</f>
        <v>52.08</v>
      </c>
      <c r="P413" s="3">
        <f ca="1">IFERROR(__xludf.DUMMYFUNCTION("""COMPUTED_VALUE"""),51.81)</f>
        <v>51.81</v>
      </c>
      <c r="Q413" s="3">
        <f ca="1">IFERROR(__xludf.DUMMYFUNCTION("""COMPUTED_VALUE"""),52.05)</f>
        <v>52.05</v>
      </c>
      <c r="R413" s="3">
        <f ca="1">IFERROR(__xludf.DUMMYFUNCTION("""COMPUTED_VALUE"""),15871085)</f>
        <v>15871085</v>
      </c>
      <c r="S413" s="4">
        <f ca="1">IFERROR(__xludf.DUMMYFUNCTION("""COMPUTED_VALUE"""),42720.6666666666)</f>
        <v>42720.666666666599</v>
      </c>
      <c r="T413" s="3">
        <f ca="1">IFERROR(__xludf.DUMMYFUNCTION("""COMPUTED_VALUE"""),76.58)</f>
        <v>76.58</v>
      </c>
      <c r="U413" s="3">
        <f ca="1">IFERROR(__xludf.DUMMYFUNCTION("""COMPUTED_VALUE"""),76.58)</f>
        <v>76.58</v>
      </c>
      <c r="V413" s="3">
        <f ca="1">IFERROR(__xludf.DUMMYFUNCTION("""COMPUTED_VALUE"""),76.12)</f>
        <v>76.12</v>
      </c>
      <c r="W413" s="3">
        <f ca="1">IFERROR(__xludf.DUMMYFUNCTION("""COMPUTED_VALUE"""),76.51)</f>
        <v>76.510000000000005</v>
      </c>
      <c r="X413" s="3">
        <f ca="1">IFERROR(__xludf.DUMMYFUNCTION("""COMPUTED_VALUE"""),17864897)</f>
        <v>17864897</v>
      </c>
      <c r="Y413" s="4">
        <f ca="1">IFERROR(__xludf.DUMMYFUNCTION("""COMPUTED_VALUE"""),42720.6666666666)</f>
        <v>42720.666666666599</v>
      </c>
      <c r="Z413" s="3">
        <f ca="1">IFERROR(__xludf.DUMMYFUNCTION("""COMPUTED_VALUE"""),23.68)</f>
        <v>23.68</v>
      </c>
      <c r="AA413" s="3">
        <f ca="1">IFERROR(__xludf.DUMMYFUNCTION("""COMPUTED_VALUE"""),23.69)</f>
        <v>23.69</v>
      </c>
      <c r="AB413" s="3">
        <f ca="1">IFERROR(__xludf.DUMMYFUNCTION("""COMPUTED_VALUE"""),23.33)</f>
        <v>23.33</v>
      </c>
      <c r="AC413" s="3">
        <f ca="1">IFERROR(__xludf.DUMMYFUNCTION("""COMPUTED_VALUE"""),23.36)</f>
        <v>23.36</v>
      </c>
      <c r="AD413" s="3">
        <f ca="1">IFERROR(__xludf.DUMMYFUNCTION("""COMPUTED_VALUE"""),83096468)</f>
        <v>83096468</v>
      </c>
      <c r="AE413" s="4">
        <f ca="1">IFERROR(__xludf.DUMMYFUNCTION("""COMPUTED_VALUE"""),42720.6666666666)</f>
        <v>42720.666666666599</v>
      </c>
      <c r="AF413" s="3">
        <f ca="1">IFERROR(__xludf.DUMMYFUNCTION("""COMPUTED_VALUE"""),69.68)</f>
        <v>69.680000000000007</v>
      </c>
      <c r="AG413" s="3">
        <f ca="1">IFERROR(__xludf.DUMMYFUNCTION("""COMPUTED_VALUE"""),69.87)</f>
        <v>69.87</v>
      </c>
      <c r="AH413" s="3">
        <f ca="1">IFERROR(__xludf.DUMMYFUNCTION("""COMPUTED_VALUE"""),69.38)</f>
        <v>69.38</v>
      </c>
      <c r="AI413" s="3">
        <f ca="1">IFERROR(__xludf.DUMMYFUNCTION("""COMPUTED_VALUE"""),69.58)</f>
        <v>69.58</v>
      </c>
      <c r="AJ413" s="3">
        <f ca="1">IFERROR(__xludf.DUMMYFUNCTION("""COMPUTED_VALUE"""),8257063)</f>
        <v>8257063</v>
      </c>
      <c r="AK413" s="4">
        <f ca="1">IFERROR(__xludf.DUMMYFUNCTION("""COMPUTED_VALUE"""),42720.6666666666)</f>
        <v>42720.666666666599</v>
      </c>
      <c r="AL413" s="3">
        <f ca="1">IFERROR(__xludf.DUMMYFUNCTION("""COMPUTED_VALUE"""),62.58)</f>
        <v>62.58</v>
      </c>
      <c r="AM413" s="3">
        <f ca="1">IFERROR(__xludf.DUMMYFUNCTION("""COMPUTED_VALUE"""),63.03)</f>
        <v>63.03</v>
      </c>
      <c r="AN413" s="3">
        <f ca="1">IFERROR(__xludf.DUMMYFUNCTION("""COMPUTED_VALUE"""),62.47)</f>
        <v>62.47</v>
      </c>
      <c r="AO413" s="3">
        <f ca="1">IFERROR(__xludf.DUMMYFUNCTION("""COMPUTED_VALUE"""),62.58)</f>
        <v>62.58</v>
      </c>
      <c r="AP413" s="3">
        <f ca="1">IFERROR(__xludf.DUMMYFUNCTION("""COMPUTED_VALUE"""),9523742)</f>
        <v>9523742</v>
      </c>
      <c r="AQ413" s="4">
        <f ca="1">IFERROR(__xludf.DUMMYFUNCTION("""COMPUTED_VALUE"""),42720.6666666666)</f>
        <v>42720.666666666599</v>
      </c>
      <c r="AR413" s="3">
        <f ca="1">IFERROR(__xludf.DUMMYFUNCTION("""COMPUTED_VALUE"""),50.79)</f>
        <v>50.79</v>
      </c>
      <c r="AS413" s="3">
        <f ca="1">IFERROR(__xludf.DUMMYFUNCTION("""COMPUTED_VALUE"""),50.79)</f>
        <v>50.79</v>
      </c>
      <c r="AT413" s="3">
        <f ca="1">IFERROR(__xludf.DUMMYFUNCTION("""COMPUTED_VALUE"""),50.29)</f>
        <v>50.29</v>
      </c>
      <c r="AU413" s="3">
        <f ca="1">IFERROR(__xludf.DUMMYFUNCTION("""COMPUTED_VALUE"""),50.42)</f>
        <v>50.42</v>
      </c>
      <c r="AV413" s="3">
        <f ca="1">IFERROR(__xludf.DUMMYFUNCTION("""COMPUTED_VALUE"""),5177338)</f>
        <v>5177338</v>
      </c>
      <c r="AW413" s="4">
        <f ca="1">IFERROR(__xludf.DUMMYFUNCTION("""COMPUTED_VALUE"""),42888.6666666666)</f>
        <v>42888.666666666599</v>
      </c>
      <c r="AX413" s="3">
        <f ca="1">IFERROR(__xludf.DUMMYFUNCTION("""COMPUTED_VALUE"""),32.14)</f>
        <v>32.14</v>
      </c>
      <c r="AY413" s="3">
        <f ca="1">IFERROR(__xludf.DUMMYFUNCTION("""COMPUTED_VALUE"""),32.31)</f>
        <v>32.31</v>
      </c>
      <c r="AZ413" s="3">
        <f ca="1">IFERROR(__xludf.DUMMYFUNCTION("""COMPUTED_VALUE"""),32.07)</f>
        <v>32.07</v>
      </c>
      <c r="BA413" s="3">
        <f ca="1">IFERROR(__xludf.DUMMYFUNCTION("""COMPUTED_VALUE"""),32.24)</f>
        <v>32.24</v>
      </c>
      <c r="BB413" s="3">
        <f ca="1">IFERROR(__xludf.DUMMYFUNCTION("""COMPUTED_VALUE"""),1224855)</f>
        <v>1224855</v>
      </c>
      <c r="BC413" s="4">
        <f ca="1">IFERROR(__xludf.DUMMYFUNCTION("""COMPUTED_VALUE"""),42720.6666666666)</f>
        <v>42720.666666666599</v>
      </c>
      <c r="BD413" s="3">
        <f ca="1">IFERROR(__xludf.DUMMYFUNCTION("""COMPUTED_VALUE"""),49.08)</f>
        <v>49.08</v>
      </c>
      <c r="BE413" s="3">
        <f ca="1">IFERROR(__xludf.DUMMYFUNCTION("""COMPUTED_VALUE"""),49.09)</f>
        <v>49.09</v>
      </c>
      <c r="BF413" s="3">
        <f ca="1">IFERROR(__xludf.DUMMYFUNCTION("""COMPUTED_VALUE"""),48.52)</f>
        <v>48.52</v>
      </c>
      <c r="BG413" s="3">
        <f ca="1">IFERROR(__xludf.DUMMYFUNCTION("""COMPUTED_VALUE"""),48.59)</f>
        <v>48.59</v>
      </c>
      <c r="BH413" s="3">
        <f ca="1">IFERROR(__xludf.DUMMYFUNCTION("""COMPUTED_VALUE"""),10565736)</f>
        <v>10565736</v>
      </c>
      <c r="BI413" s="4">
        <f ca="1">IFERROR(__xludf.DUMMYFUNCTION("""COMPUTED_VALUE"""),42720.6666666666)</f>
        <v>42720.666666666599</v>
      </c>
      <c r="BJ413" s="3">
        <f ca="1">IFERROR(__xludf.DUMMYFUNCTION("""COMPUTED_VALUE"""),47.95)</f>
        <v>47.95</v>
      </c>
      <c r="BK413" s="3">
        <f ca="1">IFERROR(__xludf.DUMMYFUNCTION("""COMPUTED_VALUE"""),48.58)</f>
        <v>48.58</v>
      </c>
      <c r="BL413" s="3">
        <f ca="1">IFERROR(__xludf.DUMMYFUNCTION("""COMPUTED_VALUE"""),47.84)</f>
        <v>47.84</v>
      </c>
      <c r="BM413" s="3">
        <f ca="1">IFERROR(__xludf.DUMMYFUNCTION("""COMPUTED_VALUE"""),48.41)</f>
        <v>48.41</v>
      </c>
      <c r="BN413" s="3">
        <f ca="1">IFERROR(__xludf.DUMMYFUNCTION("""COMPUTED_VALUE"""),20118992)</f>
        <v>20118992</v>
      </c>
    </row>
    <row r="414" spans="7:66" ht="13" x14ac:dyDescent="0.15">
      <c r="G414" s="4">
        <f ca="1">IFERROR(__xludf.DUMMYFUNCTION("""COMPUTED_VALUE"""),42723.6666666666)</f>
        <v>42723.666666666599</v>
      </c>
      <c r="H414" s="3">
        <f ca="1">IFERROR(__xludf.DUMMYFUNCTION("""COMPUTED_VALUE"""),82.88)</f>
        <v>82.88</v>
      </c>
      <c r="I414" s="3">
        <f ca="1">IFERROR(__xludf.DUMMYFUNCTION("""COMPUTED_VALUE"""),83.35)</f>
        <v>83.35</v>
      </c>
      <c r="J414" s="3">
        <f ca="1">IFERROR(__xludf.DUMMYFUNCTION("""COMPUTED_VALUE"""),82.69)</f>
        <v>82.69</v>
      </c>
      <c r="K414" s="3">
        <f ca="1">IFERROR(__xludf.DUMMYFUNCTION("""COMPUTED_VALUE"""),82.91)</f>
        <v>82.91</v>
      </c>
      <c r="L414" s="3">
        <f ca="1">IFERROR(__xludf.DUMMYFUNCTION("""COMPUTED_VALUE"""),3786132)</f>
        <v>3786132</v>
      </c>
      <c r="M414" s="4">
        <f ca="1">IFERROR(__xludf.DUMMYFUNCTION("""COMPUTED_VALUE"""),42723.6666666666)</f>
        <v>42723.666666666599</v>
      </c>
      <c r="N414" s="3">
        <f ca="1">IFERROR(__xludf.DUMMYFUNCTION("""COMPUTED_VALUE"""),52.11)</f>
        <v>52.11</v>
      </c>
      <c r="O414" s="3">
        <f ca="1">IFERROR(__xludf.DUMMYFUNCTION("""COMPUTED_VALUE"""),52.23)</f>
        <v>52.23</v>
      </c>
      <c r="P414" s="3">
        <f ca="1">IFERROR(__xludf.DUMMYFUNCTION("""COMPUTED_VALUE"""),51.97)</f>
        <v>51.97</v>
      </c>
      <c r="Q414" s="3">
        <f ca="1">IFERROR(__xludf.DUMMYFUNCTION("""COMPUTED_VALUE"""),52.15)</f>
        <v>52.15</v>
      </c>
      <c r="R414" s="3">
        <f ca="1">IFERROR(__xludf.DUMMYFUNCTION("""COMPUTED_VALUE"""),7523220)</f>
        <v>7523220</v>
      </c>
      <c r="S414" s="4">
        <f ca="1">IFERROR(__xludf.DUMMYFUNCTION("""COMPUTED_VALUE"""),42723.6666666666)</f>
        <v>42723.666666666599</v>
      </c>
      <c r="T414" s="3">
        <f ca="1">IFERROR(__xludf.DUMMYFUNCTION("""COMPUTED_VALUE"""),76.43)</f>
        <v>76.430000000000007</v>
      </c>
      <c r="U414" s="3">
        <f ca="1">IFERROR(__xludf.DUMMYFUNCTION("""COMPUTED_VALUE"""),76.57)</f>
        <v>76.569999999999993</v>
      </c>
      <c r="V414" s="3">
        <f ca="1">IFERROR(__xludf.DUMMYFUNCTION("""COMPUTED_VALUE"""),76.01)</f>
        <v>76.010000000000005</v>
      </c>
      <c r="W414" s="3">
        <f ca="1">IFERROR(__xludf.DUMMYFUNCTION("""COMPUTED_VALUE"""),76.16)</f>
        <v>76.16</v>
      </c>
      <c r="X414" s="3">
        <f ca="1">IFERROR(__xludf.DUMMYFUNCTION("""COMPUTED_VALUE"""),7113208)</f>
        <v>7113208</v>
      </c>
      <c r="Y414" s="4">
        <f ca="1">IFERROR(__xludf.DUMMYFUNCTION("""COMPUTED_VALUE"""),42723.6666666666)</f>
        <v>42723.666666666599</v>
      </c>
      <c r="Z414" s="3">
        <f ca="1">IFERROR(__xludf.DUMMYFUNCTION("""COMPUTED_VALUE"""),23.39)</f>
        <v>23.39</v>
      </c>
      <c r="AA414" s="3">
        <f ca="1">IFERROR(__xludf.DUMMYFUNCTION("""COMPUTED_VALUE"""),23.43)</f>
        <v>23.43</v>
      </c>
      <c r="AB414" s="3">
        <f ca="1">IFERROR(__xludf.DUMMYFUNCTION("""COMPUTED_VALUE"""),23.18)</f>
        <v>23.18</v>
      </c>
      <c r="AC414" s="3">
        <f ca="1">IFERROR(__xludf.DUMMYFUNCTION("""COMPUTED_VALUE"""),23.37)</f>
        <v>23.37</v>
      </c>
      <c r="AD414" s="3">
        <f ca="1">IFERROR(__xludf.DUMMYFUNCTION("""COMPUTED_VALUE"""),73717593)</f>
        <v>73717593</v>
      </c>
      <c r="AE414" s="4">
        <f ca="1">IFERROR(__xludf.DUMMYFUNCTION("""COMPUTED_VALUE"""),42723.6666666666)</f>
        <v>42723.666666666599</v>
      </c>
      <c r="AF414" s="3">
        <f ca="1">IFERROR(__xludf.DUMMYFUNCTION("""COMPUTED_VALUE"""),69.63)</f>
        <v>69.63</v>
      </c>
      <c r="AG414" s="3">
        <f ca="1">IFERROR(__xludf.DUMMYFUNCTION("""COMPUTED_VALUE"""),69.94)</f>
        <v>69.94</v>
      </c>
      <c r="AH414" s="3">
        <f ca="1">IFERROR(__xludf.DUMMYFUNCTION("""COMPUTED_VALUE"""),69.2)</f>
        <v>69.2</v>
      </c>
      <c r="AI414" s="3">
        <f ca="1">IFERROR(__xludf.DUMMYFUNCTION("""COMPUTED_VALUE"""),69.29)</f>
        <v>69.290000000000006</v>
      </c>
      <c r="AJ414" s="3">
        <f ca="1">IFERROR(__xludf.DUMMYFUNCTION("""COMPUTED_VALUE"""),9318325)</f>
        <v>9318325</v>
      </c>
      <c r="AK414" s="4">
        <f ca="1">IFERROR(__xludf.DUMMYFUNCTION("""COMPUTED_VALUE"""),42723.6666666666)</f>
        <v>42723.666666666599</v>
      </c>
      <c r="AL414" s="3">
        <f ca="1">IFERROR(__xludf.DUMMYFUNCTION("""COMPUTED_VALUE"""),62.73)</f>
        <v>62.73</v>
      </c>
      <c r="AM414" s="3">
        <f ca="1">IFERROR(__xludf.DUMMYFUNCTION("""COMPUTED_VALUE"""),62.97)</f>
        <v>62.97</v>
      </c>
      <c r="AN414" s="3">
        <f ca="1">IFERROR(__xludf.DUMMYFUNCTION("""COMPUTED_VALUE"""),62.61)</f>
        <v>62.61</v>
      </c>
      <c r="AO414" s="3">
        <f ca="1">IFERROR(__xludf.DUMMYFUNCTION("""COMPUTED_VALUE"""),62.93)</f>
        <v>62.93</v>
      </c>
      <c r="AP414" s="3">
        <f ca="1">IFERROR(__xludf.DUMMYFUNCTION("""COMPUTED_VALUE"""),5982939)</f>
        <v>5982939</v>
      </c>
      <c r="AQ414" s="4">
        <f ca="1">IFERROR(__xludf.DUMMYFUNCTION("""COMPUTED_VALUE"""),42723.6666666666)</f>
        <v>42723.666666666599</v>
      </c>
      <c r="AR414" s="3">
        <f ca="1">IFERROR(__xludf.DUMMYFUNCTION("""COMPUTED_VALUE"""),50.27)</f>
        <v>50.27</v>
      </c>
      <c r="AS414" s="3">
        <f ca="1">IFERROR(__xludf.DUMMYFUNCTION("""COMPUTED_VALUE"""),50.46)</f>
        <v>50.46</v>
      </c>
      <c r="AT414" s="3">
        <f ca="1">IFERROR(__xludf.DUMMYFUNCTION("""COMPUTED_VALUE"""),50.13)</f>
        <v>50.13</v>
      </c>
      <c r="AU414" s="3">
        <f ca="1">IFERROR(__xludf.DUMMYFUNCTION("""COMPUTED_VALUE"""),50.32)</f>
        <v>50.32</v>
      </c>
      <c r="AV414" s="3">
        <f ca="1">IFERROR(__xludf.DUMMYFUNCTION("""COMPUTED_VALUE"""),3202265)</f>
        <v>3202265</v>
      </c>
      <c r="AW414" s="4">
        <f ca="1">IFERROR(__xludf.DUMMYFUNCTION("""COMPUTED_VALUE"""),42891.6666666666)</f>
        <v>42891.666666666599</v>
      </c>
      <c r="AX414" s="3">
        <f ca="1">IFERROR(__xludf.DUMMYFUNCTION("""COMPUTED_VALUE"""),32.19)</f>
        <v>32.19</v>
      </c>
      <c r="AY414" s="3">
        <f ca="1">IFERROR(__xludf.DUMMYFUNCTION("""COMPUTED_VALUE"""),32.24)</f>
        <v>32.24</v>
      </c>
      <c r="AZ414" s="3">
        <f ca="1">IFERROR(__xludf.DUMMYFUNCTION("""COMPUTED_VALUE"""),32)</f>
        <v>32</v>
      </c>
      <c r="BA414" s="3">
        <f ca="1">IFERROR(__xludf.DUMMYFUNCTION("""COMPUTED_VALUE"""),32.16)</f>
        <v>32.159999999999997</v>
      </c>
      <c r="BB414" s="3">
        <f ca="1">IFERROR(__xludf.DUMMYFUNCTION("""COMPUTED_VALUE"""),1287594)</f>
        <v>1287594</v>
      </c>
      <c r="BC414" s="4">
        <f ca="1">IFERROR(__xludf.DUMMYFUNCTION("""COMPUTED_VALUE"""),42723.6666666666)</f>
        <v>42723.666666666599</v>
      </c>
      <c r="BD414" s="3">
        <f ca="1">IFERROR(__xludf.DUMMYFUNCTION("""COMPUTED_VALUE"""),48.63)</f>
        <v>48.63</v>
      </c>
      <c r="BE414" s="3">
        <f ca="1">IFERROR(__xludf.DUMMYFUNCTION("""COMPUTED_VALUE"""),49.1)</f>
        <v>49.1</v>
      </c>
      <c r="BF414" s="3">
        <f ca="1">IFERROR(__xludf.DUMMYFUNCTION("""COMPUTED_VALUE"""),48.59)</f>
        <v>48.59</v>
      </c>
      <c r="BG414" s="3">
        <f ca="1">IFERROR(__xludf.DUMMYFUNCTION("""COMPUTED_VALUE"""),48.94)</f>
        <v>48.94</v>
      </c>
      <c r="BH414" s="3">
        <f ca="1">IFERROR(__xludf.DUMMYFUNCTION("""COMPUTED_VALUE"""),6626990)</f>
        <v>6626990</v>
      </c>
      <c r="BI414" s="4">
        <f ca="1">IFERROR(__xludf.DUMMYFUNCTION("""COMPUTED_VALUE"""),42723.6666666666)</f>
        <v>42723.666666666599</v>
      </c>
      <c r="BJ414" s="3">
        <f ca="1">IFERROR(__xludf.DUMMYFUNCTION("""COMPUTED_VALUE"""),48.7)</f>
        <v>48.7</v>
      </c>
      <c r="BK414" s="3">
        <f ca="1">IFERROR(__xludf.DUMMYFUNCTION("""COMPUTED_VALUE"""),48.72)</f>
        <v>48.72</v>
      </c>
      <c r="BL414" s="3">
        <f ca="1">IFERROR(__xludf.DUMMYFUNCTION("""COMPUTED_VALUE"""),48.17)</f>
        <v>48.17</v>
      </c>
      <c r="BM414" s="3">
        <f ca="1">IFERROR(__xludf.DUMMYFUNCTION("""COMPUTED_VALUE"""),48.59)</f>
        <v>48.59</v>
      </c>
      <c r="BN414" s="3">
        <f ca="1">IFERROR(__xludf.DUMMYFUNCTION("""COMPUTED_VALUE"""),11650212)</f>
        <v>11650212</v>
      </c>
    </row>
    <row r="415" spans="7:66" ht="13" x14ac:dyDescent="0.15">
      <c r="G415" s="4">
        <f ca="1">IFERROR(__xludf.DUMMYFUNCTION("""COMPUTED_VALUE"""),42724.6666666666)</f>
        <v>42724.666666666599</v>
      </c>
      <c r="H415" s="3">
        <f ca="1">IFERROR(__xludf.DUMMYFUNCTION("""COMPUTED_VALUE"""),83.03)</f>
        <v>83.03</v>
      </c>
      <c r="I415" s="3">
        <f ca="1">IFERROR(__xludf.DUMMYFUNCTION("""COMPUTED_VALUE"""),83.68)</f>
        <v>83.68</v>
      </c>
      <c r="J415" s="3">
        <f ca="1">IFERROR(__xludf.DUMMYFUNCTION("""COMPUTED_VALUE"""),83.02)</f>
        <v>83.02</v>
      </c>
      <c r="K415" s="3">
        <f ca="1">IFERROR(__xludf.DUMMYFUNCTION("""COMPUTED_VALUE"""),83.57)</f>
        <v>83.57</v>
      </c>
      <c r="L415" s="3">
        <f ca="1">IFERROR(__xludf.DUMMYFUNCTION("""COMPUTED_VALUE"""),4034205)</f>
        <v>4034205</v>
      </c>
      <c r="M415" s="4">
        <f ca="1">IFERROR(__xludf.DUMMYFUNCTION("""COMPUTED_VALUE"""),42724.6666666666)</f>
        <v>42724.666666666599</v>
      </c>
      <c r="N415" s="3">
        <f ca="1">IFERROR(__xludf.DUMMYFUNCTION("""COMPUTED_VALUE"""),52.17)</f>
        <v>52.17</v>
      </c>
      <c r="O415" s="3">
        <f ca="1">IFERROR(__xludf.DUMMYFUNCTION("""COMPUTED_VALUE"""),52.17)</f>
        <v>52.17</v>
      </c>
      <c r="P415" s="3">
        <f ca="1">IFERROR(__xludf.DUMMYFUNCTION("""COMPUTED_VALUE"""),51.81)</f>
        <v>51.81</v>
      </c>
      <c r="Q415" s="3">
        <f ca="1">IFERROR(__xludf.DUMMYFUNCTION("""COMPUTED_VALUE"""),52.05)</f>
        <v>52.05</v>
      </c>
      <c r="R415" s="3">
        <f ca="1">IFERROR(__xludf.DUMMYFUNCTION("""COMPUTED_VALUE"""),15316929)</f>
        <v>15316929</v>
      </c>
      <c r="S415" s="4">
        <f ca="1">IFERROR(__xludf.DUMMYFUNCTION("""COMPUTED_VALUE"""),42724.6666666666)</f>
        <v>42724.666666666599</v>
      </c>
      <c r="T415" s="3">
        <f ca="1">IFERROR(__xludf.DUMMYFUNCTION("""COMPUTED_VALUE"""),76.55)</f>
        <v>76.55</v>
      </c>
      <c r="U415" s="3">
        <f ca="1">IFERROR(__xludf.DUMMYFUNCTION("""COMPUTED_VALUE"""),76.65)</f>
        <v>76.650000000000006</v>
      </c>
      <c r="V415" s="3">
        <f ca="1">IFERROR(__xludf.DUMMYFUNCTION("""COMPUTED_VALUE"""),75.78)</f>
        <v>75.78</v>
      </c>
      <c r="W415" s="3">
        <f ca="1">IFERROR(__xludf.DUMMYFUNCTION("""COMPUTED_VALUE"""),75.99)</f>
        <v>75.989999999999995</v>
      </c>
      <c r="X415" s="3">
        <f ca="1">IFERROR(__xludf.DUMMYFUNCTION("""COMPUTED_VALUE"""),8982113)</f>
        <v>8982113</v>
      </c>
      <c r="Y415" s="4">
        <f ca="1">IFERROR(__xludf.DUMMYFUNCTION("""COMPUTED_VALUE"""),42724.6666666666)</f>
        <v>42724.666666666599</v>
      </c>
      <c r="Z415" s="3">
        <f ca="1">IFERROR(__xludf.DUMMYFUNCTION("""COMPUTED_VALUE"""),23.51)</f>
        <v>23.51</v>
      </c>
      <c r="AA415" s="3">
        <f ca="1">IFERROR(__xludf.DUMMYFUNCTION("""COMPUTED_VALUE"""),23.66)</f>
        <v>23.66</v>
      </c>
      <c r="AB415" s="3">
        <f ca="1">IFERROR(__xludf.DUMMYFUNCTION("""COMPUTED_VALUE"""),23.51)</f>
        <v>23.51</v>
      </c>
      <c r="AC415" s="3">
        <f ca="1">IFERROR(__xludf.DUMMYFUNCTION("""COMPUTED_VALUE"""),23.66)</f>
        <v>23.66</v>
      </c>
      <c r="AD415" s="3">
        <f ca="1">IFERROR(__xludf.DUMMYFUNCTION("""COMPUTED_VALUE"""),60793628)</f>
        <v>60793628</v>
      </c>
      <c r="AE415" s="4">
        <f ca="1">IFERROR(__xludf.DUMMYFUNCTION("""COMPUTED_VALUE"""),42724.6666666666)</f>
        <v>42724.666666666599</v>
      </c>
      <c r="AF415" s="3">
        <f ca="1">IFERROR(__xludf.DUMMYFUNCTION("""COMPUTED_VALUE"""),69.32)</f>
        <v>69.319999999999993</v>
      </c>
      <c r="AG415" s="3">
        <f ca="1">IFERROR(__xludf.DUMMYFUNCTION("""COMPUTED_VALUE"""),69.48)</f>
        <v>69.48</v>
      </c>
      <c r="AH415" s="3">
        <f ca="1">IFERROR(__xludf.DUMMYFUNCTION("""COMPUTED_VALUE"""),69.08)</f>
        <v>69.08</v>
      </c>
      <c r="AI415" s="3">
        <f ca="1">IFERROR(__xludf.DUMMYFUNCTION("""COMPUTED_VALUE"""),69.24)</f>
        <v>69.239999999999995</v>
      </c>
      <c r="AJ415" s="3">
        <f ca="1">IFERROR(__xludf.DUMMYFUNCTION("""COMPUTED_VALUE"""),4884998)</f>
        <v>4884998</v>
      </c>
      <c r="AK415" s="4">
        <f ca="1">IFERROR(__xludf.DUMMYFUNCTION("""COMPUTED_VALUE"""),42724.6666666666)</f>
        <v>42724.666666666599</v>
      </c>
      <c r="AL415" s="3">
        <f ca="1">IFERROR(__xludf.DUMMYFUNCTION("""COMPUTED_VALUE"""),63.04)</f>
        <v>63.04</v>
      </c>
      <c r="AM415" s="3">
        <f ca="1">IFERROR(__xludf.DUMMYFUNCTION("""COMPUTED_VALUE"""),63.32)</f>
        <v>63.32</v>
      </c>
      <c r="AN415" s="3">
        <f ca="1">IFERROR(__xludf.DUMMYFUNCTION("""COMPUTED_VALUE"""),63.04)</f>
        <v>63.04</v>
      </c>
      <c r="AO415" s="3">
        <f ca="1">IFERROR(__xludf.DUMMYFUNCTION("""COMPUTED_VALUE"""),63.29)</f>
        <v>63.29</v>
      </c>
      <c r="AP415" s="3">
        <f ca="1">IFERROR(__xludf.DUMMYFUNCTION("""COMPUTED_VALUE"""),5011417)</f>
        <v>5011417</v>
      </c>
      <c r="AQ415" s="4">
        <f ca="1">IFERROR(__xludf.DUMMYFUNCTION("""COMPUTED_VALUE"""),42724.6666666666)</f>
        <v>42724.666666666599</v>
      </c>
      <c r="AR415" s="3">
        <f ca="1">IFERROR(__xludf.DUMMYFUNCTION("""COMPUTED_VALUE"""),50.26)</f>
        <v>50.26</v>
      </c>
      <c r="AS415" s="3">
        <f ca="1">IFERROR(__xludf.DUMMYFUNCTION("""COMPUTED_VALUE"""),50.4)</f>
        <v>50.4</v>
      </c>
      <c r="AT415" s="3">
        <f ca="1">IFERROR(__xludf.DUMMYFUNCTION("""COMPUTED_VALUE"""),50.09)</f>
        <v>50.09</v>
      </c>
      <c r="AU415" s="3">
        <f ca="1">IFERROR(__xludf.DUMMYFUNCTION("""COMPUTED_VALUE"""),50.36)</f>
        <v>50.36</v>
      </c>
      <c r="AV415" s="3">
        <f ca="1">IFERROR(__xludf.DUMMYFUNCTION("""COMPUTED_VALUE"""),4426417)</f>
        <v>4426417</v>
      </c>
      <c r="AW415" s="4">
        <f ca="1">IFERROR(__xludf.DUMMYFUNCTION("""COMPUTED_VALUE"""),42892.6666666666)</f>
        <v>42892.666666666599</v>
      </c>
      <c r="AX415" s="3">
        <f ca="1">IFERROR(__xludf.DUMMYFUNCTION("""COMPUTED_VALUE"""),32.17)</f>
        <v>32.17</v>
      </c>
      <c r="AY415" s="3">
        <f ca="1">IFERROR(__xludf.DUMMYFUNCTION("""COMPUTED_VALUE"""),32.17)</f>
        <v>32.17</v>
      </c>
      <c r="AZ415" s="3">
        <f ca="1">IFERROR(__xludf.DUMMYFUNCTION("""COMPUTED_VALUE"""),31.98)</f>
        <v>31.98</v>
      </c>
      <c r="BA415" s="3">
        <f ca="1">IFERROR(__xludf.DUMMYFUNCTION("""COMPUTED_VALUE"""),32.01)</f>
        <v>32.01</v>
      </c>
      <c r="BB415" s="3">
        <f ca="1">IFERROR(__xludf.DUMMYFUNCTION("""COMPUTED_VALUE"""),1316520)</f>
        <v>1316520</v>
      </c>
      <c r="BC415" s="4">
        <f ca="1">IFERROR(__xludf.DUMMYFUNCTION("""COMPUTED_VALUE"""),42724.6666666666)</f>
        <v>42724.666666666599</v>
      </c>
      <c r="BD415" s="3">
        <f ca="1">IFERROR(__xludf.DUMMYFUNCTION("""COMPUTED_VALUE"""),49.07)</f>
        <v>49.07</v>
      </c>
      <c r="BE415" s="3">
        <f ca="1">IFERROR(__xludf.DUMMYFUNCTION("""COMPUTED_VALUE"""),49.2)</f>
        <v>49.2</v>
      </c>
      <c r="BF415" s="3">
        <f ca="1">IFERROR(__xludf.DUMMYFUNCTION("""COMPUTED_VALUE"""),49)</f>
        <v>49</v>
      </c>
      <c r="BG415" s="3">
        <f ca="1">IFERROR(__xludf.DUMMYFUNCTION("""COMPUTED_VALUE"""),49.12)</f>
        <v>49.12</v>
      </c>
      <c r="BH415" s="3">
        <f ca="1">IFERROR(__xludf.DUMMYFUNCTION("""COMPUTED_VALUE"""),5706485)</f>
        <v>5706485</v>
      </c>
      <c r="BI415" s="4">
        <f ca="1">IFERROR(__xludf.DUMMYFUNCTION("""COMPUTED_VALUE"""),42724.6666666666)</f>
        <v>42724.666666666599</v>
      </c>
      <c r="BJ415" s="3">
        <f ca="1">IFERROR(__xludf.DUMMYFUNCTION("""COMPUTED_VALUE"""),48.45)</f>
        <v>48.45</v>
      </c>
      <c r="BK415" s="3">
        <f ca="1">IFERROR(__xludf.DUMMYFUNCTION("""COMPUTED_VALUE"""),48.79)</f>
        <v>48.79</v>
      </c>
      <c r="BL415" s="3">
        <f ca="1">IFERROR(__xludf.DUMMYFUNCTION("""COMPUTED_VALUE"""),48.39)</f>
        <v>48.39</v>
      </c>
      <c r="BM415" s="3">
        <f ca="1">IFERROR(__xludf.DUMMYFUNCTION("""COMPUTED_VALUE"""),48.65)</f>
        <v>48.65</v>
      </c>
      <c r="BN415" s="3">
        <f ca="1">IFERROR(__xludf.DUMMYFUNCTION("""COMPUTED_VALUE"""),8663138)</f>
        <v>8663138</v>
      </c>
    </row>
    <row r="416" spans="7:66" ht="13" x14ac:dyDescent="0.15">
      <c r="G416" s="4">
        <f ca="1">IFERROR(__xludf.DUMMYFUNCTION("""COMPUTED_VALUE"""),42725.6666666666)</f>
        <v>42725.666666666599</v>
      </c>
      <c r="H416" s="3">
        <f ca="1">IFERROR(__xludf.DUMMYFUNCTION("""COMPUTED_VALUE"""),83.56)</f>
        <v>83.56</v>
      </c>
      <c r="I416" s="3">
        <f ca="1">IFERROR(__xludf.DUMMYFUNCTION("""COMPUTED_VALUE"""),83.62)</f>
        <v>83.62</v>
      </c>
      <c r="J416" s="3">
        <f ca="1">IFERROR(__xludf.DUMMYFUNCTION("""COMPUTED_VALUE"""),83.34)</f>
        <v>83.34</v>
      </c>
      <c r="K416" s="3">
        <f ca="1">IFERROR(__xludf.DUMMYFUNCTION("""COMPUTED_VALUE"""),83.53)</f>
        <v>83.53</v>
      </c>
      <c r="L416" s="3">
        <f ca="1">IFERROR(__xludf.DUMMYFUNCTION("""COMPUTED_VALUE"""),2702817)</f>
        <v>2702817</v>
      </c>
      <c r="M416" s="4">
        <f ca="1">IFERROR(__xludf.DUMMYFUNCTION("""COMPUTED_VALUE"""),42725.6666666666)</f>
        <v>42725.666666666599</v>
      </c>
      <c r="N416" s="3">
        <f ca="1">IFERROR(__xludf.DUMMYFUNCTION("""COMPUTED_VALUE"""),52)</f>
        <v>52</v>
      </c>
      <c r="O416" s="3">
        <f ca="1">IFERROR(__xludf.DUMMYFUNCTION("""COMPUTED_VALUE"""),52.29)</f>
        <v>52.29</v>
      </c>
      <c r="P416" s="3">
        <f ca="1">IFERROR(__xludf.DUMMYFUNCTION("""COMPUTED_VALUE"""),52)</f>
        <v>52</v>
      </c>
      <c r="Q416" s="3">
        <f ca="1">IFERROR(__xludf.DUMMYFUNCTION("""COMPUTED_VALUE"""),52.04)</f>
        <v>52.04</v>
      </c>
      <c r="R416" s="3">
        <f ca="1">IFERROR(__xludf.DUMMYFUNCTION("""COMPUTED_VALUE"""),6553072)</f>
        <v>6553072</v>
      </c>
      <c r="S416" s="4">
        <f ca="1">IFERROR(__xludf.DUMMYFUNCTION("""COMPUTED_VALUE"""),42725.6666666666)</f>
        <v>42725.666666666599</v>
      </c>
      <c r="T416" s="3">
        <f ca="1">IFERROR(__xludf.DUMMYFUNCTION("""COMPUTED_VALUE"""),76.15)</f>
        <v>76.150000000000006</v>
      </c>
      <c r="U416" s="3">
        <f ca="1">IFERROR(__xludf.DUMMYFUNCTION("""COMPUTED_VALUE"""),76.46)</f>
        <v>76.459999999999994</v>
      </c>
      <c r="V416" s="3">
        <f ca="1">IFERROR(__xludf.DUMMYFUNCTION("""COMPUTED_VALUE"""),75.73)</f>
        <v>75.73</v>
      </c>
      <c r="W416" s="3">
        <f ca="1">IFERROR(__xludf.DUMMYFUNCTION("""COMPUTED_VALUE"""),76.11)</f>
        <v>76.11</v>
      </c>
      <c r="X416" s="3">
        <f ca="1">IFERROR(__xludf.DUMMYFUNCTION("""COMPUTED_VALUE"""),8102704)</f>
        <v>8102704</v>
      </c>
      <c r="Y416" s="4">
        <f ca="1">IFERROR(__xludf.DUMMYFUNCTION("""COMPUTED_VALUE"""),42725.6666666666)</f>
        <v>42725.666666666599</v>
      </c>
      <c r="Z416" s="3">
        <f ca="1">IFERROR(__xludf.DUMMYFUNCTION("""COMPUTED_VALUE"""),23.66)</f>
        <v>23.66</v>
      </c>
      <c r="AA416" s="3">
        <f ca="1">IFERROR(__xludf.DUMMYFUNCTION("""COMPUTED_VALUE"""),23.67)</f>
        <v>23.67</v>
      </c>
      <c r="AB416" s="3">
        <f ca="1">IFERROR(__xludf.DUMMYFUNCTION("""COMPUTED_VALUE"""),23.52)</f>
        <v>23.52</v>
      </c>
      <c r="AC416" s="3">
        <f ca="1">IFERROR(__xludf.DUMMYFUNCTION("""COMPUTED_VALUE"""),23.6)</f>
        <v>23.6</v>
      </c>
      <c r="AD416" s="3">
        <f ca="1">IFERROR(__xludf.DUMMYFUNCTION("""COMPUTED_VALUE"""),37737962)</f>
        <v>37737962</v>
      </c>
      <c r="AE416" s="4">
        <f ca="1">IFERROR(__xludf.DUMMYFUNCTION("""COMPUTED_VALUE"""),42725.6666666666)</f>
        <v>42725.666666666599</v>
      </c>
      <c r="AF416" s="3">
        <f ca="1">IFERROR(__xludf.DUMMYFUNCTION("""COMPUTED_VALUE"""),69.28)</f>
        <v>69.28</v>
      </c>
      <c r="AG416" s="3">
        <f ca="1">IFERROR(__xludf.DUMMYFUNCTION("""COMPUTED_VALUE"""),69.31)</f>
        <v>69.31</v>
      </c>
      <c r="AH416" s="3">
        <f ca="1">IFERROR(__xludf.DUMMYFUNCTION("""COMPUTED_VALUE"""),68.73)</f>
        <v>68.73</v>
      </c>
      <c r="AI416" s="3">
        <f ca="1">IFERROR(__xludf.DUMMYFUNCTION("""COMPUTED_VALUE"""),68.85)</f>
        <v>68.849999999999994</v>
      </c>
      <c r="AJ416" s="3">
        <f ca="1">IFERROR(__xludf.DUMMYFUNCTION("""COMPUTED_VALUE"""),5432275)</f>
        <v>5432275</v>
      </c>
      <c r="AK416" s="4">
        <f ca="1">IFERROR(__xludf.DUMMYFUNCTION("""COMPUTED_VALUE"""),42725.6666666666)</f>
        <v>42725.666666666599</v>
      </c>
      <c r="AL416" s="3">
        <f ca="1">IFERROR(__xludf.DUMMYFUNCTION("""COMPUTED_VALUE"""),63.25)</f>
        <v>63.25</v>
      </c>
      <c r="AM416" s="3">
        <f ca="1">IFERROR(__xludf.DUMMYFUNCTION("""COMPUTED_VALUE"""),63.28)</f>
        <v>63.28</v>
      </c>
      <c r="AN416" s="3">
        <f ca="1">IFERROR(__xludf.DUMMYFUNCTION("""COMPUTED_VALUE"""),63.03)</f>
        <v>63.03</v>
      </c>
      <c r="AO416" s="3">
        <f ca="1">IFERROR(__xludf.DUMMYFUNCTION("""COMPUTED_VALUE"""),63.05)</f>
        <v>63.05</v>
      </c>
      <c r="AP416" s="3">
        <f ca="1">IFERROR(__xludf.DUMMYFUNCTION("""COMPUTED_VALUE"""),4648984)</f>
        <v>4648984</v>
      </c>
      <c r="AQ416" s="4">
        <f ca="1">IFERROR(__xludf.DUMMYFUNCTION("""COMPUTED_VALUE"""),42725.6666666666)</f>
        <v>42725.666666666599</v>
      </c>
      <c r="AR416" s="3">
        <f ca="1">IFERROR(__xludf.DUMMYFUNCTION("""COMPUTED_VALUE"""),50.55)</f>
        <v>50.55</v>
      </c>
      <c r="AS416" s="3">
        <f ca="1">IFERROR(__xludf.DUMMYFUNCTION("""COMPUTED_VALUE"""),50.59)</f>
        <v>50.59</v>
      </c>
      <c r="AT416" s="3">
        <f ca="1">IFERROR(__xludf.DUMMYFUNCTION("""COMPUTED_VALUE"""),50.3)</f>
        <v>50.3</v>
      </c>
      <c r="AU416" s="3">
        <f ca="1">IFERROR(__xludf.DUMMYFUNCTION("""COMPUTED_VALUE"""),50.38)</f>
        <v>50.38</v>
      </c>
      <c r="AV416" s="3">
        <f ca="1">IFERROR(__xludf.DUMMYFUNCTION("""COMPUTED_VALUE"""),3280135)</f>
        <v>3280135</v>
      </c>
      <c r="AW416" s="4">
        <f ca="1">IFERROR(__xludf.DUMMYFUNCTION("""COMPUTED_VALUE"""),42893.6666666666)</f>
        <v>42893.666666666599</v>
      </c>
      <c r="AX416" s="3">
        <f ca="1">IFERROR(__xludf.DUMMYFUNCTION("""COMPUTED_VALUE"""),32.05)</f>
        <v>32.049999999999997</v>
      </c>
      <c r="AY416" s="3">
        <f ca="1">IFERROR(__xludf.DUMMYFUNCTION("""COMPUTED_VALUE"""),32.21)</f>
        <v>32.21</v>
      </c>
      <c r="AZ416" s="3">
        <f ca="1">IFERROR(__xludf.DUMMYFUNCTION("""COMPUTED_VALUE"""),31.95)</f>
        <v>31.95</v>
      </c>
      <c r="BA416" s="3">
        <f ca="1">IFERROR(__xludf.DUMMYFUNCTION("""COMPUTED_VALUE"""),32.18)</f>
        <v>32.18</v>
      </c>
      <c r="BB416" s="3">
        <f ca="1">IFERROR(__xludf.DUMMYFUNCTION("""COMPUTED_VALUE"""),1078788)</f>
        <v>1078788</v>
      </c>
      <c r="BC416" s="4">
        <f ca="1">IFERROR(__xludf.DUMMYFUNCTION("""COMPUTED_VALUE"""),42725.6666666666)</f>
        <v>42725.666666666599</v>
      </c>
      <c r="BD416" s="3">
        <f ca="1">IFERROR(__xludf.DUMMYFUNCTION("""COMPUTED_VALUE"""),49.1)</f>
        <v>49.1</v>
      </c>
      <c r="BE416" s="3">
        <f ca="1">IFERROR(__xludf.DUMMYFUNCTION("""COMPUTED_VALUE"""),49.12)</f>
        <v>49.12</v>
      </c>
      <c r="BF416" s="3">
        <f ca="1">IFERROR(__xludf.DUMMYFUNCTION("""COMPUTED_VALUE"""),48.92)</f>
        <v>48.92</v>
      </c>
      <c r="BG416" s="3">
        <f ca="1">IFERROR(__xludf.DUMMYFUNCTION("""COMPUTED_VALUE"""),49.02)</f>
        <v>49.02</v>
      </c>
      <c r="BH416" s="3">
        <f ca="1">IFERROR(__xludf.DUMMYFUNCTION("""COMPUTED_VALUE"""),4623681)</f>
        <v>4623681</v>
      </c>
      <c r="BI416" s="4">
        <f ca="1">IFERROR(__xludf.DUMMYFUNCTION("""COMPUTED_VALUE"""),42725.6666666666)</f>
        <v>42725.666666666599</v>
      </c>
      <c r="BJ416" s="3">
        <f ca="1">IFERROR(__xludf.DUMMYFUNCTION("""COMPUTED_VALUE"""),48.66)</f>
        <v>48.66</v>
      </c>
      <c r="BK416" s="3">
        <f ca="1">IFERROR(__xludf.DUMMYFUNCTION("""COMPUTED_VALUE"""),48.89)</f>
        <v>48.89</v>
      </c>
      <c r="BL416" s="3">
        <f ca="1">IFERROR(__xludf.DUMMYFUNCTION("""COMPUTED_VALUE"""),48.44)</f>
        <v>48.44</v>
      </c>
      <c r="BM416" s="3">
        <f ca="1">IFERROR(__xludf.DUMMYFUNCTION("""COMPUTED_VALUE"""),48.45)</f>
        <v>48.45</v>
      </c>
      <c r="BN416" s="3">
        <f ca="1">IFERROR(__xludf.DUMMYFUNCTION("""COMPUTED_VALUE"""),8444189)</f>
        <v>8444189</v>
      </c>
    </row>
    <row r="417" spans="7:66" ht="13" x14ac:dyDescent="0.15">
      <c r="G417" s="4">
        <f ca="1">IFERROR(__xludf.DUMMYFUNCTION("""COMPUTED_VALUE"""),42726.6666666666)</f>
        <v>42726.666666666599</v>
      </c>
      <c r="H417" s="3">
        <f ca="1">IFERROR(__xludf.DUMMYFUNCTION("""COMPUTED_VALUE"""),83.38)</f>
        <v>83.38</v>
      </c>
      <c r="I417" s="3">
        <f ca="1">IFERROR(__xludf.DUMMYFUNCTION("""COMPUTED_VALUE"""),83.41)</f>
        <v>83.41</v>
      </c>
      <c r="J417" s="3">
        <f ca="1">IFERROR(__xludf.DUMMYFUNCTION("""COMPUTED_VALUE"""),82.5)</f>
        <v>82.5</v>
      </c>
      <c r="K417" s="3">
        <f ca="1">IFERROR(__xludf.DUMMYFUNCTION("""COMPUTED_VALUE"""),82.63)</f>
        <v>82.63</v>
      </c>
      <c r="L417" s="3">
        <f ca="1">IFERROR(__xludf.DUMMYFUNCTION("""COMPUTED_VALUE"""),4461019)</f>
        <v>4461019</v>
      </c>
      <c r="M417" s="4">
        <f ca="1">IFERROR(__xludf.DUMMYFUNCTION("""COMPUTED_VALUE"""),42726.6666666666)</f>
        <v>42726.666666666599</v>
      </c>
      <c r="N417" s="3">
        <f ca="1">IFERROR(__xludf.DUMMYFUNCTION("""COMPUTED_VALUE"""),51.98)</f>
        <v>51.98</v>
      </c>
      <c r="O417" s="3">
        <f ca="1">IFERROR(__xludf.DUMMYFUNCTION("""COMPUTED_VALUE"""),52.07)</f>
        <v>52.07</v>
      </c>
      <c r="P417" s="3">
        <f ca="1">IFERROR(__xludf.DUMMYFUNCTION("""COMPUTED_VALUE"""),51.87)</f>
        <v>51.87</v>
      </c>
      <c r="Q417" s="3">
        <f ca="1">IFERROR(__xludf.DUMMYFUNCTION("""COMPUTED_VALUE"""),51.96)</f>
        <v>51.96</v>
      </c>
      <c r="R417" s="3">
        <f ca="1">IFERROR(__xludf.DUMMYFUNCTION("""COMPUTED_VALUE"""),6537203)</f>
        <v>6537203</v>
      </c>
      <c r="S417" s="4">
        <f ca="1">IFERROR(__xludf.DUMMYFUNCTION("""COMPUTED_VALUE"""),42726.6666666666)</f>
        <v>42726.666666666599</v>
      </c>
      <c r="T417" s="3">
        <f ca="1">IFERROR(__xludf.DUMMYFUNCTION("""COMPUTED_VALUE"""),76.16)</f>
        <v>76.16</v>
      </c>
      <c r="U417" s="3">
        <f ca="1">IFERROR(__xludf.DUMMYFUNCTION("""COMPUTED_VALUE"""),76.62)</f>
        <v>76.62</v>
      </c>
      <c r="V417" s="3">
        <f ca="1">IFERROR(__xludf.DUMMYFUNCTION("""COMPUTED_VALUE"""),76.01)</f>
        <v>76.010000000000005</v>
      </c>
      <c r="W417" s="3">
        <f ca="1">IFERROR(__xludf.DUMMYFUNCTION("""COMPUTED_VALUE"""),76.42)</f>
        <v>76.42</v>
      </c>
      <c r="X417" s="3">
        <f ca="1">IFERROR(__xludf.DUMMYFUNCTION("""COMPUTED_VALUE"""),10970367)</f>
        <v>10970367</v>
      </c>
      <c r="Y417" s="4">
        <f ca="1">IFERROR(__xludf.DUMMYFUNCTION("""COMPUTED_VALUE"""),42726.6666666666)</f>
        <v>42726.666666666599</v>
      </c>
      <c r="Z417" s="3">
        <f ca="1">IFERROR(__xludf.DUMMYFUNCTION("""COMPUTED_VALUE"""),23.59)</f>
        <v>23.59</v>
      </c>
      <c r="AA417" s="3">
        <f ca="1">IFERROR(__xludf.DUMMYFUNCTION("""COMPUTED_VALUE"""),23.59)</f>
        <v>23.59</v>
      </c>
      <c r="AB417" s="3">
        <f ca="1">IFERROR(__xludf.DUMMYFUNCTION("""COMPUTED_VALUE"""),23.46)</f>
        <v>23.46</v>
      </c>
      <c r="AC417" s="3">
        <f ca="1">IFERROR(__xludf.DUMMYFUNCTION("""COMPUTED_VALUE"""),23.54)</f>
        <v>23.54</v>
      </c>
      <c r="AD417" s="3">
        <f ca="1">IFERROR(__xludf.DUMMYFUNCTION("""COMPUTED_VALUE"""),37796099)</f>
        <v>37796099</v>
      </c>
      <c r="AE417" s="4">
        <f ca="1">IFERROR(__xludf.DUMMYFUNCTION("""COMPUTED_VALUE"""),42726.6666666666)</f>
        <v>42726.666666666599</v>
      </c>
      <c r="AF417" s="3">
        <f ca="1">IFERROR(__xludf.DUMMYFUNCTION("""COMPUTED_VALUE"""),68.76)</f>
        <v>68.760000000000005</v>
      </c>
      <c r="AG417" s="3">
        <f ca="1">IFERROR(__xludf.DUMMYFUNCTION("""COMPUTED_VALUE"""),68.96)</f>
        <v>68.959999999999994</v>
      </c>
      <c r="AH417" s="3">
        <f ca="1">IFERROR(__xludf.DUMMYFUNCTION("""COMPUTED_VALUE"""),68.48)</f>
        <v>68.48</v>
      </c>
      <c r="AI417" s="3">
        <f ca="1">IFERROR(__xludf.DUMMYFUNCTION("""COMPUTED_VALUE"""),68.94)</f>
        <v>68.94</v>
      </c>
      <c r="AJ417" s="3">
        <f ca="1">IFERROR(__xludf.DUMMYFUNCTION("""COMPUTED_VALUE"""),4458413)</f>
        <v>4458413</v>
      </c>
      <c r="AK417" s="4">
        <f ca="1">IFERROR(__xludf.DUMMYFUNCTION("""COMPUTED_VALUE"""),42726.6666666666)</f>
        <v>42726.666666666599</v>
      </c>
      <c r="AL417" s="3">
        <f ca="1">IFERROR(__xludf.DUMMYFUNCTION("""COMPUTED_VALUE"""),63.01)</f>
        <v>63.01</v>
      </c>
      <c r="AM417" s="3">
        <f ca="1">IFERROR(__xludf.DUMMYFUNCTION("""COMPUTED_VALUE"""),63.08)</f>
        <v>63.08</v>
      </c>
      <c r="AN417" s="3">
        <f ca="1">IFERROR(__xludf.DUMMYFUNCTION("""COMPUTED_VALUE"""),62.78)</f>
        <v>62.78</v>
      </c>
      <c r="AO417" s="3">
        <f ca="1">IFERROR(__xludf.DUMMYFUNCTION("""COMPUTED_VALUE"""),62.93)</f>
        <v>62.93</v>
      </c>
      <c r="AP417" s="3">
        <f ca="1">IFERROR(__xludf.DUMMYFUNCTION("""COMPUTED_VALUE"""),4642675)</f>
        <v>4642675</v>
      </c>
      <c r="AQ417" s="4">
        <f ca="1">IFERROR(__xludf.DUMMYFUNCTION("""COMPUTED_VALUE"""),42726.6666666666)</f>
        <v>42726.666666666599</v>
      </c>
      <c r="AR417" s="3">
        <f ca="1">IFERROR(__xludf.DUMMYFUNCTION("""COMPUTED_VALUE"""),50.33)</f>
        <v>50.33</v>
      </c>
      <c r="AS417" s="3">
        <f ca="1">IFERROR(__xludf.DUMMYFUNCTION("""COMPUTED_VALUE"""),50.39)</f>
        <v>50.39</v>
      </c>
      <c r="AT417" s="3">
        <f ca="1">IFERROR(__xludf.DUMMYFUNCTION("""COMPUTED_VALUE"""),50.02)</f>
        <v>50.02</v>
      </c>
      <c r="AU417" s="3">
        <f ca="1">IFERROR(__xludf.DUMMYFUNCTION("""COMPUTED_VALUE"""),50.17)</f>
        <v>50.17</v>
      </c>
      <c r="AV417" s="3">
        <f ca="1">IFERROR(__xludf.DUMMYFUNCTION("""COMPUTED_VALUE"""),3315439)</f>
        <v>3315439</v>
      </c>
      <c r="AW417" s="4">
        <f ca="1">IFERROR(__xludf.DUMMYFUNCTION("""COMPUTED_VALUE"""),42894.6666666666)</f>
        <v>42894.666666666599</v>
      </c>
      <c r="AX417" s="3">
        <f ca="1">IFERROR(__xludf.DUMMYFUNCTION("""COMPUTED_VALUE"""),32.17)</f>
        <v>32.17</v>
      </c>
      <c r="AY417" s="3">
        <f ca="1">IFERROR(__xludf.DUMMYFUNCTION("""COMPUTED_VALUE"""),32.23)</f>
        <v>32.229999999999997</v>
      </c>
      <c r="AZ417" s="3">
        <f ca="1">IFERROR(__xludf.DUMMYFUNCTION("""COMPUTED_VALUE"""),31.77)</f>
        <v>31.77</v>
      </c>
      <c r="BA417" s="3">
        <f ca="1">IFERROR(__xludf.DUMMYFUNCTION("""COMPUTED_VALUE"""),32.03)</f>
        <v>32.03</v>
      </c>
      <c r="BB417" s="3">
        <f ca="1">IFERROR(__xludf.DUMMYFUNCTION("""COMPUTED_VALUE"""),2293788)</f>
        <v>2293788</v>
      </c>
      <c r="BC417" s="4">
        <f ca="1">IFERROR(__xludf.DUMMYFUNCTION("""COMPUTED_VALUE"""),42726.6666666666)</f>
        <v>42726.666666666599</v>
      </c>
      <c r="BD417" s="3">
        <f ca="1">IFERROR(__xludf.DUMMYFUNCTION("""COMPUTED_VALUE"""),49.02)</f>
        <v>49.02</v>
      </c>
      <c r="BE417" s="3">
        <f ca="1">IFERROR(__xludf.DUMMYFUNCTION("""COMPUTED_VALUE"""),49.05)</f>
        <v>49.05</v>
      </c>
      <c r="BF417" s="3">
        <f ca="1">IFERROR(__xludf.DUMMYFUNCTION("""COMPUTED_VALUE"""),48.77)</f>
        <v>48.77</v>
      </c>
      <c r="BG417" s="3">
        <f ca="1">IFERROR(__xludf.DUMMYFUNCTION("""COMPUTED_VALUE"""),48.92)</f>
        <v>48.92</v>
      </c>
      <c r="BH417" s="3">
        <f ca="1">IFERROR(__xludf.DUMMYFUNCTION("""COMPUTED_VALUE"""),11105195)</f>
        <v>11105195</v>
      </c>
      <c r="BI417" s="4">
        <f ca="1">IFERROR(__xludf.DUMMYFUNCTION("""COMPUTED_VALUE"""),42726.6666666666)</f>
        <v>42726.666666666599</v>
      </c>
      <c r="BJ417" s="3">
        <f ca="1">IFERROR(__xludf.DUMMYFUNCTION("""COMPUTED_VALUE"""),48.42)</f>
        <v>48.42</v>
      </c>
      <c r="BK417" s="3">
        <f ca="1">IFERROR(__xludf.DUMMYFUNCTION("""COMPUTED_VALUE"""),48.71)</f>
        <v>48.71</v>
      </c>
      <c r="BL417" s="3">
        <f ca="1">IFERROR(__xludf.DUMMYFUNCTION("""COMPUTED_VALUE"""),48.33)</f>
        <v>48.33</v>
      </c>
      <c r="BM417" s="3">
        <f ca="1">IFERROR(__xludf.DUMMYFUNCTION("""COMPUTED_VALUE"""),48.62)</f>
        <v>48.62</v>
      </c>
      <c r="BN417" s="3">
        <f ca="1">IFERROR(__xludf.DUMMYFUNCTION("""COMPUTED_VALUE"""),7465247)</f>
        <v>7465247</v>
      </c>
    </row>
    <row r="418" spans="7:66" ht="13" x14ac:dyDescent="0.15">
      <c r="G418" s="4">
        <f ca="1">IFERROR(__xludf.DUMMYFUNCTION("""COMPUTED_VALUE"""),42727.6666666666)</f>
        <v>42727.666666666599</v>
      </c>
      <c r="H418" s="3">
        <f ca="1">IFERROR(__xludf.DUMMYFUNCTION("""COMPUTED_VALUE"""),82.61)</f>
        <v>82.61</v>
      </c>
      <c r="I418" s="3">
        <f ca="1">IFERROR(__xludf.DUMMYFUNCTION("""COMPUTED_VALUE"""),82.77)</f>
        <v>82.77</v>
      </c>
      <c r="J418" s="3">
        <f ca="1">IFERROR(__xludf.DUMMYFUNCTION("""COMPUTED_VALUE"""),82.35)</f>
        <v>82.35</v>
      </c>
      <c r="K418" s="3">
        <f ca="1">IFERROR(__xludf.DUMMYFUNCTION("""COMPUTED_VALUE"""),82.45)</f>
        <v>82.45</v>
      </c>
      <c r="L418" s="3">
        <f ca="1">IFERROR(__xludf.DUMMYFUNCTION("""COMPUTED_VALUE"""),2836955)</f>
        <v>2836955</v>
      </c>
      <c r="M418" s="4">
        <f ca="1">IFERROR(__xludf.DUMMYFUNCTION("""COMPUTED_VALUE"""),42727.6666666666)</f>
        <v>42727.666666666599</v>
      </c>
      <c r="N418" s="3">
        <f ca="1">IFERROR(__xludf.DUMMYFUNCTION("""COMPUTED_VALUE"""),51.93)</f>
        <v>51.93</v>
      </c>
      <c r="O418" s="3">
        <f ca="1">IFERROR(__xludf.DUMMYFUNCTION("""COMPUTED_VALUE"""),52.1)</f>
        <v>52.1</v>
      </c>
      <c r="P418" s="3">
        <f ca="1">IFERROR(__xludf.DUMMYFUNCTION("""COMPUTED_VALUE"""),51.93)</f>
        <v>51.93</v>
      </c>
      <c r="Q418" s="3">
        <f ca="1">IFERROR(__xludf.DUMMYFUNCTION("""COMPUTED_VALUE"""),52.06)</f>
        <v>52.06</v>
      </c>
      <c r="R418" s="3">
        <f ca="1">IFERROR(__xludf.DUMMYFUNCTION("""COMPUTED_VALUE"""),6484307)</f>
        <v>6484307</v>
      </c>
      <c r="S418" s="4">
        <f ca="1">IFERROR(__xludf.DUMMYFUNCTION("""COMPUTED_VALUE"""),42727.6666666666)</f>
        <v>42727.666666666599</v>
      </c>
      <c r="T418" s="3">
        <f ca="1">IFERROR(__xludf.DUMMYFUNCTION("""COMPUTED_VALUE"""),76.3)</f>
        <v>76.3</v>
      </c>
      <c r="U418" s="3">
        <f ca="1">IFERROR(__xludf.DUMMYFUNCTION("""COMPUTED_VALUE"""),76.51)</f>
        <v>76.510000000000005</v>
      </c>
      <c r="V418" s="3">
        <f ca="1">IFERROR(__xludf.DUMMYFUNCTION("""COMPUTED_VALUE"""),76.18)</f>
        <v>76.180000000000007</v>
      </c>
      <c r="W418" s="3">
        <f ca="1">IFERROR(__xludf.DUMMYFUNCTION("""COMPUTED_VALUE"""),76.35)</f>
        <v>76.349999999999994</v>
      </c>
      <c r="X418" s="3">
        <f ca="1">IFERROR(__xludf.DUMMYFUNCTION("""COMPUTED_VALUE"""),6398132)</f>
        <v>6398132</v>
      </c>
      <c r="Y418" s="4">
        <f ca="1">IFERROR(__xludf.DUMMYFUNCTION("""COMPUTED_VALUE"""),42727.6666666666)</f>
        <v>42727.666666666599</v>
      </c>
      <c r="Z418" s="3">
        <f ca="1">IFERROR(__xludf.DUMMYFUNCTION("""COMPUTED_VALUE"""),23.54)</f>
        <v>23.54</v>
      </c>
      <c r="AA418" s="3">
        <f ca="1">IFERROR(__xludf.DUMMYFUNCTION("""COMPUTED_VALUE"""),23.58)</f>
        <v>23.58</v>
      </c>
      <c r="AB418" s="3">
        <f ca="1">IFERROR(__xludf.DUMMYFUNCTION("""COMPUTED_VALUE"""),23.47)</f>
        <v>23.47</v>
      </c>
      <c r="AC418" s="3">
        <f ca="1">IFERROR(__xludf.DUMMYFUNCTION("""COMPUTED_VALUE"""),23.58)</f>
        <v>23.58</v>
      </c>
      <c r="AD418" s="3">
        <f ca="1">IFERROR(__xludf.DUMMYFUNCTION("""COMPUTED_VALUE"""),18276667)</f>
        <v>18276667</v>
      </c>
      <c r="AE418" s="4">
        <f ca="1">IFERROR(__xludf.DUMMYFUNCTION("""COMPUTED_VALUE"""),42727.6666666666)</f>
        <v>42727.666666666599</v>
      </c>
      <c r="AF418" s="3">
        <f ca="1">IFERROR(__xludf.DUMMYFUNCTION("""COMPUTED_VALUE"""),68.96)</f>
        <v>68.959999999999994</v>
      </c>
      <c r="AG418" s="3">
        <f ca="1">IFERROR(__xludf.DUMMYFUNCTION("""COMPUTED_VALUE"""),69.5)</f>
        <v>69.5</v>
      </c>
      <c r="AH418" s="3">
        <f ca="1">IFERROR(__xludf.DUMMYFUNCTION("""COMPUTED_VALUE"""),68.96)</f>
        <v>68.959999999999994</v>
      </c>
      <c r="AI418" s="3">
        <f ca="1">IFERROR(__xludf.DUMMYFUNCTION("""COMPUTED_VALUE"""),69.46)</f>
        <v>69.459999999999994</v>
      </c>
      <c r="AJ418" s="3">
        <f ca="1">IFERROR(__xludf.DUMMYFUNCTION("""COMPUTED_VALUE"""),4188703)</f>
        <v>4188703</v>
      </c>
      <c r="AK418" s="4">
        <f ca="1">IFERROR(__xludf.DUMMYFUNCTION("""COMPUTED_VALUE"""),42727.6666666666)</f>
        <v>42727.666666666599</v>
      </c>
      <c r="AL418" s="3">
        <f ca="1">IFERROR(__xludf.DUMMYFUNCTION("""COMPUTED_VALUE"""),62.92)</f>
        <v>62.92</v>
      </c>
      <c r="AM418" s="3">
        <f ca="1">IFERROR(__xludf.DUMMYFUNCTION("""COMPUTED_VALUE"""),63.06)</f>
        <v>63.06</v>
      </c>
      <c r="AN418" s="3">
        <f ca="1">IFERROR(__xludf.DUMMYFUNCTION("""COMPUTED_VALUE"""),62.87)</f>
        <v>62.87</v>
      </c>
      <c r="AO418" s="3">
        <f ca="1">IFERROR(__xludf.DUMMYFUNCTION("""COMPUTED_VALUE"""),62.99)</f>
        <v>62.99</v>
      </c>
      <c r="AP418" s="3">
        <f ca="1">IFERROR(__xludf.DUMMYFUNCTION("""COMPUTED_VALUE"""),5101030)</f>
        <v>5101030</v>
      </c>
      <c r="AQ418" s="4">
        <f ca="1">IFERROR(__xludf.DUMMYFUNCTION("""COMPUTED_VALUE"""),42727.6666666666)</f>
        <v>42727.666666666599</v>
      </c>
      <c r="AR418" s="3">
        <f ca="1">IFERROR(__xludf.DUMMYFUNCTION("""COMPUTED_VALUE"""),50.31)</f>
        <v>50.31</v>
      </c>
      <c r="AS418" s="3">
        <f ca="1">IFERROR(__xludf.DUMMYFUNCTION("""COMPUTED_VALUE"""),50.31)</f>
        <v>50.31</v>
      </c>
      <c r="AT418" s="3">
        <f ca="1">IFERROR(__xludf.DUMMYFUNCTION("""COMPUTED_VALUE"""),49.97)</f>
        <v>49.97</v>
      </c>
      <c r="AU418" s="3">
        <f ca="1">IFERROR(__xludf.DUMMYFUNCTION("""COMPUTED_VALUE"""),50.27)</f>
        <v>50.27</v>
      </c>
      <c r="AV418" s="3">
        <f ca="1">IFERROR(__xludf.DUMMYFUNCTION("""COMPUTED_VALUE"""),2157398)</f>
        <v>2157398</v>
      </c>
      <c r="AW418" s="4">
        <f ca="1">IFERROR(__xludf.DUMMYFUNCTION("""COMPUTED_VALUE"""),42895.6666666666)</f>
        <v>42895.666666666599</v>
      </c>
      <c r="AX418" s="3">
        <f ca="1">IFERROR(__xludf.DUMMYFUNCTION("""COMPUTED_VALUE"""),31.98)</f>
        <v>31.98</v>
      </c>
      <c r="AY418" s="3">
        <f ca="1">IFERROR(__xludf.DUMMYFUNCTION("""COMPUTED_VALUE"""),32.26)</f>
        <v>32.26</v>
      </c>
      <c r="AZ418" s="3">
        <f ca="1">IFERROR(__xludf.DUMMYFUNCTION("""COMPUTED_VALUE"""),31.89)</f>
        <v>31.89</v>
      </c>
      <c r="BA418" s="3">
        <f ca="1">IFERROR(__xludf.DUMMYFUNCTION("""COMPUTED_VALUE"""),32.18)</f>
        <v>32.18</v>
      </c>
      <c r="BB418" s="3">
        <f ca="1">IFERROR(__xludf.DUMMYFUNCTION("""COMPUTED_VALUE"""),1787648)</f>
        <v>1787648</v>
      </c>
      <c r="BC418" s="4">
        <f ca="1">IFERROR(__xludf.DUMMYFUNCTION("""COMPUTED_VALUE"""),42727.6666666666)</f>
        <v>42727.666666666599</v>
      </c>
      <c r="BD418" s="3">
        <f ca="1">IFERROR(__xludf.DUMMYFUNCTION("""COMPUTED_VALUE"""),48.87)</f>
        <v>48.87</v>
      </c>
      <c r="BE418" s="3">
        <f ca="1">IFERROR(__xludf.DUMMYFUNCTION("""COMPUTED_VALUE"""),48.98)</f>
        <v>48.98</v>
      </c>
      <c r="BF418" s="3">
        <f ca="1">IFERROR(__xludf.DUMMYFUNCTION("""COMPUTED_VALUE"""),48.78)</f>
        <v>48.78</v>
      </c>
      <c r="BG418" s="3">
        <f ca="1">IFERROR(__xludf.DUMMYFUNCTION("""COMPUTED_VALUE"""),48.97)</f>
        <v>48.97</v>
      </c>
      <c r="BH418" s="3">
        <f ca="1">IFERROR(__xludf.DUMMYFUNCTION("""COMPUTED_VALUE"""),6358653)</f>
        <v>6358653</v>
      </c>
      <c r="BI418" s="4">
        <f ca="1">IFERROR(__xludf.DUMMYFUNCTION("""COMPUTED_VALUE"""),42727.6666666666)</f>
        <v>42727.666666666599</v>
      </c>
      <c r="BJ418" s="3">
        <f ca="1">IFERROR(__xludf.DUMMYFUNCTION("""COMPUTED_VALUE"""),48.68)</f>
        <v>48.68</v>
      </c>
      <c r="BK418" s="3">
        <f ca="1">IFERROR(__xludf.DUMMYFUNCTION("""COMPUTED_VALUE"""),48.8)</f>
        <v>48.8</v>
      </c>
      <c r="BL418" s="3">
        <f ca="1">IFERROR(__xludf.DUMMYFUNCTION("""COMPUTED_VALUE"""),48.45)</f>
        <v>48.45</v>
      </c>
      <c r="BM418" s="3">
        <f ca="1">IFERROR(__xludf.DUMMYFUNCTION("""COMPUTED_VALUE"""),48.61)</f>
        <v>48.61</v>
      </c>
      <c r="BN418" s="3">
        <f ca="1">IFERROR(__xludf.DUMMYFUNCTION("""COMPUTED_VALUE"""),7778511)</f>
        <v>7778511</v>
      </c>
    </row>
    <row r="419" spans="7:66" ht="13" x14ac:dyDescent="0.15">
      <c r="G419" s="4">
        <f ca="1">IFERROR(__xludf.DUMMYFUNCTION("""COMPUTED_VALUE"""),42731.6666666666)</f>
        <v>42731.666666666599</v>
      </c>
      <c r="H419" s="3">
        <f ca="1">IFERROR(__xludf.DUMMYFUNCTION("""COMPUTED_VALUE"""),82.51)</f>
        <v>82.51</v>
      </c>
      <c r="I419" s="3">
        <f ca="1">IFERROR(__xludf.DUMMYFUNCTION("""COMPUTED_VALUE"""),83.1)</f>
        <v>83.1</v>
      </c>
      <c r="J419" s="3">
        <f ca="1">IFERROR(__xludf.DUMMYFUNCTION("""COMPUTED_VALUE"""),82.51)</f>
        <v>82.51</v>
      </c>
      <c r="K419" s="3">
        <f ca="1">IFERROR(__xludf.DUMMYFUNCTION("""COMPUTED_VALUE"""),82.77)</f>
        <v>82.77</v>
      </c>
      <c r="L419" s="3">
        <f ca="1">IFERROR(__xludf.DUMMYFUNCTION("""COMPUTED_VALUE"""),6101058)</f>
        <v>6101058</v>
      </c>
      <c r="M419" s="4">
        <f ca="1">IFERROR(__xludf.DUMMYFUNCTION("""COMPUTED_VALUE"""),42731.6666666666)</f>
        <v>42731.666666666599</v>
      </c>
      <c r="N419" s="3">
        <f ca="1">IFERROR(__xludf.DUMMYFUNCTION("""COMPUTED_VALUE"""),52.02)</f>
        <v>52.02</v>
      </c>
      <c r="O419" s="3">
        <f ca="1">IFERROR(__xludf.DUMMYFUNCTION("""COMPUTED_VALUE"""),52.15)</f>
        <v>52.15</v>
      </c>
      <c r="P419" s="3">
        <f ca="1">IFERROR(__xludf.DUMMYFUNCTION("""COMPUTED_VALUE"""),51.96)</f>
        <v>51.96</v>
      </c>
      <c r="Q419" s="3">
        <f ca="1">IFERROR(__xludf.DUMMYFUNCTION("""COMPUTED_VALUE"""),52.05)</f>
        <v>52.05</v>
      </c>
      <c r="R419" s="3">
        <f ca="1">IFERROR(__xludf.DUMMYFUNCTION("""COMPUTED_VALUE"""),13378478)</f>
        <v>13378478</v>
      </c>
      <c r="S419" s="4">
        <f ca="1">IFERROR(__xludf.DUMMYFUNCTION("""COMPUTED_VALUE"""),42731.6666666666)</f>
        <v>42731.666666666599</v>
      </c>
      <c r="T419" s="3">
        <f ca="1">IFERROR(__xludf.DUMMYFUNCTION("""COMPUTED_VALUE"""),76.47)</f>
        <v>76.47</v>
      </c>
      <c r="U419" s="3">
        <f ca="1">IFERROR(__xludf.DUMMYFUNCTION("""COMPUTED_VALUE"""),76.78)</f>
        <v>76.78</v>
      </c>
      <c r="V419" s="3">
        <f ca="1">IFERROR(__xludf.DUMMYFUNCTION("""COMPUTED_VALUE"""),76.4)</f>
        <v>76.400000000000006</v>
      </c>
      <c r="W419" s="3">
        <f ca="1">IFERROR(__xludf.DUMMYFUNCTION("""COMPUTED_VALUE"""),76.52)</f>
        <v>76.52</v>
      </c>
      <c r="X419" s="3">
        <f ca="1">IFERROR(__xludf.DUMMYFUNCTION("""COMPUTED_VALUE"""),10008858)</f>
        <v>10008858</v>
      </c>
      <c r="Y419" s="4">
        <f ca="1">IFERROR(__xludf.DUMMYFUNCTION("""COMPUTED_VALUE"""),42731.6666666666)</f>
        <v>42731.666666666599</v>
      </c>
      <c r="Z419" s="3">
        <f ca="1">IFERROR(__xludf.DUMMYFUNCTION("""COMPUTED_VALUE"""),23.63)</f>
        <v>23.63</v>
      </c>
      <c r="AA419" s="3">
        <f ca="1">IFERROR(__xludf.DUMMYFUNCTION("""COMPUTED_VALUE"""),23.64)</f>
        <v>23.64</v>
      </c>
      <c r="AB419" s="3">
        <f ca="1">IFERROR(__xludf.DUMMYFUNCTION("""COMPUTED_VALUE"""),23.58)</f>
        <v>23.58</v>
      </c>
      <c r="AC419" s="3">
        <f ca="1">IFERROR(__xludf.DUMMYFUNCTION("""COMPUTED_VALUE"""),23.61)</f>
        <v>23.61</v>
      </c>
      <c r="AD419" s="3">
        <f ca="1">IFERROR(__xludf.DUMMYFUNCTION("""COMPUTED_VALUE"""),38241051)</f>
        <v>38241051</v>
      </c>
      <c r="AE419" s="4">
        <f ca="1">IFERROR(__xludf.DUMMYFUNCTION("""COMPUTED_VALUE"""),42731.6666666666)</f>
        <v>42731.666666666599</v>
      </c>
      <c r="AF419" s="3">
        <f ca="1">IFERROR(__xludf.DUMMYFUNCTION("""COMPUTED_VALUE"""),69.55)</f>
        <v>69.55</v>
      </c>
      <c r="AG419" s="3">
        <f ca="1">IFERROR(__xludf.DUMMYFUNCTION("""COMPUTED_VALUE"""),70)</f>
        <v>70</v>
      </c>
      <c r="AH419" s="3">
        <f ca="1">IFERROR(__xludf.DUMMYFUNCTION("""COMPUTED_VALUE"""),69.53)</f>
        <v>69.53</v>
      </c>
      <c r="AI419" s="3">
        <f ca="1">IFERROR(__xludf.DUMMYFUNCTION("""COMPUTED_VALUE"""),69.6)</f>
        <v>69.599999999999994</v>
      </c>
      <c r="AJ419" s="3">
        <f ca="1">IFERROR(__xludf.DUMMYFUNCTION("""COMPUTED_VALUE"""),5141174)</f>
        <v>5141174</v>
      </c>
      <c r="AK419" s="4">
        <f ca="1">IFERROR(__xludf.DUMMYFUNCTION("""COMPUTED_VALUE"""),42731.6666666666)</f>
        <v>42731.666666666599</v>
      </c>
      <c r="AL419" s="3">
        <f ca="1">IFERROR(__xludf.DUMMYFUNCTION("""COMPUTED_VALUE"""),63.1)</f>
        <v>63.1</v>
      </c>
      <c r="AM419" s="3">
        <f ca="1">IFERROR(__xludf.DUMMYFUNCTION("""COMPUTED_VALUE"""),63.23)</f>
        <v>63.23</v>
      </c>
      <c r="AN419" s="3">
        <f ca="1">IFERROR(__xludf.DUMMYFUNCTION("""COMPUTED_VALUE"""),62.99)</f>
        <v>62.99</v>
      </c>
      <c r="AO419" s="3">
        <f ca="1">IFERROR(__xludf.DUMMYFUNCTION("""COMPUTED_VALUE"""),63.12)</f>
        <v>63.12</v>
      </c>
      <c r="AP419" s="3">
        <f ca="1">IFERROR(__xludf.DUMMYFUNCTION("""COMPUTED_VALUE"""),3499380)</f>
        <v>3499380</v>
      </c>
      <c r="AQ419" s="4">
        <f ca="1">IFERROR(__xludf.DUMMYFUNCTION("""COMPUTED_VALUE"""),42731.6666666666)</f>
        <v>42731.666666666599</v>
      </c>
      <c r="AR419" s="3">
        <f ca="1">IFERROR(__xludf.DUMMYFUNCTION("""COMPUTED_VALUE"""),50.41)</f>
        <v>50.41</v>
      </c>
      <c r="AS419" s="3">
        <f ca="1">IFERROR(__xludf.DUMMYFUNCTION("""COMPUTED_VALUE"""),50.6)</f>
        <v>50.6</v>
      </c>
      <c r="AT419" s="3">
        <f ca="1">IFERROR(__xludf.DUMMYFUNCTION("""COMPUTED_VALUE"""),50.21)</f>
        <v>50.21</v>
      </c>
      <c r="AU419" s="3">
        <f ca="1">IFERROR(__xludf.DUMMYFUNCTION("""COMPUTED_VALUE"""),50.54)</f>
        <v>50.54</v>
      </c>
      <c r="AV419" s="3">
        <f ca="1">IFERROR(__xludf.DUMMYFUNCTION("""COMPUTED_VALUE"""),3886527)</f>
        <v>3886527</v>
      </c>
      <c r="AW419" s="4">
        <f ca="1">IFERROR(__xludf.DUMMYFUNCTION("""COMPUTED_VALUE"""),42898.6666666666)</f>
        <v>42898.666666666599</v>
      </c>
      <c r="AX419" s="3">
        <f ca="1">IFERROR(__xludf.DUMMYFUNCTION("""COMPUTED_VALUE"""),32.09)</f>
        <v>32.090000000000003</v>
      </c>
      <c r="AY419" s="3">
        <f ca="1">IFERROR(__xludf.DUMMYFUNCTION("""COMPUTED_VALUE"""),32.4)</f>
        <v>32.4</v>
      </c>
      <c r="AZ419" s="3">
        <f ca="1">IFERROR(__xludf.DUMMYFUNCTION("""COMPUTED_VALUE"""),32.01)</f>
        <v>32.01</v>
      </c>
      <c r="BA419" s="3">
        <f ca="1">IFERROR(__xludf.DUMMYFUNCTION("""COMPUTED_VALUE"""),32.39)</f>
        <v>32.39</v>
      </c>
      <c r="BB419" s="3">
        <f ca="1">IFERROR(__xludf.DUMMYFUNCTION("""COMPUTED_VALUE"""),3135988)</f>
        <v>3135988</v>
      </c>
      <c r="BC419" s="4">
        <f ca="1">IFERROR(__xludf.DUMMYFUNCTION("""COMPUTED_VALUE"""),42731.6666666666)</f>
        <v>42731.666666666599</v>
      </c>
      <c r="BD419" s="3">
        <f ca="1">IFERROR(__xludf.DUMMYFUNCTION("""COMPUTED_VALUE"""),49.02)</f>
        <v>49.02</v>
      </c>
      <c r="BE419" s="3">
        <f ca="1">IFERROR(__xludf.DUMMYFUNCTION("""COMPUTED_VALUE"""),49.4)</f>
        <v>49.4</v>
      </c>
      <c r="BF419" s="3">
        <f ca="1">IFERROR(__xludf.DUMMYFUNCTION("""COMPUTED_VALUE"""),49)</f>
        <v>49</v>
      </c>
      <c r="BG419" s="3">
        <f ca="1">IFERROR(__xludf.DUMMYFUNCTION("""COMPUTED_VALUE"""),49.17)</f>
        <v>49.17</v>
      </c>
      <c r="BH419" s="3">
        <f ca="1">IFERROR(__xludf.DUMMYFUNCTION("""COMPUTED_VALUE"""),6840653)</f>
        <v>6840653</v>
      </c>
      <c r="BI419" s="4">
        <f ca="1">IFERROR(__xludf.DUMMYFUNCTION("""COMPUTED_VALUE"""),42731.6666666666)</f>
        <v>42731.666666666599</v>
      </c>
      <c r="BJ419" s="3">
        <f ca="1">IFERROR(__xludf.DUMMYFUNCTION("""COMPUTED_VALUE"""),48.42)</f>
        <v>48.42</v>
      </c>
      <c r="BK419" s="3">
        <f ca="1">IFERROR(__xludf.DUMMYFUNCTION("""COMPUTED_VALUE"""),48.77)</f>
        <v>48.77</v>
      </c>
      <c r="BL419" s="3">
        <f ca="1">IFERROR(__xludf.DUMMYFUNCTION("""COMPUTED_VALUE"""),48.37)</f>
        <v>48.37</v>
      </c>
      <c r="BM419" s="3">
        <f ca="1">IFERROR(__xludf.DUMMYFUNCTION("""COMPUTED_VALUE"""),48.65)</f>
        <v>48.65</v>
      </c>
      <c r="BN419" s="3">
        <f ca="1">IFERROR(__xludf.DUMMYFUNCTION("""COMPUTED_VALUE"""),13134359)</f>
        <v>13134359</v>
      </c>
    </row>
    <row r="420" spans="7:66" ht="13" x14ac:dyDescent="0.15">
      <c r="G420" s="4">
        <f ca="1">IFERROR(__xludf.DUMMYFUNCTION("""COMPUTED_VALUE"""),42732.6666666666)</f>
        <v>42732.666666666599</v>
      </c>
      <c r="H420" s="3">
        <f ca="1">IFERROR(__xludf.DUMMYFUNCTION("""COMPUTED_VALUE"""),82.95)</f>
        <v>82.95</v>
      </c>
      <c r="I420" s="3">
        <f ca="1">IFERROR(__xludf.DUMMYFUNCTION("""COMPUTED_VALUE"""),83.03)</f>
        <v>83.03</v>
      </c>
      <c r="J420" s="3">
        <f ca="1">IFERROR(__xludf.DUMMYFUNCTION("""COMPUTED_VALUE"""),82.18)</f>
        <v>82.18</v>
      </c>
      <c r="K420" s="3">
        <f ca="1">IFERROR(__xludf.DUMMYFUNCTION("""COMPUTED_VALUE"""),82.2)</f>
        <v>82.2</v>
      </c>
      <c r="L420" s="3">
        <f ca="1">IFERROR(__xludf.DUMMYFUNCTION("""COMPUTED_VALUE"""),3857667)</f>
        <v>3857667</v>
      </c>
      <c r="M420" s="4">
        <f ca="1">IFERROR(__xludf.DUMMYFUNCTION("""COMPUTED_VALUE"""),42732.6666666666)</f>
        <v>42732.666666666599</v>
      </c>
      <c r="N420" s="3">
        <f ca="1">IFERROR(__xludf.DUMMYFUNCTION("""COMPUTED_VALUE"""),52.01)</f>
        <v>52.01</v>
      </c>
      <c r="O420" s="3">
        <f ca="1">IFERROR(__xludf.DUMMYFUNCTION("""COMPUTED_VALUE"""),52.04)</f>
        <v>52.04</v>
      </c>
      <c r="P420" s="3">
        <f ca="1">IFERROR(__xludf.DUMMYFUNCTION("""COMPUTED_VALUE"""),51.73)</f>
        <v>51.73</v>
      </c>
      <c r="Q420" s="3">
        <f ca="1">IFERROR(__xludf.DUMMYFUNCTION("""COMPUTED_VALUE"""),51.73)</f>
        <v>51.73</v>
      </c>
      <c r="R420" s="3">
        <f ca="1">IFERROR(__xludf.DUMMYFUNCTION("""COMPUTED_VALUE"""),8643605)</f>
        <v>8643605</v>
      </c>
      <c r="S420" s="4">
        <f ca="1">IFERROR(__xludf.DUMMYFUNCTION("""COMPUTED_VALUE"""),42732.6666666666)</f>
        <v>42732.666666666599</v>
      </c>
      <c r="T420" s="3">
        <f ca="1">IFERROR(__xludf.DUMMYFUNCTION("""COMPUTED_VALUE"""),76.69)</f>
        <v>76.69</v>
      </c>
      <c r="U420" s="3">
        <f ca="1">IFERROR(__xludf.DUMMYFUNCTION("""COMPUTED_VALUE"""),76.72)</f>
        <v>76.72</v>
      </c>
      <c r="V420" s="3">
        <f ca="1">IFERROR(__xludf.DUMMYFUNCTION("""COMPUTED_VALUE"""),75.63)</f>
        <v>75.63</v>
      </c>
      <c r="W420" s="3">
        <f ca="1">IFERROR(__xludf.DUMMYFUNCTION("""COMPUTED_VALUE"""),75.69)</f>
        <v>75.69</v>
      </c>
      <c r="X420" s="3">
        <f ca="1">IFERROR(__xludf.DUMMYFUNCTION("""COMPUTED_VALUE"""),8093680)</f>
        <v>8093680</v>
      </c>
      <c r="Y420" s="4">
        <f ca="1">IFERROR(__xludf.DUMMYFUNCTION("""COMPUTED_VALUE"""),42732.6666666666)</f>
        <v>42732.666666666599</v>
      </c>
      <c r="Z420" s="3">
        <f ca="1">IFERROR(__xludf.DUMMYFUNCTION("""COMPUTED_VALUE"""),23.65)</f>
        <v>23.65</v>
      </c>
      <c r="AA420" s="3">
        <f ca="1">IFERROR(__xludf.DUMMYFUNCTION("""COMPUTED_VALUE"""),23.67)</f>
        <v>23.67</v>
      </c>
      <c r="AB420" s="3">
        <f ca="1">IFERROR(__xludf.DUMMYFUNCTION("""COMPUTED_VALUE"""),23.35)</f>
        <v>23.35</v>
      </c>
      <c r="AC420" s="3">
        <f ca="1">IFERROR(__xludf.DUMMYFUNCTION("""COMPUTED_VALUE"""),23.37)</f>
        <v>23.37</v>
      </c>
      <c r="AD420" s="3">
        <f ca="1">IFERROR(__xludf.DUMMYFUNCTION("""COMPUTED_VALUE"""),30834389)</f>
        <v>30834389</v>
      </c>
      <c r="AE420" s="4">
        <f ca="1">IFERROR(__xludf.DUMMYFUNCTION("""COMPUTED_VALUE"""),42732.6666666666)</f>
        <v>42732.666666666599</v>
      </c>
      <c r="AF420" s="3">
        <f ca="1">IFERROR(__xludf.DUMMYFUNCTION("""COMPUTED_VALUE"""),69.67)</f>
        <v>69.67</v>
      </c>
      <c r="AG420" s="3">
        <f ca="1">IFERROR(__xludf.DUMMYFUNCTION("""COMPUTED_VALUE"""),69.75)</f>
        <v>69.75</v>
      </c>
      <c r="AH420" s="3">
        <f ca="1">IFERROR(__xludf.DUMMYFUNCTION("""COMPUTED_VALUE"""),69.06)</f>
        <v>69.06</v>
      </c>
      <c r="AI420" s="3">
        <f ca="1">IFERROR(__xludf.DUMMYFUNCTION("""COMPUTED_VALUE"""),69.07)</f>
        <v>69.069999999999993</v>
      </c>
      <c r="AJ420" s="3">
        <f ca="1">IFERROR(__xludf.DUMMYFUNCTION("""COMPUTED_VALUE"""),4558824)</f>
        <v>4558824</v>
      </c>
      <c r="AK420" s="4">
        <f ca="1">IFERROR(__xludf.DUMMYFUNCTION("""COMPUTED_VALUE"""),42732.6666666666)</f>
        <v>42732.666666666599</v>
      </c>
      <c r="AL420" s="3">
        <f ca="1">IFERROR(__xludf.DUMMYFUNCTION("""COMPUTED_VALUE"""),63.2)</f>
        <v>63.2</v>
      </c>
      <c r="AM420" s="3">
        <f ca="1">IFERROR(__xludf.DUMMYFUNCTION("""COMPUTED_VALUE"""),63.24)</f>
        <v>63.24</v>
      </c>
      <c r="AN420" s="3">
        <f ca="1">IFERROR(__xludf.DUMMYFUNCTION("""COMPUTED_VALUE"""),62.45)</f>
        <v>62.45</v>
      </c>
      <c r="AO420" s="3">
        <f ca="1">IFERROR(__xludf.DUMMYFUNCTION("""COMPUTED_VALUE"""),62.46)</f>
        <v>62.46</v>
      </c>
      <c r="AP420" s="3">
        <f ca="1">IFERROR(__xludf.DUMMYFUNCTION("""COMPUTED_VALUE"""),8982414)</f>
        <v>8982414</v>
      </c>
      <c r="AQ420" s="4">
        <f ca="1">IFERROR(__xludf.DUMMYFUNCTION("""COMPUTED_VALUE"""),42732.6666666666)</f>
        <v>42732.666666666599</v>
      </c>
      <c r="AR420" s="3">
        <f ca="1">IFERROR(__xludf.DUMMYFUNCTION("""COMPUTED_VALUE"""),50.73)</f>
        <v>50.73</v>
      </c>
      <c r="AS420" s="3">
        <f ca="1">IFERROR(__xludf.DUMMYFUNCTION("""COMPUTED_VALUE"""),50.97)</f>
        <v>50.97</v>
      </c>
      <c r="AT420" s="3">
        <f ca="1">IFERROR(__xludf.DUMMYFUNCTION("""COMPUTED_VALUE"""),49.99)</f>
        <v>49.99</v>
      </c>
      <c r="AU420" s="3">
        <f ca="1">IFERROR(__xludf.DUMMYFUNCTION("""COMPUTED_VALUE"""),50.03)</f>
        <v>50.03</v>
      </c>
      <c r="AV420" s="3">
        <f ca="1">IFERROR(__xludf.DUMMYFUNCTION("""COMPUTED_VALUE"""),3077810)</f>
        <v>3077810</v>
      </c>
      <c r="AW420" s="4">
        <f ca="1">IFERROR(__xludf.DUMMYFUNCTION("""COMPUTED_VALUE"""),42899.6666666666)</f>
        <v>42899.666666666599</v>
      </c>
      <c r="AX420" s="3">
        <f ca="1">IFERROR(__xludf.DUMMYFUNCTION("""COMPUTED_VALUE"""),32.45)</f>
        <v>32.450000000000003</v>
      </c>
      <c r="AY420" s="3">
        <f ca="1">IFERROR(__xludf.DUMMYFUNCTION("""COMPUTED_VALUE"""),32.49)</f>
        <v>32.49</v>
      </c>
      <c r="AZ420" s="3">
        <f ca="1">IFERROR(__xludf.DUMMYFUNCTION("""COMPUTED_VALUE"""),32.27)</f>
        <v>32.270000000000003</v>
      </c>
      <c r="BA420" s="3">
        <f ca="1">IFERROR(__xludf.DUMMYFUNCTION("""COMPUTED_VALUE"""),32.47)</f>
        <v>32.47</v>
      </c>
      <c r="BB420" s="3">
        <f ca="1">IFERROR(__xludf.DUMMYFUNCTION("""COMPUTED_VALUE"""),1567290)</f>
        <v>1567290</v>
      </c>
      <c r="BC420" s="4">
        <f ca="1">IFERROR(__xludf.DUMMYFUNCTION("""COMPUTED_VALUE"""),42732.6666666666)</f>
        <v>42732.666666666599</v>
      </c>
      <c r="BD420" s="3">
        <f ca="1">IFERROR(__xludf.DUMMYFUNCTION("""COMPUTED_VALUE"""),49.23)</f>
        <v>49.23</v>
      </c>
      <c r="BE420" s="3">
        <f ca="1">IFERROR(__xludf.DUMMYFUNCTION("""COMPUTED_VALUE"""),49.3)</f>
        <v>49.3</v>
      </c>
      <c r="BF420" s="3">
        <f ca="1">IFERROR(__xludf.DUMMYFUNCTION("""COMPUTED_VALUE"""),48.71)</f>
        <v>48.71</v>
      </c>
      <c r="BG420" s="3">
        <f ca="1">IFERROR(__xludf.DUMMYFUNCTION("""COMPUTED_VALUE"""),48.73)</f>
        <v>48.73</v>
      </c>
      <c r="BH420" s="3">
        <f ca="1">IFERROR(__xludf.DUMMYFUNCTION("""COMPUTED_VALUE"""),7777577)</f>
        <v>7777577</v>
      </c>
      <c r="BI420" s="4">
        <f ca="1">IFERROR(__xludf.DUMMYFUNCTION("""COMPUTED_VALUE"""),42732.6666666666)</f>
        <v>42732.666666666599</v>
      </c>
      <c r="BJ420" s="3">
        <f ca="1">IFERROR(__xludf.DUMMYFUNCTION("""COMPUTED_VALUE"""),48.68)</f>
        <v>48.68</v>
      </c>
      <c r="BK420" s="3">
        <f ca="1">IFERROR(__xludf.DUMMYFUNCTION("""COMPUTED_VALUE"""),48.71)</f>
        <v>48.71</v>
      </c>
      <c r="BL420" s="3">
        <f ca="1">IFERROR(__xludf.DUMMYFUNCTION("""COMPUTED_VALUE"""),48.12)</f>
        <v>48.12</v>
      </c>
      <c r="BM420" s="3">
        <f ca="1">IFERROR(__xludf.DUMMYFUNCTION("""COMPUTED_VALUE"""),48.19)</f>
        <v>48.19</v>
      </c>
      <c r="BN420" s="3">
        <f ca="1">IFERROR(__xludf.DUMMYFUNCTION("""COMPUTED_VALUE"""),8829348)</f>
        <v>8829348</v>
      </c>
    </row>
    <row r="421" spans="7:66" ht="13" x14ac:dyDescent="0.15">
      <c r="G421" s="4">
        <f ca="1">IFERROR(__xludf.DUMMYFUNCTION("""COMPUTED_VALUE"""),42733.6666666666)</f>
        <v>42733.666666666599</v>
      </c>
      <c r="H421" s="3">
        <f ca="1">IFERROR(__xludf.DUMMYFUNCTION("""COMPUTED_VALUE"""),82.26)</f>
        <v>82.26</v>
      </c>
      <c r="I421" s="3">
        <f ca="1">IFERROR(__xludf.DUMMYFUNCTION("""COMPUTED_VALUE"""),82.48)</f>
        <v>82.48</v>
      </c>
      <c r="J421" s="3">
        <f ca="1">IFERROR(__xludf.DUMMYFUNCTION("""COMPUTED_VALUE"""),81.9)</f>
        <v>81.900000000000006</v>
      </c>
      <c r="K421" s="3">
        <f ca="1">IFERROR(__xludf.DUMMYFUNCTION("""COMPUTED_VALUE"""),82.09)</f>
        <v>82.09</v>
      </c>
      <c r="L421" s="3">
        <f ca="1">IFERROR(__xludf.DUMMYFUNCTION("""COMPUTED_VALUE"""),2566291)</f>
        <v>2566291</v>
      </c>
      <c r="M421" s="4">
        <f ca="1">IFERROR(__xludf.DUMMYFUNCTION("""COMPUTED_VALUE"""),42733.6666666666)</f>
        <v>42733.666666666599</v>
      </c>
      <c r="N421" s="3">
        <f ca="1">IFERROR(__xludf.DUMMYFUNCTION("""COMPUTED_VALUE"""),51.76)</f>
        <v>51.76</v>
      </c>
      <c r="O421" s="3">
        <f ca="1">IFERROR(__xludf.DUMMYFUNCTION("""COMPUTED_VALUE"""),52.03)</f>
        <v>52.03</v>
      </c>
      <c r="P421" s="3">
        <f ca="1">IFERROR(__xludf.DUMMYFUNCTION("""COMPUTED_VALUE"""),51.73)</f>
        <v>51.73</v>
      </c>
      <c r="Q421" s="3">
        <f ca="1">IFERROR(__xludf.DUMMYFUNCTION("""COMPUTED_VALUE"""),51.97)</f>
        <v>51.97</v>
      </c>
      <c r="R421" s="3">
        <f ca="1">IFERROR(__xludf.DUMMYFUNCTION("""COMPUTED_VALUE"""),10299366)</f>
        <v>10299366</v>
      </c>
      <c r="S421" s="4">
        <f ca="1">IFERROR(__xludf.DUMMYFUNCTION("""COMPUTED_VALUE"""),42733.6666666666)</f>
        <v>42733.666666666599</v>
      </c>
      <c r="T421" s="3">
        <f ca="1">IFERROR(__xludf.DUMMYFUNCTION("""COMPUTED_VALUE"""),75.58)</f>
        <v>75.58</v>
      </c>
      <c r="U421" s="3">
        <f ca="1">IFERROR(__xludf.DUMMYFUNCTION("""COMPUTED_VALUE"""),75.8)</f>
        <v>75.8</v>
      </c>
      <c r="V421" s="3">
        <f ca="1">IFERROR(__xludf.DUMMYFUNCTION("""COMPUTED_VALUE"""),75.27)</f>
        <v>75.27</v>
      </c>
      <c r="W421" s="3">
        <f ca="1">IFERROR(__xludf.DUMMYFUNCTION("""COMPUTED_VALUE"""),75.54)</f>
        <v>75.540000000000006</v>
      </c>
      <c r="X421" s="3">
        <f ca="1">IFERROR(__xludf.DUMMYFUNCTION("""COMPUTED_VALUE"""),6697449)</f>
        <v>6697449</v>
      </c>
      <c r="Y421" s="4">
        <f ca="1">IFERROR(__xludf.DUMMYFUNCTION("""COMPUTED_VALUE"""),42733.6666666666)</f>
        <v>42733.666666666599</v>
      </c>
      <c r="Z421" s="3">
        <f ca="1">IFERROR(__xludf.DUMMYFUNCTION("""COMPUTED_VALUE"""),23.39)</f>
        <v>23.39</v>
      </c>
      <c r="AA421" s="3">
        <f ca="1">IFERROR(__xludf.DUMMYFUNCTION("""COMPUTED_VALUE"""),23.43)</f>
        <v>23.43</v>
      </c>
      <c r="AB421" s="3">
        <f ca="1">IFERROR(__xludf.DUMMYFUNCTION("""COMPUTED_VALUE"""),23.1)</f>
        <v>23.1</v>
      </c>
      <c r="AC421" s="3">
        <f ca="1">IFERROR(__xludf.DUMMYFUNCTION("""COMPUTED_VALUE"""),23.2)</f>
        <v>23.2</v>
      </c>
      <c r="AD421" s="3">
        <f ca="1">IFERROR(__xludf.DUMMYFUNCTION("""COMPUTED_VALUE"""),39251797)</f>
        <v>39251797</v>
      </c>
      <c r="AE421" s="4">
        <f ca="1">IFERROR(__xludf.DUMMYFUNCTION("""COMPUTED_VALUE"""),42733.6666666666)</f>
        <v>42733.666666666599</v>
      </c>
      <c r="AF421" s="3">
        <f ca="1">IFERROR(__xludf.DUMMYFUNCTION("""COMPUTED_VALUE"""),69.11)</f>
        <v>69.11</v>
      </c>
      <c r="AG421" s="3">
        <f ca="1">IFERROR(__xludf.DUMMYFUNCTION("""COMPUTED_VALUE"""),69.41)</f>
        <v>69.41</v>
      </c>
      <c r="AH421" s="3">
        <f ca="1">IFERROR(__xludf.DUMMYFUNCTION("""COMPUTED_VALUE"""),69.08)</f>
        <v>69.08</v>
      </c>
      <c r="AI421" s="3">
        <f ca="1">IFERROR(__xludf.DUMMYFUNCTION("""COMPUTED_VALUE"""),69.19)</f>
        <v>69.19</v>
      </c>
      <c r="AJ421" s="3">
        <f ca="1">IFERROR(__xludf.DUMMYFUNCTION("""COMPUTED_VALUE"""),5539273)</f>
        <v>5539273</v>
      </c>
      <c r="AK421" s="4">
        <f ca="1">IFERROR(__xludf.DUMMYFUNCTION("""COMPUTED_VALUE"""),42733.6666666666)</f>
        <v>42733.666666666599</v>
      </c>
      <c r="AL421" s="3">
        <f ca="1">IFERROR(__xludf.DUMMYFUNCTION("""COMPUTED_VALUE"""),62.5)</f>
        <v>62.5</v>
      </c>
      <c r="AM421" s="3">
        <f ca="1">IFERROR(__xludf.DUMMYFUNCTION("""COMPUTED_VALUE"""),62.75)</f>
        <v>62.75</v>
      </c>
      <c r="AN421" s="3">
        <f ca="1">IFERROR(__xludf.DUMMYFUNCTION("""COMPUTED_VALUE"""),62.33)</f>
        <v>62.33</v>
      </c>
      <c r="AO421" s="3">
        <f ca="1">IFERROR(__xludf.DUMMYFUNCTION("""COMPUTED_VALUE"""),62.44)</f>
        <v>62.44</v>
      </c>
      <c r="AP421" s="3">
        <f ca="1">IFERROR(__xludf.DUMMYFUNCTION("""COMPUTED_VALUE"""),7757161)</f>
        <v>7757161</v>
      </c>
      <c r="AQ421" s="4">
        <f ca="1">IFERROR(__xludf.DUMMYFUNCTION("""COMPUTED_VALUE"""),42733.6666666666)</f>
        <v>42733.666666666599</v>
      </c>
      <c r="AR421" s="3">
        <f ca="1">IFERROR(__xludf.DUMMYFUNCTION("""COMPUTED_VALUE"""),50.01)</f>
        <v>50.01</v>
      </c>
      <c r="AS421" s="3">
        <f ca="1">IFERROR(__xludf.DUMMYFUNCTION("""COMPUTED_VALUE"""),50.24)</f>
        <v>50.24</v>
      </c>
      <c r="AT421" s="3">
        <f ca="1">IFERROR(__xludf.DUMMYFUNCTION("""COMPUTED_VALUE"""),49.95)</f>
        <v>49.95</v>
      </c>
      <c r="AU421" s="3">
        <f ca="1">IFERROR(__xludf.DUMMYFUNCTION("""COMPUTED_VALUE"""),50.03)</f>
        <v>50.03</v>
      </c>
      <c r="AV421" s="3">
        <f ca="1">IFERROR(__xludf.DUMMYFUNCTION("""COMPUTED_VALUE"""),2863618)</f>
        <v>2863618</v>
      </c>
      <c r="AW421" s="4">
        <f ca="1">IFERROR(__xludf.DUMMYFUNCTION("""COMPUTED_VALUE"""),42900.6666666666)</f>
        <v>42900.666666666599</v>
      </c>
      <c r="AX421" s="3">
        <f ca="1">IFERROR(__xludf.DUMMYFUNCTION("""COMPUTED_VALUE"""),32.74)</f>
        <v>32.74</v>
      </c>
      <c r="AY421" s="3">
        <f ca="1">IFERROR(__xludf.DUMMYFUNCTION("""COMPUTED_VALUE"""),32.79)</f>
        <v>32.79</v>
      </c>
      <c r="AZ421" s="3">
        <f ca="1">IFERROR(__xludf.DUMMYFUNCTION("""COMPUTED_VALUE"""),32.47)</f>
        <v>32.47</v>
      </c>
      <c r="BA421" s="3">
        <f ca="1">IFERROR(__xludf.DUMMYFUNCTION("""COMPUTED_VALUE"""),32.57)</f>
        <v>32.57</v>
      </c>
      <c r="BB421" s="3">
        <f ca="1">IFERROR(__xludf.DUMMYFUNCTION("""COMPUTED_VALUE"""),2232920)</f>
        <v>2232920</v>
      </c>
      <c r="BC421" s="4">
        <f ca="1">IFERROR(__xludf.DUMMYFUNCTION("""COMPUTED_VALUE"""),42733.6666666666)</f>
        <v>42733.666666666599</v>
      </c>
      <c r="BD421" s="3">
        <f ca="1">IFERROR(__xludf.DUMMYFUNCTION("""COMPUTED_VALUE"""),48.73)</f>
        <v>48.73</v>
      </c>
      <c r="BE421" s="3">
        <f ca="1">IFERROR(__xludf.DUMMYFUNCTION("""COMPUTED_VALUE"""),48.87)</f>
        <v>48.87</v>
      </c>
      <c r="BF421" s="3">
        <f ca="1">IFERROR(__xludf.DUMMYFUNCTION("""COMPUTED_VALUE"""),48.62)</f>
        <v>48.62</v>
      </c>
      <c r="BG421" s="3">
        <f ca="1">IFERROR(__xludf.DUMMYFUNCTION("""COMPUTED_VALUE"""),48.74)</f>
        <v>48.74</v>
      </c>
      <c r="BH421" s="3">
        <f ca="1">IFERROR(__xludf.DUMMYFUNCTION("""COMPUTED_VALUE"""),4796544)</f>
        <v>4796544</v>
      </c>
      <c r="BI421" s="4">
        <f ca="1">IFERROR(__xludf.DUMMYFUNCTION("""COMPUTED_VALUE"""),42733.6666666666)</f>
        <v>42733.666666666599</v>
      </c>
      <c r="BJ421" s="3">
        <f ca="1">IFERROR(__xludf.DUMMYFUNCTION("""COMPUTED_VALUE"""),48.38)</f>
        <v>48.38</v>
      </c>
      <c r="BK421" s="3">
        <f ca="1">IFERROR(__xludf.DUMMYFUNCTION("""COMPUTED_VALUE"""),48.92)</f>
        <v>48.92</v>
      </c>
      <c r="BL421" s="3">
        <f ca="1">IFERROR(__xludf.DUMMYFUNCTION("""COMPUTED_VALUE"""),48.26)</f>
        <v>48.26</v>
      </c>
      <c r="BM421" s="3">
        <f ca="1">IFERROR(__xludf.DUMMYFUNCTION("""COMPUTED_VALUE"""),48.84)</f>
        <v>48.84</v>
      </c>
      <c r="BN421" s="3">
        <f ca="1">IFERROR(__xludf.DUMMYFUNCTION("""COMPUTED_VALUE"""),14677819)</f>
        <v>14677819</v>
      </c>
    </row>
    <row r="422" spans="7:66" ht="13" x14ac:dyDescent="0.15">
      <c r="G422" s="4">
        <f ca="1">IFERROR(__xludf.DUMMYFUNCTION("""COMPUTED_VALUE"""),42734.6666666666)</f>
        <v>42734.666666666599</v>
      </c>
      <c r="H422" s="3">
        <f ca="1">IFERROR(__xludf.DUMMYFUNCTION("""COMPUTED_VALUE"""),82.35)</f>
        <v>82.35</v>
      </c>
      <c r="I422" s="3">
        <f ca="1">IFERROR(__xludf.DUMMYFUNCTION("""COMPUTED_VALUE"""),82.35)</f>
        <v>82.35</v>
      </c>
      <c r="J422" s="3">
        <f ca="1">IFERROR(__xludf.DUMMYFUNCTION("""COMPUTED_VALUE"""),81.15)</f>
        <v>81.150000000000006</v>
      </c>
      <c r="K422" s="3">
        <f ca="1">IFERROR(__xludf.DUMMYFUNCTION("""COMPUTED_VALUE"""),81.4)</f>
        <v>81.400000000000006</v>
      </c>
      <c r="L422" s="3">
        <f ca="1">IFERROR(__xludf.DUMMYFUNCTION("""COMPUTED_VALUE"""),4809130)</f>
        <v>4809130</v>
      </c>
      <c r="M422" s="4">
        <f ca="1">IFERROR(__xludf.DUMMYFUNCTION("""COMPUTED_VALUE"""),42734.6666666666)</f>
        <v>42734.666666666599</v>
      </c>
      <c r="N422" s="3">
        <f ca="1">IFERROR(__xludf.DUMMYFUNCTION("""COMPUTED_VALUE"""),51.98)</f>
        <v>51.98</v>
      </c>
      <c r="O422" s="3">
        <f ca="1">IFERROR(__xludf.DUMMYFUNCTION("""COMPUTED_VALUE"""),52.08)</f>
        <v>52.08</v>
      </c>
      <c r="P422" s="3">
        <f ca="1">IFERROR(__xludf.DUMMYFUNCTION("""COMPUTED_VALUE"""),51.6)</f>
        <v>51.6</v>
      </c>
      <c r="Q422" s="3">
        <f ca="1">IFERROR(__xludf.DUMMYFUNCTION("""COMPUTED_VALUE"""),51.71)</f>
        <v>51.71</v>
      </c>
      <c r="R422" s="3">
        <f ca="1">IFERROR(__xludf.DUMMYFUNCTION("""COMPUTED_VALUE"""),8049944)</f>
        <v>8049944</v>
      </c>
      <c r="S422" s="4">
        <f ca="1">IFERROR(__xludf.DUMMYFUNCTION("""COMPUTED_VALUE"""),42734.6666666666)</f>
        <v>42734.666666666599</v>
      </c>
      <c r="T422" s="3">
        <f ca="1">IFERROR(__xludf.DUMMYFUNCTION("""COMPUTED_VALUE"""),75.47)</f>
        <v>75.47</v>
      </c>
      <c r="U422" s="3">
        <f ca="1">IFERROR(__xludf.DUMMYFUNCTION("""COMPUTED_VALUE"""),75.89)</f>
        <v>75.89</v>
      </c>
      <c r="V422" s="3">
        <f ca="1">IFERROR(__xludf.DUMMYFUNCTION("""COMPUTED_VALUE"""),75.08)</f>
        <v>75.08</v>
      </c>
      <c r="W422" s="3">
        <f ca="1">IFERROR(__xludf.DUMMYFUNCTION("""COMPUTED_VALUE"""),75.32)</f>
        <v>75.319999999999993</v>
      </c>
      <c r="X422" s="3">
        <f ca="1">IFERROR(__xludf.DUMMYFUNCTION("""COMPUTED_VALUE"""),8853288)</f>
        <v>8853288</v>
      </c>
      <c r="Y422" s="4">
        <f ca="1">IFERROR(__xludf.DUMMYFUNCTION("""COMPUTED_VALUE"""),42734.6666666666)</f>
        <v>42734.666666666599</v>
      </c>
      <c r="Z422" s="3">
        <f ca="1">IFERROR(__xludf.DUMMYFUNCTION("""COMPUTED_VALUE"""),23.29)</f>
        <v>23.29</v>
      </c>
      <c r="AA422" s="3">
        <f ca="1">IFERROR(__xludf.DUMMYFUNCTION("""COMPUTED_VALUE"""),23.33)</f>
        <v>23.33</v>
      </c>
      <c r="AB422" s="3">
        <f ca="1">IFERROR(__xludf.DUMMYFUNCTION("""COMPUTED_VALUE"""),23.17)</f>
        <v>23.17</v>
      </c>
      <c r="AC422" s="3">
        <f ca="1">IFERROR(__xludf.DUMMYFUNCTION("""COMPUTED_VALUE"""),23.25)</f>
        <v>23.25</v>
      </c>
      <c r="AD422" s="3">
        <f ca="1">IFERROR(__xludf.DUMMYFUNCTION("""COMPUTED_VALUE"""),44761220)</f>
        <v>44761220</v>
      </c>
      <c r="AE422" s="4">
        <f ca="1">IFERROR(__xludf.DUMMYFUNCTION("""COMPUTED_VALUE"""),42734.6666666666)</f>
        <v>42734.666666666599</v>
      </c>
      <c r="AF422" s="3">
        <f ca="1">IFERROR(__xludf.DUMMYFUNCTION("""COMPUTED_VALUE"""),69.2)</f>
        <v>69.2</v>
      </c>
      <c r="AG422" s="3">
        <f ca="1">IFERROR(__xludf.DUMMYFUNCTION("""COMPUTED_VALUE"""),69.27)</f>
        <v>69.27</v>
      </c>
      <c r="AH422" s="3">
        <f ca="1">IFERROR(__xludf.DUMMYFUNCTION("""COMPUTED_VALUE"""),68.72)</f>
        <v>68.72</v>
      </c>
      <c r="AI422" s="3">
        <f ca="1">IFERROR(__xludf.DUMMYFUNCTION("""COMPUTED_VALUE"""),68.94)</f>
        <v>68.94</v>
      </c>
      <c r="AJ422" s="3">
        <f ca="1">IFERROR(__xludf.DUMMYFUNCTION("""COMPUTED_VALUE"""),6648979)</f>
        <v>6648979</v>
      </c>
      <c r="AK422" s="4">
        <f ca="1">IFERROR(__xludf.DUMMYFUNCTION("""COMPUTED_VALUE"""),42734.6666666666)</f>
        <v>42734.666666666599</v>
      </c>
      <c r="AL422" s="3">
        <f ca="1">IFERROR(__xludf.DUMMYFUNCTION("""COMPUTED_VALUE"""),62.6)</f>
        <v>62.6</v>
      </c>
      <c r="AM422" s="3">
        <f ca="1">IFERROR(__xludf.DUMMYFUNCTION("""COMPUTED_VALUE"""),62.75)</f>
        <v>62.75</v>
      </c>
      <c r="AN422" s="3">
        <f ca="1">IFERROR(__xludf.DUMMYFUNCTION("""COMPUTED_VALUE"""),62.02)</f>
        <v>62.02</v>
      </c>
      <c r="AO422" s="3">
        <f ca="1">IFERROR(__xludf.DUMMYFUNCTION("""COMPUTED_VALUE"""),62.22)</f>
        <v>62.22</v>
      </c>
      <c r="AP422" s="3">
        <f ca="1">IFERROR(__xludf.DUMMYFUNCTION("""COMPUTED_VALUE"""),6932299)</f>
        <v>6932299</v>
      </c>
      <c r="AQ422" s="4">
        <f ca="1">IFERROR(__xludf.DUMMYFUNCTION("""COMPUTED_VALUE"""),42734.6666666666)</f>
        <v>42734.666666666599</v>
      </c>
      <c r="AR422" s="3">
        <f ca="1">IFERROR(__xludf.DUMMYFUNCTION("""COMPUTED_VALUE"""),50.1)</f>
        <v>50.1</v>
      </c>
      <c r="AS422" s="3">
        <f ca="1">IFERROR(__xludf.DUMMYFUNCTION("""COMPUTED_VALUE"""),50.18)</f>
        <v>50.18</v>
      </c>
      <c r="AT422" s="3">
        <f ca="1">IFERROR(__xludf.DUMMYFUNCTION("""COMPUTED_VALUE"""),49.5)</f>
        <v>49.5</v>
      </c>
      <c r="AU422" s="3">
        <f ca="1">IFERROR(__xludf.DUMMYFUNCTION("""COMPUTED_VALUE"""),49.7)</f>
        <v>49.7</v>
      </c>
      <c r="AV422" s="3">
        <f ca="1">IFERROR(__xludf.DUMMYFUNCTION("""COMPUTED_VALUE"""),4929908)</f>
        <v>4929908</v>
      </c>
      <c r="AW422" s="4">
        <f ca="1">IFERROR(__xludf.DUMMYFUNCTION("""COMPUTED_VALUE"""),42901.6666666666)</f>
        <v>42901.666666666599</v>
      </c>
      <c r="AX422" s="3">
        <f ca="1">IFERROR(__xludf.DUMMYFUNCTION("""COMPUTED_VALUE"""),32.43)</f>
        <v>32.43</v>
      </c>
      <c r="AY422" s="3">
        <f ca="1">IFERROR(__xludf.DUMMYFUNCTION("""COMPUTED_VALUE"""),32.82)</f>
        <v>32.82</v>
      </c>
      <c r="AZ422" s="3">
        <f ca="1">IFERROR(__xludf.DUMMYFUNCTION("""COMPUTED_VALUE"""),32.35)</f>
        <v>32.35</v>
      </c>
      <c r="BA422" s="3">
        <f ca="1">IFERROR(__xludf.DUMMYFUNCTION("""COMPUTED_VALUE"""),32.73)</f>
        <v>32.729999999999997</v>
      </c>
      <c r="BB422" s="3">
        <f ca="1">IFERROR(__xludf.DUMMYFUNCTION("""COMPUTED_VALUE"""),1347254)</f>
        <v>1347254</v>
      </c>
      <c r="BC422" s="4">
        <f ca="1">IFERROR(__xludf.DUMMYFUNCTION("""COMPUTED_VALUE"""),42734.6666666666)</f>
        <v>42734.666666666599</v>
      </c>
      <c r="BD422" s="3">
        <f ca="1">IFERROR(__xludf.DUMMYFUNCTION("""COMPUTED_VALUE"""),48.85)</f>
        <v>48.85</v>
      </c>
      <c r="BE422" s="3">
        <f ca="1">IFERROR(__xludf.DUMMYFUNCTION("""COMPUTED_VALUE"""),48.85)</f>
        <v>48.85</v>
      </c>
      <c r="BF422" s="3">
        <f ca="1">IFERROR(__xludf.DUMMYFUNCTION("""COMPUTED_VALUE"""),48.21)</f>
        <v>48.21</v>
      </c>
      <c r="BG422" s="3">
        <f ca="1">IFERROR(__xludf.DUMMYFUNCTION("""COMPUTED_VALUE"""),48.36)</f>
        <v>48.36</v>
      </c>
      <c r="BH422" s="3">
        <f ca="1">IFERROR(__xludf.DUMMYFUNCTION("""COMPUTED_VALUE"""),8501616)</f>
        <v>8501616</v>
      </c>
      <c r="BI422" s="4">
        <f ca="1">IFERROR(__xludf.DUMMYFUNCTION("""COMPUTED_VALUE"""),42734.6666666666)</f>
        <v>42734.666666666599</v>
      </c>
      <c r="BJ422" s="3">
        <f ca="1">IFERROR(__xludf.DUMMYFUNCTION("""COMPUTED_VALUE"""),48.93)</f>
        <v>48.93</v>
      </c>
      <c r="BK422" s="3">
        <f ca="1">IFERROR(__xludf.DUMMYFUNCTION("""COMPUTED_VALUE"""),48.95)</f>
        <v>48.95</v>
      </c>
      <c r="BL422" s="3">
        <f ca="1">IFERROR(__xludf.DUMMYFUNCTION("""COMPUTED_VALUE"""),48.42)</f>
        <v>48.42</v>
      </c>
      <c r="BM422" s="3">
        <f ca="1">IFERROR(__xludf.DUMMYFUNCTION("""COMPUTED_VALUE"""),48.57)</f>
        <v>48.57</v>
      </c>
      <c r="BN422" s="3">
        <f ca="1">IFERROR(__xludf.DUMMYFUNCTION("""COMPUTED_VALUE"""),14027748)</f>
        <v>14027748</v>
      </c>
    </row>
    <row r="423" spans="7:66" ht="13" x14ac:dyDescent="0.15">
      <c r="G423" s="4">
        <f ca="1">IFERROR(__xludf.DUMMYFUNCTION("""COMPUTED_VALUE"""),42738.6666666666)</f>
        <v>42738.666666666599</v>
      </c>
      <c r="H423" s="3">
        <f ca="1">IFERROR(__xludf.DUMMYFUNCTION("""COMPUTED_VALUE"""),82.05)</f>
        <v>82.05</v>
      </c>
      <c r="I423" s="3">
        <f ca="1">IFERROR(__xludf.DUMMYFUNCTION("""COMPUTED_VALUE"""),82.34)</f>
        <v>82.34</v>
      </c>
      <c r="J423" s="3">
        <f ca="1">IFERROR(__xludf.DUMMYFUNCTION("""COMPUTED_VALUE"""),81.38)</f>
        <v>81.38</v>
      </c>
      <c r="K423" s="3">
        <f ca="1">IFERROR(__xludf.DUMMYFUNCTION("""COMPUTED_VALUE"""),81.88)</f>
        <v>81.88</v>
      </c>
      <c r="L423" s="3">
        <f ca="1">IFERROR(__xludf.DUMMYFUNCTION("""COMPUTED_VALUE"""),14050515)</f>
        <v>14050515</v>
      </c>
      <c r="M423" s="4">
        <f ca="1">IFERROR(__xludf.DUMMYFUNCTION("""COMPUTED_VALUE"""),42738.6666666666)</f>
        <v>42738.666666666599</v>
      </c>
      <c r="N423" s="3">
        <f ca="1">IFERROR(__xludf.DUMMYFUNCTION("""COMPUTED_VALUE"""),51.75)</f>
        <v>51.75</v>
      </c>
      <c r="O423" s="3">
        <f ca="1">IFERROR(__xludf.DUMMYFUNCTION("""COMPUTED_VALUE"""),51.97)</f>
        <v>51.97</v>
      </c>
      <c r="P423" s="3">
        <f ca="1">IFERROR(__xludf.DUMMYFUNCTION("""COMPUTED_VALUE"""),51.6)</f>
        <v>51.6</v>
      </c>
      <c r="Q423" s="3">
        <f ca="1">IFERROR(__xludf.DUMMYFUNCTION("""COMPUTED_VALUE"""),51.9)</f>
        <v>51.9</v>
      </c>
      <c r="R423" s="3">
        <f ca="1">IFERROR(__xludf.DUMMYFUNCTION("""COMPUTED_VALUE"""),21730034)</f>
        <v>21730034</v>
      </c>
      <c r="S423" s="4">
        <f ca="1">IFERROR(__xludf.DUMMYFUNCTION("""COMPUTED_VALUE"""),42738.6666666666)</f>
        <v>42738.666666666599</v>
      </c>
      <c r="T423" s="3">
        <f ca="1">IFERROR(__xludf.DUMMYFUNCTION("""COMPUTED_VALUE"""),76.11)</f>
        <v>76.11</v>
      </c>
      <c r="U423" s="3">
        <f ca="1">IFERROR(__xludf.DUMMYFUNCTION("""COMPUTED_VALUE"""),76.81)</f>
        <v>76.81</v>
      </c>
      <c r="V423" s="3">
        <f ca="1">IFERROR(__xludf.DUMMYFUNCTION("""COMPUTED_VALUE"""),75.36)</f>
        <v>75.36</v>
      </c>
      <c r="W423" s="3">
        <f ca="1">IFERROR(__xludf.DUMMYFUNCTION("""COMPUTED_VALUE"""),76.17)</f>
        <v>76.17</v>
      </c>
      <c r="X423" s="3">
        <f ca="1">IFERROR(__xludf.DUMMYFUNCTION("""COMPUTED_VALUE"""),24623100)</f>
        <v>24623100</v>
      </c>
      <c r="Y423" s="4">
        <f ca="1">IFERROR(__xludf.DUMMYFUNCTION("""COMPUTED_VALUE"""),42738.6666666666)</f>
        <v>42738.666666666599</v>
      </c>
      <c r="Z423" s="3">
        <f ca="1">IFERROR(__xludf.DUMMYFUNCTION("""COMPUTED_VALUE"""),23.61)</f>
        <v>23.61</v>
      </c>
      <c r="AA423" s="3">
        <f ca="1">IFERROR(__xludf.DUMMYFUNCTION("""COMPUTED_VALUE"""),23.67)</f>
        <v>23.67</v>
      </c>
      <c r="AB423" s="3">
        <f ca="1">IFERROR(__xludf.DUMMYFUNCTION("""COMPUTED_VALUE"""),23.26)</f>
        <v>23.26</v>
      </c>
      <c r="AC423" s="3">
        <f ca="1">IFERROR(__xludf.DUMMYFUNCTION("""COMPUTED_VALUE"""),23.51)</f>
        <v>23.51</v>
      </c>
      <c r="AD423" s="3">
        <f ca="1">IFERROR(__xludf.DUMMYFUNCTION("""COMPUTED_VALUE"""),71259897)</f>
        <v>71259897</v>
      </c>
      <c r="AE423" s="4">
        <f ca="1">IFERROR(__xludf.DUMMYFUNCTION("""COMPUTED_VALUE"""),42738.6666666666)</f>
        <v>42738.666666666599</v>
      </c>
      <c r="AF423" s="3">
        <f ca="1">IFERROR(__xludf.DUMMYFUNCTION("""COMPUTED_VALUE"""),69.31)</f>
        <v>69.31</v>
      </c>
      <c r="AG423" s="3">
        <f ca="1">IFERROR(__xludf.DUMMYFUNCTION("""COMPUTED_VALUE"""),69.86)</f>
        <v>69.86</v>
      </c>
      <c r="AH423" s="3">
        <f ca="1">IFERROR(__xludf.DUMMYFUNCTION("""COMPUTED_VALUE"""),69.22)</f>
        <v>69.22</v>
      </c>
      <c r="AI423" s="3">
        <f ca="1">IFERROR(__xludf.DUMMYFUNCTION("""COMPUTED_VALUE"""),69.84)</f>
        <v>69.84</v>
      </c>
      <c r="AJ423" s="3">
        <f ca="1">IFERROR(__xludf.DUMMYFUNCTION("""COMPUTED_VALUE"""),11792938)</f>
        <v>11792938</v>
      </c>
      <c r="AK423" s="4">
        <f ca="1">IFERROR(__xludf.DUMMYFUNCTION("""COMPUTED_VALUE"""),42738.6666666666)</f>
        <v>42738.666666666599</v>
      </c>
      <c r="AL423" s="3">
        <f ca="1">IFERROR(__xludf.DUMMYFUNCTION("""COMPUTED_VALUE"""),62.68)</f>
        <v>62.68</v>
      </c>
      <c r="AM423" s="3">
        <f ca="1">IFERROR(__xludf.DUMMYFUNCTION("""COMPUTED_VALUE"""),63.06)</f>
        <v>63.06</v>
      </c>
      <c r="AN423" s="3">
        <f ca="1">IFERROR(__xludf.DUMMYFUNCTION("""COMPUTED_VALUE"""),62.35)</f>
        <v>62.35</v>
      </c>
      <c r="AO423" s="3">
        <f ca="1">IFERROR(__xludf.DUMMYFUNCTION("""COMPUTED_VALUE"""),62.59)</f>
        <v>62.59</v>
      </c>
      <c r="AP423" s="3">
        <f ca="1">IFERROR(__xludf.DUMMYFUNCTION("""COMPUTED_VALUE"""),21592200)</f>
        <v>21592200</v>
      </c>
      <c r="AQ423" s="4">
        <f ca="1">IFERROR(__xludf.DUMMYFUNCTION("""COMPUTED_VALUE"""),42738.6666666666)</f>
        <v>42738.666666666599</v>
      </c>
      <c r="AR423" s="3">
        <f ca="1">IFERROR(__xludf.DUMMYFUNCTION("""COMPUTED_VALUE"""),49.83)</f>
        <v>49.83</v>
      </c>
      <c r="AS423" s="3">
        <f ca="1">IFERROR(__xludf.DUMMYFUNCTION("""COMPUTED_VALUE"""),50.27)</f>
        <v>50.27</v>
      </c>
      <c r="AT423" s="3">
        <f ca="1">IFERROR(__xludf.DUMMYFUNCTION("""COMPUTED_VALUE"""),49.63)</f>
        <v>49.63</v>
      </c>
      <c r="AU423" s="3">
        <f ca="1">IFERROR(__xludf.DUMMYFUNCTION("""COMPUTED_VALUE"""),49.99)</f>
        <v>49.99</v>
      </c>
      <c r="AV423" s="3">
        <f ca="1">IFERROR(__xludf.DUMMYFUNCTION("""COMPUTED_VALUE"""),7737466)</f>
        <v>7737466</v>
      </c>
      <c r="AW423" s="4">
        <f ca="1">IFERROR(__xludf.DUMMYFUNCTION("""COMPUTED_VALUE"""),42902.6666666666)</f>
        <v>42902.666666666599</v>
      </c>
      <c r="AX423" s="3">
        <f ca="1">IFERROR(__xludf.DUMMYFUNCTION("""COMPUTED_VALUE"""),32.51)</f>
        <v>32.51</v>
      </c>
      <c r="AY423" s="3">
        <f ca="1">IFERROR(__xludf.DUMMYFUNCTION("""COMPUTED_VALUE"""),32.53)</f>
        <v>32.53</v>
      </c>
      <c r="AZ423" s="3">
        <f ca="1">IFERROR(__xludf.DUMMYFUNCTION("""COMPUTED_VALUE"""),32.31)</f>
        <v>32.31</v>
      </c>
      <c r="BA423" s="3">
        <f ca="1">IFERROR(__xludf.DUMMYFUNCTION("""COMPUTED_VALUE"""),32.44)</f>
        <v>32.44</v>
      </c>
      <c r="BB423" s="3">
        <f ca="1">IFERROR(__xludf.DUMMYFUNCTION("""COMPUTED_VALUE"""),1754130)</f>
        <v>1754130</v>
      </c>
      <c r="BC423" s="4">
        <f ca="1">IFERROR(__xludf.DUMMYFUNCTION("""COMPUTED_VALUE"""),42738.6666666666)</f>
        <v>42738.666666666599</v>
      </c>
      <c r="BD423" s="3">
        <f ca="1">IFERROR(__xludf.DUMMYFUNCTION("""COMPUTED_VALUE"""),48.67)</f>
        <v>48.67</v>
      </c>
      <c r="BE423" s="3">
        <f ca="1">IFERROR(__xludf.DUMMYFUNCTION("""COMPUTED_VALUE"""),48.96)</f>
        <v>48.96</v>
      </c>
      <c r="BF423" s="3">
        <f ca="1">IFERROR(__xludf.DUMMYFUNCTION("""COMPUTED_VALUE"""),48.5)</f>
        <v>48.5</v>
      </c>
      <c r="BG423" s="3">
        <f ca="1">IFERROR(__xludf.DUMMYFUNCTION("""COMPUTED_VALUE"""),48.79)</f>
        <v>48.79</v>
      </c>
      <c r="BH423" s="3">
        <f ca="1">IFERROR(__xludf.DUMMYFUNCTION("""COMPUTED_VALUE"""),13940564)</f>
        <v>13940564</v>
      </c>
      <c r="BI423" s="4">
        <f ca="1">IFERROR(__xludf.DUMMYFUNCTION("""COMPUTED_VALUE"""),42738.6666666666)</f>
        <v>42738.666666666599</v>
      </c>
      <c r="BJ423" s="3">
        <f ca="1">IFERROR(__xludf.DUMMYFUNCTION("""COMPUTED_VALUE"""),48.5)</f>
        <v>48.5</v>
      </c>
      <c r="BK423" s="3">
        <f ca="1">IFERROR(__xludf.DUMMYFUNCTION("""COMPUTED_VALUE"""),48.63)</f>
        <v>48.63</v>
      </c>
      <c r="BL423" s="3">
        <f ca="1">IFERROR(__xludf.DUMMYFUNCTION("""COMPUTED_VALUE"""),48.14)</f>
        <v>48.14</v>
      </c>
      <c r="BM423" s="3">
        <f ca="1">IFERROR(__xludf.DUMMYFUNCTION("""COMPUTED_VALUE"""),48.45)</f>
        <v>48.45</v>
      </c>
      <c r="BN423" s="3">
        <f ca="1">IFERROR(__xludf.DUMMYFUNCTION("""COMPUTED_VALUE"""),18880685)</f>
        <v>18880685</v>
      </c>
    </row>
    <row r="424" spans="7:66" ht="13" x14ac:dyDescent="0.15">
      <c r="G424" s="4">
        <f ca="1">IFERROR(__xludf.DUMMYFUNCTION("""COMPUTED_VALUE"""),42739.6666666666)</f>
        <v>42739.666666666599</v>
      </c>
      <c r="H424" s="3">
        <f ca="1">IFERROR(__xludf.DUMMYFUNCTION("""COMPUTED_VALUE"""),82.24)</f>
        <v>82.24</v>
      </c>
      <c r="I424" s="3">
        <f ca="1">IFERROR(__xludf.DUMMYFUNCTION("""COMPUTED_VALUE"""),83.06)</f>
        <v>83.06</v>
      </c>
      <c r="J424" s="3">
        <f ca="1">IFERROR(__xludf.DUMMYFUNCTION("""COMPUTED_VALUE"""),82.16)</f>
        <v>82.16</v>
      </c>
      <c r="K424" s="3">
        <f ca="1">IFERROR(__xludf.DUMMYFUNCTION("""COMPUTED_VALUE"""),82.97)</f>
        <v>82.97</v>
      </c>
      <c r="L424" s="3">
        <f ca="1">IFERROR(__xludf.DUMMYFUNCTION("""COMPUTED_VALUE"""),5493835)</f>
        <v>5493835</v>
      </c>
      <c r="M424" s="4">
        <f ca="1">IFERROR(__xludf.DUMMYFUNCTION("""COMPUTED_VALUE"""),42739.6666666666)</f>
        <v>42739.666666666599</v>
      </c>
      <c r="N424" s="3">
        <f ca="1">IFERROR(__xludf.DUMMYFUNCTION("""COMPUTED_VALUE"""),51.97)</f>
        <v>51.97</v>
      </c>
      <c r="O424" s="3">
        <f ca="1">IFERROR(__xludf.DUMMYFUNCTION("""COMPUTED_VALUE"""),52.15)</f>
        <v>52.15</v>
      </c>
      <c r="P424" s="3">
        <f ca="1">IFERROR(__xludf.DUMMYFUNCTION("""COMPUTED_VALUE"""),51.89)</f>
        <v>51.89</v>
      </c>
      <c r="Q424" s="3">
        <f ca="1">IFERROR(__xludf.DUMMYFUNCTION("""COMPUTED_VALUE"""),51.9)</f>
        <v>51.9</v>
      </c>
      <c r="R424" s="3">
        <f ca="1">IFERROR(__xludf.DUMMYFUNCTION("""COMPUTED_VALUE"""),9144625)</f>
        <v>9144625</v>
      </c>
      <c r="S424" s="4">
        <f ca="1">IFERROR(__xludf.DUMMYFUNCTION("""COMPUTED_VALUE"""),42739.6666666666)</f>
        <v>42739.666666666599</v>
      </c>
      <c r="T424" s="3">
        <f ca="1">IFERROR(__xludf.DUMMYFUNCTION("""COMPUTED_VALUE"""),76.23)</f>
        <v>76.23</v>
      </c>
      <c r="U424" s="3">
        <f ca="1">IFERROR(__xludf.DUMMYFUNCTION("""COMPUTED_VALUE"""),76.37)</f>
        <v>76.37</v>
      </c>
      <c r="V424" s="3">
        <f ca="1">IFERROR(__xludf.DUMMYFUNCTION("""COMPUTED_VALUE"""),75.76)</f>
        <v>75.760000000000005</v>
      </c>
      <c r="W424" s="3">
        <f ca="1">IFERROR(__xludf.DUMMYFUNCTION("""COMPUTED_VALUE"""),76.01)</f>
        <v>76.010000000000005</v>
      </c>
      <c r="X424" s="3">
        <f ca="1">IFERROR(__xludf.DUMMYFUNCTION("""COMPUTED_VALUE"""),11185512)</f>
        <v>11185512</v>
      </c>
      <c r="Y424" s="4">
        <f ca="1">IFERROR(__xludf.DUMMYFUNCTION("""COMPUTED_VALUE"""),42739.6666666666)</f>
        <v>42739.666666666599</v>
      </c>
      <c r="Z424" s="3">
        <f ca="1">IFERROR(__xludf.DUMMYFUNCTION("""COMPUTED_VALUE"""),23.58)</f>
        <v>23.58</v>
      </c>
      <c r="AA424" s="3">
        <f ca="1">IFERROR(__xludf.DUMMYFUNCTION("""COMPUTED_VALUE"""),23.73)</f>
        <v>23.73</v>
      </c>
      <c r="AB424" s="3">
        <f ca="1">IFERROR(__xludf.DUMMYFUNCTION("""COMPUTED_VALUE"""),23.51)</f>
        <v>23.51</v>
      </c>
      <c r="AC424" s="3">
        <f ca="1">IFERROR(__xludf.DUMMYFUNCTION("""COMPUTED_VALUE"""),23.7)</f>
        <v>23.7</v>
      </c>
      <c r="AD424" s="3">
        <f ca="1">IFERROR(__xludf.DUMMYFUNCTION("""COMPUTED_VALUE"""),45092157)</f>
        <v>45092157</v>
      </c>
      <c r="AE424" s="4">
        <f ca="1">IFERROR(__xludf.DUMMYFUNCTION("""COMPUTED_VALUE"""),42739.6666666666)</f>
        <v>42739.666666666599</v>
      </c>
      <c r="AF424" s="3">
        <f ca="1">IFERROR(__xludf.DUMMYFUNCTION("""COMPUTED_VALUE"""),69.95)</f>
        <v>69.95</v>
      </c>
      <c r="AG424" s="3">
        <f ca="1">IFERROR(__xludf.DUMMYFUNCTION("""COMPUTED_VALUE"""),70.58)</f>
        <v>70.58</v>
      </c>
      <c r="AH424" s="3">
        <f ca="1">IFERROR(__xludf.DUMMYFUNCTION("""COMPUTED_VALUE"""),69.95)</f>
        <v>69.95</v>
      </c>
      <c r="AI424" s="3">
        <f ca="1">IFERROR(__xludf.DUMMYFUNCTION("""COMPUTED_VALUE"""),70.39)</f>
        <v>70.39</v>
      </c>
      <c r="AJ424" s="3">
        <f ca="1">IFERROR(__xludf.DUMMYFUNCTION("""COMPUTED_VALUE"""),9174456)</f>
        <v>9174456</v>
      </c>
      <c r="AK424" s="4">
        <f ca="1">IFERROR(__xludf.DUMMYFUNCTION("""COMPUTED_VALUE"""),42739.6666666666)</f>
        <v>42739.666666666599</v>
      </c>
      <c r="AL424" s="3">
        <f ca="1">IFERROR(__xludf.DUMMYFUNCTION("""COMPUTED_VALUE"""),62.76)</f>
        <v>62.76</v>
      </c>
      <c r="AM424" s="3">
        <f ca="1">IFERROR(__xludf.DUMMYFUNCTION("""COMPUTED_VALUE"""),63.08)</f>
        <v>63.08</v>
      </c>
      <c r="AN424" s="3">
        <f ca="1">IFERROR(__xludf.DUMMYFUNCTION("""COMPUTED_VALUE"""),62.68)</f>
        <v>62.68</v>
      </c>
      <c r="AO424" s="3">
        <f ca="1">IFERROR(__xludf.DUMMYFUNCTION("""COMPUTED_VALUE"""),62.96)</f>
        <v>62.96</v>
      </c>
      <c r="AP424" s="3">
        <f ca="1">IFERROR(__xludf.DUMMYFUNCTION("""COMPUTED_VALUE"""),8889278)</f>
        <v>8889278</v>
      </c>
      <c r="AQ424" s="4">
        <f ca="1">IFERROR(__xludf.DUMMYFUNCTION("""COMPUTED_VALUE"""),42739.6666666666)</f>
        <v>42739.666666666599</v>
      </c>
      <c r="AR424" s="3">
        <f ca="1">IFERROR(__xludf.DUMMYFUNCTION("""COMPUTED_VALUE"""),50.19)</f>
        <v>50.19</v>
      </c>
      <c r="AS424" s="3">
        <f ca="1">IFERROR(__xludf.DUMMYFUNCTION("""COMPUTED_VALUE"""),50.81)</f>
        <v>50.81</v>
      </c>
      <c r="AT424" s="3">
        <f ca="1">IFERROR(__xludf.DUMMYFUNCTION("""COMPUTED_VALUE"""),50.19)</f>
        <v>50.19</v>
      </c>
      <c r="AU424" s="3">
        <f ca="1">IFERROR(__xludf.DUMMYFUNCTION("""COMPUTED_VALUE"""),50.72)</f>
        <v>50.72</v>
      </c>
      <c r="AV424" s="3">
        <f ca="1">IFERROR(__xludf.DUMMYFUNCTION("""COMPUTED_VALUE"""),4542345)</f>
        <v>4542345</v>
      </c>
      <c r="AW424" s="4">
        <f ca="1">IFERROR(__xludf.DUMMYFUNCTION("""COMPUTED_VALUE"""),42905.6666666666)</f>
        <v>42905.666666666599</v>
      </c>
      <c r="AX424" s="3">
        <f ca="1">IFERROR(__xludf.DUMMYFUNCTION("""COMPUTED_VALUE"""),32.47)</f>
        <v>32.47</v>
      </c>
      <c r="AY424" s="3">
        <f ca="1">IFERROR(__xludf.DUMMYFUNCTION("""COMPUTED_VALUE"""),32.5)</f>
        <v>32.5</v>
      </c>
      <c r="AZ424" s="3">
        <f ca="1">IFERROR(__xludf.DUMMYFUNCTION("""COMPUTED_VALUE"""),32.32)</f>
        <v>32.32</v>
      </c>
      <c r="BA424" s="3">
        <f ca="1">IFERROR(__xludf.DUMMYFUNCTION("""COMPUTED_VALUE"""),32.46)</f>
        <v>32.46</v>
      </c>
      <c r="BB424" s="3">
        <f ca="1">IFERROR(__xludf.DUMMYFUNCTION("""COMPUTED_VALUE"""),6082213)</f>
        <v>6082213</v>
      </c>
      <c r="BC424" s="4">
        <f ca="1">IFERROR(__xludf.DUMMYFUNCTION("""COMPUTED_VALUE"""),42739.6666666666)</f>
        <v>42739.666666666599</v>
      </c>
      <c r="BD424" s="3">
        <f ca="1">IFERROR(__xludf.DUMMYFUNCTION("""COMPUTED_VALUE"""),48.83)</f>
        <v>48.83</v>
      </c>
      <c r="BE424" s="3">
        <f ca="1">IFERROR(__xludf.DUMMYFUNCTION("""COMPUTED_VALUE"""),49.03)</f>
        <v>49.03</v>
      </c>
      <c r="BF424" s="3">
        <f ca="1">IFERROR(__xludf.DUMMYFUNCTION("""COMPUTED_VALUE"""),48.8)</f>
        <v>48.8</v>
      </c>
      <c r="BG424" s="3">
        <f ca="1">IFERROR(__xludf.DUMMYFUNCTION("""COMPUTED_VALUE"""),48.96)</f>
        <v>48.96</v>
      </c>
      <c r="BH424" s="3">
        <f ca="1">IFERROR(__xludf.DUMMYFUNCTION("""COMPUTED_VALUE"""),7223081)</f>
        <v>7223081</v>
      </c>
      <c r="BI424" s="4">
        <f ca="1">IFERROR(__xludf.DUMMYFUNCTION("""COMPUTED_VALUE"""),42739.6666666666)</f>
        <v>42739.666666666599</v>
      </c>
      <c r="BJ424" s="3">
        <f ca="1">IFERROR(__xludf.DUMMYFUNCTION("""COMPUTED_VALUE"""),48.52)</f>
        <v>48.52</v>
      </c>
      <c r="BK424" s="3">
        <f ca="1">IFERROR(__xludf.DUMMYFUNCTION("""COMPUTED_VALUE"""),48.88)</f>
        <v>48.88</v>
      </c>
      <c r="BL424" s="3">
        <f ca="1">IFERROR(__xludf.DUMMYFUNCTION("""COMPUTED_VALUE"""),48.43)</f>
        <v>48.43</v>
      </c>
      <c r="BM424" s="3">
        <f ca="1">IFERROR(__xludf.DUMMYFUNCTION("""COMPUTED_VALUE"""),48.63)</f>
        <v>48.63</v>
      </c>
      <c r="BN424" s="3">
        <f ca="1">IFERROR(__xludf.DUMMYFUNCTION("""COMPUTED_VALUE"""),14550500)</f>
        <v>14550500</v>
      </c>
    </row>
    <row r="425" spans="7:66" ht="13" x14ac:dyDescent="0.15">
      <c r="G425" s="4">
        <f ca="1">IFERROR(__xludf.DUMMYFUNCTION("""COMPUTED_VALUE"""),42740.6666666666)</f>
        <v>42740.666666666599</v>
      </c>
      <c r="H425" s="3">
        <f ca="1">IFERROR(__xludf.DUMMYFUNCTION("""COMPUTED_VALUE"""),82.46)</f>
        <v>82.46</v>
      </c>
      <c r="I425" s="3">
        <f ca="1">IFERROR(__xludf.DUMMYFUNCTION("""COMPUTED_VALUE"""),82.94)</f>
        <v>82.94</v>
      </c>
      <c r="J425" s="3">
        <f ca="1">IFERROR(__xludf.DUMMYFUNCTION("""COMPUTED_VALUE"""),82.44)</f>
        <v>82.44</v>
      </c>
      <c r="K425" s="3">
        <f ca="1">IFERROR(__xludf.DUMMYFUNCTION("""COMPUTED_VALUE"""),82.91)</f>
        <v>82.91</v>
      </c>
      <c r="L425" s="3">
        <f ca="1">IFERROR(__xludf.DUMMYFUNCTION("""COMPUTED_VALUE"""),4396660)</f>
        <v>4396660</v>
      </c>
      <c r="M425" s="4">
        <f ca="1">IFERROR(__xludf.DUMMYFUNCTION("""COMPUTED_VALUE"""),42740.6666666666)</f>
        <v>42740.666666666599</v>
      </c>
      <c r="N425" s="3">
        <f ca="1">IFERROR(__xludf.DUMMYFUNCTION("""COMPUTED_VALUE"""),51.89)</f>
        <v>51.89</v>
      </c>
      <c r="O425" s="3">
        <f ca="1">IFERROR(__xludf.DUMMYFUNCTION("""COMPUTED_VALUE"""),52.14)</f>
        <v>52.14</v>
      </c>
      <c r="P425" s="3">
        <f ca="1">IFERROR(__xludf.DUMMYFUNCTION("""COMPUTED_VALUE"""),51.7)</f>
        <v>51.7</v>
      </c>
      <c r="Q425" s="3">
        <f ca="1">IFERROR(__xludf.DUMMYFUNCTION("""COMPUTED_VALUE"""),52.07)</f>
        <v>52.07</v>
      </c>
      <c r="R425" s="3">
        <f ca="1">IFERROR(__xludf.DUMMYFUNCTION("""COMPUTED_VALUE"""),12312524)</f>
        <v>12312524</v>
      </c>
      <c r="S425" s="4">
        <f ca="1">IFERROR(__xludf.DUMMYFUNCTION("""COMPUTED_VALUE"""),42740.6666666666)</f>
        <v>42740.666666666599</v>
      </c>
      <c r="T425" s="3">
        <f ca="1">IFERROR(__xludf.DUMMYFUNCTION("""COMPUTED_VALUE"""),76.06)</f>
        <v>76.06</v>
      </c>
      <c r="U425" s="3">
        <f ca="1">IFERROR(__xludf.DUMMYFUNCTION("""COMPUTED_VALUE"""),76.34)</f>
        <v>76.34</v>
      </c>
      <c r="V425" s="3">
        <f ca="1">IFERROR(__xludf.DUMMYFUNCTION("""COMPUTED_VALUE"""),75.46)</f>
        <v>75.459999999999994</v>
      </c>
      <c r="W425" s="3">
        <f ca="1">IFERROR(__xludf.DUMMYFUNCTION("""COMPUTED_VALUE"""),75.82)</f>
        <v>75.819999999999993</v>
      </c>
      <c r="X425" s="3">
        <f ca="1">IFERROR(__xludf.DUMMYFUNCTION("""COMPUTED_VALUE"""),11141175)</f>
        <v>11141175</v>
      </c>
      <c r="Y425" s="4">
        <f ca="1">IFERROR(__xludf.DUMMYFUNCTION("""COMPUTED_VALUE"""),42740.6666666666)</f>
        <v>42740.666666666599</v>
      </c>
      <c r="Z425" s="3">
        <f ca="1">IFERROR(__xludf.DUMMYFUNCTION("""COMPUTED_VALUE"""),23.63)</f>
        <v>23.63</v>
      </c>
      <c r="AA425" s="3">
        <f ca="1">IFERROR(__xludf.DUMMYFUNCTION("""COMPUTED_VALUE"""),23.66)</f>
        <v>23.66</v>
      </c>
      <c r="AB425" s="3">
        <f ca="1">IFERROR(__xludf.DUMMYFUNCTION("""COMPUTED_VALUE"""),23.24)</f>
        <v>23.24</v>
      </c>
      <c r="AC425" s="3">
        <f ca="1">IFERROR(__xludf.DUMMYFUNCTION("""COMPUTED_VALUE"""),23.46)</f>
        <v>23.46</v>
      </c>
      <c r="AD425" s="3">
        <f ca="1">IFERROR(__xludf.DUMMYFUNCTION("""COMPUTED_VALUE"""),62201101)</f>
        <v>62201101</v>
      </c>
      <c r="AE425" s="4">
        <f ca="1">IFERROR(__xludf.DUMMYFUNCTION("""COMPUTED_VALUE"""),42740.6666666666)</f>
        <v>42740.666666666599</v>
      </c>
      <c r="AF425" s="3">
        <f ca="1">IFERROR(__xludf.DUMMYFUNCTION("""COMPUTED_VALUE"""),70.33)</f>
        <v>70.33</v>
      </c>
      <c r="AG425" s="3">
        <f ca="1">IFERROR(__xludf.DUMMYFUNCTION("""COMPUTED_VALUE"""),70.77)</f>
        <v>70.77</v>
      </c>
      <c r="AH425" s="3">
        <f ca="1">IFERROR(__xludf.DUMMYFUNCTION("""COMPUTED_VALUE"""),70.27)</f>
        <v>70.27</v>
      </c>
      <c r="AI425" s="3">
        <f ca="1">IFERROR(__xludf.DUMMYFUNCTION("""COMPUTED_VALUE"""),70.75)</f>
        <v>70.75</v>
      </c>
      <c r="AJ425" s="3">
        <f ca="1">IFERROR(__xludf.DUMMYFUNCTION("""COMPUTED_VALUE"""),5979290)</f>
        <v>5979290</v>
      </c>
      <c r="AK425" s="4">
        <f ca="1">IFERROR(__xludf.DUMMYFUNCTION("""COMPUTED_VALUE"""),42740.6666666666)</f>
        <v>42740.666666666599</v>
      </c>
      <c r="AL425" s="3">
        <f ca="1">IFERROR(__xludf.DUMMYFUNCTION("""COMPUTED_VALUE"""),62.91)</f>
        <v>62.91</v>
      </c>
      <c r="AM425" s="3">
        <f ca="1">IFERROR(__xludf.DUMMYFUNCTION("""COMPUTED_VALUE"""),63.27)</f>
        <v>63.27</v>
      </c>
      <c r="AN425" s="3">
        <f ca="1">IFERROR(__xludf.DUMMYFUNCTION("""COMPUTED_VALUE"""),62.44)</f>
        <v>62.44</v>
      </c>
      <c r="AO425" s="3">
        <f ca="1">IFERROR(__xludf.DUMMYFUNCTION("""COMPUTED_VALUE"""),62.78)</f>
        <v>62.78</v>
      </c>
      <c r="AP425" s="3">
        <f ca="1">IFERROR(__xludf.DUMMYFUNCTION("""COMPUTED_VALUE"""),9850871)</f>
        <v>9850871</v>
      </c>
      <c r="AQ425" s="4">
        <f ca="1">IFERROR(__xludf.DUMMYFUNCTION("""COMPUTED_VALUE"""),42740.6666666666)</f>
        <v>42740.666666666599</v>
      </c>
      <c r="AR425" s="3">
        <f ca="1">IFERROR(__xludf.DUMMYFUNCTION("""COMPUTED_VALUE"""),50.66)</f>
        <v>50.66</v>
      </c>
      <c r="AS425" s="3">
        <f ca="1">IFERROR(__xludf.DUMMYFUNCTION("""COMPUTED_VALUE"""),50.85)</f>
        <v>50.85</v>
      </c>
      <c r="AT425" s="3">
        <f ca="1">IFERROR(__xludf.DUMMYFUNCTION("""COMPUTED_VALUE"""),50.4)</f>
        <v>50.4</v>
      </c>
      <c r="AU425" s="3">
        <f ca="1">IFERROR(__xludf.DUMMYFUNCTION("""COMPUTED_VALUE"""),50.57)</f>
        <v>50.57</v>
      </c>
      <c r="AV425" s="3">
        <f ca="1">IFERROR(__xludf.DUMMYFUNCTION("""COMPUTED_VALUE"""),3903017)</f>
        <v>3903017</v>
      </c>
      <c r="AW425" s="4">
        <f ca="1">IFERROR(__xludf.DUMMYFUNCTION("""COMPUTED_VALUE"""),42906.6666666666)</f>
        <v>42906.666666666599</v>
      </c>
      <c r="AX425" s="3">
        <f ca="1">IFERROR(__xludf.DUMMYFUNCTION("""COMPUTED_VALUE"""),32.49)</f>
        <v>32.49</v>
      </c>
      <c r="AY425" s="3">
        <f ca="1">IFERROR(__xludf.DUMMYFUNCTION("""COMPUTED_VALUE"""),32.57)</f>
        <v>32.57</v>
      </c>
      <c r="AZ425" s="3">
        <f ca="1">IFERROR(__xludf.DUMMYFUNCTION("""COMPUTED_VALUE"""),32.18)</f>
        <v>32.18</v>
      </c>
      <c r="BA425" s="3">
        <f ca="1">IFERROR(__xludf.DUMMYFUNCTION("""COMPUTED_VALUE"""),32.4)</f>
        <v>32.4</v>
      </c>
      <c r="BB425" s="3">
        <f ca="1">IFERROR(__xludf.DUMMYFUNCTION("""COMPUTED_VALUE"""),2348860)</f>
        <v>2348860</v>
      </c>
      <c r="BC425" s="4">
        <f ca="1">IFERROR(__xludf.DUMMYFUNCTION("""COMPUTED_VALUE"""),42740.6666666666)</f>
        <v>42740.666666666599</v>
      </c>
      <c r="BD425" s="3">
        <f ca="1">IFERROR(__xludf.DUMMYFUNCTION("""COMPUTED_VALUE"""),48.91)</f>
        <v>48.91</v>
      </c>
      <c r="BE425" s="3">
        <f ca="1">IFERROR(__xludf.DUMMYFUNCTION("""COMPUTED_VALUE"""),49.16)</f>
        <v>49.16</v>
      </c>
      <c r="BF425" s="3">
        <f ca="1">IFERROR(__xludf.DUMMYFUNCTION("""COMPUTED_VALUE"""),48.85)</f>
        <v>48.85</v>
      </c>
      <c r="BG425" s="3">
        <f ca="1">IFERROR(__xludf.DUMMYFUNCTION("""COMPUTED_VALUE"""),49.04)</f>
        <v>49.04</v>
      </c>
      <c r="BH425" s="3">
        <f ca="1">IFERROR(__xludf.DUMMYFUNCTION("""COMPUTED_VALUE"""),5502865)</f>
        <v>5502865</v>
      </c>
      <c r="BI425" s="4">
        <f ca="1">IFERROR(__xludf.DUMMYFUNCTION("""COMPUTED_VALUE"""),42740.6666666666)</f>
        <v>42740.666666666599</v>
      </c>
      <c r="BJ425" s="3">
        <f ca="1">IFERROR(__xludf.DUMMYFUNCTION("""COMPUTED_VALUE"""),48.74)</f>
        <v>48.74</v>
      </c>
      <c r="BK425" s="3">
        <f ca="1">IFERROR(__xludf.DUMMYFUNCTION("""COMPUTED_VALUE"""),48.76)</f>
        <v>48.76</v>
      </c>
      <c r="BL425" s="3">
        <f ca="1">IFERROR(__xludf.DUMMYFUNCTION("""COMPUTED_VALUE"""),48.16)</f>
        <v>48.16</v>
      </c>
      <c r="BM425" s="3">
        <f ca="1">IFERROR(__xludf.DUMMYFUNCTION("""COMPUTED_VALUE"""),48.68)</f>
        <v>48.68</v>
      </c>
      <c r="BN425" s="3">
        <f ca="1">IFERROR(__xludf.DUMMYFUNCTION("""COMPUTED_VALUE"""),16306401)</f>
        <v>16306401</v>
      </c>
    </row>
    <row r="426" spans="7:66" ht="13" x14ac:dyDescent="0.15">
      <c r="G426" s="4">
        <f ca="1">IFERROR(__xludf.DUMMYFUNCTION("""COMPUTED_VALUE"""),42741.6666666666)</f>
        <v>42741.666666666599</v>
      </c>
      <c r="H426" s="3">
        <f ca="1">IFERROR(__xludf.DUMMYFUNCTION("""COMPUTED_VALUE"""),82.89)</f>
        <v>82.89</v>
      </c>
      <c r="I426" s="3">
        <f ca="1">IFERROR(__xludf.DUMMYFUNCTION("""COMPUTED_VALUE"""),83.57)</f>
        <v>83.57</v>
      </c>
      <c r="J426" s="3">
        <f ca="1">IFERROR(__xludf.DUMMYFUNCTION("""COMPUTED_VALUE"""),82.58)</f>
        <v>82.58</v>
      </c>
      <c r="K426" s="3">
        <f ca="1">IFERROR(__xludf.DUMMYFUNCTION("""COMPUTED_VALUE"""),83.32)</f>
        <v>83.32</v>
      </c>
      <c r="L426" s="3">
        <f ca="1">IFERROR(__xludf.DUMMYFUNCTION("""COMPUTED_VALUE"""),6538097)</f>
        <v>6538097</v>
      </c>
      <c r="M426" s="4">
        <f ca="1">IFERROR(__xludf.DUMMYFUNCTION("""COMPUTED_VALUE"""),42741.6666666666)</f>
        <v>42741.666666666599</v>
      </c>
      <c r="N426" s="3">
        <f ca="1">IFERROR(__xludf.DUMMYFUNCTION("""COMPUTED_VALUE"""),51.97)</f>
        <v>51.97</v>
      </c>
      <c r="O426" s="3">
        <f ca="1">IFERROR(__xludf.DUMMYFUNCTION("""COMPUTED_VALUE"""),52.15)</f>
        <v>52.15</v>
      </c>
      <c r="P426" s="3">
        <f ca="1">IFERROR(__xludf.DUMMYFUNCTION("""COMPUTED_VALUE"""),51.78)</f>
        <v>51.78</v>
      </c>
      <c r="Q426" s="3">
        <f ca="1">IFERROR(__xludf.DUMMYFUNCTION("""COMPUTED_VALUE"""),52.12)</f>
        <v>52.12</v>
      </c>
      <c r="R426" s="3">
        <f ca="1">IFERROR(__xludf.DUMMYFUNCTION("""COMPUTED_VALUE"""),9092386)</f>
        <v>9092386</v>
      </c>
      <c r="S426" s="4">
        <f ca="1">IFERROR(__xludf.DUMMYFUNCTION("""COMPUTED_VALUE"""),42741.6666666666)</f>
        <v>42741.666666666599</v>
      </c>
      <c r="T426" s="3">
        <f ca="1">IFERROR(__xludf.DUMMYFUNCTION("""COMPUTED_VALUE"""),76.06)</f>
        <v>76.06</v>
      </c>
      <c r="U426" s="3">
        <f ca="1">IFERROR(__xludf.DUMMYFUNCTION("""COMPUTED_VALUE"""),76.15)</f>
        <v>76.150000000000006</v>
      </c>
      <c r="V426" s="3">
        <f ca="1">IFERROR(__xludf.DUMMYFUNCTION("""COMPUTED_VALUE"""),75.39)</f>
        <v>75.39</v>
      </c>
      <c r="W426" s="3">
        <f ca="1">IFERROR(__xludf.DUMMYFUNCTION("""COMPUTED_VALUE"""),75.89)</f>
        <v>75.89</v>
      </c>
      <c r="X426" s="3">
        <f ca="1">IFERROR(__xludf.DUMMYFUNCTION("""COMPUTED_VALUE"""),7410548)</f>
        <v>7410548</v>
      </c>
      <c r="Y426" s="4">
        <f ca="1">IFERROR(__xludf.DUMMYFUNCTION("""COMPUTED_VALUE"""),42741.6666666666)</f>
        <v>42741.666666666599</v>
      </c>
      <c r="Z426" s="3">
        <f ca="1">IFERROR(__xludf.DUMMYFUNCTION("""COMPUTED_VALUE"""),23.55)</f>
        <v>23.55</v>
      </c>
      <c r="AA426" s="3">
        <f ca="1">IFERROR(__xludf.DUMMYFUNCTION("""COMPUTED_VALUE"""),23.64)</f>
        <v>23.64</v>
      </c>
      <c r="AB426" s="3">
        <f ca="1">IFERROR(__xludf.DUMMYFUNCTION("""COMPUTED_VALUE"""),23.42)</f>
        <v>23.42</v>
      </c>
      <c r="AC426" s="3">
        <f ca="1">IFERROR(__xludf.DUMMYFUNCTION("""COMPUTED_VALUE"""),23.54)</f>
        <v>23.54</v>
      </c>
      <c r="AD426" s="3">
        <f ca="1">IFERROR(__xludf.DUMMYFUNCTION("""COMPUTED_VALUE"""),38060761)</f>
        <v>38060761</v>
      </c>
      <c r="AE426" s="4">
        <f ca="1">IFERROR(__xludf.DUMMYFUNCTION("""COMPUTED_VALUE"""),42741.6666666666)</f>
        <v>42741.666666666599</v>
      </c>
      <c r="AF426" s="3">
        <f ca="1">IFERROR(__xludf.DUMMYFUNCTION("""COMPUTED_VALUE"""),70.77)</f>
        <v>70.77</v>
      </c>
      <c r="AG426" s="3">
        <f ca="1">IFERROR(__xludf.DUMMYFUNCTION("""COMPUTED_VALUE"""),71.15)</f>
        <v>71.150000000000006</v>
      </c>
      <c r="AH426" s="3">
        <f ca="1">IFERROR(__xludf.DUMMYFUNCTION("""COMPUTED_VALUE"""),70.52)</f>
        <v>70.52</v>
      </c>
      <c r="AI426" s="3">
        <f ca="1">IFERROR(__xludf.DUMMYFUNCTION("""COMPUTED_VALUE"""),70.95)</f>
        <v>70.95</v>
      </c>
      <c r="AJ426" s="3">
        <f ca="1">IFERROR(__xludf.DUMMYFUNCTION("""COMPUTED_VALUE"""),5769255)</f>
        <v>5769255</v>
      </c>
      <c r="AK426" s="4">
        <f ca="1">IFERROR(__xludf.DUMMYFUNCTION("""COMPUTED_VALUE"""),42741.6666666666)</f>
        <v>42741.666666666599</v>
      </c>
      <c r="AL426" s="3">
        <f ca="1">IFERROR(__xludf.DUMMYFUNCTION("""COMPUTED_VALUE"""),62.79)</f>
        <v>62.79</v>
      </c>
      <c r="AM426" s="3">
        <f ca="1">IFERROR(__xludf.DUMMYFUNCTION("""COMPUTED_VALUE"""),63.31)</f>
        <v>63.31</v>
      </c>
      <c r="AN426" s="3">
        <f ca="1">IFERROR(__xludf.DUMMYFUNCTION("""COMPUTED_VALUE"""),62.58)</f>
        <v>62.58</v>
      </c>
      <c r="AO426" s="3">
        <f ca="1">IFERROR(__xludf.DUMMYFUNCTION("""COMPUTED_VALUE"""),63.14)</f>
        <v>63.14</v>
      </c>
      <c r="AP426" s="3">
        <f ca="1">IFERROR(__xludf.DUMMYFUNCTION("""COMPUTED_VALUE"""),12124458)</f>
        <v>12124458</v>
      </c>
      <c r="AQ426" s="4">
        <f ca="1">IFERROR(__xludf.DUMMYFUNCTION("""COMPUTED_VALUE"""),42741.6666666666)</f>
        <v>42741.666666666599</v>
      </c>
      <c r="AR426" s="3">
        <f ca="1">IFERROR(__xludf.DUMMYFUNCTION("""COMPUTED_VALUE"""),50.57)</f>
        <v>50.57</v>
      </c>
      <c r="AS426" s="3">
        <f ca="1">IFERROR(__xludf.DUMMYFUNCTION("""COMPUTED_VALUE"""),50.66)</f>
        <v>50.66</v>
      </c>
      <c r="AT426" s="3">
        <f ca="1">IFERROR(__xludf.DUMMYFUNCTION("""COMPUTED_VALUE"""),50.33)</f>
        <v>50.33</v>
      </c>
      <c r="AU426" s="3">
        <f ca="1">IFERROR(__xludf.DUMMYFUNCTION("""COMPUTED_VALUE"""),50.62)</f>
        <v>50.62</v>
      </c>
      <c r="AV426" s="3">
        <f ca="1">IFERROR(__xludf.DUMMYFUNCTION("""COMPUTED_VALUE"""),2947082)</f>
        <v>2947082</v>
      </c>
      <c r="AW426" s="4">
        <f ca="1">IFERROR(__xludf.DUMMYFUNCTION("""COMPUTED_VALUE"""),42907.6666666666)</f>
        <v>42907.666666666599</v>
      </c>
      <c r="AX426" s="3">
        <f ca="1">IFERROR(__xludf.DUMMYFUNCTION("""COMPUTED_VALUE"""),32.41)</f>
        <v>32.409999999999997</v>
      </c>
      <c r="AY426" s="3">
        <f ca="1">IFERROR(__xludf.DUMMYFUNCTION("""COMPUTED_VALUE"""),32.44)</f>
        <v>32.44</v>
      </c>
      <c r="AZ426" s="3">
        <f ca="1">IFERROR(__xludf.DUMMYFUNCTION("""COMPUTED_VALUE"""),32.15)</f>
        <v>32.15</v>
      </c>
      <c r="BA426" s="3">
        <f ca="1">IFERROR(__xludf.DUMMYFUNCTION("""COMPUTED_VALUE"""),32.33)</f>
        <v>32.33</v>
      </c>
      <c r="BB426" s="3">
        <f ca="1">IFERROR(__xludf.DUMMYFUNCTION("""COMPUTED_VALUE"""),1659946)</f>
        <v>1659946</v>
      </c>
      <c r="BC426" s="4">
        <f ca="1">IFERROR(__xludf.DUMMYFUNCTION("""COMPUTED_VALUE"""),42741.6666666666)</f>
        <v>42741.666666666599</v>
      </c>
      <c r="BD426" s="3">
        <f ca="1">IFERROR(__xludf.DUMMYFUNCTION("""COMPUTED_VALUE"""),49.04)</f>
        <v>49.04</v>
      </c>
      <c r="BE426" s="3">
        <f ca="1">IFERROR(__xludf.DUMMYFUNCTION("""COMPUTED_VALUE"""),49.47)</f>
        <v>49.47</v>
      </c>
      <c r="BF426" s="3">
        <f ca="1">IFERROR(__xludf.DUMMYFUNCTION("""COMPUTED_VALUE"""),48.9)</f>
        <v>48.9</v>
      </c>
      <c r="BG426" s="3">
        <f ca="1">IFERROR(__xludf.DUMMYFUNCTION("""COMPUTED_VALUE"""),49.4)</f>
        <v>49.4</v>
      </c>
      <c r="BH426" s="3">
        <f ca="1">IFERROR(__xludf.DUMMYFUNCTION("""COMPUTED_VALUE"""),8750635)</f>
        <v>8750635</v>
      </c>
      <c r="BI426" s="4">
        <f ca="1">IFERROR(__xludf.DUMMYFUNCTION("""COMPUTED_VALUE"""),42741.6666666666)</f>
        <v>42741.666666666599</v>
      </c>
      <c r="BJ426" s="3">
        <f ca="1">IFERROR(__xludf.DUMMYFUNCTION("""COMPUTED_VALUE"""),48.44)</f>
        <v>48.44</v>
      </c>
      <c r="BK426" s="3">
        <f ca="1">IFERROR(__xludf.DUMMYFUNCTION("""COMPUTED_VALUE"""),48.92)</f>
        <v>48.92</v>
      </c>
      <c r="BL426" s="3">
        <f ca="1">IFERROR(__xludf.DUMMYFUNCTION("""COMPUTED_VALUE"""),48.35)</f>
        <v>48.35</v>
      </c>
      <c r="BM426" s="3">
        <f ca="1">IFERROR(__xludf.DUMMYFUNCTION("""COMPUTED_VALUE"""),48.83)</f>
        <v>48.83</v>
      </c>
      <c r="BN426" s="3">
        <f ca="1">IFERROR(__xludf.DUMMYFUNCTION("""COMPUTED_VALUE"""),10967168)</f>
        <v>10967168</v>
      </c>
    </row>
    <row r="427" spans="7:66" ht="13" x14ac:dyDescent="0.15">
      <c r="G427" s="4">
        <f ca="1">IFERROR(__xludf.DUMMYFUNCTION("""COMPUTED_VALUE"""),42744.6666666666)</f>
        <v>42744.666666666599</v>
      </c>
      <c r="H427" s="3">
        <f ca="1">IFERROR(__xludf.DUMMYFUNCTION("""COMPUTED_VALUE"""),83.29)</f>
        <v>83.29</v>
      </c>
      <c r="I427" s="3">
        <f ca="1">IFERROR(__xludf.DUMMYFUNCTION("""COMPUTED_VALUE"""),83.47)</f>
        <v>83.47</v>
      </c>
      <c r="J427" s="3">
        <f ca="1">IFERROR(__xludf.DUMMYFUNCTION("""COMPUTED_VALUE"""),83.1)</f>
        <v>83.1</v>
      </c>
      <c r="K427" s="3">
        <f ca="1">IFERROR(__xludf.DUMMYFUNCTION("""COMPUTED_VALUE"""),83.25)</f>
        <v>83.25</v>
      </c>
      <c r="L427" s="3">
        <f ca="1">IFERROR(__xludf.DUMMYFUNCTION("""COMPUTED_VALUE"""),3855613)</f>
        <v>3855613</v>
      </c>
      <c r="M427" s="4">
        <f ca="1">IFERROR(__xludf.DUMMYFUNCTION("""COMPUTED_VALUE"""),42744.6666666666)</f>
        <v>42744.666666666599</v>
      </c>
      <c r="N427" s="3">
        <f ca="1">IFERROR(__xludf.DUMMYFUNCTION("""COMPUTED_VALUE"""),51.92)</f>
        <v>51.92</v>
      </c>
      <c r="O427" s="3">
        <f ca="1">IFERROR(__xludf.DUMMYFUNCTION("""COMPUTED_VALUE"""),51.96)</f>
        <v>51.96</v>
      </c>
      <c r="P427" s="3">
        <f ca="1">IFERROR(__xludf.DUMMYFUNCTION("""COMPUTED_VALUE"""),51.65)</f>
        <v>51.65</v>
      </c>
      <c r="Q427" s="3">
        <f ca="1">IFERROR(__xludf.DUMMYFUNCTION("""COMPUTED_VALUE"""),51.7)</f>
        <v>51.7</v>
      </c>
      <c r="R427" s="3">
        <f ca="1">IFERROR(__xludf.DUMMYFUNCTION("""COMPUTED_VALUE"""),6903166)</f>
        <v>6903166</v>
      </c>
      <c r="S427" s="4">
        <f ca="1">IFERROR(__xludf.DUMMYFUNCTION("""COMPUTED_VALUE"""),42744.6666666666)</f>
        <v>42744.666666666599</v>
      </c>
      <c r="T427" s="3">
        <f ca="1">IFERROR(__xludf.DUMMYFUNCTION("""COMPUTED_VALUE"""),75.39)</f>
        <v>75.39</v>
      </c>
      <c r="U427" s="3">
        <f ca="1">IFERROR(__xludf.DUMMYFUNCTION("""COMPUTED_VALUE"""),75.46)</f>
        <v>75.459999999999994</v>
      </c>
      <c r="V427" s="3">
        <f ca="1">IFERROR(__xludf.DUMMYFUNCTION("""COMPUTED_VALUE"""),74.68)</f>
        <v>74.680000000000007</v>
      </c>
      <c r="W427" s="3">
        <f ca="1">IFERROR(__xludf.DUMMYFUNCTION("""COMPUTED_VALUE"""),74.79)</f>
        <v>74.790000000000006</v>
      </c>
      <c r="X427" s="3">
        <f ca="1">IFERROR(__xludf.DUMMYFUNCTION("""COMPUTED_VALUE"""),10960921)</f>
        <v>10960921</v>
      </c>
      <c r="Y427" s="4">
        <f ca="1">IFERROR(__xludf.DUMMYFUNCTION("""COMPUTED_VALUE"""),42744.6666666666)</f>
        <v>42744.666666666599</v>
      </c>
      <c r="Z427" s="3">
        <f ca="1">IFERROR(__xludf.DUMMYFUNCTION("""COMPUTED_VALUE"""),23.48)</f>
        <v>23.48</v>
      </c>
      <c r="AA427" s="3">
        <f ca="1">IFERROR(__xludf.DUMMYFUNCTION("""COMPUTED_VALUE"""),23.53)</f>
        <v>23.53</v>
      </c>
      <c r="AB427" s="3">
        <f ca="1">IFERROR(__xludf.DUMMYFUNCTION("""COMPUTED_VALUE"""),23.33)</f>
        <v>23.33</v>
      </c>
      <c r="AC427" s="3">
        <f ca="1">IFERROR(__xludf.DUMMYFUNCTION("""COMPUTED_VALUE"""),23.38)</f>
        <v>23.38</v>
      </c>
      <c r="AD427" s="3">
        <f ca="1">IFERROR(__xludf.DUMMYFUNCTION("""COMPUTED_VALUE"""),34022403)</f>
        <v>34022403</v>
      </c>
      <c r="AE427" s="4">
        <f ca="1">IFERROR(__xludf.DUMMYFUNCTION("""COMPUTED_VALUE"""),42744.6666666666)</f>
        <v>42744.666666666599</v>
      </c>
      <c r="AF427" s="3">
        <f ca="1">IFERROR(__xludf.DUMMYFUNCTION("""COMPUTED_VALUE"""),70.95)</f>
        <v>70.95</v>
      </c>
      <c r="AG427" s="3">
        <f ca="1">IFERROR(__xludf.DUMMYFUNCTION("""COMPUTED_VALUE"""),71.37)</f>
        <v>71.37</v>
      </c>
      <c r="AH427" s="3">
        <f ca="1">IFERROR(__xludf.DUMMYFUNCTION("""COMPUTED_VALUE"""),70.82)</f>
        <v>70.819999999999993</v>
      </c>
      <c r="AI427" s="3">
        <f ca="1">IFERROR(__xludf.DUMMYFUNCTION("""COMPUTED_VALUE"""),71.25)</f>
        <v>71.25</v>
      </c>
      <c r="AJ427" s="3">
        <f ca="1">IFERROR(__xludf.DUMMYFUNCTION("""COMPUTED_VALUE"""),5751911)</f>
        <v>5751911</v>
      </c>
      <c r="AK427" s="4">
        <f ca="1">IFERROR(__xludf.DUMMYFUNCTION("""COMPUTED_VALUE"""),42744.6666666666)</f>
        <v>42744.666666666599</v>
      </c>
      <c r="AL427" s="3">
        <f ca="1">IFERROR(__xludf.DUMMYFUNCTION("""COMPUTED_VALUE"""),63.07)</f>
        <v>63.07</v>
      </c>
      <c r="AM427" s="3">
        <f ca="1">IFERROR(__xludf.DUMMYFUNCTION("""COMPUTED_VALUE"""),63.07)</f>
        <v>63.07</v>
      </c>
      <c r="AN427" s="3">
        <f ca="1">IFERROR(__xludf.DUMMYFUNCTION("""COMPUTED_VALUE"""),62.62)</f>
        <v>62.62</v>
      </c>
      <c r="AO427" s="3">
        <f ca="1">IFERROR(__xludf.DUMMYFUNCTION("""COMPUTED_VALUE"""),62.65)</f>
        <v>62.65</v>
      </c>
      <c r="AP427" s="3">
        <f ca="1">IFERROR(__xludf.DUMMYFUNCTION("""COMPUTED_VALUE"""),5970451)</f>
        <v>5970451</v>
      </c>
      <c r="AQ427" s="4">
        <f ca="1">IFERROR(__xludf.DUMMYFUNCTION("""COMPUTED_VALUE"""),42744.6666666666)</f>
        <v>42744.666666666599</v>
      </c>
      <c r="AR427" s="3">
        <f ca="1">IFERROR(__xludf.DUMMYFUNCTION("""COMPUTED_VALUE"""),50.58)</f>
        <v>50.58</v>
      </c>
      <c r="AS427" s="3">
        <f ca="1">IFERROR(__xludf.DUMMYFUNCTION("""COMPUTED_VALUE"""),51.09)</f>
        <v>51.09</v>
      </c>
      <c r="AT427" s="3">
        <f ca="1">IFERROR(__xludf.DUMMYFUNCTION("""COMPUTED_VALUE"""),50.53)</f>
        <v>50.53</v>
      </c>
      <c r="AU427" s="3">
        <f ca="1">IFERROR(__xludf.DUMMYFUNCTION("""COMPUTED_VALUE"""),50.61)</f>
        <v>50.61</v>
      </c>
      <c r="AV427" s="3">
        <f ca="1">IFERROR(__xludf.DUMMYFUNCTION("""COMPUTED_VALUE"""),7100596)</f>
        <v>7100596</v>
      </c>
      <c r="AW427" s="4">
        <f ca="1">IFERROR(__xludf.DUMMYFUNCTION("""COMPUTED_VALUE"""),42908.6666666666)</f>
        <v>42908.666666666599</v>
      </c>
      <c r="AX427" s="3">
        <f ca="1">IFERROR(__xludf.DUMMYFUNCTION("""COMPUTED_VALUE"""),32.29)</f>
        <v>32.29</v>
      </c>
      <c r="AY427" s="3">
        <f ca="1">IFERROR(__xludf.DUMMYFUNCTION("""COMPUTED_VALUE"""),32.45)</f>
        <v>32.450000000000003</v>
      </c>
      <c r="AZ427" s="3">
        <f ca="1">IFERROR(__xludf.DUMMYFUNCTION("""COMPUTED_VALUE"""),32.2)</f>
        <v>32.200000000000003</v>
      </c>
      <c r="BA427" s="3">
        <f ca="1">IFERROR(__xludf.DUMMYFUNCTION("""COMPUTED_VALUE"""),32.35)</f>
        <v>32.35</v>
      </c>
      <c r="BB427" s="3">
        <f ca="1">IFERROR(__xludf.DUMMYFUNCTION("""COMPUTED_VALUE"""),5944282)</f>
        <v>5944282</v>
      </c>
      <c r="BC427" s="4">
        <f ca="1">IFERROR(__xludf.DUMMYFUNCTION("""COMPUTED_VALUE"""),42744.6666666666)</f>
        <v>42744.666666666599</v>
      </c>
      <c r="BD427" s="3">
        <f ca="1">IFERROR(__xludf.DUMMYFUNCTION("""COMPUTED_VALUE"""),49.43)</f>
        <v>49.43</v>
      </c>
      <c r="BE427" s="3">
        <f ca="1">IFERROR(__xludf.DUMMYFUNCTION("""COMPUTED_VALUE"""),49.55)</f>
        <v>49.55</v>
      </c>
      <c r="BF427" s="3">
        <f ca="1">IFERROR(__xludf.DUMMYFUNCTION("""COMPUTED_VALUE"""),49.36)</f>
        <v>49.36</v>
      </c>
      <c r="BG427" s="3">
        <f ca="1">IFERROR(__xludf.DUMMYFUNCTION("""COMPUTED_VALUE"""),49.39)</f>
        <v>49.39</v>
      </c>
      <c r="BH427" s="3">
        <f ca="1">IFERROR(__xludf.DUMMYFUNCTION("""COMPUTED_VALUE"""),8313464)</f>
        <v>8313464</v>
      </c>
      <c r="BI427" s="4">
        <f ca="1">IFERROR(__xludf.DUMMYFUNCTION("""COMPUTED_VALUE"""),42744.6666666666)</f>
        <v>42744.666666666599</v>
      </c>
      <c r="BJ427" s="3">
        <f ca="1">IFERROR(__xludf.DUMMYFUNCTION("""COMPUTED_VALUE"""),49.01)</f>
        <v>49.01</v>
      </c>
      <c r="BK427" s="3">
        <f ca="1">IFERROR(__xludf.DUMMYFUNCTION("""COMPUTED_VALUE"""),49.03)</f>
        <v>49.03</v>
      </c>
      <c r="BL427" s="3">
        <f ca="1">IFERROR(__xludf.DUMMYFUNCTION("""COMPUTED_VALUE"""),48.18)</f>
        <v>48.18</v>
      </c>
      <c r="BM427" s="3">
        <f ca="1">IFERROR(__xludf.DUMMYFUNCTION("""COMPUTED_VALUE"""),48.19)</f>
        <v>48.19</v>
      </c>
      <c r="BN427" s="3">
        <f ca="1">IFERROR(__xludf.DUMMYFUNCTION("""COMPUTED_VALUE"""),13847156)</f>
        <v>13847156</v>
      </c>
    </row>
    <row r="428" spans="7:66" ht="13" x14ac:dyDescent="0.15">
      <c r="G428" s="4">
        <f ca="1">IFERROR(__xludf.DUMMYFUNCTION("""COMPUTED_VALUE"""),42745.6666666666)</f>
        <v>42745.666666666599</v>
      </c>
      <c r="H428" s="3">
        <f ca="1">IFERROR(__xludf.DUMMYFUNCTION("""COMPUTED_VALUE"""),83.23)</f>
        <v>83.23</v>
      </c>
      <c r="I428" s="3">
        <f ca="1">IFERROR(__xludf.DUMMYFUNCTION("""COMPUTED_VALUE"""),83.86)</f>
        <v>83.86</v>
      </c>
      <c r="J428" s="3">
        <f ca="1">IFERROR(__xludf.DUMMYFUNCTION("""COMPUTED_VALUE"""),83.1)</f>
        <v>83.1</v>
      </c>
      <c r="K428" s="3">
        <f ca="1">IFERROR(__xludf.DUMMYFUNCTION("""COMPUTED_VALUE"""),83.55)</f>
        <v>83.55</v>
      </c>
      <c r="L428" s="3">
        <f ca="1">IFERROR(__xludf.DUMMYFUNCTION("""COMPUTED_VALUE"""),5174829)</f>
        <v>5174829</v>
      </c>
      <c r="M428" s="4">
        <f ca="1">IFERROR(__xludf.DUMMYFUNCTION("""COMPUTED_VALUE"""),42745.6666666666)</f>
        <v>42745.666666666599</v>
      </c>
      <c r="N428" s="3">
        <f ca="1">IFERROR(__xludf.DUMMYFUNCTION("""COMPUTED_VALUE"""),51.65)</f>
        <v>51.65</v>
      </c>
      <c r="O428" s="3">
        <f ca="1">IFERROR(__xludf.DUMMYFUNCTION("""COMPUTED_VALUE"""),51.73)</f>
        <v>51.73</v>
      </c>
      <c r="P428" s="3">
        <f ca="1">IFERROR(__xludf.DUMMYFUNCTION("""COMPUTED_VALUE"""),51.36)</f>
        <v>51.36</v>
      </c>
      <c r="Q428" s="3">
        <f ca="1">IFERROR(__xludf.DUMMYFUNCTION("""COMPUTED_VALUE"""),51.44)</f>
        <v>51.44</v>
      </c>
      <c r="R428" s="3">
        <f ca="1">IFERROR(__xludf.DUMMYFUNCTION("""COMPUTED_VALUE"""),10344310)</f>
        <v>10344310</v>
      </c>
      <c r="S428" s="4">
        <f ca="1">IFERROR(__xludf.DUMMYFUNCTION("""COMPUTED_VALUE"""),42745.6666666666)</f>
        <v>42745.666666666599</v>
      </c>
      <c r="T428" s="3">
        <f ca="1">IFERROR(__xludf.DUMMYFUNCTION("""COMPUTED_VALUE"""),74.73)</f>
        <v>74.73</v>
      </c>
      <c r="U428" s="3">
        <f ca="1">IFERROR(__xludf.DUMMYFUNCTION("""COMPUTED_VALUE"""),74.9)</f>
        <v>74.900000000000006</v>
      </c>
      <c r="V428" s="3">
        <f ca="1">IFERROR(__xludf.DUMMYFUNCTION("""COMPUTED_VALUE"""),74.05)</f>
        <v>74.05</v>
      </c>
      <c r="W428" s="3">
        <f ca="1">IFERROR(__xludf.DUMMYFUNCTION("""COMPUTED_VALUE"""),74.11)</f>
        <v>74.11</v>
      </c>
      <c r="X428" s="3">
        <f ca="1">IFERROR(__xludf.DUMMYFUNCTION("""COMPUTED_VALUE"""),9660843)</f>
        <v>9660843</v>
      </c>
      <c r="Y428" s="4">
        <f ca="1">IFERROR(__xludf.DUMMYFUNCTION("""COMPUTED_VALUE"""),42745.6666666666)</f>
        <v>42745.666666666599</v>
      </c>
      <c r="Z428" s="3">
        <f ca="1">IFERROR(__xludf.DUMMYFUNCTION("""COMPUTED_VALUE"""),23.42)</f>
        <v>23.42</v>
      </c>
      <c r="AA428" s="3">
        <f ca="1">IFERROR(__xludf.DUMMYFUNCTION("""COMPUTED_VALUE"""),23.63)</f>
        <v>23.63</v>
      </c>
      <c r="AB428" s="3">
        <f ca="1">IFERROR(__xludf.DUMMYFUNCTION("""COMPUTED_VALUE"""),23.31)</f>
        <v>23.31</v>
      </c>
      <c r="AC428" s="3">
        <f ca="1">IFERROR(__xludf.DUMMYFUNCTION("""COMPUTED_VALUE"""),23.43)</f>
        <v>23.43</v>
      </c>
      <c r="AD428" s="3">
        <f ca="1">IFERROR(__xludf.DUMMYFUNCTION("""COMPUTED_VALUE"""),46212104)</f>
        <v>46212104</v>
      </c>
      <c r="AE428" s="4">
        <f ca="1">IFERROR(__xludf.DUMMYFUNCTION("""COMPUTED_VALUE"""),42745.6666666666)</f>
        <v>42745.666666666599</v>
      </c>
      <c r="AF428" s="3">
        <f ca="1">IFERROR(__xludf.DUMMYFUNCTION("""COMPUTED_VALUE"""),71.37)</f>
        <v>71.37</v>
      </c>
      <c r="AG428" s="3">
        <f ca="1">IFERROR(__xludf.DUMMYFUNCTION("""COMPUTED_VALUE"""),71.91)</f>
        <v>71.91</v>
      </c>
      <c r="AH428" s="3">
        <f ca="1">IFERROR(__xludf.DUMMYFUNCTION("""COMPUTED_VALUE"""),71.21)</f>
        <v>71.209999999999994</v>
      </c>
      <c r="AI428" s="3">
        <f ca="1">IFERROR(__xludf.DUMMYFUNCTION("""COMPUTED_VALUE"""),71.5)</f>
        <v>71.5</v>
      </c>
      <c r="AJ428" s="3">
        <f ca="1">IFERROR(__xludf.DUMMYFUNCTION("""COMPUTED_VALUE"""),10320463)</f>
        <v>10320463</v>
      </c>
      <c r="AK428" s="4">
        <f ca="1">IFERROR(__xludf.DUMMYFUNCTION("""COMPUTED_VALUE"""),42745.6666666666)</f>
        <v>42745.666666666599</v>
      </c>
      <c r="AL428" s="3">
        <f ca="1">IFERROR(__xludf.DUMMYFUNCTION("""COMPUTED_VALUE"""),62.76)</f>
        <v>62.76</v>
      </c>
      <c r="AM428" s="3">
        <f ca="1">IFERROR(__xludf.DUMMYFUNCTION("""COMPUTED_VALUE"""),63.15)</f>
        <v>63.15</v>
      </c>
      <c r="AN428" s="3">
        <f ca="1">IFERROR(__xludf.DUMMYFUNCTION("""COMPUTED_VALUE"""),62.63)</f>
        <v>62.63</v>
      </c>
      <c r="AO428" s="3">
        <f ca="1">IFERROR(__xludf.DUMMYFUNCTION("""COMPUTED_VALUE"""),62.91)</f>
        <v>62.91</v>
      </c>
      <c r="AP428" s="3">
        <f ca="1">IFERROR(__xludf.DUMMYFUNCTION("""COMPUTED_VALUE"""),8237838)</f>
        <v>8237838</v>
      </c>
      <c r="AQ428" s="4">
        <f ca="1">IFERROR(__xludf.DUMMYFUNCTION("""COMPUTED_VALUE"""),42745.6666666666)</f>
        <v>42745.666666666599</v>
      </c>
      <c r="AR428" s="3">
        <f ca="1">IFERROR(__xludf.DUMMYFUNCTION("""COMPUTED_VALUE"""),50.64)</f>
        <v>50.64</v>
      </c>
      <c r="AS428" s="3">
        <f ca="1">IFERROR(__xludf.DUMMYFUNCTION("""COMPUTED_VALUE"""),50.83)</f>
        <v>50.83</v>
      </c>
      <c r="AT428" s="3">
        <f ca="1">IFERROR(__xludf.DUMMYFUNCTION("""COMPUTED_VALUE"""),50.42)</f>
        <v>50.42</v>
      </c>
      <c r="AU428" s="3">
        <f ca="1">IFERROR(__xludf.DUMMYFUNCTION("""COMPUTED_VALUE"""),50.64)</f>
        <v>50.64</v>
      </c>
      <c r="AV428" s="3">
        <f ca="1">IFERROR(__xludf.DUMMYFUNCTION("""COMPUTED_VALUE"""),2844161)</f>
        <v>2844161</v>
      </c>
      <c r="AW428" s="4">
        <f ca="1">IFERROR(__xludf.DUMMYFUNCTION("""COMPUTED_VALUE"""),42909.6666666666)</f>
        <v>42909.666666666599</v>
      </c>
      <c r="AX428" s="3">
        <f ca="1">IFERROR(__xludf.DUMMYFUNCTION("""COMPUTED_VALUE"""),32.35)</f>
        <v>32.35</v>
      </c>
      <c r="AY428" s="3">
        <f ca="1">IFERROR(__xludf.DUMMYFUNCTION("""COMPUTED_VALUE"""),32.62)</f>
        <v>32.619999999999997</v>
      </c>
      <c r="AZ428" s="3">
        <f ca="1">IFERROR(__xludf.DUMMYFUNCTION("""COMPUTED_VALUE"""),32.35)</f>
        <v>32.35</v>
      </c>
      <c r="BA428" s="3">
        <f ca="1">IFERROR(__xludf.DUMMYFUNCTION("""COMPUTED_VALUE"""),32.49)</f>
        <v>32.49</v>
      </c>
      <c r="BB428" s="3">
        <f ca="1">IFERROR(__xludf.DUMMYFUNCTION("""COMPUTED_VALUE"""),8197655)</f>
        <v>8197655</v>
      </c>
      <c r="BC428" s="4">
        <f ca="1">IFERROR(__xludf.DUMMYFUNCTION("""COMPUTED_VALUE"""),42745.6666666666)</f>
        <v>42745.666666666599</v>
      </c>
      <c r="BD428" s="3">
        <f ca="1">IFERROR(__xludf.DUMMYFUNCTION("""COMPUTED_VALUE"""),49.4)</f>
        <v>49.4</v>
      </c>
      <c r="BE428" s="3">
        <f ca="1">IFERROR(__xludf.DUMMYFUNCTION("""COMPUTED_VALUE"""),49.57)</f>
        <v>49.57</v>
      </c>
      <c r="BF428" s="3">
        <f ca="1">IFERROR(__xludf.DUMMYFUNCTION("""COMPUTED_VALUE"""),49.23)</f>
        <v>49.23</v>
      </c>
      <c r="BG428" s="3">
        <f ca="1">IFERROR(__xludf.DUMMYFUNCTION("""COMPUTED_VALUE"""),49.4)</f>
        <v>49.4</v>
      </c>
      <c r="BH428" s="3">
        <f ca="1">IFERROR(__xludf.DUMMYFUNCTION("""COMPUTED_VALUE"""),7735815)</f>
        <v>7735815</v>
      </c>
      <c r="BI428" s="4">
        <f ca="1">IFERROR(__xludf.DUMMYFUNCTION("""COMPUTED_VALUE"""),42745.6666666666)</f>
        <v>42745.666666666599</v>
      </c>
      <c r="BJ428" s="3">
        <f ca="1">IFERROR(__xludf.DUMMYFUNCTION("""COMPUTED_VALUE"""),48.18)</f>
        <v>48.18</v>
      </c>
      <c r="BK428" s="3">
        <f ca="1">IFERROR(__xludf.DUMMYFUNCTION("""COMPUTED_VALUE"""),48.2)</f>
        <v>48.2</v>
      </c>
      <c r="BL428" s="3">
        <f ca="1">IFERROR(__xludf.DUMMYFUNCTION("""COMPUTED_VALUE"""),47.85)</f>
        <v>47.85</v>
      </c>
      <c r="BM428" s="3">
        <f ca="1">IFERROR(__xludf.DUMMYFUNCTION("""COMPUTED_VALUE"""),48.04)</f>
        <v>48.04</v>
      </c>
      <c r="BN428" s="3">
        <f ca="1">IFERROR(__xludf.DUMMYFUNCTION("""COMPUTED_VALUE"""),11224177)</f>
        <v>11224177</v>
      </c>
    </row>
    <row r="429" spans="7:66" ht="13" x14ac:dyDescent="0.15">
      <c r="G429" s="4">
        <f ca="1">IFERROR(__xludf.DUMMYFUNCTION("""COMPUTED_VALUE"""),42746.6666666666)</f>
        <v>42746.666666666599</v>
      </c>
      <c r="H429" s="3">
        <f ca="1">IFERROR(__xludf.DUMMYFUNCTION("""COMPUTED_VALUE"""),83.49)</f>
        <v>83.49</v>
      </c>
      <c r="I429" s="3">
        <f ca="1">IFERROR(__xludf.DUMMYFUNCTION("""COMPUTED_VALUE"""),83.73)</f>
        <v>83.73</v>
      </c>
      <c r="J429" s="3">
        <f ca="1">IFERROR(__xludf.DUMMYFUNCTION("""COMPUTED_VALUE"""),83.22)</f>
        <v>83.22</v>
      </c>
      <c r="K429" s="3">
        <f ca="1">IFERROR(__xludf.DUMMYFUNCTION("""COMPUTED_VALUE"""),83.73)</f>
        <v>83.73</v>
      </c>
      <c r="L429" s="3">
        <f ca="1">IFERROR(__xludf.DUMMYFUNCTION("""COMPUTED_VALUE"""),5388656)</f>
        <v>5388656</v>
      </c>
      <c r="M429" s="4">
        <f ca="1">IFERROR(__xludf.DUMMYFUNCTION("""COMPUTED_VALUE"""),42746.6666666666)</f>
        <v>42746.666666666599</v>
      </c>
      <c r="N429" s="3">
        <f ca="1">IFERROR(__xludf.DUMMYFUNCTION("""COMPUTED_VALUE"""),51.35)</f>
        <v>51.35</v>
      </c>
      <c r="O429" s="3">
        <f ca="1">IFERROR(__xludf.DUMMYFUNCTION("""COMPUTED_VALUE"""),51.62)</f>
        <v>51.62</v>
      </c>
      <c r="P429" s="3">
        <f ca="1">IFERROR(__xludf.DUMMYFUNCTION("""COMPUTED_VALUE"""),51.35)</f>
        <v>51.35</v>
      </c>
      <c r="Q429" s="3">
        <f ca="1">IFERROR(__xludf.DUMMYFUNCTION("""COMPUTED_VALUE"""),51.54)</f>
        <v>51.54</v>
      </c>
      <c r="R429" s="3">
        <f ca="1">IFERROR(__xludf.DUMMYFUNCTION("""COMPUTED_VALUE"""),12087515)</f>
        <v>12087515</v>
      </c>
      <c r="S429" s="4">
        <f ca="1">IFERROR(__xludf.DUMMYFUNCTION("""COMPUTED_VALUE"""),42746.6666666666)</f>
        <v>42746.666666666599</v>
      </c>
      <c r="T429" s="3">
        <f ca="1">IFERROR(__xludf.DUMMYFUNCTION("""COMPUTED_VALUE"""),74.37)</f>
        <v>74.37</v>
      </c>
      <c r="U429" s="3">
        <f ca="1">IFERROR(__xludf.DUMMYFUNCTION("""COMPUTED_VALUE"""),75.05)</f>
        <v>75.05</v>
      </c>
      <c r="V429" s="3">
        <f ca="1">IFERROR(__xludf.DUMMYFUNCTION("""COMPUTED_VALUE"""),74.06)</f>
        <v>74.06</v>
      </c>
      <c r="W429" s="3">
        <f ca="1">IFERROR(__xludf.DUMMYFUNCTION("""COMPUTED_VALUE"""),74.91)</f>
        <v>74.91</v>
      </c>
      <c r="X429" s="3">
        <f ca="1">IFERROR(__xludf.DUMMYFUNCTION("""COMPUTED_VALUE"""),13127044)</f>
        <v>13127044</v>
      </c>
      <c r="Y429" s="4">
        <f ca="1">IFERROR(__xludf.DUMMYFUNCTION("""COMPUTED_VALUE"""),42746.6666666666)</f>
        <v>42746.666666666599</v>
      </c>
      <c r="Z429" s="3">
        <f ca="1">IFERROR(__xludf.DUMMYFUNCTION("""COMPUTED_VALUE"""),23.46)</f>
        <v>23.46</v>
      </c>
      <c r="AA429" s="3">
        <f ca="1">IFERROR(__xludf.DUMMYFUNCTION("""COMPUTED_VALUE"""),23.58)</f>
        <v>23.58</v>
      </c>
      <c r="AB429" s="3">
        <f ca="1">IFERROR(__xludf.DUMMYFUNCTION("""COMPUTED_VALUE"""),23.3)</f>
        <v>23.3</v>
      </c>
      <c r="AC429" s="3">
        <f ca="1">IFERROR(__xludf.DUMMYFUNCTION("""COMPUTED_VALUE"""),23.58)</f>
        <v>23.58</v>
      </c>
      <c r="AD429" s="3">
        <f ca="1">IFERROR(__xludf.DUMMYFUNCTION("""COMPUTED_VALUE"""),48001233)</f>
        <v>48001233</v>
      </c>
      <c r="AE429" s="4">
        <f ca="1">IFERROR(__xludf.DUMMYFUNCTION("""COMPUTED_VALUE"""),42746.6666666666)</f>
        <v>42746.666666666599</v>
      </c>
      <c r="AF429" s="3">
        <f ca="1">IFERROR(__xludf.DUMMYFUNCTION("""COMPUTED_VALUE"""),71.59)</f>
        <v>71.59</v>
      </c>
      <c r="AG429" s="3">
        <f ca="1">IFERROR(__xludf.DUMMYFUNCTION("""COMPUTED_VALUE"""),71.84)</f>
        <v>71.84</v>
      </c>
      <c r="AH429" s="3">
        <f ca="1">IFERROR(__xludf.DUMMYFUNCTION("""COMPUTED_VALUE"""),70.05)</f>
        <v>70.05</v>
      </c>
      <c r="AI429" s="3">
        <f ca="1">IFERROR(__xludf.DUMMYFUNCTION("""COMPUTED_VALUE"""),70.78)</f>
        <v>70.78</v>
      </c>
      <c r="AJ429" s="3">
        <f ca="1">IFERROR(__xludf.DUMMYFUNCTION("""COMPUTED_VALUE"""),23741959)</f>
        <v>23741959</v>
      </c>
      <c r="AK429" s="4">
        <f ca="1">IFERROR(__xludf.DUMMYFUNCTION("""COMPUTED_VALUE"""),42746.6666666666)</f>
        <v>42746.666666666599</v>
      </c>
      <c r="AL429" s="3">
        <f ca="1">IFERROR(__xludf.DUMMYFUNCTION("""COMPUTED_VALUE"""),62.95)</f>
        <v>62.95</v>
      </c>
      <c r="AM429" s="3">
        <f ca="1">IFERROR(__xludf.DUMMYFUNCTION("""COMPUTED_VALUE"""),63.3)</f>
        <v>63.3</v>
      </c>
      <c r="AN429" s="3">
        <f ca="1">IFERROR(__xludf.DUMMYFUNCTION("""COMPUTED_VALUE"""),62.88)</f>
        <v>62.88</v>
      </c>
      <c r="AO429" s="3">
        <f ca="1">IFERROR(__xludf.DUMMYFUNCTION("""COMPUTED_VALUE"""),63.24)</f>
        <v>63.24</v>
      </c>
      <c r="AP429" s="3">
        <f ca="1">IFERROR(__xludf.DUMMYFUNCTION("""COMPUTED_VALUE"""),11113720)</f>
        <v>11113720</v>
      </c>
      <c r="AQ429" s="4">
        <f ca="1">IFERROR(__xludf.DUMMYFUNCTION("""COMPUTED_VALUE"""),42746.6666666666)</f>
        <v>42746.666666666599</v>
      </c>
      <c r="AR429" s="3">
        <f ca="1">IFERROR(__xludf.DUMMYFUNCTION("""COMPUTED_VALUE"""),50.55)</f>
        <v>50.55</v>
      </c>
      <c r="AS429" s="3">
        <f ca="1">IFERROR(__xludf.DUMMYFUNCTION("""COMPUTED_VALUE"""),51.08)</f>
        <v>51.08</v>
      </c>
      <c r="AT429" s="3">
        <f ca="1">IFERROR(__xludf.DUMMYFUNCTION("""COMPUTED_VALUE"""),50.55)</f>
        <v>50.55</v>
      </c>
      <c r="AU429" s="3">
        <f ca="1">IFERROR(__xludf.DUMMYFUNCTION("""COMPUTED_VALUE"""),51.05)</f>
        <v>51.05</v>
      </c>
      <c r="AV429" s="3">
        <f ca="1">IFERROR(__xludf.DUMMYFUNCTION("""COMPUTED_VALUE"""),6599903)</f>
        <v>6599903</v>
      </c>
      <c r="AW429" s="4">
        <f ca="1">IFERROR(__xludf.DUMMYFUNCTION("""COMPUTED_VALUE"""),42912.6666666666)</f>
        <v>42912.666666666599</v>
      </c>
      <c r="AX429" s="3">
        <f ca="1">IFERROR(__xludf.DUMMYFUNCTION("""COMPUTED_VALUE"""),32.54)</f>
        <v>32.54</v>
      </c>
      <c r="AY429" s="3">
        <f ca="1">IFERROR(__xludf.DUMMYFUNCTION("""COMPUTED_VALUE"""),32.78)</f>
        <v>32.78</v>
      </c>
      <c r="AZ429" s="3">
        <f ca="1">IFERROR(__xludf.DUMMYFUNCTION("""COMPUTED_VALUE"""),32.54)</f>
        <v>32.54</v>
      </c>
      <c r="BA429" s="3">
        <f ca="1">IFERROR(__xludf.DUMMYFUNCTION("""COMPUTED_VALUE"""),32.64)</f>
        <v>32.64</v>
      </c>
      <c r="BB429" s="3">
        <f ca="1">IFERROR(__xludf.DUMMYFUNCTION("""COMPUTED_VALUE"""),2483246)</f>
        <v>2483246</v>
      </c>
      <c r="BC429" s="4">
        <f ca="1">IFERROR(__xludf.DUMMYFUNCTION("""COMPUTED_VALUE"""),42746.6666666666)</f>
        <v>42746.666666666599</v>
      </c>
      <c r="BD429" s="3">
        <f ca="1">IFERROR(__xludf.DUMMYFUNCTION("""COMPUTED_VALUE"""),49.31)</f>
        <v>49.31</v>
      </c>
      <c r="BE429" s="3">
        <f ca="1">IFERROR(__xludf.DUMMYFUNCTION("""COMPUTED_VALUE"""),49.63)</f>
        <v>49.63</v>
      </c>
      <c r="BF429" s="3">
        <f ca="1">IFERROR(__xludf.DUMMYFUNCTION("""COMPUTED_VALUE"""),49.25)</f>
        <v>49.25</v>
      </c>
      <c r="BG429" s="3">
        <f ca="1">IFERROR(__xludf.DUMMYFUNCTION("""COMPUTED_VALUE"""),49.63)</f>
        <v>49.63</v>
      </c>
      <c r="BH429" s="3">
        <f ca="1">IFERROR(__xludf.DUMMYFUNCTION("""COMPUTED_VALUE"""),7586507)</f>
        <v>7586507</v>
      </c>
      <c r="BI429" s="4">
        <f ca="1">IFERROR(__xludf.DUMMYFUNCTION("""COMPUTED_VALUE"""),42746.6666666666)</f>
        <v>42746.666666666599</v>
      </c>
      <c r="BJ429" s="3">
        <f ca="1">IFERROR(__xludf.DUMMYFUNCTION("""COMPUTED_VALUE"""),48.03)</f>
        <v>48.03</v>
      </c>
      <c r="BK429" s="3">
        <f ca="1">IFERROR(__xludf.DUMMYFUNCTION("""COMPUTED_VALUE"""),48.59)</f>
        <v>48.59</v>
      </c>
      <c r="BL429" s="3">
        <f ca="1">IFERROR(__xludf.DUMMYFUNCTION("""COMPUTED_VALUE"""),48.02)</f>
        <v>48.02</v>
      </c>
      <c r="BM429" s="3">
        <f ca="1">IFERROR(__xludf.DUMMYFUNCTION("""COMPUTED_VALUE"""),48.54)</f>
        <v>48.54</v>
      </c>
      <c r="BN429" s="3">
        <f ca="1">IFERROR(__xludf.DUMMYFUNCTION("""COMPUTED_VALUE"""),13397707)</f>
        <v>13397707</v>
      </c>
    </row>
    <row r="430" spans="7:66" ht="13" x14ac:dyDescent="0.15">
      <c r="G430" s="4">
        <f ca="1">IFERROR(__xludf.DUMMYFUNCTION("""COMPUTED_VALUE"""),42747.6666666666)</f>
        <v>42747.666666666599</v>
      </c>
      <c r="H430" s="3">
        <f ca="1">IFERROR(__xludf.DUMMYFUNCTION("""COMPUTED_VALUE"""),83.54)</f>
        <v>83.54</v>
      </c>
      <c r="I430" s="3">
        <f ca="1">IFERROR(__xludf.DUMMYFUNCTION("""COMPUTED_VALUE"""),83.75)</f>
        <v>83.75</v>
      </c>
      <c r="J430" s="3">
        <f ca="1">IFERROR(__xludf.DUMMYFUNCTION("""COMPUTED_VALUE"""),82.98)</f>
        <v>82.98</v>
      </c>
      <c r="K430" s="3">
        <f ca="1">IFERROR(__xludf.DUMMYFUNCTION("""COMPUTED_VALUE"""),83.65)</f>
        <v>83.65</v>
      </c>
      <c r="L430" s="3">
        <f ca="1">IFERROR(__xludf.DUMMYFUNCTION("""COMPUTED_VALUE"""),4282285)</f>
        <v>4282285</v>
      </c>
      <c r="M430" s="4">
        <f ca="1">IFERROR(__xludf.DUMMYFUNCTION("""COMPUTED_VALUE"""),42747.6666666666)</f>
        <v>42747.666666666599</v>
      </c>
      <c r="N430" s="3">
        <f ca="1">IFERROR(__xludf.DUMMYFUNCTION("""COMPUTED_VALUE"""),51.52)</f>
        <v>51.52</v>
      </c>
      <c r="O430" s="3">
        <f ca="1">IFERROR(__xludf.DUMMYFUNCTION("""COMPUTED_VALUE"""),51.61)</f>
        <v>51.61</v>
      </c>
      <c r="P430" s="3">
        <f ca="1">IFERROR(__xludf.DUMMYFUNCTION("""COMPUTED_VALUE"""),51.44)</f>
        <v>51.44</v>
      </c>
      <c r="Q430" s="3">
        <f ca="1">IFERROR(__xludf.DUMMYFUNCTION("""COMPUTED_VALUE"""),51.49)</f>
        <v>51.49</v>
      </c>
      <c r="R430" s="3">
        <f ca="1">IFERROR(__xludf.DUMMYFUNCTION("""COMPUTED_VALUE"""),13257560)</f>
        <v>13257560</v>
      </c>
      <c r="S430" s="4">
        <f ca="1">IFERROR(__xludf.DUMMYFUNCTION("""COMPUTED_VALUE"""),42747.6666666666)</f>
        <v>42747.666666666599</v>
      </c>
      <c r="T430" s="3">
        <f ca="1">IFERROR(__xludf.DUMMYFUNCTION("""COMPUTED_VALUE"""),75.33)</f>
        <v>75.33</v>
      </c>
      <c r="U430" s="3">
        <f ca="1">IFERROR(__xludf.DUMMYFUNCTION("""COMPUTED_VALUE"""),75.41)</f>
        <v>75.41</v>
      </c>
      <c r="V430" s="3">
        <f ca="1">IFERROR(__xludf.DUMMYFUNCTION("""COMPUTED_VALUE"""),74.3)</f>
        <v>74.3</v>
      </c>
      <c r="W430" s="3">
        <f ca="1">IFERROR(__xludf.DUMMYFUNCTION("""COMPUTED_VALUE"""),74.6)</f>
        <v>74.599999999999994</v>
      </c>
      <c r="X430" s="3">
        <f ca="1">IFERROR(__xludf.DUMMYFUNCTION("""COMPUTED_VALUE"""),10895604)</f>
        <v>10895604</v>
      </c>
      <c r="Y430" s="4">
        <f ca="1">IFERROR(__xludf.DUMMYFUNCTION("""COMPUTED_VALUE"""),42747.6666666666)</f>
        <v>42747.666666666599</v>
      </c>
      <c r="Z430" s="3">
        <f ca="1">IFERROR(__xludf.DUMMYFUNCTION("""COMPUTED_VALUE"""),23.47)</f>
        <v>23.47</v>
      </c>
      <c r="AA430" s="3">
        <f ca="1">IFERROR(__xludf.DUMMYFUNCTION("""COMPUTED_VALUE"""),23.5)</f>
        <v>23.5</v>
      </c>
      <c r="AB430" s="3">
        <f ca="1">IFERROR(__xludf.DUMMYFUNCTION("""COMPUTED_VALUE"""),23.18)</f>
        <v>23.18</v>
      </c>
      <c r="AC430" s="3">
        <f ca="1">IFERROR(__xludf.DUMMYFUNCTION("""COMPUTED_VALUE"""),23.38)</f>
        <v>23.38</v>
      </c>
      <c r="AD430" s="3">
        <f ca="1">IFERROR(__xludf.DUMMYFUNCTION("""COMPUTED_VALUE"""),57418139)</f>
        <v>57418139</v>
      </c>
      <c r="AE430" s="4">
        <f ca="1">IFERROR(__xludf.DUMMYFUNCTION("""COMPUTED_VALUE"""),42747.6666666666)</f>
        <v>42747.666666666599</v>
      </c>
      <c r="AF430" s="3">
        <f ca="1">IFERROR(__xludf.DUMMYFUNCTION("""COMPUTED_VALUE"""),70.43)</f>
        <v>70.430000000000007</v>
      </c>
      <c r="AG430" s="3">
        <f ca="1">IFERROR(__xludf.DUMMYFUNCTION("""COMPUTED_VALUE"""),70.89)</f>
        <v>70.89</v>
      </c>
      <c r="AH430" s="3">
        <f ca="1">IFERROR(__xludf.DUMMYFUNCTION("""COMPUTED_VALUE"""),70.26)</f>
        <v>70.260000000000005</v>
      </c>
      <c r="AI430" s="3">
        <f ca="1">IFERROR(__xludf.DUMMYFUNCTION("""COMPUTED_VALUE"""),70.85)</f>
        <v>70.849999999999994</v>
      </c>
      <c r="AJ430" s="3">
        <f ca="1">IFERROR(__xludf.DUMMYFUNCTION("""COMPUTED_VALUE"""),9358905)</f>
        <v>9358905</v>
      </c>
      <c r="AK430" s="4">
        <f ca="1">IFERROR(__xludf.DUMMYFUNCTION("""COMPUTED_VALUE"""),42747.6666666666)</f>
        <v>42747.666666666599</v>
      </c>
      <c r="AL430" s="3">
        <f ca="1">IFERROR(__xludf.DUMMYFUNCTION("""COMPUTED_VALUE"""),63.18)</f>
        <v>63.18</v>
      </c>
      <c r="AM430" s="3">
        <f ca="1">IFERROR(__xludf.DUMMYFUNCTION("""COMPUTED_VALUE"""),63.24)</f>
        <v>63.24</v>
      </c>
      <c r="AN430" s="3">
        <f ca="1">IFERROR(__xludf.DUMMYFUNCTION("""COMPUTED_VALUE"""),62.37)</f>
        <v>62.37</v>
      </c>
      <c r="AO430" s="3">
        <f ca="1">IFERROR(__xludf.DUMMYFUNCTION("""COMPUTED_VALUE"""),62.98)</f>
        <v>62.98</v>
      </c>
      <c r="AP430" s="3">
        <f ca="1">IFERROR(__xludf.DUMMYFUNCTION("""COMPUTED_VALUE"""),11844617)</f>
        <v>11844617</v>
      </c>
      <c r="AQ430" s="4">
        <f ca="1">IFERROR(__xludf.DUMMYFUNCTION("""COMPUTED_VALUE"""),42747.6666666666)</f>
        <v>42747.666666666599</v>
      </c>
      <c r="AR430" s="3">
        <f ca="1">IFERROR(__xludf.DUMMYFUNCTION("""COMPUTED_VALUE"""),51.05)</f>
        <v>51.05</v>
      </c>
      <c r="AS430" s="3">
        <f ca="1">IFERROR(__xludf.DUMMYFUNCTION("""COMPUTED_VALUE"""),51.05)</f>
        <v>51.05</v>
      </c>
      <c r="AT430" s="3">
        <f ca="1">IFERROR(__xludf.DUMMYFUNCTION("""COMPUTED_VALUE"""),50.63)</f>
        <v>50.63</v>
      </c>
      <c r="AU430" s="3">
        <f ca="1">IFERROR(__xludf.DUMMYFUNCTION("""COMPUTED_VALUE"""),50.95)</f>
        <v>50.95</v>
      </c>
      <c r="AV430" s="3">
        <f ca="1">IFERROR(__xludf.DUMMYFUNCTION("""COMPUTED_VALUE"""),3156001)</f>
        <v>3156001</v>
      </c>
      <c r="AW430" s="4">
        <f ca="1">IFERROR(__xludf.DUMMYFUNCTION("""COMPUTED_VALUE"""),42913.6666666666)</f>
        <v>42913.666666666599</v>
      </c>
      <c r="AX430" s="3">
        <f ca="1">IFERROR(__xludf.DUMMYFUNCTION("""COMPUTED_VALUE"""),32.55)</f>
        <v>32.549999999999997</v>
      </c>
      <c r="AY430" s="3">
        <f ca="1">IFERROR(__xludf.DUMMYFUNCTION("""COMPUTED_VALUE"""),32.84)</f>
        <v>32.840000000000003</v>
      </c>
      <c r="AZ430" s="3">
        <f ca="1">IFERROR(__xludf.DUMMYFUNCTION("""COMPUTED_VALUE"""),32.51)</f>
        <v>32.51</v>
      </c>
      <c r="BA430" s="3">
        <f ca="1">IFERROR(__xludf.DUMMYFUNCTION("""COMPUTED_VALUE"""),32.51)</f>
        <v>32.51</v>
      </c>
      <c r="BB430" s="3">
        <f ca="1">IFERROR(__xludf.DUMMYFUNCTION("""COMPUTED_VALUE"""),2173308)</f>
        <v>2173308</v>
      </c>
      <c r="BC430" s="4">
        <f ca="1">IFERROR(__xludf.DUMMYFUNCTION("""COMPUTED_VALUE"""),42747.6666666666)</f>
        <v>42747.666666666599</v>
      </c>
      <c r="BD430" s="3">
        <f ca="1">IFERROR(__xludf.DUMMYFUNCTION("""COMPUTED_VALUE"""),49.44)</f>
        <v>49.44</v>
      </c>
      <c r="BE430" s="3">
        <f ca="1">IFERROR(__xludf.DUMMYFUNCTION("""COMPUTED_VALUE"""),49.57)</f>
        <v>49.57</v>
      </c>
      <c r="BF430" s="3">
        <f ca="1">IFERROR(__xludf.DUMMYFUNCTION("""COMPUTED_VALUE"""),49.04)</f>
        <v>49.04</v>
      </c>
      <c r="BG430" s="3">
        <f ca="1">IFERROR(__xludf.DUMMYFUNCTION("""COMPUTED_VALUE"""),49.51)</f>
        <v>49.51</v>
      </c>
      <c r="BH430" s="3">
        <f ca="1">IFERROR(__xludf.DUMMYFUNCTION("""COMPUTED_VALUE"""),6862721)</f>
        <v>6862721</v>
      </c>
      <c r="BI430" s="4">
        <f ca="1">IFERROR(__xludf.DUMMYFUNCTION("""COMPUTED_VALUE"""),42747.6666666666)</f>
        <v>42747.666666666599</v>
      </c>
      <c r="BJ430" s="3">
        <f ca="1">IFERROR(__xludf.DUMMYFUNCTION("""COMPUTED_VALUE"""),48.57)</f>
        <v>48.57</v>
      </c>
      <c r="BK430" s="3">
        <f ca="1">IFERROR(__xludf.DUMMYFUNCTION("""COMPUTED_VALUE"""),48.66)</f>
        <v>48.66</v>
      </c>
      <c r="BL430" s="3">
        <f ca="1">IFERROR(__xludf.DUMMYFUNCTION("""COMPUTED_VALUE"""),48.29)</f>
        <v>48.29</v>
      </c>
      <c r="BM430" s="3">
        <f ca="1">IFERROR(__xludf.DUMMYFUNCTION("""COMPUTED_VALUE"""),48.58)</f>
        <v>48.58</v>
      </c>
      <c r="BN430" s="3">
        <f ca="1">IFERROR(__xludf.DUMMYFUNCTION("""COMPUTED_VALUE"""),9410404)</f>
        <v>9410404</v>
      </c>
    </row>
    <row r="431" spans="7:66" ht="13" x14ac:dyDescent="0.15">
      <c r="G431" s="4">
        <f ca="1">IFERROR(__xludf.DUMMYFUNCTION("""COMPUTED_VALUE"""),42748.6666666666)</f>
        <v>42748.666666666599</v>
      </c>
      <c r="H431" s="3">
        <f ca="1">IFERROR(__xludf.DUMMYFUNCTION("""COMPUTED_VALUE"""),83.7)</f>
        <v>83.7</v>
      </c>
      <c r="I431" s="3">
        <f ca="1">IFERROR(__xludf.DUMMYFUNCTION("""COMPUTED_VALUE"""),84.04)</f>
        <v>84.04</v>
      </c>
      <c r="J431" s="3">
        <f ca="1">IFERROR(__xludf.DUMMYFUNCTION("""COMPUTED_VALUE"""),83.7)</f>
        <v>83.7</v>
      </c>
      <c r="K431" s="3">
        <f ca="1">IFERROR(__xludf.DUMMYFUNCTION("""COMPUTED_VALUE"""),83.96)</f>
        <v>83.96</v>
      </c>
      <c r="L431" s="3">
        <f ca="1">IFERROR(__xludf.DUMMYFUNCTION("""COMPUTED_VALUE"""),2808352)</f>
        <v>2808352</v>
      </c>
      <c r="M431" s="4">
        <f ca="1">IFERROR(__xludf.DUMMYFUNCTION("""COMPUTED_VALUE"""),42748.6666666666)</f>
        <v>42748.666666666599</v>
      </c>
      <c r="N431" s="3">
        <f ca="1">IFERROR(__xludf.DUMMYFUNCTION("""COMPUTED_VALUE"""),51.49)</f>
        <v>51.49</v>
      </c>
      <c r="O431" s="3">
        <f ca="1">IFERROR(__xludf.DUMMYFUNCTION("""COMPUTED_VALUE"""),51.62)</f>
        <v>51.62</v>
      </c>
      <c r="P431" s="3">
        <f ca="1">IFERROR(__xludf.DUMMYFUNCTION("""COMPUTED_VALUE"""),51.39)</f>
        <v>51.39</v>
      </c>
      <c r="Q431" s="3">
        <f ca="1">IFERROR(__xludf.DUMMYFUNCTION("""COMPUTED_VALUE"""),51.52)</f>
        <v>51.52</v>
      </c>
      <c r="R431" s="3">
        <f ca="1">IFERROR(__xludf.DUMMYFUNCTION("""COMPUTED_VALUE"""),6517691)</f>
        <v>6517691</v>
      </c>
      <c r="S431" s="4">
        <f ca="1">IFERROR(__xludf.DUMMYFUNCTION("""COMPUTED_VALUE"""),42748.6666666666)</f>
        <v>42748.666666666599</v>
      </c>
      <c r="T431" s="3">
        <f ca="1">IFERROR(__xludf.DUMMYFUNCTION("""COMPUTED_VALUE"""),74.5)</f>
        <v>74.5</v>
      </c>
      <c r="U431" s="3">
        <f ca="1">IFERROR(__xludf.DUMMYFUNCTION("""COMPUTED_VALUE"""),74.66)</f>
        <v>74.66</v>
      </c>
      <c r="V431" s="3">
        <f ca="1">IFERROR(__xludf.DUMMYFUNCTION("""COMPUTED_VALUE"""),74.19)</f>
        <v>74.19</v>
      </c>
      <c r="W431" s="3">
        <f ca="1">IFERROR(__xludf.DUMMYFUNCTION("""COMPUTED_VALUE"""),74.38)</f>
        <v>74.38</v>
      </c>
      <c r="X431" s="3">
        <f ca="1">IFERROR(__xludf.DUMMYFUNCTION("""COMPUTED_VALUE"""),9906660)</f>
        <v>9906660</v>
      </c>
      <c r="Y431" s="4">
        <f ca="1">IFERROR(__xludf.DUMMYFUNCTION("""COMPUTED_VALUE"""),42748.6666666666)</f>
        <v>42748.666666666599</v>
      </c>
      <c r="Z431" s="3">
        <f ca="1">IFERROR(__xludf.DUMMYFUNCTION("""COMPUTED_VALUE"""),23.54)</f>
        <v>23.54</v>
      </c>
      <c r="AA431" s="3">
        <f ca="1">IFERROR(__xludf.DUMMYFUNCTION("""COMPUTED_VALUE"""),23.79)</f>
        <v>23.79</v>
      </c>
      <c r="AB431" s="3">
        <f ca="1">IFERROR(__xludf.DUMMYFUNCTION("""COMPUTED_VALUE"""),23.41)</f>
        <v>23.41</v>
      </c>
      <c r="AC431" s="3">
        <f ca="1">IFERROR(__xludf.DUMMYFUNCTION("""COMPUTED_VALUE"""),23.51)</f>
        <v>23.51</v>
      </c>
      <c r="AD431" s="3">
        <f ca="1">IFERROR(__xludf.DUMMYFUNCTION("""COMPUTED_VALUE"""),72479684)</f>
        <v>72479684</v>
      </c>
      <c r="AE431" s="4">
        <f ca="1">IFERROR(__xludf.DUMMYFUNCTION("""COMPUTED_VALUE"""),42748.6666666666)</f>
        <v>42748.666666666599</v>
      </c>
      <c r="AF431" s="3">
        <f ca="1">IFERROR(__xludf.DUMMYFUNCTION("""COMPUTED_VALUE"""),70.91)</f>
        <v>70.91</v>
      </c>
      <c r="AG431" s="3">
        <f ca="1">IFERROR(__xludf.DUMMYFUNCTION("""COMPUTED_VALUE"""),71.16)</f>
        <v>71.16</v>
      </c>
      <c r="AH431" s="3">
        <f ca="1">IFERROR(__xludf.DUMMYFUNCTION("""COMPUTED_VALUE"""),70.75)</f>
        <v>70.75</v>
      </c>
      <c r="AI431" s="3">
        <f ca="1">IFERROR(__xludf.DUMMYFUNCTION("""COMPUTED_VALUE"""),70.92)</f>
        <v>70.92</v>
      </c>
      <c r="AJ431" s="3">
        <f ca="1">IFERROR(__xludf.DUMMYFUNCTION("""COMPUTED_VALUE"""),5279017)</f>
        <v>5279017</v>
      </c>
      <c r="AK431" s="4">
        <f ca="1">IFERROR(__xludf.DUMMYFUNCTION("""COMPUTED_VALUE"""),42748.6666666666)</f>
        <v>42748.666666666599</v>
      </c>
      <c r="AL431" s="3">
        <f ca="1">IFERROR(__xludf.DUMMYFUNCTION("""COMPUTED_VALUE"""),63.02)</f>
        <v>63.02</v>
      </c>
      <c r="AM431" s="3">
        <f ca="1">IFERROR(__xludf.DUMMYFUNCTION("""COMPUTED_VALUE"""),63.28)</f>
        <v>63.28</v>
      </c>
      <c r="AN431" s="3">
        <f ca="1">IFERROR(__xludf.DUMMYFUNCTION("""COMPUTED_VALUE"""),63)</f>
        <v>63</v>
      </c>
      <c r="AO431" s="3">
        <f ca="1">IFERROR(__xludf.DUMMYFUNCTION("""COMPUTED_VALUE"""),63.22)</f>
        <v>63.22</v>
      </c>
      <c r="AP431" s="3">
        <f ca="1">IFERROR(__xludf.DUMMYFUNCTION("""COMPUTED_VALUE"""),7130190)</f>
        <v>7130190</v>
      </c>
      <c r="AQ431" s="4">
        <f ca="1">IFERROR(__xludf.DUMMYFUNCTION("""COMPUTED_VALUE"""),42748.6666666666)</f>
        <v>42748.666666666599</v>
      </c>
      <c r="AR431" s="3">
        <f ca="1">IFERROR(__xludf.DUMMYFUNCTION("""COMPUTED_VALUE"""),50.96)</f>
        <v>50.96</v>
      </c>
      <c r="AS431" s="3">
        <f ca="1">IFERROR(__xludf.DUMMYFUNCTION("""COMPUTED_VALUE"""),51.01)</f>
        <v>51.01</v>
      </c>
      <c r="AT431" s="3">
        <f ca="1">IFERROR(__xludf.DUMMYFUNCTION("""COMPUTED_VALUE"""),50.74)</f>
        <v>50.74</v>
      </c>
      <c r="AU431" s="3">
        <f ca="1">IFERROR(__xludf.DUMMYFUNCTION("""COMPUTED_VALUE"""),50.87)</f>
        <v>50.87</v>
      </c>
      <c r="AV431" s="3">
        <f ca="1">IFERROR(__xludf.DUMMYFUNCTION("""COMPUTED_VALUE"""),2448449)</f>
        <v>2448449</v>
      </c>
      <c r="AW431" s="4">
        <f ca="1">IFERROR(__xludf.DUMMYFUNCTION("""COMPUTED_VALUE"""),42914.6666666666)</f>
        <v>42914.666666666599</v>
      </c>
      <c r="AX431" s="3">
        <f ca="1">IFERROR(__xludf.DUMMYFUNCTION("""COMPUTED_VALUE"""),32.59)</f>
        <v>32.590000000000003</v>
      </c>
      <c r="AY431" s="3">
        <f ca="1">IFERROR(__xludf.DUMMYFUNCTION("""COMPUTED_VALUE"""),32.67)</f>
        <v>32.67</v>
      </c>
      <c r="AZ431" s="3">
        <f ca="1">IFERROR(__xludf.DUMMYFUNCTION("""COMPUTED_VALUE"""),32.48)</f>
        <v>32.479999999999997</v>
      </c>
      <c r="BA431" s="3">
        <f ca="1">IFERROR(__xludf.DUMMYFUNCTION("""COMPUTED_VALUE"""),32.55)</f>
        <v>32.549999999999997</v>
      </c>
      <c r="BB431" s="3">
        <f ca="1">IFERROR(__xludf.DUMMYFUNCTION("""COMPUTED_VALUE"""),2715038)</f>
        <v>2715038</v>
      </c>
      <c r="BC431" s="4">
        <f ca="1">IFERROR(__xludf.DUMMYFUNCTION("""COMPUTED_VALUE"""),42748.6666666666)</f>
        <v>42748.666666666599</v>
      </c>
      <c r="BD431" s="3">
        <f ca="1">IFERROR(__xludf.DUMMYFUNCTION("""COMPUTED_VALUE"""),49.51)</f>
        <v>49.51</v>
      </c>
      <c r="BE431" s="3">
        <f ca="1">IFERROR(__xludf.DUMMYFUNCTION("""COMPUTED_VALUE"""),49.75)</f>
        <v>49.75</v>
      </c>
      <c r="BF431" s="3">
        <f ca="1">IFERROR(__xludf.DUMMYFUNCTION("""COMPUTED_VALUE"""),49.51)</f>
        <v>49.51</v>
      </c>
      <c r="BG431" s="3">
        <f ca="1">IFERROR(__xludf.DUMMYFUNCTION("""COMPUTED_VALUE"""),49.66)</f>
        <v>49.66</v>
      </c>
      <c r="BH431" s="3">
        <f ca="1">IFERROR(__xludf.DUMMYFUNCTION("""COMPUTED_VALUE"""),4832928)</f>
        <v>4832928</v>
      </c>
      <c r="BI431" s="4">
        <f ca="1">IFERROR(__xludf.DUMMYFUNCTION("""COMPUTED_VALUE"""),42748.6666666666)</f>
        <v>42748.666666666599</v>
      </c>
      <c r="BJ431" s="3">
        <f ca="1">IFERROR(__xludf.DUMMYFUNCTION("""COMPUTED_VALUE"""),48.48)</f>
        <v>48.48</v>
      </c>
      <c r="BK431" s="3">
        <f ca="1">IFERROR(__xludf.DUMMYFUNCTION("""COMPUTED_VALUE"""),48.65)</f>
        <v>48.65</v>
      </c>
      <c r="BL431" s="3">
        <f ca="1">IFERROR(__xludf.DUMMYFUNCTION("""COMPUTED_VALUE"""),48.2)</f>
        <v>48.2</v>
      </c>
      <c r="BM431" s="3">
        <f ca="1">IFERROR(__xludf.DUMMYFUNCTION("""COMPUTED_VALUE"""),48.51)</f>
        <v>48.51</v>
      </c>
      <c r="BN431" s="3">
        <f ca="1">IFERROR(__xludf.DUMMYFUNCTION("""COMPUTED_VALUE"""),12173599)</f>
        <v>12173599</v>
      </c>
    </row>
    <row r="432" spans="7:66" ht="13" x14ac:dyDescent="0.15">
      <c r="G432" s="4">
        <f ca="1">IFERROR(__xludf.DUMMYFUNCTION("""COMPUTED_VALUE"""),42752.6666666666)</f>
        <v>42752.666666666599</v>
      </c>
      <c r="H432" s="3">
        <f ca="1">IFERROR(__xludf.DUMMYFUNCTION("""COMPUTED_VALUE"""),83.72)</f>
        <v>83.72</v>
      </c>
      <c r="I432" s="3">
        <f ca="1">IFERROR(__xludf.DUMMYFUNCTION("""COMPUTED_VALUE"""),84.38)</f>
        <v>84.38</v>
      </c>
      <c r="J432" s="3">
        <f ca="1">IFERROR(__xludf.DUMMYFUNCTION("""COMPUTED_VALUE"""),83.71)</f>
        <v>83.71</v>
      </c>
      <c r="K432" s="3">
        <f ca="1">IFERROR(__xludf.DUMMYFUNCTION("""COMPUTED_VALUE"""),84.1)</f>
        <v>84.1</v>
      </c>
      <c r="L432" s="3">
        <f ca="1">IFERROR(__xludf.DUMMYFUNCTION("""COMPUTED_VALUE"""),4325927)</f>
        <v>4325927</v>
      </c>
      <c r="M432" s="4">
        <f ca="1">IFERROR(__xludf.DUMMYFUNCTION("""COMPUTED_VALUE"""),42752.6666666666)</f>
        <v>42752.666666666599</v>
      </c>
      <c r="N432" s="3">
        <f ca="1">IFERROR(__xludf.DUMMYFUNCTION("""COMPUTED_VALUE"""),51.56)</f>
        <v>51.56</v>
      </c>
      <c r="O432" s="3">
        <f ca="1">IFERROR(__xludf.DUMMYFUNCTION("""COMPUTED_VALUE"""),52.28)</f>
        <v>52.28</v>
      </c>
      <c r="P432" s="3">
        <f ca="1">IFERROR(__xludf.DUMMYFUNCTION("""COMPUTED_VALUE"""),51.51)</f>
        <v>51.51</v>
      </c>
      <c r="Q432" s="3">
        <f ca="1">IFERROR(__xludf.DUMMYFUNCTION("""COMPUTED_VALUE"""),52.25)</f>
        <v>52.25</v>
      </c>
      <c r="R432" s="3">
        <f ca="1">IFERROR(__xludf.DUMMYFUNCTION("""COMPUTED_VALUE"""),19030129)</f>
        <v>19030129</v>
      </c>
      <c r="S432" s="4">
        <f ca="1">IFERROR(__xludf.DUMMYFUNCTION("""COMPUTED_VALUE"""),42752.6666666666)</f>
        <v>42752.666666666599</v>
      </c>
      <c r="T432" s="3">
        <f ca="1">IFERROR(__xludf.DUMMYFUNCTION("""COMPUTED_VALUE"""),74.61)</f>
        <v>74.61</v>
      </c>
      <c r="U432" s="3">
        <f ca="1">IFERROR(__xludf.DUMMYFUNCTION("""COMPUTED_VALUE"""),75.02)</f>
        <v>75.02</v>
      </c>
      <c r="V432" s="3">
        <f ca="1">IFERROR(__xludf.DUMMYFUNCTION("""COMPUTED_VALUE"""),74.55)</f>
        <v>74.55</v>
      </c>
      <c r="W432" s="3">
        <f ca="1">IFERROR(__xludf.DUMMYFUNCTION("""COMPUTED_VALUE"""),74.84)</f>
        <v>74.84</v>
      </c>
      <c r="X432" s="3">
        <f ca="1">IFERROR(__xludf.DUMMYFUNCTION("""COMPUTED_VALUE"""),9782959)</f>
        <v>9782959</v>
      </c>
      <c r="Y432" s="4">
        <f ca="1">IFERROR(__xludf.DUMMYFUNCTION("""COMPUTED_VALUE"""),42752.6666666666)</f>
        <v>42752.666666666599</v>
      </c>
      <c r="Z432" s="3">
        <f ca="1">IFERROR(__xludf.DUMMYFUNCTION("""COMPUTED_VALUE"""),23.34)</f>
        <v>23.34</v>
      </c>
      <c r="AA432" s="3">
        <f ca="1">IFERROR(__xludf.DUMMYFUNCTION("""COMPUTED_VALUE"""),23.35)</f>
        <v>23.35</v>
      </c>
      <c r="AB432" s="3">
        <f ca="1">IFERROR(__xludf.DUMMYFUNCTION("""COMPUTED_VALUE"""),22.94)</f>
        <v>22.94</v>
      </c>
      <c r="AC432" s="3">
        <f ca="1">IFERROR(__xludf.DUMMYFUNCTION("""COMPUTED_VALUE"""),22.95)</f>
        <v>22.95</v>
      </c>
      <c r="AD432" s="3">
        <f ca="1">IFERROR(__xludf.DUMMYFUNCTION("""COMPUTED_VALUE"""),96657836)</f>
        <v>96657836</v>
      </c>
      <c r="AE432" s="4">
        <f ca="1">IFERROR(__xludf.DUMMYFUNCTION("""COMPUTED_VALUE"""),42752.6666666666)</f>
        <v>42752.666666666599</v>
      </c>
      <c r="AF432" s="3">
        <f ca="1">IFERROR(__xludf.DUMMYFUNCTION("""COMPUTED_VALUE"""),70.48)</f>
        <v>70.48</v>
      </c>
      <c r="AG432" s="3">
        <f ca="1">IFERROR(__xludf.DUMMYFUNCTION("""COMPUTED_VALUE"""),70.68)</f>
        <v>70.680000000000007</v>
      </c>
      <c r="AH432" s="3">
        <f ca="1">IFERROR(__xludf.DUMMYFUNCTION("""COMPUTED_VALUE"""),69.98)</f>
        <v>69.98</v>
      </c>
      <c r="AI432" s="3">
        <f ca="1">IFERROR(__xludf.DUMMYFUNCTION("""COMPUTED_VALUE"""),70.56)</f>
        <v>70.56</v>
      </c>
      <c r="AJ432" s="3">
        <f ca="1">IFERROR(__xludf.DUMMYFUNCTION("""COMPUTED_VALUE"""),6038233)</f>
        <v>6038233</v>
      </c>
      <c r="AK432" s="4">
        <f ca="1">IFERROR(__xludf.DUMMYFUNCTION("""COMPUTED_VALUE"""),42752.6666666666)</f>
        <v>42752.666666666599</v>
      </c>
      <c r="AL432" s="3">
        <f ca="1">IFERROR(__xludf.DUMMYFUNCTION("""COMPUTED_VALUE"""),62.88)</f>
        <v>62.88</v>
      </c>
      <c r="AM432" s="3">
        <f ca="1">IFERROR(__xludf.DUMMYFUNCTION("""COMPUTED_VALUE"""),62.99)</f>
        <v>62.99</v>
      </c>
      <c r="AN432" s="3">
        <f ca="1">IFERROR(__xludf.DUMMYFUNCTION("""COMPUTED_VALUE"""),62.55)</f>
        <v>62.55</v>
      </c>
      <c r="AO432" s="3">
        <f ca="1">IFERROR(__xludf.DUMMYFUNCTION("""COMPUTED_VALUE"""),62.73)</f>
        <v>62.73</v>
      </c>
      <c r="AP432" s="3">
        <f ca="1">IFERROR(__xludf.DUMMYFUNCTION("""COMPUTED_VALUE"""),10689396)</f>
        <v>10689396</v>
      </c>
      <c r="AQ432" s="4">
        <f ca="1">IFERROR(__xludf.DUMMYFUNCTION("""COMPUTED_VALUE"""),42752.6666666666)</f>
        <v>42752.666666666599</v>
      </c>
      <c r="AR432" s="3">
        <f ca="1">IFERROR(__xludf.DUMMYFUNCTION("""COMPUTED_VALUE"""),50.74)</f>
        <v>50.74</v>
      </c>
      <c r="AS432" s="3">
        <f ca="1">IFERROR(__xludf.DUMMYFUNCTION("""COMPUTED_VALUE"""),50.86)</f>
        <v>50.86</v>
      </c>
      <c r="AT432" s="3">
        <f ca="1">IFERROR(__xludf.DUMMYFUNCTION("""COMPUTED_VALUE"""),50.48)</f>
        <v>50.48</v>
      </c>
      <c r="AU432" s="3">
        <f ca="1">IFERROR(__xludf.DUMMYFUNCTION("""COMPUTED_VALUE"""),50.64)</f>
        <v>50.64</v>
      </c>
      <c r="AV432" s="3">
        <f ca="1">IFERROR(__xludf.DUMMYFUNCTION("""COMPUTED_VALUE"""),3681657)</f>
        <v>3681657</v>
      </c>
      <c r="AW432" s="4">
        <f ca="1">IFERROR(__xludf.DUMMYFUNCTION("""COMPUTED_VALUE"""),42915.6666666666)</f>
        <v>42915.666666666599</v>
      </c>
      <c r="AX432" s="3">
        <f ca="1">IFERROR(__xludf.DUMMYFUNCTION("""COMPUTED_VALUE"""),32.34)</f>
        <v>32.340000000000003</v>
      </c>
      <c r="AY432" s="3">
        <f ca="1">IFERROR(__xludf.DUMMYFUNCTION("""COMPUTED_VALUE"""),32.42)</f>
        <v>32.42</v>
      </c>
      <c r="AZ432" s="3">
        <f ca="1">IFERROR(__xludf.DUMMYFUNCTION("""COMPUTED_VALUE"""),32.16)</f>
        <v>32.159999999999997</v>
      </c>
      <c r="BA432" s="3">
        <f ca="1">IFERROR(__xludf.DUMMYFUNCTION("""COMPUTED_VALUE"""),32.22)</f>
        <v>32.22</v>
      </c>
      <c r="BB432" s="3">
        <f ca="1">IFERROR(__xludf.DUMMYFUNCTION("""COMPUTED_VALUE"""),3041682)</f>
        <v>3041682</v>
      </c>
      <c r="BC432" s="4">
        <f ca="1">IFERROR(__xludf.DUMMYFUNCTION("""COMPUTED_VALUE"""),42752.6666666666)</f>
        <v>42752.666666666599</v>
      </c>
      <c r="BD432" s="3">
        <f ca="1">IFERROR(__xludf.DUMMYFUNCTION("""COMPUTED_VALUE"""),49.53)</f>
        <v>49.53</v>
      </c>
      <c r="BE432" s="3">
        <f ca="1">IFERROR(__xludf.DUMMYFUNCTION("""COMPUTED_VALUE"""),49.61)</f>
        <v>49.61</v>
      </c>
      <c r="BF432" s="3">
        <f ca="1">IFERROR(__xludf.DUMMYFUNCTION("""COMPUTED_VALUE"""),49.36)</f>
        <v>49.36</v>
      </c>
      <c r="BG432" s="3">
        <f ca="1">IFERROR(__xludf.DUMMYFUNCTION("""COMPUTED_VALUE"""),49.47)</f>
        <v>49.47</v>
      </c>
      <c r="BH432" s="3">
        <f ca="1">IFERROR(__xludf.DUMMYFUNCTION("""COMPUTED_VALUE"""),4825753)</f>
        <v>4825753</v>
      </c>
      <c r="BI432" s="4">
        <f ca="1">IFERROR(__xludf.DUMMYFUNCTION("""COMPUTED_VALUE"""),42752.6666666666)</f>
        <v>42752.666666666599</v>
      </c>
      <c r="BJ432" s="3">
        <f ca="1">IFERROR(__xludf.DUMMYFUNCTION("""COMPUTED_VALUE"""),48.67)</f>
        <v>48.67</v>
      </c>
      <c r="BK432" s="3">
        <f ca="1">IFERROR(__xludf.DUMMYFUNCTION("""COMPUTED_VALUE"""),49.2)</f>
        <v>49.2</v>
      </c>
      <c r="BL432" s="3">
        <f ca="1">IFERROR(__xludf.DUMMYFUNCTION("""COMPUTED_VALUE"""),48.63)</f>
        <v>48.63</v>
      </c>
      <c r="BM432" s="3">
        <f ca="1">IFERROR(__xludf.DUMMYFUNCTION("""COMPUTED_VALUE"""),49.04)</f>
        <v>49.04</v>
      </c>
      <c r="BN432" s="3">
        <f ca="1">IFERROR(__xludf.DUMMYFUNCTION("""COMPUTED_VALUE"""),15325970)</f>
        <v>15325970</v>
      </c>
    </row>
    <row r="433" spans="7:66" ht="13" x14ac:dyDescent="0.15">
      <c r="G433" s="4">
        <f ca="1">IFERROR(__xludf.DUMMYFUNCTION("""COMPUTED_VALUE"""),42753.6666666666)</f>
        <v>42753.666666666599</v>
      </c>
      <c r="H433" s="3">
        <f ca="1">IFERROR(__xludf.DUMMYFUNCTION("""COMPUTED_VALUE"""),84.13)</f>
        <v>84.13</v>
      </c>
      <c r="I433" s="3">
        <f ca="1">IFERROR(__xludf.DUMMYFUNCTION("""COMPUTED_VALUE"""),84.13)</f>
        <v>84.13</v>
      </c>
      <c r="J433" s="3">
        <f ca="1">IFERROR(__xludf.DUMMYFUNCTION("""COMPUTED_VALUE"""),83.66)</f>
        <v>83.66</v>
      </c>
      <c r="K433" s="3">
        <f ca="1">IFERROR(__xludf.DUMMYFUNCTION("""COMPUTED_VALUE"""),83.95)</f>
        <v>83.95</v>
      </c>
      <c r="L433" s="3">
        <f ca="1">IFERROR(__xludf.DUMMYFUNCTION("""COMPUTED_VALUE"""),2910097)</f>
        <v>2910097</v>
      </c>
      <c r="M433" s="4">
        <f ca="1">IFERROR(__xludf.DUMMYFUNCTION("""COMPUTED_VALUE"""),42753.6666666666)</f>
        <v>42753.666666666599</v>
      </c>
      <c r="N433" s="3">
        <f ca="1">IFERROR(__xludf.DUMMYFUNCTION("""COMPUTED_VALUE"""),52.2)</f>
        <v>52.2</v>
      </c>
      <c r="O433" s="3">
        <f ca="1">IFERROR(__xludf.DUMMYFUNCTION("""COMPUTED_VALUE"""),52.45)</f>
        <v>52.45</v>
      </c>
      <c r="P433" s="3">
        <f ca="1">IFERROR(__xludf.DUMMYFUNCTION("""COMPUTED_VALUE"""),52.2)</f>
        <v>52.2</v>
      </c>
      <c r="Q433" s="3">
        <f ca="1">IFERROR(__xludf.DUMMYFUNCTION("""COMPUTED_VALUE"""),52.43)</f>
        <v>52.43</v>
      </c>
      <c r="R433" s="3">
        <f ca="1">IFERROR(__xludf.DUMMYFUNCTION("""COMPUTED_VALUE"""),11652057)</f>
        <v>11652057</v>
      </c>
      <c r="S433" s="4">
        <f ca="1">IFERROR(__xludf.DUMMYFUNCTION("""COMPUTED_VALUE"""),42753.6666666666)</f>
        <v>42753.666666666599</v>
      </c>
      <c r="T433" s="3">
        <f ca="1">IFERROR(__xludf.DUMMYFUNCTION("""COMPUTED_VALUE"""),74.43)</f>
        <v>74.430000000000007</v>
      </c>
      <c r="U433" s="3">
        <f ca="1">IFERROR(__xludf.DUMMYFUNCTION("""COMPUTED_VALUE"""),74.87)</f>
        <v>74.87</v>
      </c>
      <c r="V433" s="3">
        <f ca="1">IFERROR(__xludf.DUMMYFUNCTION("""COMPUTED_VALUE"""),74.34)</f>
        <v>74.34</v>
      </c>
      <c r="W433" s="3">
        <f ca="1">IFERROR(__xludf.DUMMYFUNCTION("""COMPUTED_VALUE"""),74.67)</f>
        <v>74.67</v>
      </c>
      <c r="X433" s="3">
        <f ca="1">IFERROR(__xludf.DUMMYFUNCTION("""COMPUTED_VALUE"""),8725161)</f>
        <v>8725161</v>
      </c>
      <c r="Y433" s="4">
        <f ca="1">IFERROR(__xludf.DUMMYFUNCTION("""COMPUTED_VALUE"""),42753.6666666666)</f>
        <v>42753.666666666599</v>
      </c>
      <c r="Z433" s="3">
        <f ca="1">IFERROR(__xludf.DUMMYFUNCTION("""COMPUTED_VALUE"""),23.07)</f>
        <v>23.07</v>
      </c>
      <c r="AA433" s="3">
        <f ca="1">IFERROR(__xludf.DUMMYFUNCTION("""COMPUTED_VALUE"""),23.17)</f>
        <v>23.17</v>
      </c>
      <c r="AB433" s="3">
        <f ca="1">IFERROR(__xludf.DUMMYFUNCTION("""COMPUTED_VALUE"""),22.85)</f>
        <v>22.85</v>
      </c>
      <c r="AC433" s="3">
        <f ca="1">IFERROR(__xludf.DUMMYFUNCTION("""COMPUTED_VALUE"""),23.14)</f>
        <v>23.14</v>
      </c>
      <c r="AD433" s="3">
        <f ca="1">IFERROR(__xludf.DUMMYFUNCTION("""COMPUTED_VALUE"""),68289123)</f>
        <v>68289123</v>
      </c>
      <c r="AE433" s="4">
        <f ca="1">IFERROR(__xludf.DUMMYFUNCTION("""COMPUTED_VALUE"""),42753.6666666666)</f>
        <v>42753.666666666599</v>
      </c>
      <c r="AF433" s="3">
        <f ca="1">IFERROR(__xludf.DUMMYFUNCTION("""COMPUTED_VALUE"""),70.7)</f>
        <v>70.7</v>
      </c>
      <c r="AG433" s="3">
        <f ca="1">IFERROR(__xludf.DUMMYFUNCTION("""COMPUTED_VALUE"""),70.86)</f>
        <v>70.86</v>
      </c>
      <c r="AH433" s="3">
        <f ca="1">IFERROR(__xludf.DUMMYFUNCTION("""COMPUTED_VALUE"""),70.33)</f>
        <v>70.33</v>
      </c>
      <c r="AI433" s="3">
        <f ca="1">IFERROR(__xludf.DUMMYFUNCTION("""COMPUTED_VALUE"""),70.47)</f>
        <v>70.47</v>
      </c>
      <c r="AJ433" s="3">
        <f ca="1">IFERROR(__xludf.DUMMYFUNCTION("""COMPUTED_VALUE"""),6174216)</f>
        <v>6174216</v>
      </c>
      <c r="AK433" s="4">
        <f ca="1">IFERROR(__xludf.DUMMYFUNCTION("""COMPUTED_VALUE"""),42753.6666666666)</f>
        <v>42753.666666666599</v>
      </c>
      <c r="AL433" s="3">
        <f ca="1">IFERROR(__xludf.DUMMYFUNCTION("""COMPUTED_VALUE"""),62.64)</f>
        <v>62.64</v>
      </c>
      <c r="AM433" s="3">
        <f ca="1">IFERROR(__xludf.DUMMYFUNCTION("""COMPUTED_VALUE"""),63.09)</f>
        <v>63.09</v>
      </c>
      <c r="AN433" s="3">
        <f ca="1">IFERROR(__xludf.DUMMYFUNCTION("""COMPUTED_VALUE"""),62.51)</f>
        <v>62.51</v>
      </c>
      <c r="AO433" s="3">
        <f ca="1">IFERROR(__xludf.DUMMYFUNCTION("""COMPUTED_VALUE"""),62.97)</f>
        <v>62.97</v>
      </c>
      <c r="AP433" s="3">
        <f ca="1">IFERROR(__xludf.DUMMYFUNCTION("""COMPUTED_VALUE"""),8098636)</f>
        <v>8098636</v>
      </c>
      <c r="AQ433" s="4">
        <f ca="1">IFERROR(__xludf.DUMMYFUNCTION("""COMPUTED_VALUE"""),42753.6666666666)</f>
        <v>42753.666666666599</v>
      </c>
      <c r="AR433" s="3">
        <f ca="1">IFERROR(__xludf.DUMMYFUNCTION("""COMPUTED_VALUE"""),50.78)</f>
        <v>50.78</v>
      </c>
      <c r="AS433" s="3">
        <f ca="1">IFERROR(__xludf.DUMMYFUNCTION("""COMPUTED_VALUE"""),51.01)</f>
        <v>51.01</v>
      </c>
      <c r="AT433" s="3">
        <f ca="1">IFERROR(__xludf.DUMMYFUNCTION("""COMPUTED_VALUE"""),50.61)</f>
        <v>50.61</v>
      </c>
      <c r="AU433" s="3">
        <f ca="1">IFERROR(__xludf.DUMMYFUNCTION("""COMPUTED_VALUE"""),50.96)</f>
        <v>50.96</v>
      </c>
      <c r="AV433" s="3">
        <f ca="1">IFERROR(__xludf.DUMMYFUNCTION("""COMPUTED_VALUE"""),3036690)</f>
        <v>3036690</v>
      </c>
      <c r="AW433" s="4">
        <f ca="1">IFERROR(__xludf.DUMMYFUNCTION("""COMPUTED_VALUE"""),42916.6666666666)</f>
        <v>42916.666666666599</v>
      </c>
      <c r="AX433" s="3">
        <f ca="1">IFERROR(__xludf.DUMMYFUNCTION("""COMPUTED_VALUE"""),32.25)</f>
        <v>32.25</v>
      </c>
      <c r="AY433" s="3">
        <f ca="1">IFERROR(__xludf.DUMMYFUNCTION("""COMPUTED_VALUE"""),32.45)</f>
        <v>32.450000000000003</v>
      </c>
      <c r="AZ433" s="3">
        <f ca="1">IFERROR(__xludf.DUMMYFUNCTION("""COMPUTED_VALUE"""),32.11)</f>
        <v>32.11</v>
      </c>
      <c r="BA433" s="3">
        <f ca="1">IFERROR(__xludf.DUMMYFUNCTION("""COMPUTED_VALUE"""),32.2)</f>
        <v>32.200000000000003</v>
      </c>
      <c r="BB433" s="3">
        <f ca="1">IFERROR(__xludf.DUMMYFUNCTION("""COMPUTED_VALUE"""),1256941)</f>
        <v>1256941</v>
      </c>
      <c r="BC433" s="4">
        <f ca="1">IFERROR(__xludf.DUMMYFUNCTION("""COMPUTED_VALUE"""),42753.6666666666)</f>
        <v>42753.666666666599</v>
      </c>
      <c r="BD433" s="3">
        <f ca="1">IFERROR(__xludf.DUMMYFUNCTION("""COMPUTED_VALUE"""),49.61)</f>
        <v>49.61</v>
      </c>
      <c r="BE433" s="3">
        <f ca="1">IFERROR(__xludf.DUMMYFUNCTION("""COMPUTED_VALUE"""),49.67)</f>
        <v>49.67</v>
      </c>
      <c r="BF433" s="3">
        <f ca="1">IFERROR(__xludf.DUMMYFUNCTION("""COMPUTED_VALUE"""),49.48)</f>
        <v>49.48</v>
      </c>
      <c r="BG433" s="3">
        <f ca="1">IFERROR(__xludf.DUMMYFUNCTION("""COMPUTED_VALUE"""),49.6)</f>
        <v>49.6</v>
      </c>
      <c r="BH433" s="3">
        <f ca="1">IFERROR(__xludf.DUMMYFUNCTION("""COMPUTED_VALUE"""),6157702)</f>
        <v>6157702</v>
      </c>
      <c r="BI433" s="4">
        <f ca="1">IFERROR(__xludf.DUMMYFUNCTION("""COMPUTED_VALUE"""),42753.6666666666)</f>
        <v>42753.666666666599</v>
      </c>
      <c r="BJ433" s="3">
        <f ca="1">IFERROR(__xludf.DUMMYFUNCTION("""COMPUTED_VALUE"""),48.9)</f>
        <v>48.9</v>
      </c>
      <c r="BK433" s="3">
        <f ca="1">IFERROR(__xludf.DUMMYFUNCTION("""COMPUTED_VALUE"""),49.22)</f>
        <v>49.22</v>
      </c>
      <c r="BL433" s="3">
        <f ca="1">IFERROR(__xludf.DUMMYFUNCTION("""COMPUTED_VALUE"""),48.9)</f>
        <v>48.9</v>
      </c>
      <c r="BM433" s="3">
        <f ca="1">IFERROR(__xludf.DUMMYFUNCTION("""COMPUTED_VALUE"""),48.98)</f>
        <v>48.98</v>
      </c>
      <c r="BN433" s="3">
        <f ca="1">IFERROR(__xludf.DUMMYFUNCTION("""COMPUTED_VALUE"""),13230909)</f>
        <v>13230909</v>
      </c>
    </row>
    <row r="434" spans="7:66" ht="13" x14ac:dyDescent="0.15">
      <c r="G434" s="4">
        <f ca="1">IFERROR(__xludf.DUMMYFUNCTION("""COMPUTED_VALUE"""),42754.6666666666)</f>
        <v>42754.666666666599</v>
      </c>
      <c r="H434" s="3">
        <f ca="1">IFERROR(__xludf.DUMMYFUNCTION("""COMPUTED_VALUE"""),84.07)</f>
        <v>84.07</v>
      </c>
      <c r="I434" s="3">
        <f ca="1">IFERROR(__xludf.DUMMYFUNCTION("""COMPUTED_VALUE"""),84.36)</f>
        <v>84.36</v>
      </c>
      <c r="J434" s="3">
        <f ca="1">IFERROR(__xludf.DUMMYFUNCTION("""COMPUTED_VALUE"""),83.5)</f>
        <v>83.5</v>
      </c>
      <c r="K434" s="3">
        <f ca="1">IFERROR(__xludf.DUMMYFUNCTION("""COMPUTED_VALUE"""),83.69)</f>
        <v>83.69</v>
      </c>
      <c r="L434" s="3">
        <f ca="1">IFERROR(__xludf.DUMMYFUNCTION("""COMPUTED_VALUE"""),4162977)</f>
        <v>4162977</v>
      </c>
      <c r="M434" s="4">
        <f ca="1">IFERROR(__xludf.DUMMYFUNCTION("""COMPUTED_VALUE"""),42754.6666666666)</f>
        <v>42754.666666666599</v>
      </c>
      <c r="N434" s="3">
        <f ca="1">IFERROR(__xludf.DUMMYFUNCTION("""COMPUTED_VALUE"""),52.37)</f>
        <v>52.37</v>
      </c>
      <c r="O434" s="3">
        <f ca="1">IFERROR(__xludf.DUMMYFUNCTION("""COMPUTED_VALUE"""),52.37)</f>
        <v>52.37</v>
      </c>
      <c r="P434" s="3">
        <f ca="1">IFERROR(__xludf.DUMMYFUNCTION("""COMPUTED_VALUE"""),52.12)</f>
        <v>52.12</v>
      </c>
      <c r="Q434" s="3">
        <f ca="1">IFERROR(__xludf.DUMMYFUNCTION("""COMPUTED_VALUE"""),52.24)</f>
        <v>52.24</v>
      </c>
      <c r="R434" s="3">
        <f ca="1">IFERROR(__xludf.DUMMYFUNCTION("""COMPUTED_VALUE"""),17283419)</f>
        <v>17283419</v>
      </c>
      <c r="S434" s="4">
        <f ca="1">IFERROR(__xludf.DUMMYFUNCTION("""COMPUTED_VALUE"""),42754.6666666666)</f>
        <v>42754.666666666599</v>
      </c>
      <c r="T434" s="3">
        <f ca="1">IFERROR(__xludf.DUMMYFUNCTION("""COMPUTED_VALUE"""),74.67)</f>
        <v>74.67</v>
      </c>
      <c r="U434" s="3">
        <f ca="1">IFERROR(__xludf.DUMMYFUNCTION("""COMPUTED_VALUE"""),74.7)</f>
        <v>74.7</v>
      </c>
      <c r="V434" s="3">
        <f ca="1">IFERROR(__xludf.DUMMYFUNCTION("""COMPUTED_VALUE"""),74.08)</f>
        <v>74.08</v>
      </c>
      <c r="W434" s="3">
        <f ca="1">IFERROR(__xludf.DUMMYFUNCTION("""COMPUTED_VALUE"""),74.26)</f>
        <v>74.260000000000005</v>
      </c>
      <c r="X434" s="3">
        <f ca="1">IFERROR(__xludf.DUMMYFUNCTION("""COMPUTED_VALUE"""),9000920)</f>
        <v>9000920</v>
      </c>
      <c r="Y434" s="4">
        <f ca="1">IFERROR(__xludf.DUMMYFUNCTION("""COMPUTED_VALUE"""),42754.6666666666)</f>
        <v>42754.666666666599</v>
      </c>
      <c r="Z434" s="3">
        <f ca="1">IFERROR(__xludf.DUMMYFUNCTION("""COMPUTED_VALUE"""),23.19)</f>
        <v>23.19</v>
      </c>
      <c r="AA434" s="3">
        <f ca="1">IFERROR(__xludf.DUMMYFUNCTION("""COMPUTED_VALUE"""),23.25)</f>
        <v>23.25</v>
      </c>
      <c r="AB434" s="3">
        <f ca="1">IFERROR(__xludf.DUMMYFUNCTION("""COMPUTED_VALUE"""),22.96)</f>
        <v>22.96</v>
      </c>
      <c r="AC434" s="3">
        <f ca="1">IFERROR(__xludf.DUMMYFUNCTION("""COMPUTED_VALUE"""),23.04)</f>
        <v>23.04</v>
      </c>
      <c r="AD434" s="3">
        <f ca="1">IFERROR(__xludf.DUMMYFUNCTION("""COMPUTED_VALUE"""),56729679)</f>
        <v>56729679</v>
      </c>
      <c r="AE434" s="4">
        <f ca="1">IFERROR(__xludf.DUMMYFUNCTION("""COMPUTED_VALUE"""),42754.6666666666)</f>
        <v>42754.666666666599</v>
      </c>
      <c r="AF434" s="3">
        <f ca="1">IFERROR(__xludf.DUMMYFUNCTION("""COMPUTED_VALUE"""),70.45)</f>
        <v>70.45</v>
      </c>
      <c r="AG434" s="3">
        <f ca="1">IFERROR(__xludf.DUMMYFUNCTION("""COMPUTED_VALUE"""),70.61)</f>
        <v>70.61</v>
      </c>
      <c r="AH434" s="3">
        <f ca="1">IFERROR(__xludf.DUMMYFUNCTION("""COMPUTED_VALUE"""),69.91)</f>
        <v>69.91</v>
      </c>
      <c r="AI434" s="3">
        <f ca="1">IFERROR(__xludf.DUMMYFUNCTION("""COMPUTED_VALUE"""),70.02)</f>
        <v>70.02</v>
      </c>
      <c r="AJ434" s="3">
        <f ca="1">IFERROR(__xludf.DUMMYFUNCTION("""COMPUTED_VALUE"""),6470661)</f>
        <v>6470661</v>
      </c>
      <c r="AK434" s="4">
        <f ca="1">IFERROR(__xludf.DUMMYFUNCTION("""COMPUTED_VALUE"""),42754.6666666666)</f>
        <v>42754.666666666599</v>
      </c>
      <c r="AL434" s="3">
        <f ca="1">IFERROR(__xludf.DUMMYFUNCTION("""COMPUTED_VALUE"""),63.64)</f>
        <v>63.64</v>
      </c>
      <c r="AM434" s="3">
        <f ca="1">IFERROR(__xludf.DUMMYFUNCTION("""COMPUTED_VALUE"""),63.75)</f>
        <v>63.75</v>
      </c>
      <c r="AN434" s="3">
        <f ca="1">IFERROR(__xludf.DUMMYFUNCTION("""COMPUTED_VALUE"""),63.06)</f>
        <v>63.06</v>
      </c>
      <c r="AO434" s="3">
        <f ca="1">IFERROR(__xludf.DUMMYFUNCTION("""COMPUTED_VALUE"""),63.43)</f>
        <v>63.43</v>
      </c>
      <c r="AP434" s="3">
        <f ca="1">IFERROR(__xludf.DUMMYFUNCTION("""COMPUTED_VALUE"""),8833174)</f>
        <v>8833174</v>
      </c>
      <c r="AQ434" s="4">
        <f ca="1">IFERROR(__xludf.DUMMYFUNCTION("""COMPUTED_VALUE"""),42754.6666666666)</f>
        <v>42754.666666666599</v>
      </c>
      <c r="AR434" s="3">
        <f ca="1">IFERROR(__xludf.DUMMYFUNCTION("""COMPUTED_VALUE"""),51.02)</f>
        <v>51.02</v>
      </c>
      <c r="AS434" s="3">
        <f ca="1">IFERROR(__xludf.DUMMYFUNCTION("""COMPUTED_VALUE"""),51.13)</f>
        <v>51.13</v>
      </c>
      <c r="AT434" s="3">
        <f ca="1">IFERROR(__xludf.DUMMYFUNCTION("""COMPUTED_VALUE"""),50.45)</f>
        <v>50.45</v>
      </c>
      <c r="AU434" s="3">
        <f ca="1">IFERROR(__xludf.DUMMYFUNCTION("""COMPUTED_VALUE"""),50.64)</f>
        <v>50.64</v>
      </c>
      <c r="AV434" s="3">
        <f ca="1">IFERROR(__xludf.DUMMYFUNCTION("""COMPUTED_VALUE"""),3303200)</f>
        <v>3303200</v>
      </c>
      <c r="AW434" s="4">
        <f ca="1">IFERROR(__xludf.DUMMYFUNCTION("""COMPUTED_VALUE"""),42919.6666666666)</f>
        <v>42919.666666666599</v>
      </c>
      <c r="AX434" s="3">
        <f ca="1">IFERROR(__xludf.DUMMYFUNCTION("""COMPUTED_VALUE"""),32.34)</f>
        <v>32.340000000000003</v>
      </c>
      <c r="AY434" s="3">
        <f ca="1">IFERROR(__xludf.DUMMYFUNCTION("""COMPUTED_VALUE"""),32.56)</f>
        <v>32.56</v>
      </c>
      <c r="AZ434" s="3">
        <f ca="1">IFERROR(__xludf.DUMMYFUNCTION("""COMPUTED_VALUE"""),32.22)</f>
        <v>32.22</v>
      </c>
      <c r="BA434" s="3">
        <f ca="1">IFERROR(__xludf.DUMMYFUNCTION("""COMPUTED_VALUE"""),32.5)</f>
        <v>32.5</v>
      </c>
      <c r="BB434" s="3">
        <f ca="1">IFERROR(__xludf.DUMMYFUNCTION("""COMPUTED_VALUE"""),1035657)</f>
        <v>1035657</v>
      </c>
      <c r="BC434" s="4">
        <f ca="1">IFERROR(__xludf.DUMMYFUNCTION("""COMPUTED_VALUE"""),42754.6666666666)</f>
        <v>42754.666666666599</v>
      </c>
      <c r="BD434" s="3">
        <f ca="1">IFERROR(__xludf.DUMMYFUNCTION("""COMPUTED_VALUE"""),49.6)</f>
        <v>49.6</v>
      </c>
      <c r="BE434" s="3">
        <f ca="1">IFERROR(__xludf.DUMMYFUNCTION("""COMPUTED_VALUE"""),49.78)</f>
        <v>49.78</v>
      </c>
      <c r="BF434" s="3">
        <f ca="1">IFERROR(__xludf.DUMMYFUNCTION("""COMPUTED_VALUE"""),49.44)</f>
        <v>49.44</v>
      </c>
      <c r="BG434" s="3">
        <f ca="1">IFERROR(__xludf.DUMMYFUNCTION("""COMPUTED_VALUE"""),49.53)</f>
        <v>49.53</v>
      </c>
      <c r="BH434" s="3">
        <f ca="1">IFERROR(__xludf.DUMMYFUNCTION("""COMPUTED_VALUE"""),7250031)</f>
        <v>7250031</v>
      </c>
      <c r="BI434" s="4">
        <f ca="1">IFERROR(__xludf.DUMMYFUNCTION("""COMPUTED_VALUE"""),42754.6666666666)</f>
        <v>42754.666666666599</v>
      </c>
      <c r="BJ434" s="3">
        <f ca="1">IFERROR(__xludf.DUMMYFUNCTION("""COMPUTED_VALUE"""),48.7)</f>
        <v>48.7</v>
      </c>
      <c r="BK434" s="3">
        <f ca="1">IFERROR(__xludf.DUMMYFUNCTION("""COMPUTED_VALUE"""),48.98)</f>
        <v>48.98</v>
      </c>
      <c r="BL434" s="3">
        <f ca="1">IFERROR(__xludf.DUMMYFUNCTION("""COMPUTED_VALUE"""),48.43)</f>
        <v>48.43</v>
      </c>
      <c r="BM434" s="3">
        <f ca="1">IFERROR(__xludf.DUMMYFUNCTION("""COMPUTED_VALUE"""),48.55)</f>
        <v>48.55</v>
      </c>
      <c r="BN434" s="3">
        <f ca="1">IFERROR(__xludf.DUMMYFUNCTION("""COMPUTED_VALUE"""),13800486)</f>
        <v>13800486</v>
      </c>
    </row>
    <row r="435" spans="7:66" ht="13" x14ac:dyDescent="0.15">
      <c r="G435" s="4">
        <f ca="1">IFERROR(__xludf.DUMMYFUNCTION("""COMPUTED_VALUE"""),42755.6666666666)</f>
        <v>42755.666666666599</v>
      </c>
      <c r="H435" s="3">
        <f ca="1">IFERROR(__xludf.DUMMYFUNCTION("""COMPUTED_VALUE"""),83.99)</f>
        <v>83.99</v>
      </c>
      <c r="I435" s="3">
        <f ca="1">IFERROR(__xludf.DUMMYFUNCTION("""COMPUTED_VALUE"""),84.15)</f>
        <v>84.15</v>
      </c>
      <c r="J435" s="3">
        <f ca="1">IFERROR(__xludf.DUMMYFUNCTION("""COMPUTED_VALUE"""),83.66)</f>
        <v>83.66</v>
      </c>
      <c r="K435" s="3">
        <f ca="1">IFERROR(__xludf.DUMMYFUNCTION("""COMPUTED_VALUE"""),83.93)</f>
        <v>83.93</v>
      </c>
      <c r="L435" s="3">
        <f ca="1">IFERROR(__xludf.DUMMYFUNCTION("""COMPUTED_VALUE"""),5491896)</f>
        <v>5491896</v>
      </c>
      <c r="M435" s="4">
        <f ca="1">IFERROR(__xludf.DUMMYFUNCTION("""COMPUTED_VALUE"""),42755.6666666666)</f>
        <v>42755.666666666599</v>
      </c>
      <c r="N435" s="3">
        <f ca="1">IFERROR(__xludf.DUMMYFUNCTION("""COMPUTED_VALUE"""),52.49)</f>
        <v>52.49</v>
      </c>
      <c r="O435" s="3">
        <f ca="1">IFERROR(__xludf.DUMMYFUNCTION("""COMPUTED_VALUE"""),52.77)</f>
        <v>52.77</v>
      </c>
      <c r="P435" s="3">
        <f ca="1">IFERROR(__xludf.DUMMYFUNCTION("""COMPUTED_VALUE"""),52.31)</f>
        <v>52.31</v>
      </c>
      <c r="Q435" s="3">
        <f ca="1">IFERROR(__xludf.DUMMYFUNCTION("""COMPUTED_VALUE"""),52.58)</f>
        <v>52.58</v>
      </c>
      <c r="R435" s="3">
        <f ca="1">IFERROR(__xludf.DUMMYFUNCTION("""COMPUTED_VALUE"""),11015593)</f>
        <v>11015593</v>
      </c>
      <c r="S435" s="4">
        <f ca="1">IFERROR(__xludf.DUMMYFUNCTION("""COMPUTED_VALUE"""),42755.6666666666)</f>
        <v>42755.666666666599</v>
      </c>
      <c r="T435" s="3">
        <f ca="1">IFERROR(__xludf.DUMMYFUNCTION("""COMPUTED_VALUE"""),74.74)</f>
        <v>74.739999999999995</v>
      </c>
      <c r="U435" s="3">
        <f ca="1">IFERROR(__xludf.DUMMYFUNCTION("""COMPUTED_VALUE"""),74.99)</f>
        <v>74.989999999999995</v>
      </c>
      <c r="V435" s="3">
        <f ca="1">IFERROR(__xludf.DUMMYFUNCTION("""COMPUTED_VALUE"""),74.29)</f>
        <v>74.290000000000006</v>
      </c>
      <c r="W435" s="3">
        <f ca="1">IFERROR(__xludf.DUMMYFUNCTION("""COMPUTED_VALUE"""),74.54)</f>
        <v>74.540000000000006</v>
      </c>
      <c r="X435" s="3">
        <f ca="1">IFERROR(__xludf.DUMMYFUNCTION("""COMPUTED_VALUE"""),9182221)</f>
        <v>9182221</v>
      </c>
      <c r="Y435" s="4">
        <f ca="1">IFERROR(__xludf.DUMMYFUNCTION("""COMPUTED_VALUE"""),42755.6666666666)</f>
        <v>42755.666666666599</v>
      </c>
      <c r="Z435" s="3">
        <f ca="1">IFERROR(__xludf.DUMMYFUNCTION("""COMPUTED_VALUE"""),23.11)</f>
        <v>23.11</v>
      </c>
      <c r="AA435" s="3">
        <f ca="1">IFERROR(__xludf.DUMMYFUNCTION("""COMPUTED_VALUE"""),23.23)</f>
        <v>23.23</v>
      </c>
      <c r="AB435" s="3">
        <f ca="1">IFERROR(__xludf.DUMMYFUNCTION("""COMPUTED_VALUE"""),23.03)</f>
        <v>23.03</v>
      </c>
      <c r="AC435" s="3">
        <f ca="1">IFERROR(__xludf.DUMMYFUNCTION("""COMPUTED_VALUE"""),23.15)</f>
        <v>23.15</v>
      </c>
      <c r="AD435" s="3">
        <f ca="1">IFERROR(__xludf.DUMMYFUNCTION("""COMPUTED_VALUE"""),74805151)</f>
        <v>74805151</v>
      </c>
      <c r="AE435" s="4">
        <f ca="1">IFERROR(__xludf.DUMMYFUNCTION("""COMPUTED_VALUE"""),42755.6666666666)</f>
        <v>42755.666666666599</v>
      </c>
      <c r="AF435" s="3">
        <f ca="1">IFERROR(__xludf.DUMMYFUNCTION("""COMPUTED_VALUE"""),70.02)</f>
        <v>70.02</v>
      </c>
      <c r="AG435" s="3">
        <f ca="1">IFERROR(__xludf.DUMMYFUNCTION("""COMPUTED_VALUE"""),70.37)</f>
        <v>70.37</v>
      </c>
      <c r="AH435" s="3">
        <f ca="1">IFERROR(__xludf.DUMMYFUNCTION("""COMPUTED_VALUE"""),69.78)</f>
        <v>69.78</v>
      </c>
      <c r="AI435" s="3">
        <f ca="1">IFERROR(__xludf.DUMMYFUNCTION("""COMPUTED_VALUE"""),69.84)</f>
        <v>69.84</v>
      </c>
      <c r="AJ435" s="3">
        <f ca="1">IFERROR(__xludf.DUMMYFUNCTION("""COMPUTED_VALUE"""),7006899)</f>
        <v>7006899</v>
      </c>
      <c r="AK435" s="4">
        <f ca="1">IFERROR(__xludf.DUMMYFUNCTION("""COMPUTED_VALUE"""),42755.6666666666)</f>
        <v>42755.666666666599</v>
      </c>
      <c r="AL435" s="3">
        <f ca="1">IFERROR(__xludf.DUMMYFUNCTION("""COMPUTED_VALUE"""),63.41)</f>
        <v>63.41</v>
      </c>
      <c r="AM435" s="3">
        <f ca="1">IFERROR(__xludf.DUMMYFUNCTION("""COMPUTED_VALUE"""),63.51)</f>
        <v>63.51</v>
      </c>
      <c r="AN435" s="3">
        <f ca="1">IFERROR(__xludf.DUMMYFUNCTION("""COMPUTED_VALUE"""),63.08)</f>
        <v>63.08</v>
      </c>
      <c r="AO435" s="3">
        <f ca="1">IFERROR(__xludf.DUMMYFUNCTION("""COMPUTED_VALUE"""),63.44)</f>
        <v>63.44</v>
      </c>
      <c r="AP435" s="3">
        <f ca="1">IFERROR(__xludf.DUMMYFUNCTION("""COMPUTED_VALUE"""),11620318)</f>
        <v>11620318</v>
      </c>
      <c r="AQ435" s="4">
        <f ca="1">IFERROR(__xludf.DUMMYFUNCTION("""COMPUTED_VALUE"""),42755.6666666666)</f>
        <v>42755.666666666599</v>
      </c>
      <c r="AR435" s="3">
        <f ca="1">IFERROR(__xludf.DUMMYFUNCTION("""COMPUTED_VALUE"""),50.82)</f>
        <v>50.82</v>
      </c>
      <c r="AS435" s="3">
        <f ca="1">IFERROR(__xludf.DUMMYFUNCTION("""COMPUTED_VALUE"""),51.18)</f>
        <v>51.18</v>
      </c>
      <c r="AT435" s="3">
        <f ca="1">IFERROR(__xludf.DUMMYFUNCTION("""COMPUTED_VALUE"""),50.78)</f>
        <v>50.78</v>
      </c>
      <c r="AU435" s="3">
        <f ca="1">IFERROR(__xludf.DUMMYFUNCTION("""COMPUTED_VALUE"""),51.09)</f>
        <v>51.09</v>
      </c>
      <c r="AV435" s="3">
        <f ca="1">IFERROR(__xludf.DUMMYFUNCTION("""COMPUTED_VALUE"""),5006861)</f>
        <v>5006861</v>
      </c>
      <c r="AW435" s="4">
        <f ca="1">IFERROR(__xludf.DUMMYFUNCTION("""COMPUTED_VALUE"""),42921.6666666666)</f>
        <v>42921.666666666599</v>
      </c>
      <c r="AX435" s="3">
        <f ca="1">IFERROR(__xludf.DUMMYFUNCTION("""COMPUTED_VALUE"""),32.42)</f>
        <v>32.42</v>
      </c>
      <c r="AY435" s="3">
        <f ca="1">IFERROR(__xludf.DUMMYFUNCTION("""COMPUTED_VALUE"""),32.58)</f>
        <v>32.58</v>
      </c>
      <c r="AZ435" s="3">
        <f ca="1">IFERROR(__xludf.DUMMYFUNCTION("""COMPUTED_VALUE"""),32.02)</f>
        <v>32.020000000000003</v>
      </c>
      <c r="BA435" s="3">
        <f ca="1">IFERROR(__xludf.DUMMYFUNCTION("""COMPUTED_VALUE"""),32.11)</f>
        <v>32.11</v>
      </c>
      <c r="BB435" s="3">
        <f ca="1">IFERROR(__xludf.DUMMYFUNCTION("""COMPUTED_VALUE"""),2908644)</f>
        <v>2908644</v>
      </c>
      <c r="BC435" s="4">
        <f ca="1">IFERROR(__xludf.DUMMYFUNCTION("""COMPUTED_VALUE"""),42755.6666666666)</f>
        <v>42755.666666666599</v>
      </c>
      <c r="BD435" s="3">
        <f ca="1">IFERROR(__xludf.DUMMYFUNCTION("""COMPUTED_VALUE"""),49.75)</f>
        <v>49.75</v>
      </c>
      <c r="BE435" s="3">
        <f ca="1">IFERROR(__xludf.DUMMYFUNCTION("""COMPUTED_VALUE"""),49.93)</f>
        <v>49.93</v>
      </c>
      <c r="BF435" s="3">
        <f ca="1">IFERROR(__xludf.DUMMYFUNCTION("""COMPUTED_VALUE"""),49.67)</f>
        <v>49.67</v>
      </c>
      <c r="BG435" s="3">
        <f ca="1">IFERROR(__xludf.DUMMYFUNCTION("""COMPUTED_VALUE"""),49.8)</f>
        <v>49.8</v>
      </c>
      <c r="BH435" s="3">
        <f ca="1">IFERROR(__xludf.DUMMYFUNCTION("""COMPUTED_VALUE"""),8755400)</f>
        <v>8755400</v>
      </c>
      <c r="BI435" s="4">
        <f ca="1">IFERROR(__xludf.DUMMYFUNCTION("""COMPUTED_VALUE"""),42755.6666666666)</f>
        <v>42755.666666666599</v>
      </c>
      <c r="BJ435" s="3">
        <f ca="1">IFERROR(__xludf.DUMMYFUNCTION("""COMPUTED_VALUE"""),48.62)</f>
        <v>48.62</v>
      </c>
      <c r="BK435" s="3">
        <f ca="1">IFERROR(__xludf.DUMMYFUNCTION("""COMPUTED_VALUE"""),48.78)</f>
        <v>48.78</v>
      </c>
      <c r="BL435" s="3">
        <f ca="1">IFERROR(__xludf.DUMMYFUNCTION("""COMPUTED_VALUE"""),48.33)</f>
        <v>48.33</v>
      </c>
      <c r="BM435" s="3">
        <f ca="1">IFERROR(__xludf.DUMMYFUNCTION("""COMPUTED_VALUE"""),48.64)</f>
        <v>48.64</v>
      </c>
      <c r="BN435" s="3">
        <f ca="1">IFERROR(__xludf.DUMMYFUNCTION("""COMPUTED_VALUE"""),11874247)</f>
        <v>11874247</v>
      </c>
    </row>
    <row r="436" spans="7:66" ht="13" x14ac:dyDescent="0.15">
      <c r="G436" s="4">
        <f ca="1">IFERROR(__xludf.DUMMYFUNCTION("""COMPUTED_VALUE"""),42758.6666666666)</f>
        <v>42758.666666666599</v>
      </c>
      <c r="H436" s="3">
        <f ca="1">IFERROR(__xludf.DUMMYFUNCTION("""COMPUTED_VALUE"""),83.55)</f>
        <v>83.55</v>
      </c>
      <c r="I436" s="3">
        <f ca="1">IFERROR(__xludf.DUMMYFUNCTION("""COMPUTED_VALUE"""),84.02)</f>
        <v>84.02</v>
      </c>
      <c r="J436" s="3">
        <f ca="1">IFERROR(__xludf.DUMMYFUNCTION("""COMPUTED_VALUE"""),83.47)</f>
        <v>83.47</v>
      </c>
      <c r="K436" s="3">
        <f ca="1">IFERROR(__xludf.DUMMYFUNCTION("""COMPUTED_VALUE"""),83.99)</f>
        <v>83.99</v>
      </c>
      <c r="L436" s="3">
        <f ca="1">IFERROR(__xludf.DUMMYFUNCTION("""COMPUTED_VALUE"""),8552873)</f>
        <v>8552873</v>
      </c>
      <c r="M436" s="4">
        <f ca="1">IFERROR(__xludf.DUMMYFUNCTION("""COMPUTED_VALUE"""),42758.6666666666)</f>
        <v>42758.666666666599</v>
      </c>
      <c r="N436" s="3">
        <f ca="1">IFERROR(__xludf.DUMMYFUNCTION("""COMPUTED_VALUE"""),52.58)</f>
        <v>52.58</v>
      </c>
      <c r="O436" s="3">
        <f ca="1">IFERROR(__xludf.DUMMYFUNCTION("""COMPUTED_VALUE"""),52.61)</f>
        <v>52.61</v>
      </c>
      <c r="P436" s="3">
        <f ca="1">IFERROR(__xludf.DUMMYFUNCTION("""COMPUTED_VALUE"""),52.39)</f>
        <v>52.39</v>
      </c>
      <c r="Q436" s="3">
        <f ca="1">IFERROR(__xludf.DUMMYFUNCTION("""COMPUTED_VALUE"""),52.56)</f>
        <v>52.56</v>
      </c>
      <c r="R436" s="3">
        <f ca="1">IFERROR(__xludf.DUMMYFUNCTION("""COMPUTED_VALUE"""),16203816)</f>
        <v>16203816</v>
      </c>
      <c r="S436" s="4">
        <f ca="1">IFERROR(__xludf.DUMMYFUNCTION("""COMPUTED_VALUE"""),42758.6666666666)</f>
        <v>42758.666666666599</v>
      </c>
      <c r="T436" s="3">
        <f ca="1">IFERROR(__xludf.DUMMYFUNCTION("""COMPUTED_VALUE"""),74.2)</f>
        <v>74.2</v>
      </c>
      <c r="U436" s="3">
        <f ca="1">IFERROR(__xludf.DUMMYFUNCTION("""COMPUTED_VALUE"""),74.35)</f>
        <v>74.349999999999994</v>
      </c>
      <c r="V436" s="3">
        <f ca="1">IFERROR(__xludf.DUMMYFUNCTION("""COMPUTED_VALUE"""),73.39)</f>
        <v>73.39</v>
      </c>
      <c r="W436" s="3">
        <f ca="1">IFERROR(__xludf.DUMMYFUNCTION("""COMPUTED_VALUE"""),73.75)</f>
        <v>73.75</v>
      </c>
      <c r="X436" s="3">
        <f ca="1">IFERROR(__xludf.DUMMYFUNCTION("""COMPUTED_VALUE"""),15207044)</f>
        <v>15207044</v>
      </c>
      <c r="Y436" s="4">
        <f ca="1">IFERROR(__xludf.DUMMYFUNCTION("""COMPUTED_VALUE"""),42758.6666666666)</f>
        <v>42758.666666666599</v>
      </c>
      <c r="Z436" s="3">
        <f ca="1">IFERROR(__xludf.DUMMYFUNCTION("""COMPUTED_VALUE"""),23.05)</f>
        <v>23.05</v>
      </c>
      <c r="AA436" s="3">
        <f ca="1">IFERROR(__xludf.DUMMYFUNCTION("""COMPUTED_VALUE"""),23.19)</f>
        <v>23.19</v>
      </c>
      <c r="AB436" s="3">
        <f ca="1">IFERROR(__xludf.DUMMYFUNCTION("""COMPUTED_VALUE"""),22.92)</f>
        <v>22.92</v>
      </c>
      <c r="AC436" s="3">
        <f ca="1">IFERROR(__xludf.DUMMYFUNCTION("""COMPUTED_VALUE"""),23)</f>
        <v>23</v>
      </c>
      <c r="AD436" s="3">
        <f ca="1">IFERROR(__xludf.DUMMYFUNCTION("""COMPUTED_VALUE"""),46651232)</f>
        <v>46651232</v>
      </c>
      <c r="AE436" s="4">
        <f ca="1">IFERROR(__xludf.DUMMYFUNCTION("""COMPUTED_VALUE"""),42758.6666666666)</f>
        <v>42758.666666666599</v>
      </c>
      <c r="AF436" s="3">
        <f ca="1">IFERROR(__xludf.DUMMYFUNCTION("""COMPUTED_VALUE"""),69.75)</f>
        <v>69.75</v>
      </c>
      <c r="AG436" s="3">
        <f ca="1">IFERROR(__xludf.DUMMYFUNCTION("""COMPUTED_VALUE"""),69.94)</f>
        <v>69.94</v>
      </c>
      <c r="AH436" s="3">
        <f ca="1">IFERROR(__xludf.DUMMYFUNCTION("""COMPUTED_VALUE"""),69.29)</f>
        <v>69.290000000000006</v>
      </c>
      <c r="AI436" s="3">
        <f ca="1">IFERROR(__xludf.DUMMYFUNCTION("""COMPUTED_VALUE"""),69.55)</f>
        <v>69.55</v>
      </c>
      <c r="AJ436" s="3">
        <f ca="1">IFERROR(__xludf.DUMMYFUNCTION("""COMPUTED_VALUE"""),10003675)</f>
        <v>10003675</v>
      </c>
      <c r="AK436" s="4">
        <f ca="1">IFERROR(__xludf.DUMMYFUNCTION("""COMPUTED_VALUE"""),42758.6666666666)</f>
        <v>42758.666666666599</v>
      </c>
      <c r="AL436" s="3">
        <f ca="1">IFERROR(__xludf.DUMMYFUNCTION("""COMPUTED_VALUE"""),63.37)</f>
        <v>63.37</v>
      </c>
      <c r="AM436" s="3">
        <f ca="1">IFERROR(__xludf.DUMMYFUNCTION("""COMPUTED_VALUE"""),63.5)</f>
        <v>63.5</v>
      </c>
      <c r="AN436" s="3">
        <f ca="1">IFERROR(__xludf.DUMMYFUNCTION("""COMPUTED_VALUE"""),62.74)</f>
        <v>62.74</v>
      </c>
      <c r="AO436" s="3">
        <f ca="1">IFERROR(__xludf.DUMMYFUNCTION("""COMPUTED_VALUE"""),63.09)</f>
        <v>63.09</v>
      </c>
      <c r="AP436" s="3">
        <f ca="1">IFERROR(__xludf.DUMMYFUNCTION("""COMPUTED_VALUE"""),14303720)</f>
        <v>14303720</v>
      </c>
      <c r="AQ436" s="4">
        <f ca="1">IFERROR(__xludf.DUMMYFUNCTION("""COMPUTED_VALUE"""),42758.6666666666)</f>
        <v>42758.666666666599</v>
      </c>
      <c r="AR436" s="3">
        <f ca="1">IFERROR(__xludf.DUMMYFUNCTION("""COMPUTED_VALUE"""),51.09)</f>
        <v>51.09</v>
      </c>
      <c r="AS436" s="3">
        <f ca="1">IFERROR(__xludf.DUMMYFUNCTION("""COMPUTED_VALUE"""),51.27)</f>
        <v>51.27</v>
      </c>
      <c r="AT436" s="3">
        <f ca="1">IFERROR(__xludf.DUMMYFUNCTION("""COMPUTED_VALUE"""),50.9)</f>
        <v>50.9</v>
      </c>
      <c r="AU436" s="3">
        <f ca="1">IFERROR(__xludf.DUMMYFUNCTION("""COMPUTED_VALUE"""),51.19)</f>
        <v>51.19</v>
      </c>
      <c r="AV436" s="3">
        <f ca="1">IFERROR(__xludf.DUMMYFUNCTION("""COMPUTED_VALUE"""),4161091)</f>
        <v>4161091</v>
      </c>
      <c r="AW436" s="4">
        <f ca="1">IFERROR(__xludf.DUMMYFUNCTION("""COMPUTED_VALUE"""),42922.6666666666)</f>
        <v>42922.666666666599</v>
      </c>
      <c r="AX436" s="3">
        <f ca="1">IFERROR(__xludf.DUMMYFUNCTION("""COMPUTED_VALUE"""),32)</f>
        <v>32</v>
      </c>
      <c r="AY436" s="3">
        <f ca="1">IFERROR(__xludf.DUMMYFUNCTION("""COMPUTED_VALUE"""),32.01)</f>
        <v>32.01</v>
      </c>
      <c r="AZ436" s="3">
        <f ca="1">IFERROR(__xludf.DUMMYFUNCTION("""COMPUTED_VALUE"""),31.49)</f>
        <v>31.49</v>
      </c>
      <c r="BA436" s="3">
        <f ca="1">IFERROR(__xludf.DUMMYFUNCTION("""COMPUTED_VALUE"""),31.53)</f>
        <v>31.53</v>
      </c>
      <c r="BB436" s="3">
        <f ca="1">IFERROR(__xludf.DUMMYFUNCTION("""COMPUTED_VALUE"""),1839971)</f>
        <v>1839971</v>
      </c>
      <c r="BC436" s="4">
        <f ca="1">IFERROR(__xludf.DUMMYFUNCTION("""COMPUTED_VALUE"""),42758.6666666666)</f>
        <v>42758.666666666599</v>
      </c>
      <c r="BD436" s="3">
        <f ca="1">IFERROR(__xludf.DUMMYFUNCTION("""COMPUTED_VALUE"""),49.75)</f>
        <v>49.75</v>
      </c>
      <c r="BE436" s="3">
        <f ca="1">IFERROR(__xludf.DUMMYFUNCTION("""COMPUTED_VALUE"""),49.91)</f>
        <v>49.91</v>
      </c>
      <c r="BF436" s="3">
        <f ca="1">IFERROR(__xludf.DUMMYFUNCTION("""COMPUTED_VALUE"""),49.54)</f>
        <v>49.54</v>
      </c>
      <c r="BG436" s="3">
        <f ca="1">IFERROR(__xludf.DUMMYFUNCTION("""COMPUTED_VALUE"""),49.89)</f>
        <v>49.89</v>
      </c>
      <c r="BH436" s="3">
        <f ca="1">IFERROR(__xludf.DUMMYFUNCTION("""COMPUTED_VALUE"""),11977629)</f>
        <v>11977629</v>
      </c>
      <c r="BI436" s="4">
        <f ca="1">IFERROR(__xludf.DUMMYFUNCTION("""COMPUTED_VALUE"""),42758.6666666666)</f>
        <v>42758.666666666599</v>
      </c>
      <c r="BJ436" s="3">
        <f ca="1">IFERROR(__xludf.DUMMYFUNCTION("""COMPUTED_VALUE"""),48.71)</f>
        <v>48.71</v>
      </c>
      <c r="BK436" s="3">
        <f ca="1">IFERROR(__xludf.DUMMYFUNCTION("""COMPUTED_VALUE"""),48.82)</f>
        <v>48.82</v>
      </c>
      <c r="BL436" s="3">
        <f ca="1">IFERROR(__xludf.DUMMYFUNCTION("""COMPUTED_VALUE"""),48.34)</f>
        <v>48.34</v>
      </c>
      <c r="BM436" s="3">
        <f ca="1">IFERROR(__xludf.DUMMYFUNCTION("""COMPUTED_VALUE"""),48.39)</f>
        <v>48.39</v>
      </c>
      <c r="BN436" s="3">
        <f ca="1">IFERROR(__xludf.DUMMYFUNCTION("""COMPUTED_VALUE"""),10625505)</f>
        <v>10625505</v>
      </c>
    </row>
    <row r="437" spans="7:66" ht="13" x14ac:dyDescent="0.15">
      <c r="G437" s="4">
        <f ca="1">IFERROR(__xludf.DUMMYFUNCTION("""COMPUTED_VALUE"""),42759.6666666666)</f>
        <v>42759.666666666599</v>
      </c>
      <c r="H437" s="3">
        <f ca="1">IFERROR(__xludf.DUMMYFUNCTION("""COMPUTED_VALUE"""),84.12)</f>
        <v>84.12</v>
      </c>
      <c r="I437" s="3">
        <f ca="1">IFERROR(__xludf.DUMMYFUNCTION("""COMPUTED_VALUE"""),84.77)</f>
        <v>84.77</v>
      </c>
      <c r="J437" s="3">
        <f ca="1">IFERROR(__xludf.DUMMYFUNCTION("""COMPUTED_VALUE"""),83.97)</f>
        <v>83.97</v>
      </c>
      <c r="K437" s="3">
        <f ca="1">IFERROR(__xludf.DUMMYFUNCTION("""COMPUTED_VALUE"""),84.68)</f>
        <v>84.68</v>
      </c>
      <c r="L437" s="3">
        <f ca="1">IFERROR(__xludf.DUMMYFUNCTION("""COMPUTED_VALUE"""),4797237)</f>
        <v>4797237</v>
      </c>
      <c r="M437" s="4">
        <f ca="1">IFERROR(__xludf.DUMMYFUNCTION("""COMPUTED_VALUE"""),42759.6666666666)</f>
        <v>42759.666666666599</v>
      </c>
      <c r="N437" s="3">
        <f ca="1">IFERROR(__xludf.DUMMYFUNCTION("""COMPUTED_VALUE"""),52.6)</f>
        <v>52.6</v>
      </c>
      <c r="O437" s="3">
        <f ca="1">IFERROR(__xludf.DUMMYFUNCTION("""COMPUTED_VALUE"""),52.96)</f>
        <v>52.96</v>
      </c>
      <c r="P437" s="3">
        <f ca="1">IFERROR(__xludf.DUMMYFUNCTION("""COMPUTED_VALUE"""),52.58)</f>
        <v>52.58</v>
      </c>
      <c r="Q437" s="3">
        <f ca="1">IFERROR(__xludf.DUMMYFUNCTION("""COMPUTED_VALUE"""),52.91)</f>
        <v>52.91</v>
      </c>
      <c r="R437" s="3">
        <f ca="1">IFERROR(__xludf.DUMMYFUNCTION("""COMPUTED_VALUE"""),10242502)</f>
        <v>10242502</v>
      </c>
      <c r="S437" s="4">
        <f ca="1">IFERROR(__xludf.DUMMYFUNCTION("""COMPUTED_VALUE"""),42759.6666666666)</f>
        <v>42759.666666666599</v>
      </c>
      <c r="T437" s="3">
        <f ca="1">IFERROR(__xludf.DUMMYFUNCTION("""COMPUTED_VALUE"""),74.04)</f>
        <v>74.040000000000006</v>
      </c>
      <c r="U437" s="3">
        <f ca="1">IFERROR(__xludf.DUMMYFUNCTION("""COMPUTED_VALUE"""),74.88)</f>
        <v>74.88</v>
      </c>
      <c r="V437" s="3">
        <f ca="1">IFERROR(__xludf.DUMMYFUNCTION("""COMPUTED_VALUE"""),73.9)</f>
        <v>73.900000000000006</v>
      </c>
      <c r="W437" s="3">
        <f ca="1">IFERROR(__xludf.DUMMYFUNCTION("""COMPUTED_VALUE"""),74.56)</f>
        <v>74.56</v>
      </c>
      <c r="X437" s="3">
        <f ca="1">IFERROR(__xludf.DUMMYFUNCTION("""COMPUTED_VALUE"""),11857240)</f>
        <v>11857240</v>
      </c>
      <c r="Y437" s="4">
        <f ca="1">IFERROR(__xludf.DUMMYFUNCTION("""COMPUTED_VALUE"""),42759.6666666666)</f>
        <v>42759.666666666599</v>
      </c>
      <c r="Z437" s="3">
        <f ca="1">IFERROR(__xludf.DUMMYFUNCTION("""COMPUTED_VALUE"""),23.11)</f>
        <v>23.11</v>
      </c>
      <c r="AA437" s="3">
        <f ca="1">IFERROR(__xludf.DUMMYFUNCTION("""COMPUTED_VALUE"""),23.38)</f>
        <v>23.38</v>
      </c>
      <c r="AB437" s="3">
        <f ca="1">IFERROR(__xludf.DUMMYFUNCTION("""COMPUTED_VALUE"""),23.01)</f>
        <v>23.01</v>
      </c>
      <c r="AC437" s="3">
        <f ca="1">IFERROR(__xludf.DUMMYFUNCTION("""COMPUTED_VALUE"""),23.29)</f>
        <v>23.29</v>
      </c>
      <c r="AD437" s="3">
        <f ca="1">IFERROR(__xludf.DUMMYFUNCTION("""COMPUTED_VALUE"""),45229461)</f>
        <v>45229461</v>
      </c>
      <c r="AE437" s="4">
        <f ca="1">IFERROR(__xludf.DUMMYFUNCTION("""COMPUTED_VALUE"""),42759.6666666666)</f>
        <v>42759.666666666599</v>
      </c>
      <c r="AF437" s="3">
        <f ca="1">IFERROR(__xludf.DUMMYFUNCTION("""COMPUTED_VALUE"""),69.48)</f>
        <v>69.48</v>
      </c>
      <c r="AG437" s="3">
        <f ca="1">IFERROR(__xludf.DUMMYFUNCTION("""COMPUTED_VALUE"""),69.53)</f>
        <v>69.53</v>
      </c>
      <c r="AH437" s="3">
        <f ca="1">IFERROR(__xludf.DUMMYFUNCTION("""COMPUTED_VALUE"""),68.75)</f>
        <v>68.75</v>
      </c>
      <c r="AI437" s="3">
        <f ca="1">IFERROR(__xludf.DUMMYFUNCTION("""COMPUTED_VALUE"""),69.07)</f>
        <v>69.069999999999993</v>
      </c>
      <c r="AJ437" s="3">
        <f ca="1">IFERROR(__xludf.DUMMYFUNCTION("""COMPUTED_VALUE"""),8703494)</f>
        <v>8703494</v>
      </c>
      <c r="AK437" s="4">
        <f ca="1">IFERROR(__xludf.DUMMYFUNCTION("""COMPUTED_VALUE"""),42759.6666666666)</f>
        <v>42759.666666666599</v>
      </c>
      <c r="AL437" s="3">
        <f ca="1">IFERROR(__xludf.DUMMYFUNCTION("""COMPUTED_VALUE"""),63.1)</f>
        <v>63.1</v>
      </c>
      <c r="AM437" s="3">
        <f ca="1">IFERROR(__xludf.DUMMYFUNCTION("""COMPUTED_VALUE"""),63.87)</f>
        <v>63.87</v>
      </c>
      <c r="AN437" s="3">
        <f ca="1">IFERROR(__xludf.DUMMYFUNCTION("""COMPUTED_VALUE"""),63.02)</f>
        <v>63.02</v>
      </c>
      <c r="AO437" s="3">
        <f ca="1">IFERROR(__xludf.DUMMYFUNCTION("""COMPUTED_VALUE"""),63.72)</f>
        <v>63.72</v>
      </c>
      <c r="AP437" s="3">
        <f ca="1">IFERROR(__xludf.DUMMYFUNCTION("""COMPUTED_VALUE"""),9199687)</f>
        <v>9199687</v>
      </c>
      <c r="AQ437" s="4">
        <f ca="1">IFERROR(__xludf.DUMMYFUNCTION("""COMPUTED_VALUE"""),42759.6666666666)</f>
        <v>42759.666666666599</v>
      </c>
      <c r="AR437" s="3">
        <f ca="1">IFERROR(__xludf.DUMMYFUNCTION("""COMPUTED_VALUE"""),51.38)</f>
        <v>51.38</v>
      </c>
      <c r="AS437" s="3">
        <f ca="1">IFERROR(__xludf.DUMMYFUNCTION("""COMPUTED_VALUE"""),52.63)</f>
        <v>52.63</v>
      </c>
      <c r="AT437" s="3">
        <f ca="1">IFERROR(__xludf.DUMMYFUNCTION("""COMPUTED_VALUE"""),51.38)</f>
        <v>51.38</v>
      </c>
      <c r="AU437" s="3">
        <f ca="1">IFERROR(__xludf.DUMMYFUNCTION("""COMPUTED_VALUE"""),52.51)</f>
        <v>52.51</v>
      </c>
      <c r="AV437" s="3">
        <f ca="1">IFERROR(__xludf.DUMMYFUNCTION("""COMPUTED_VALUE"""),7980975)</f>
        <v>7980975</v>
      </c>
      <c r="AW437" s="4">
        <f ca="1">IFERROR(__xludf.DUMMYFUNCTION("""COMPUTED_VALUE"""),42923.6666666666)</f>
        <v>42923.666666666599</v>
      </c>
      <c r="AX437" s="3">
        <f ca="1">IFERROR(__xludf.DUMMYFUNCTION("""COMPUTED_VALUE"""),31.52)</f>
        <v>31.52</v>
      </c>
      <c r="AY437" s="3">
        <f ca="1">IFERROR(__xludf.DUMMYFUNCTION("""COMPUTED_VALUE"""),31.79)</f>
        <v>31.79</v>
      </c>
      <c r="AZ437" s="3">
        <f ca="1">IFERROR(__xludf.DUMMYFUNCTION("""COMPUTED_VALUE"""),31.52)</f>
        <v>31.52</v>
      </c>
      <c r="BA437" s="3">
        <f ca="1">IFERROR(__xludf.DUMMYFUNCTION("""COMPUTED_VALUE"""),31.71)</f>
        <v>31.71</v>
      </c>
      <c r="BB437" s="3">
        <f ca="1">IFERROR(__xludf.DUMMYFUNCTION("""COMPUTED_VALUE"""),1325146)</f>
        <v>1325146</v>
      </c>
      <c r="BC437" s="4">
        <f ca="1">IFERROR(__xludf.DUMMYFUNCTION("""COMPUTED_VALUE"""),42759.6666666666)</f>
        <v>42759.666666666599</v>
      </c>
      <c r="BD437" s="3">
        <f ca="1">IFERROR(__xludf.DUMMYFUNCTION("""COMPUTED_VALUE"""),49.85)</f>
        <v>49.85</v>
      </c>
      <c r="BE437" s="3">
        <f ca="1">IFERROR(__xludf.DUMMYFUNCTION("""COMPUTED_VALUE"""),50.28)</f>
        <v>50.28</v>
      </c>
      <c r="BF437" s="3">
        <f ca="1">IFERROR(__xludf.DUMMYFUNCTION("""COMPUTED_VALUE"""),49.83)</f>
        <v>49.83</v>
      </c>
      <c r="BG437" s="3">
        <f ca="1">IFERROR(__xludf.DUMMYFUNCTION("""COMPUTED_VALUE"""),50.2)</f>
        <v>50.2</v>
      </c>
      <c r="BH437" s="3">
        <f ca="1">IFERROR(__xludf.DUMMYFUNCTION("""COMPUTED_VALUE"""),6510953)</f>
        <v>6510953</v>
      </c>
      <c r="BI437" s="4">
        <f ca="1">IFERROR(__xludf.DUMMYFUNCTION("""COMPUTED_VALUE"""),42759.6666666666)</f>
        <v>42759.666666666599</v>
      </c>
      <c r="BJ437" s="3">
        <f ca="1">IFERROR(__xludf.DUMMYFUNCTION("""COMPUTED_VALUE"""),48.38)</f>
        <v>48.38</v>
      </c>
      <c r="BK437" s="3">
        <f ca="1">IFERROR(__xludf.DUMMYFUNCTION("""COMPUTED_VALUE"""),48.59)</f>
        <v>48.59</v>
      </c>
      <c r="BL437" s="3">
        <f ca="1">IFERROR(__xludf.DUMMYFUNCTION("""COMPUTED_VALUE"""),48.29)</f>
        <v>48.29</v>
      </c>
      <c r="BM437" s="3">
        <f ca="1">IFERROR(__xludf.DUMMYFUNCTION("""COMPUTED_VALUE"""),48.38)</f>
        <v>48.38</v>
      </c>
      <c r="BN437" s="3">
        <f ca="1">IFERROR(__xludf.DUMMYFUNCTION("""COMPUTED_VALUE"""),11049442)</f>
        <v>11049442</v>
      </c>
    </row>
    <row r="438" spans="7:66" ht="13" x14ac:dyDescent="0.15">
      <c r="G438" s="4">
        <f ca="1">IFERROR(__xludf.DUMMYFUNCTION("""COMPUTED_VALUE"""),42760.6666666666)</f>
        <v>42760.666666666599</v>
      </c>
      <c r="H438" s="3">
        <f ca="1">IFERROR(__xludf.DUMMYFUNCTION("""COMPUTED_VALUE"""),85.01)</f>
        <v>85.01</v>
      </c>
      <c r="I438" s="3">
        <f ca="1">IFERROR(__xludf.DUMMYFUNCTION("""COMPUTED_VALUE"""),85.29)</f>
        <v>85.29</v>
      </c>
      <c r="J438" s="3">
        <f ca="1">IFERROR(__xludf.DUMMYFUNCTION("""COMPUTED_VALUE"""),84.95)</f>
        <v>84.95</v>
      </c>
      <c r="K438" s="3">
        <f ca="1">IFERROR(__xludf.DUMMYFUNCTION("""COMPUTED_VALUE"""),85.2)</f>
        <v>85.2</v>
      </c>
      <c r="L438" s="3">
        <f ca="1">IFERROR(__xludf.DUMMYFUNCTION("""COMPUTED_VALUE"""),3669079)</f>
        <v>3669079</v>
      </c>
      <c r="M438" s="4">
        <f ca="1">IFERROR(__xludf.DUMMYFUNCTION("""COMPUTED_VALUE"""),42760.6666666666)</f>
        <v>42760.666666666599</v>
      </c>
      <c r="N438" s="3">
        <f ca="1">IFERROR(__xludf.DUMMYFUNCTION("""COMPUTED_VALUE"""),53.03)</f>
        <v>53.03</v>
      </c>
      <c r="O438" s="3">
        <f ca="1">IFERROR(__xludf.DUMMYFUNCTION("""COMPUTED_VALUE"""),53.1)</f>
        <v>53.1</v>
      </c>
      <c r="P438" s="3">
        <f ca="1">IFERROR(__xludf.DUMMYFUNCTION("""COMPUTED_VALUE"""),52.89)</f>
        <v>52.89</v>
      </c>
      <c r="Q438" s="3">
        <f ca="1">IFERROR(__xludf.DUMMYFUNCTION("""COMPUTED_VALUE"""),52.9)</f>
        <v>52.9</v>
      </c>
      <c r="R438" s="3">
        <f ca="1">IFERROR(__xludf.DUMMYFUNCTION("""COMPUTED_VALUE"""),8816756)</f>
        <v>8816756</v>
      </c>
      <c r="S438" s="4">
        <f ca="1">IFERROR(__xludf.DUMMYFUNCTION("""COMPUTED_VALUE"""),42760.6666666666)</f>
        <v>42760.666666666599</v>
      </c>
      <c r="T438" s="3">
        <f ca="1">IFERROR(__xludf.DUMMYFUNCTION("""COMPUTED_VALUE"""),74.58)</f>
        <v>74.58</v>
      </c>
      <c r="U438" s="3">
        <f ca="1">IFERROR(__xludf.DUMMYFUNCTION("""COMPUTED_VALUE"""),75.18)</f>
        <v>75.180000000000007</v>
      </c>
      <c r="V438" s="3">
        <f ca="1">IFERROR(__xludf.DUMMYFUNCTION("""COMPUTED_VALUE"""),74.56)</f>
        <v>74.56</v>
      </c>
      <c r="W438" s="3">
        <f ca="1">IFERROR(__xludf.DUMMYFUNCTION("""COMPUTED_VALUE"""),74.95)</f>
        <v>74.95</v>
      </c>
      <c r="X438" s="3">
        <f ca="1">IFERROR(__xludf.DUMMYFUNCTION("""COMPUTED_VALUE"""),9410281)</f>
        <v>9410281</v>
      </c>
      <c r="Y438" s="4">
        <f ca="1">IFERROR(__xludf.DUMMYFUNCTION("""COMPUTED_VALUE"""),42760.6666666666)</f>
        <v>42760.666666666599</v>
      </c>
      <c r="Z438" s="3">
        <f ca="1">IFERROR(__xludf.DUMMYFUNCTION("""COMPUTED_VALUE"""),23.54)</f>
        <v>23.54</v>
      </c>
      <c r="AA438" s="3">
        <f ca="1">IFERROR(__xludf.DUMMYFUNCTION("""COMPUTED_VALUE"""),23.69)</f>
        <v>23.69</v>
      </c>
      <c r="AB438" s="3">
        <f ca="1">IFERROR(__xludf.DUMMYFUNCTION("""COMPUTED_VALUE"""),23.43)</f>
        <v>23.43</v>
      </c>
      <c r="AC438" s="3">
        <f ca="1">IFERROR(__xludf.DUMMYFUNCTION("""COMPUTED_VALUE"""),23.68)</f>
        <v>23.68</v>
      </c>
      <c r="AD438" s="3">
        <f ca="1">IFERROR(__xludf.DUMMYFUNCTION("""COMPUTED_VALUE"""),92850136)</f>
        <v>92850136</v>
      </c>
      <c r="AE438" s="4">
        <f ca="1">IFERROR(__xludf.DUMMYFUNCTION("""COMPUTED_VALUE"""),42760.6666666666)</f>
        <v>42760.666666666599</v>
      </c>
      <c r="AF438" s="3">
        <f ca="1">IFERROR(__xludf.DUMMYFUNCTION("""COMPUTED_VALUE"""),69.13)</f>
        <v>69.13</v>
      </c>
      <c r="AG438" s="3">
        <f ca="1">IFERROR(__xludf.DUMMYFUNCTION("""COMPUTED_VALUE"""),69.75)</f>
        <v>69.75</v>
      </c>
      <c r="AH438" s="3">
        <f ca="1">IFERROR(__xludf.DUMMYFUNCTION("""COMPUTED_VALUE"""),69.09)</f>
        <v>69.09</v>
      </c>
      <c r="AI438" s="3">
        <f ca="1">IFERROR(__xludf.DUMMYFUNCTION("""COMPUTED_VALUE"""),69.72)</f>
        <v>69.72</v>
      </c>
      <c r="AJ438" s="3">
        <f ca="1">IFERROR(__xludf.DUMMYFUNCTION("""COMPUTED_VALUE"""),6553834)</f>
        <v>6553834</v>
      </c>
      <c r="AK438" s="4">
        <f ca="1">IFERROR(__xludf.DUMMYFUNCTION("""COMPUTED_VALUE"""),42760.6666666666)</f>
        <v>42760.666666666599</v>
      </c>
      <c r="AL438" s="3">
        <f ca="1">IFERROR(__xludf.DUMMYFUNCTION("""COMPUTED_VALUE"""),64.15)</f>
        <v>64.150000000000006</v>
      </c>
      <c r="AM438" s="3">
        <f ca="1">IFERROR(__xludf.DUMMYFUNCTION("""COMPUTED_VALUE"""),64.47)</f>
        <v>64.47</v>
      </c>
      <c r="AN438" s="3">
        <f ca="1">IFERROR(__xludf.DUMMYFUNCTION("""COMPUTED_VALUE"""),64.03)</f>
        <v>64.03</v>
      </c>
      <c r="AO438" s="3">
        <f ca="1">IFERROR(__xludf.DUMMYFUNCTION("""COMPUTED_VALUE"""),64.39)</f>
        <v>64.39</v>
      </c>
      <c r="AP438" s="3">
        <f ca="1">IFERROR(__xludf.DUMMYFUNCTION("""COMPUTED_VALUE"""),12955643)</f>
        <v>12955643</v>
      </c>
      <c r="AQ438" s="4">
        <f ca="1">IFERROR(__xludf.DUMMYFUNCTION("""COMPUTED_VALUE"""),42760.6666666666)</f>
        <v>42760.666666666599</v>
      </c>
      <c r="AR438" s="3">
        <f ca="1">IFERROR(__xludf.DUMMYFUNCTION("""COMPUTED_VALUE"""),52.73)</f>
        <v>52.73</v>
      </c>
      <c r="AS438" s="3">
        <f ca="1">IFERROR(__xludf.DUMMYFUNCTION("""COMPUTED_VALUE"""),52.91)</f>
        <v>52.91</v>
      </c>
      <c r="AT438" s="3">
        <f ca="1">IFERROR(__xludf.DUMMYFUNCTION("""COMPUTED_VALUE"""),52.4)</f>
        <v>52.4</v>
      </c>
      <c r="AU438" s="3">
        <f ca="1">IFERROR(__xludf.DUMMYFUNCTION("""COMPUTED_VALUE"""),52.86)</f>
        <v>52.86</v>
      </c>
      <c r="AV438" s="3">
        <f ca="1">IFERROR(__xludf.DUMMYFUNCTION("""COMPUTED_VALUE"""),8220939)</f>
        <v>8220939</v>
      </c>
      <c r="AW438" s="4">
        <f ca="1">IFERROR(__xludf.DUMMYFUNCTION("""COMPUTED_VALUE"""),42926.6666666666)</f>
        <v>42926.666666666599</v>
      </c>
      <c r="AX438" s="3">
        <f ca="1">IFERROR(__xludf.DUMMYFUNCTION("""COMPUTED_VALUE"""),31.73)</f>
        <v>31.73</v>
      </c>
      <c r="AY438" s="3">
        <f ca="1">IFERROR(__xludf.DUMMYFUNCTION("""COMPUTED_VALUE"""),31.8)</f>
        <v>31.8</v>
      </c>
      <c r="AZ438" s="3">
        <f ca="1">IFERROR(__xludf.DUMMYFUNCTION("""COMPUTED_VALUE"""),31.45)</f>
        <v>31.45</v>
      </c>
      <c r="BA438" s="3">
        <f ca="1">IFERROR(__xludf.DUMMYFUNCTION("""COMPUTED_VALUE"""),31.46)</f>
        <v>31.46</v>
      </c>
      <c r="BB438" s="3">
        <f ca="1">IFERROR(__xludf.DUMMYFUNCTION("""COMPUTED_VALUE"""),1098234)</f>
        <v>1098234</v>
      </c>
      <c r="BC438" s="4">
        <f ca="1">IFERROR(__xludf.DUMMYFUNCTION("""COMPUTED_VALUE"""),42760.6666666666)</f>
        <v>42760.666666666599</v>
      </c>
      <c r="BD438" s="3">
        <f ca="1">IFERROR(__xludf.DUMMYFUNCTION("""COMPUTED_VALUE"""),50.47)</f>
        <v>50.47</v>
      </c>
      <c r="BE438" s="3">
        <f ca="1">IFERROR(__xludf.DUMMYFUNCTION("""COMPUTED_VALUE"""),50.68)</f>
        <v>50.68</v>
      </c>
      <c r="BF438" s="3">
        <f ca="1">IFERROR(__xludf.DUMMYFUNCTION("""COMPUTED_VALUE"""),50.43)</f>
        <v>50.43</v>
      </c>
      <c r="BG438" s="3">
        <f ca="1">IFERROR(__xludf.DUMMYFUNCTION("""COMPUTED_VALUE"""),50.68)</f>
        <v>50.68</v>
      </c>
      <c r="BH438" s="3">
        <f ca="1">IFERROR(__xludf.DUMMYFUNCTION("""COMPUTED_VALUE"""),9197791)</f>
        <v>9197791</v>
      </c>
      <c r="BI438" s="4">
        <f ca="1">IFERROR(__xludf.DUMMYFUNCTION("""COMPUTED_VALUE"""),42760.6666666666)</f>
        <v>42760.666666666599</v>
      </c>
      <c r="BJ438" s="3">
        <f ca="1">IFERROR(__xludf.DUMMYFUNCTION("""COMPUTED_VALUE"""),48.16)</f>
        <v>48.16</v>
      </c>
      <c r="BK438" s="3">
        <f ca="1">IFERROR(__xludf.DUMMYFUNCTION("""COMPUTED_VALUE"""),48.43)</f>
        <v>48.43</v>
      </c>
      <c r="BL438" s="3">
        <f ca="1">IFERROR(__xludf.DUMMYFUNCTION("""COMPUTED_VALUE"""),48.11)</f>
        <v>48.11</v>
      </c>
      <c r="BM438" s="3">
        <f ca="1">IFERROR(__xludf.DUMMYFUNCTION("""COMPUTED_VALUE"""),48.38)</f>
        <v>48.38</v>
      </c>
      <c r="BN438" s="3">
        <f ca="1">IFERROR(__xludf.DUMMYFUNCTION("""COMPUTED_VALUE"""),19230002)</f>
        <v>19230002</v>
      </c>
    </row>
    <row r="439" spans="7:66" ht="13" x14ac:dyDescent="0.15">
      <c r="G439" s="4">
        <f ca="1">IFERROR(__xludf.DUMMYFUNCTION("""COMPUTED_VALUE"""),42761.6666666666)</f>
        <v>42761.666666666599</v>
      </c>
      <c r="H439" s="3">
        <f ca="1">IFERROR(__xludf.DUMMYFUNCTION("""COMPUTED_VALUE"""),85.27)</f>
        <v>85.27</v>
      </c>
      <c r="I439" s="3">
        <f ca="1">IFERROR(__xludf.DUMMYFUNCTION("""COMPUTED_VALUE"""),85.64)</f>
        <v>85.64</v>
      </c>
      <c r="J439" s="3">
        <f ca="1">IFERROR(__xludf.DUMMYFUNCTION("""COMPUTED_VALUE"""),85.07)</f>
        <v>85.07</v>
      </c>
      <c r="K439" s="3">
        <f ca="1">IFERROR(__xludf.DUMMYFUNCTION("""COMPUTED_VALUE"""),85.33)</f>
        <v>85.33</v>
      </c>
      <c r="L439" s="3">
        <f ca="1">IFERROR(__xludf.DUMMYFUNCTION("""COMPUTED_VALUE"""),3904985)</f>
        <v>3904985</v>
      </c>
      <c r="M439" s="4">
        <f ca="1">IFERROR(__xludf.DUMMYFUNCTION("""COMPUTED_VALUE"""),42761.6666666666)</f>
        <v>42761.666666666599</v>
      </c>
      <c r="N439" s="3">
        <f ca="1">IFERROR(__xludf.DUMMYFUNCTION("""COMPUTED_VALUE"""),52.92)</f>
        <v>52.92</v>
      </c>
      <c r="O439" s="3">
        <f ca="1">IFERROR(__xludf.DUMMYFUNCTION("""COMPUTED_VALUE"""),52.93)</f>
        <v>52.93</v>
      </c>
      <c r="P439" s="3">
        <f ca="1">IFERROR(__xludf.DUMMYFUNCTION("""COMPUTED_VALUE"""),52.67)</f>
        <v>52.67</v>
      </c>
      <c r="Q439" s="3">
        <f ca="1">IFERROR(__xludf.DUMMYFUNCTION("""COMPUTED_VALUE"""),52.67)</f>
        <v>52.67</v>
      </c>
      <c r="R439" s="3">
        <f ca="1">IFERROR(__xludf.DUMMYFUNCTION("""COMPUTED_VALUE"""),9985411)</f>
        <v>9985411</v>
      </c>
      <c r="S439" s="4">
        <f ca="1">IFERROR(__xludf.DUMMYFUNCTION("""COMPUTED_VALUE"""),42761.6666666666)</f>
        <v>42761.666666666599</v>
      </c>
      <c r="T439" s="3">
        <f ca="1">IFERROR(__xludf.DUMMYFUNCTION("""COMPUTED_VALUE"""),75.19)</f>
        <v>75.19</v>
      </c>
      <c r="U439" s="3">
        <f ca="1">IFERROR(__xludf.DUMMYFUNCTION("""COMPUTED_VALUE"""),75.31)</f>
        <v>75.31</v>
      </c>
      <c r="V439" s="3">
        <f ca="1">IFERROR(__xludf.DUMMYFUNCTION("""COMPUTED_VALUE"""),74.85)</f>
        <v>74.849999999999994</v>
      </c>
      <c r="W439" s="3">
        <f ca="1">IFERROR(__xludf.DUMMYFUNCTION("""COMPUTED_VALUE"""),75.01)</f>
        <v>75.010000000000005</v>
      </c>
      <c r="X439" s="3">
        <f ca="1">IFERROR(__xludf.DUMMYFUNCTION("""COMPUTED_VALUE"""),8651667)</f>
        <v>8651667</v>
      </c>
      <c r="Y439" s="4">
        <f ca="1">IFERROR(__xludf.DUMMYFUNCTION("""COMPUTED_VALUE"""),42761.6666666666)</f>
        <v>42761.666666666599</v>
      </c>
      <c r="Z439" s="3">
        <f ca="1">IFERROR(__xludf.DUMMYFUNCTION("""COMPUTED_VALUE"""),23.72)</f>
        <v>23.72</v>
      </c>
      <c r="AA439" s="3">
        <f ca="1">IFERROR(__xludf.DUMMYFUNCTION("""COMPUTED_VALUE"""),23.8)</f>
        <v>23.8</v>
      </c>
      <c r="AB439" s="3">
        <f ca="1">IFERROR(__xludf.DUMMYFUNCTION("""COMPUTED_VALUE"""),23.61)</f>
        <v>23.61</v>
      </c>
      <c r="AC439" s="3">
        <f ca="1">IFERROR(__xludf.DUMMYFUNCTION("""COMPUTED_VALUE"""),23.74)</f>
        <v>23.74</v>
      </c>
      <c r="AD439" s="3">
        <f ca="1">IFERROR(__xludf.DUMMYFUNCTION("""COMPUTED_VALUE"""),70704365)</f>
        <v>70704365</v>
      </c>
      <c r="AE439" s="4">
        <f ca="1">IFERROR(__xludf.DUMMYFUNCTION("""COMPUTED_VALUE"""),42761.6666666666)</f>
        <v>42761.666666666599</v>
      </c>
      <c r="AF439" s="3">
        <f ca="1">IFERROR(__xludf.DUMMYFUNCTION("""COMPUTED_VALUE"""),69.57)</f>
        <v>69.569999999999993</v>
      </c>
      <c r="AG439" s="3">
        <f ca="1">IFERROR(__xludf.DUMMYFUNCTION("""COMPUTED_VALUE"""),69.69)</f>
        <v>69.69</v>
      </c>
      <c r="AH439" s="3">
        <f ca="1">IFERROR(__xludf.DUMMYFUNCTION("""COMPUTED_VALUE"""),69.17)</f>
        <v>69.17</v>
      </c>
      <c r="AI439" s="3">
        <f ca="1">IFERROR(__xludf.DUMMYFUNCTION("""COMPUTED_VALUE"""),69.18)</f>
        <v>69.180000000000007</v>
      </c>
      <c r="AJ439" s="3">
        <f ca="1">IFERROR(__xludf.DUMMYFUNCTION("""COMPUTED_VALUE"""),6612453)</f>
        <v>6612453</v>
      </c>
      <c r="AK439" s="4">
        <f ca="1">IFERROR(__xludf.DUMMYFUNCTION("""COMPUTED_VALUE"""),42761.6666666666)</f>
        <v>42761.666666666599</v>
      </c>
      <c r="AL439" s="3">
        <f ca="1">IFERROR(__xludf.DUMMYFUNCTION("""COMPUTED_VALUE"""),64.46)</f>
        <v>64.459999999999994</v>
      </c>
      <c r="AM439" s="3">
        <f ca="1">IFERROR(__xludf.DUMMYFUNCTION("""COMPUTED_VALUE"""),64.85)</f>
        <v>64.849999999999994</v>
      </c>
      <c r="AN439" s="3">
        <f ca="1">IFERROR(__xludf.DUMMYFUNCTION("""COMPUTED_VALUE"""),64.27)</f>
        <v>64.27</v>
      </c>
      <c r="AO439" s="3">
        <f ca="1">IFERROR(__xludf.DUMMYFUNCTION("""COMPUTED_VALUE"""),64.54)</f>
        <v>64.540000000000006</v>
      </c>
      <c r="AP439" s="3">
        <f ca="1">IFERROR(__xludf.DUMMYFUNCTION("""COMPUTED_VALUE"""),10141825)</f>
        <v>10141825</v>
      </c>
      <c r="AQ439" s="4">
        <f ca="1">IFERROR(__xludf.DUMMYFUNCTION("""COMPUTED_VALUE"""),42761.6666666666)</f>
        <v>42761.666666666599</v>
      </c>
      <c r="AR439" s="3">
        <f ca="1">IFERROR(__xludf.DUMMYFUNCTION("""COMPUTED_VALUE"""),52.87)</f>
        <v>52.87</v>
      </c>
      <c r="AS439" s="3">
        <f ca="1">IFERROR(__xludf.DUMMYFUNCTION("""COMPUTED_VALUE"""),53.26)</f>
        <v>53.26</v>
      </c>
      <c r="AT439" s="3">
        <f ca="1">IFERROR(__xludf.DUMMYFUNCTION("""COMPUTED_VALUE"""),52.74)</f>
        <v>52.74</v>
      </c>
      <c r="AU439" s="3">
        <f ca="1">IFERROR(__xludf.DUMMYFUNCTION("""COMPUTED_VALUE"""),53)</f>
        <v>53</v>
      </c>
      <c r="AV439" s="3">
        <f ca="1">IFERROR(__xludf.DUMMYFUNCTION("""COMPUTED_VALUE"""),5320588)</f>
        <v>5320588</v>
      </c>
      <c r="AW439" s="4">
        <f ca="1">IFERROR(__xludf.DUMMYFUNCTION("""COMPUTED_VALUE"""),42927.6666666666)</f>
        <v>42927.666666666599</v>
      </c>
      <c r="AX439" s="3">
        <f ca="1">IFERROR(__xludf.DUMMYFUNCTION("""COMPUTED_VALUE"""),31.43)</f>
        <v>31.43</v>
      </c>
      <c r="AY439" s="3">
        <f ca="1">IFERROR(__xludf.DUMMYFUNCTION("""COMPUTED_VALUE"""),31.53)</f>
        <v>31.53</v>
      </c>
      <c r="AZ439" s="3">
        <f ca="1">IFERROR(__xludf.DUMMYFUNCTION("""COMPUTED_VALUE"""),31.21)</f>
        <v>31.21</v>
      </c>
      <c r="BA439" s="3">
        <f ca="1">IFERROR(__xludf.DUMMYFUNCTION("""COMPUTED_VALUE"""),31.41)</f>
        <v>31.41</v>
      </c>
      <c r="BB439" s="3">
        <f ca="1">IFERROR(__xludf.DUMMYFUNCTION("""COMPUTED_VALUE"""),1279299)</f>
        <v>1279299</v>
      </c>
      <c r="BC439" s="4">
        <f ca="1">IFERROR(__xludf.DUMMYFUNCTION("""COMPUTED_VALUE"""),42761.6666666666)</f>
        <v>42761.666666666599</v>
      </c>
      <c r="BD439" s="3">
        <f ca="1">IFERROR(__xludf.DUMMYFUNCTION("""COMPUTED_VALUE"""),50.67)</f>
        <v>50.67</v>
      </c>
      <c r="BE439" s="3">
        <f ca="1">IFERROR(__xludf.DUMMYFUNCTION("""COMPUTED_VALUE"""),50.71)</f>
        <v>50.71</v>
      </c>
      <c r="BF439" s="3">
        <f ca="1">IFERROR(__xludf.DUMMYFUNCTION("""COMPUTED_VALUE"""),50.4)</f>
        <v>50.4</v>
      </c>
      <c r="BG439" s="3">
        <f ca="1">IFERROR(__xludf.DUMMYFUNCTION("""COMPUTED_VALUE"""),50.54)</f>
        <v>50.54</v>
      </c>
      <c r="BH439" s="3">
        <f ca="1">IFERROR(__xludf.DUMMYFUNCTION("""COMPUTED_VALUE"""),7126488)</f>
        <v>7126488</v>
      </c>
      <c r="BI439" s="4">
        <f ca="1">IFERROR(__xludf.DUMMYFUNCTION("""COMPUTED_VALUE"""),42761.6666666666)</f>
        <v>42761.666666666599</v>
      </c>
      <c r="BJ439" s="3">
        <f ca="1">IFERROR(__xludf.DUMMYFUNCTION("""COMPUTED_VALUE"""),48.36)</f>
        <v>48.36</v>
      </c>
      <c r="BK439" s="3">
        <f ca="1">IFERROR(__xludf.DUMMYFUNCTION("""COMPUTED_VALUE"""),48.63)</f>
        <v>48.63</v>
      </c>
      <c r="BL439" s="3">
        <f ca="1">IFERROR(__xludf.DUMMYFUNCTION("""COMPUTED_VALUE"""),48.18)</f>
        <v>48.18</v>
      </c>
      <c r="BM439" s="3">
        <f ca="1">IFERROR(__xludf.DUMMYFUNCTION("""COMPUTED_VALUE"""),48.4)</f>
        <v>48.4</v>
      </c>
      <c r="BN439" s="3">
        <f ca="1">IFERROR(__xludf.DUMMYFUNCTION("""COMPUTED_VALUE"""),11488239)</f>
        <v>11488239</v>
      </c>
    </row>
    <row r="440" spans="7:66" ht="13" x14ac:dyDescent="0.15">
      <c r="G440" s="4">
        <f ca="1">IFERROR(__xludf.DUMMYFUNCTION("""COMPUTED_VALUE"""),42762.6666666666)</f>
        <v>42762.666666666599</v>
      </c>
      <c r="H440" s="3">
        <f ca="1">IFERROR(__xludf.DUMMYFUNCTION("""COMPUTED_VALUE"""),85.39)</f>
        <v>85.39</v>
      </c>
      <c r="I440" s="3">
        <f ca="1">IFERROR(__xludf.DUMMYFUNCTION("""COMPUTED_VALUE"""),85.5)</f>
        <v>85.5</v>
      </c>
      <c r="J440" s="3">
        <f ca="1">IFERROR(__xludf.DUMMYFUNCTION("""COMPUTED_VALUE"""),84.75)</f>
        <v>84.75</v>
      </c>
      <c r="K440" s="3">
        <f ca="1">IFERROR(__xludf.DUMMYFUNCTION("""COMPUTED_VALUE"""),85.06)</f>
        <v>85.06</v>
      </c>
      <c r="L440" s="3">
        <f ca="1">IFERROR(__xludf.DUMMYFUNCTION("""COMPUTED_VALUE"""),4510839)</f>
        <v>4510839</v>
      </c>
      <c r="M440" s="4">
        <f ca="1">IFERROR(__xludf.DUMMYFUNCTION("""COMPUTED_VALUE"""),42762.6666666666)</f>
        <v>42762.666666666599</v>
      </c>
      <c r="N440" s="3">
        <f ca="1">IFERROR(__xludf.DUMMYFUNCTION("""COMPUTED_VALUE"""),52.54)</f>
        <v>52.54</v>
      </c>
      <c r="O440" s="3">
        <f ca="1">IFERROR(__xludf.DUMMYFUNCTION("""COMPUTED_VALUE"""),52.68)</f>
        <v>52.68</v>
      </c>
      <c r="P440" s="3">
        <f ca="1">IFERROR(__xludf.DUMMYFUNCTION("""COMPUTED_VALUE"""),52.24)</f>
        <v>52.24</v>
      </c>
      <c r="Q440" s="3">
        <f ca="1">IFERROR(__xludf.DUMMYFUNCTION("""COMPUTED_VALUE"""),52.38)</f>
        <v>52.38</v>
      </c>
      <c r="R440" s="3">
        <f ca="1">IFERROR(__xludf.DUMMYFUNCTION("""COMPUTED_VALUE"""),16358712)</f>
        <v>16358712</v>
      </c>
      <c r="S440" s="4">
        <f ca="1">IFERROR(__xludf.DUMMYFUNCTION("""COMPUTED_VALUE"""),42762.6666666666)</f>
        <v>42762.666666666599</v>
      </c>
      <c r="T440" s="3">
        <f ca="1">IFERROR(__xludf.DUMMYFUNCTION("""COMPUTED_VALUE"""),74.55)</f>
        <v>74.55</v>
      </c>
      <c r="U440" s="3">
        <f ca="1">IFERROR(__xludf.DUMMYFUNCTION("""COMPUTED_VALUE"""),74.63)</f>
        <v>74.63</v>
      </c>
      <c r="V440" s="3">
        <f ca="1">IFERROR(__xludf.DUMMYFUNCTION("""COMPUTED_VALUE"""),74.01)</f>
        <v>74.010000000000005</v>
      </c>
      <c r="W440" s="3">
        <f ca="1">IFERROR(__xludf.DUMMYFUNCTION("""COMPUTED_VALUE"""),74.23)</f>
        <v>74.23</v>
      </c>
      <c r="X440" s="3">
        <f ca="1">IFERROR(__xludf.DUMMYFUNCTION("""COMPUTED_VALUE"""),9950921)</f>
        <v>9950921</v>
      </c>
      <c r="Y440" s="4">
        <f ca="1">IFERROR(__xludf.DUMMYFUNCTION("""COMPUTED_VALUE"""),42762.6666666666)</f>
        <v>42762.666666666599</v>
      </c>
      <c r="Z440" s="3">
        <f ca="1">IFERROR(__xludf.DUMMYFUNCTION("""COMPUTED_VALUE"""),23.74)</f>
        <v>23.74</v>
      </c>
      <c r="AA440" s="3">
        <f ca="1">IFERROR(__xludf.DUMMYFUNCTION("""COMPUTED_VALUE"""),23.75)</f>
        <v>23.75</v>
      </c>
      <c r="AB440" s="3">
        <f ca="1">IFERROR(__xludf.DUMMYFUNCTION("""COMPUTED_VALUE"""),23.58)</f>
        <v>23.58</v>
      </c>
      <c r="AC440" s="3">
        <f ca="1">IFERROR(__xludf.DUMMYFUNCTION("""COMPUTED_VALUE"""),23.65)</f>
        <v>23.65</v>
      </c>
      <c r="AD440" s="3">
        <f ca="1">IFERROR(__xludf.DUMMYFUNCTION("""COMPUTED_VALUE"""),43944530)</f>
        <v>43944530</v>
      </c>
      <c r="AE440" s="4">
        <f ca="1">IFERROR(__xludf.DUMMYFUNCTION("""COMPUTED_VALUE"""),42762.6666666666)</f>
        <v>42762.666666666599</v>
      </c>
      <c r="AF440" s="3">
        <f ca="1">IFERROR(__xludf.DUMMYFUNCTION("""COMPUTED_VALUE"""),69.34)</f>
        <v>69.34</v>
      </c>
      <c r="AG440" s="3">
        <f ca="1">IFERROR(__xludf.DUMMYFUNCTION("""COMPUTED_VALUE"""),69.8)</f>
        <v>69.8</v>
      </c>
      <c r="AH440" s="3">
        <f ca="1">IFERROR(__xludf.DUMMYFUNCTION("""COMPUTED_VALUE"""),69.32)</f>
        <v>69.319999999999993</v>
      </c>
      <c r="AI440" s="3">
        <f ca="1">IFERROR(__xludf.DUMMYFUNCTION("""COMPUTED_VALUE"""),69.75)</f>
        <v>69.75</v>
      </c>
      <c r="AJ440" s="3">
        <f ca="1">IFERROR(__xludf.DUMMYFUNCTION("""COMPUTED_VALUE"""),7264900)</f>
        <v>7264900</v>
      </c>
      <c r="AK440" s="4">
        <f ca="1">IFERROR(__xludf.DUMMYFUNCTION("""COMPUTED_VALUE"""),42762.6666666666)</f>
        <v>42762.666666666599</v>
      </c>
      <c r="AL440" s="3">
        <f ca="1">IFERROR(__xludf.DUMMYFUNCTION("""COMPUTED_VALUE"""),64.62)</f>
        <v>64.62</v>
      </c>
      <c r="AM440" s="3">
        <f ca="1">IFERROR(__xludf.DUMMYFUNCTION("""COMPUTED_VALUE"""),64.77)</f>
        <v>64.77</v>
      </c>
      <c r="AN440" s="3">
        <f ca="1">IFERROR(__xludf.DUMMYFUNCTION("""COMPUTED_VALUE"""),64.38)</f>
        <v>64.38</v>
      </c>
      <c r="AO440" s="3">
        <f ca="1">IFERROR(__xludf.DUMMYFUNCTION("""COMPUTED_VALUE"""),64.49)</f>
        <v>64.489999999999995</v>
      </c>
      <c r="AP440" s="3">
        <f ca="1">IFERROR(__xludf.DUMMYFUNCTION("""COMPUTED_VALUE"""),8697845)</f>
        <v>8697845</v>
      </c>
      <c r="AQ440" s="4">
        <f ca="1">IFERROR(__xludf.DUMMYFUNCTION("""COMPUTED_VALUE"""),42762.6666666666)</f>
        <v>42762.666666666599</v>
      </c>
      <c r="AR440" s="3">
        <f ca="1">IFERROR(__xludf.DUMMYFUNCTION("""COMPUTED_VALUE"""),52.87)</f>
        <v>52.87</v>
      </c>
      <c r="AS440" s="3">
        <f ca="1">IFERROR(__xludf.DUMMYFUNCTION("""COMPUTED_VALUE"""),52.97)</f>
        <v>52.97</v>
      </c>
      <c r="AT440" s="3">
        <f ca="1">IFERROR(__xludf.DUMMYFUNCTION("""COMPUTED_VALUE"""),52.7)</f>
        <v>52.7</v>
      </c>
      <c r="AU440" s="3">
        <f ca="1">IFERROR(__xludf.DUMMYFUNCTION("""COMPUTED_VALUE"""),52.81)</f>
        <v>52.81</v>
      </c>
      <c r="AV440" s="3">
        <f ca="1">IFERROR(__xludf.DUMMYFUNCTION("""COMPUTED_VALUE"""),4652569)</f>
        <v>4652569</v>
      </c>
      <c r="AW440" s="4">
        <f ca="1">IFERROR(__xludf.DUMMYFUNCTION("""COMPUTED_VALUE"""),42928.6666666666)</f>
        <v>42928.666666666599</v>
      </c>
      <c r="AX440" s="3">
        <f ca="1">IFERROR(__xludf.DUMMYFUNCTION("""COMPUTED_VALUE"""),31.58)</f>
        <v>31.58</v>
      </c>
      <c r="AY440" s="3">
        <f ca="1">IFERROR(__xludf.DUMMYFUNCTION("""COMPUTED_VALUE"""),31.93)</f>
        <v>31.93</v>
      </c>
      <c r="AZ440" s="3">
        <f ca="1">IFERROR(__xludf.DUMMYFUNCTION("""COMPUTED_VALUE"""),31.58)</f>
        <v>31.58</v>
      </c>
      <c r="BA440" s="3">
        <f ca="1">IFERROR(__xludf.DUMMYFUNCTION("""COMPUTED_VALUE"""),31.82)</f>
        <v>31.82</v>
      </c>
      <c r="BB440" s="3">
        <f ca="1">IFERROR(__xludf.DUMMYFUNCTION("""COMPUTED_VALUE"""),1910810)</f>
        <v>1910810</v>
      </c>
      <c r="BC440" s="4">
        <f ca="1">IFERROR(__xludf.DUMMYFUNCTION("""COMPUTED_VALUE"""),42762.6666666666)</f>
        <v>42762.666666666599</v>
      </c>
      <c r="BD440" s="3">
        <f ca="1">IFERROR(__xludf.DUMMYFUNCTION("""COMPUTED_VALUE"""),50.72)</f>
        <v>50.72</v>
      </c>
      <c r="BE440" s="3">
        <f ca="1">IFERROR(__xludf.DUMMYFUNCTION("""COMPUTED_VALUE"""),50.83)</f>
        <v>50.83</v>
      </c>
      <c r="BF440" s="3">
        <f ca="1">IFERROR(__xludf.DUMMYFUNCTION("""COMPUTED_VALUE"""),50.63)</f>
        <v>50.63</v>
      </c>
      <c r="BG440" s="3">
        <f ca="1">IFERROR(__xludf.DUMMYFUNCTION("""COMPUTED_VALUE"""),50.74)</f>
        <v>50.74</v>
      </c>
      <c r="BH440" s="3">
        <f ca="1">IFERROR(__xludf.DUMMYFUNCTION("""COMPUTED_VALUE"""),6023012)</f>
        <v>6023012</v>
      </c>
      <c r="BI440" s="4">
        <f ca="1">IFERROR(__xludf.DUMMYFUNCTION("""COMPUTED_VALUE"""),42762.6666666666)</f>
        <v>42762.666666666599</v>
      </c>
      <c r="BJ440" s="3">
        <f ca="1">IFERROR(__xludf.DUMMYFUNCTION("""COMPUTED_VALUE"""),48.49)</f>
        <v>48.49</v>
      </c>
      <c r="BK440" s="3">
        <f ca="1">IFERROR(__xludf.DUMMYFUNCTION("""COMPUTED_VALUE"""),48.64)</f>
        <v>48.64</v>
      </c>
      <c r="BL440" s="3">
        <f ca="1">IFERROR(__xludf.DUMMYFUNCTION("""COMPUTED_VALUE"""),48.29)</f>
        <v>48.29</v>
      </c>
      <c r="BM440" s="3">
        <f ca="1">IFERROR(__xludf.DUMMYFUNCTION("""COMPUTED_VALUE"""),48.39)</f>
        <v>48.39</v>
      </c>
      <c r="BN440" s="3">
        <f ca="1">IFERROR(__xludf.DUMMYFUNCTION("""COMPUTED_VALUE"""),7228797)</f>
        <v>7228797</v>
      </c>
    </row>
    <row r="441" spans="7:66" ht="13" x14ac:dyDescent="0.15">
      <c r="G441" s="4">
        <f ca="1">IFERROR(__xludf.DUMMYFUNCTION("""COMPUTED_VALUE"""),42765.6666666666)</f>
        <v>42765.666666666599</v>
      </c>
      <c r="H441" s="3">
        <f ca="1">IFERROR(__xludf.DUMMYFUNCTION("""COMPUTED_VALUE"""),84.93)</f>
        <v>84.93</v>
      </c>
      <c r="I441" s="3">
        <f ca="1">IFERROR(__xludf.DUMMYFUNCTION("""COMPUTED_VALUE"""),85.03)</f>
        <v>85.03</v>
      </c>
      <c r="J441" s="3">
        <f ca="1">IFERROR(__xludf.DUMMYFUNCTION("""COMPUTED_VALUE"""),84.19)</f>
        <v>84.19</v>
      </c>
      <c r="K441" s="3">
        <f ca="1">IFERROR(__xludf.DUMMYFUNCTION("""COMPUTED_VALUE"""),84.96)</f>
        <v>84.96</v>
      </c>
      <c r="L441" s="3">
        <f ca="1">IFERROR(__xludf.DUMMYFUNCTION("""COMPUTED_VALUE"""),3789634)</f>
        <v>3789634</v>
      </c>
      <c r="M441" s="4">
        <f ca="1">IFERROR(__xludf.DUMMYFUNCTION("""COMPUTED_VALUE"""),42765.6666666666)</f>
        <v>42765.666666666599</v>
      </c>
      <c r="N441" s="3">
        <f ca="1">IFERROR(__xludf.DUMMYFUNCTION("""COMPUTED_VALUE"""),52.23)</f>
        <v>52.23</v>
      </c>
      <c r="O441" s="3">
        <f ca="1">IFERROR(__xludf.DUMMYFUNCTION("""COMPUTED_VALUE"""),52.41)</f>
        <v>52.41</v>
      </c>
      <c r="P441" s="3">
        <f ca="1">IFERROR(__xludf.DUMMYFUNCTION("""COMPUTED_VALUE"""),52.19)</f>
        <v>52.19</v>
      </c>
      <c r="Q441" s="3">
        <f ca="1">IFERROR(__xludf.DUMMYFUNCTION("""COMPUTED_VALUE"""),52.34)</f>
        <v>52.34</v>
      </c>
      <c r="R441" s="3">
        <f ca="1">IFERROR(__xludf.DUMMYFUNCTION("""COMPUTED_VALUE"""),9951653)</f>
        <v>9951653</v>
      </c>
      <c r="S441" s="4">
        <f ca="1">IFERROR(__xludf.DUMMYFUNCTION("""COMPUTED_VALUE"""),42765.6666666666)</f>
        <v>42765.666666666599</v>
      </c>
      <c r="T441" s="3">
        <f ca="1">IFERROR(__xludf.DUMMYFUNCTION("""COMPUTED_VALUE"""),73.89)</f>
        <v>73.89</v>
      </c>
      <c r="U441" s="3">
        <f ca="1">IFERROR(__xludf.DUMMYFUNCTION("""COMPUTED_VALUE"""),73.93)</f>
        <v>73.930000000000007</v>
      </c>
      <c r="V441" s="3">
        <f ca="1">IFERROR(__xludf.DUMMYFUNCTION("""COMPUTED_VALUE"""),72.36)</f>
        <v>72.36</v>
      </c>
      <c r="W441" s="3">
        <f ca="1">IFERROR(__xludf.DUMMYFUNCTION("""COMPUTED_VALUE"""),72.87)</f>
        <v>72.87</v>
      </c>
      <c r="X441" s="3">
        <f ca="1">IFERROR(__xludf.DUMMYFUNCTION("""COMPUTED_VALUE"""),13286402)</f>
        <v>13286402</v>
      </c>
      <c r="Y441" s="4">
        <f ca="1">IFERROR(__xludf.DUMMYFUNCTION("""COMPUTED_VALUE"""),42765.6666666666)</f>
        <v>42765.666666666599</v>
      </c>
      <c r="Z441" s="3">
        <f ca="1">IFERROR(__xludf.DUMMYFUNCTION("""COMPUTED_VALUE"""),23.5)</f>
        <v>23.5</v>
      </c>
      <c r="AA441" s="3">
        <f ca="1">IFERROR(__xludf.DUMMYFUNCTION("""COMPUTED_VALUE"""),23.51)</f>
        <v>23.51</v>
      </c>
      <c r="AB441" s="3">
        <f ca="1">IFERROR(__xludf.DUMMYFUNCTION("""COMPUTED_VALUE"""),23.25)</f>
        <v>23.25</v>
      </c>
      <c r="AC441" s="3">
        <f ca="1">IFERROR(__xludf.DUMMYFUNCTION("""COMPUTED_VALUE"""),23.46)</f>
        <v>23.46</v>
      </c>
      <c r="AD441" s="3">
        <f ca="1">IFERROR(__xludf.DUMMYFUNCTION("""COMPUTED_VALUE"""),46168751)</f>
        <v>46168751</v>
      </c>
      <c r="AE441" s="4">
        <f ca="1">IFERROR(__xludf.DUMMYFUNCTION("""COMPUTED_VALUE"""),42765.6666666666)</f>
        <v>42765.666666666599</v>
      </c>
      <c r="AF441" s="3">
        <f ca="1">IFERROR(__xludf.DUMMYFUNCTION("""COMPUTED_VALUE"""),69.58)</f>
        <v>69.58</v>
      </c>
      <c r="AG441" s="3">
        <f ca="1">IFERROR(__xludf.DUMMYFUNCTION("""COMPUTED_VALUE"""),69.72)</f>
        <v>69.72</v>
      </c>
      <c r="AH441" s="3">
        <f ca="1">IFERROR(__xludf.DUMMYFUNCTION("""COMPUTED_VALUE"""),69.12)</f>
        <v>69.12</v>
      </c>
      <c r="AI441" s="3">
        <f ca="1">IFERROR(__xludf.DUMMYFUNCTION("""COMPUTED_VALUE"""),69.41)</f>
        <v>69.41</v>
      </c>
      <c r="AJ441" s="3">
        <f ca="1">IFERROR(__xludf.DUMMYFUNCTION("""COMPUTED_VALUE"""),7281928)</f>
        <v>7281928</v>
      </c>
      <c r="AK441" s="4">
        <f ca="1">IFERROR(__xludf.DUMMYFUNCTION("""COMPUTED_VALUE"""),42765.6666666666)</f>
        <v>42765.666666666599</v>
      </c>
      <c r="AL441" s="3">
        <f ca="1">IFERROR(__xludf.DUMMYFUNCTION("""COMPUTED_VALUE"""),64.17)</f>
        <v>64.17</v>
      </c>
      <c r="AM441" s="3">
        <f ca="1">IFERROR(__xludf.DUMMYFUNCTION("""COMPUTED_VALUE"""),64.24)</f>
        <v>64.239999999999995</v>
      </c>
      <c r="AN441" s="3">
        <f ca="1">IFERROR(__xludf.DUMMYFUNCTION("""COMPUTED_VALUE"""),63.44)</f>
        <v>63.44</v>
      </c>
      <c r="AO441" s="3">
        <f ca="1">IFERROR(__xludf.DUMMYFUNCTION("""COMPUTED_VALUE"""),63.94)</f>
        <v>63.94</v>
      </c>
      <c r="AP441" s="3">
        <f ca="1">IFERROR(__xludf.DUMMYFUNCTION("""COMPUTED_VALUE"""),13354578)</f>
        <v>13354578</v>
      </c>
      <c r="AQ441" s="4">
        <f ca="1">IFERROR(__xludf.DUMMYFUNCTION("""COMPUTED_VALUE"""),42765.6666666666)</f>
        <v>42765.666666666599</v>
      </c>
      <c r="AR441" s="3">
        <f ca="1">IFERROR(__xludf.DUMMYFUNCTION("""COMPUTED_VALUE"""),52.62)</f>
        <v>52.62</v>
      </c>
      <c r="AS441" s="3">
        <f ca="1">IFERROR(__xludf.DUMMYFUNCTION("""COMPUTED_VALUE"""),52.62)</f>
        <v>52.62</v>
      </c>
      <c r="AT441" s="3">
        <f ca="1">IFERROR(__xludf.DUMMYFUNCTION("""COMPUTED_VALUE"""),52.05)</f>
        <v>52.05</v>
      </c>
      <c r="AU441" s="3">
        <f ca="1">IFERROR(__xludf.DUMMYFUNCTION("""COMPUTED_VALUE"""),52.27)</f>
        <v>52.27</v>
      </c>
      <c r="AV441" s="3">
        <f ca="1">IFERROR(__xludf.DUMMYFUNCTION("""COMPUTED_VALUE"""),6043066)</f>
        <v>6043066</v>
      </c>
      <c r="AW441" s="4">
        <f ca="1">IFERROR(__xludf.DUMMYFUNCTION("""COMPUTED_VALUE"""),42929.6666666666)</f>
        <v>42929.666666666599</v>
      </c>
      <c r="AX441" s="3">
        <f ca="1">IFERROR(__xludf.DUMMYFUNCTION("""COMPUTED_VALUE"""),31.83)</f>
        <v>31.83</v>
      </c>
      <c r="AY441" s="3">
        <f ca="1">IFERROR(__xludf.DUMMYFUNCTION("""COMPUTED_VALUE"""),31.94)</f>
        <v>31.94</v>
      </c>
      <c r="AZ441" s="3">
        <f ca="1">IFERROR(__xludf.DUMMYFUNCTION("""COMPUTED_VALUE"""),31.77)</f>
        <v>31.77</v>
      </c>
      <c r="BA441" s="3">
        <f ca="1">IFERROR(__xludf.DUMMYFUNCTION("""COMPUTED_VALUE"""),31.88)</f>
        <v>31.88</v>
      </c>
      <c r="BB441" s="3">
        <f ca="1">IFERROR(__xludf.DUMMYFUNCTION("""COMPUTED_VALUE"""),1181472)</f>
        <v>1181472</v>
      </c>
      <c r="BC441" s="4">
        <f ca="1">IFERROR(__xludf.DUMMYFUNCTION("""COMPUTED_VALUE"""),42765.6666666666)</f>
        <v>42765.666666666599</v>
      </c>
      <c r="BD441" s="3">
        <f ca="1">IFERROR(__xludf.DUMMYFUNCTION("""COMPUTED_VALUE"""),50.57)</f>
        <v>50.57</v>
      </c>
      <c r="BE441" s="3">
        <f ca="1">IFERROR(__xludf.DUMMYFUNCTION("""COMPUTED_VALUE"""),50.57)</f>
        <v>50.57</v>
      </c>
      <c r="BF441" s="3">
        <f ca="1">IFERROR(__xludf.DUMMYFUNCTION("""COMPUTED_VALUE"""),50.1)</f>
        <v>50.1</v>
      </c>
      <c r="BG441" s="3">
        <f ca="1">IFERROR(__xludf.DUMMYFUNCTION("""COMPUTED_VALUE"""),50.33)</f>
        <v>50.33</v>
      </c>
      <c r="BH441" s="3">
        <f ca="1">IFERROR(__xludf.DUMMYFUNCTION("""COMPUTED_VALUE"""),8446577)</f>
        <v>8446577</v>
      </c>
      <c r="BI441" s="4">
        <f ca="1">IFERROR(__xludf.DUMMYFUNCTION("""COMPUTED_VALUE"""),42765.6666666666)</f>
        <v>42765.666666666599</v>
      </c>
      <c r="BJ441" s="3">
        <f ca="1">IFERROR(__xludf.DUMMYFUNCTION("""COMPUTED_VALUE"""),48.41)</f>
        <v>48.41</v>
      </c>
      <c r="BK441" s="3">
        <f ca="1">IFERROR(__xludf.DUMMYFUNCTION("""COMPUTED_VALUE"""),48.59)</f>
        <v>48.59</v>
      </c>
      <c r="BL441" s="3">
        <f ca="1">IFERROR(__xludf.DUMMYFUNCTION("""COMPUTED_VALUE"""),48.14)</f>
        <v>48.14</v>
      </c>
      <c r="BM441" s="3">
        <f ca="1">IFERROR(__xludf.DUMMYFUNCTION("""COMPUTED_VALUE"""),48.43)</f>
        <v>48.43</v>
      </c>
      <c r="BN441" s="3">
        <f ca="1">IFERROR(__xludf.DUMMYFUNCTION("""COMPUTED_VALUE"""),9319923)</f>
        <v>9319923</v>
      </c>
    </row>
    <row r="442" spans="7:66" ht="13" x14ac:dyDescent="0.15">
      <c r="G442" s="4">
        <f ca="1">IFERROR(__xludf.DUMMYFUNCTION("""COMPUTED_VALUE"""),42766.6666666666)</f>
        <v>42766.666666666599</v>
      </c>
      <c r="H442" s="3">
        <f ca="1">IFERROR(__xludf.DUMMYFUNCTION("""COMPUTED_VALUE"""),84.58)</f>
        <v>84.58</v>
      </c>
      <c r="I442" s="3">
        <f ca="1">IFERROR(__xludf.DUMMYFUNCTION("""COMPUTED_VALUE"""),84.83)</f>
        <v>84.83</v>
      </c>
      <c r="J442" s="3">
        <f ca="1">IFERROR(__xludf.DUMMYFUNCTION("""COMPUTED_VALUE"""),84.22)</f>
        <v>84.22</v>
      </c>
      <c r="K442" s="3">
        <f ca="1">IFERROR(__xludf.DUMMYFUNCTION("""COMPUTED_VALUE"""),84.83)</f>
        <v>84.83</v>
      </c>
      <c r="L442" s="3">
        <f ca="1">IFERROR(__xludf.DUMMYFUNCTION("""COMPUTED_VALUE"""),4745017)</f>
        <v>4745017</v>
      </c>
      <c r="M442" s="4">
        <f ca="1">IFERROR(__xludf.DUMMYFUNCTION("""COMPUTED_VALUE"""),42766.6666666666)</f>
        <v>42766.666666666599</v>
      </c>
      <c r="N442" s="3">
        <f ca="1">IFERROR(__xludf.DUMMYFUNCTION("""COMPUTED_VALUE"""),52.34)</f>
        <v>52.34</v>
      </c>
      <c r="O442" s="3">
        <f ca="1">IFERROR(__xludf.DUMMYFUNCTION("""COMPUTED_VALUE"""),52.59)</f>
        <v>52.59</v>
      </c>
      <c r="P442" s="3">
        <f ca="1">IFERROR(__xludf.DUMMYFUNCTION("""COMPUTED_VALUE"""),52.25)</f>
        <v>52.25</v>
      </c>
      <c r="Q442" s="3">
        <f ca="1">IFERROR(__xludf.DUMMYFUNCTION("""COMPUTED_VALUE"""),52.59)</f>
        <v>52.59</v>
      </c>
      <c r="R442" s="3">
        <f ca="1">IFERROR(__xludf.DUMMYFUNCTION("""COMPUTED_VALUE"""),12061292)</f>
        <v>12061292</v>
      </c>
      <c r="S442" s="4">
        <f ca="1">IFERROR(__xludf.DUMMYFUNCTION("""COMPUTED_VALUE"""),42766.6666666666)</f>
        <v>42766.666666666599</v>
      </c>
      <c r="T442" s="3">
        <f ca="1">IFERROR(__xludf.DUMMYFUNCTION("""COMPUTED_VALUE"""),72.91)</f>
        <v>72.91</v>
      </c>
      <c r="U442" s="3">
        <f ca="1">IFERROR(__xludf.DUMMYFUNCTION("""COMPUTED_VALUE"""),73.02)</f>
        <v>73.02</v>
      </c>
      <c r="V442" s="3">
        <f ca="1">IFERROR(__xludf.DUMMYFUNCTION("""COMPUTED_VALUE"""),72.13)</f>
        <v>72.13</v>
      </c>
      <c r="W442" s="3">
        <f ca="1">IFERROR(__xludf.DUMMYFUNCTION("""COMPUTED_VALUE"""),72.9)</f>
        <v>72.900000000000006</v>
      </c>
      <c r="X442" s="3">
        <f ca="1">IFERROR(__xludf.DUMMYFUNCTION("""COMPUTED_VALUE"""),14007376)</f>
        <v>14007376</v>
      </c>
      <c r="Y442" s="4">
        <f ca="1">IFERROR(__xludf.DUMMYFUNCTION("""COMPUTED_VALUE"""),42766.6666666666)</f>
        <v>42766.666666666599</v>
      </c>
      <c r="Z442" s="3">
        <f ca="1">IFERROR(__xludf.DUMMYFUNCTION("""COMPUTED_VALUE"""),23.34)</f>
        <v>23.34</v>
      </c>
      <c r="AA442" s="3">
        <f ca="1">IFERROR(__xludf.DUMMYFUNCTION("""COMPUTED_VALUE"""),23.52)</f>
        <v>23.52</v>
      </c>
      <c r="AB442" s="3">
        <f ca="1">IFERROR(__xludf.DUMMYFUNCTION("""COMPUTED_VALUE"""),23.18)</f>
        <v>23.18</v>
      </c>
      <c r="AC442" s="3">
        <f ca="1">IFERROR(__xludf.DUMMYFUNCTION("""COMPUTED_VALUE"""),23.31)</f>
        <v>23.31</v>
      </c>
      <c r="AD442" s="3">
        <f ca="1">IFERROR(__xludf.DUMMYFUNCTION("""COMPUTED_VALUE"""),56477262)</f>
        <v>56477262</v>
      </c>
      <c r="AE442" s="4">
        <f ca="1">IFERROR(__xludf.DUMMYFUNCTION("""COMPUTED_VALUE"""),42766.6666666666)</f>
        <v>42766.666666666599</v>
      </c>
      <c r="AF442" s="3">
        <f ca="1">IFERROR(__xludf.DUMMYFUNCTION("""COMPUTED_VALUE"""),69.04)</f>
        <v>69.040000000000006</v>
      </c>
      <c r="AG442" s="3">
        <f ca="1">IFERROR(__xludf.DUMMYFUNCTION("""COMPUTED_VALUE"""),70.52)</f>
        <v>70.52</v>
      </c>
      <c r="AH442" s="3">
        <f ca="1">IFERROR(__xludf.DUMMYFUNCTION("""COMPUTED_VALUE"""),68.99)</f>
        <v>68.989999999999995</v>
      </c>
      <c r="AI442" s="3">
        <f ca="1">IFERROR(__xludf.DUMMYFUNCTION("""COMPUTED_VALUE"""),70.52)</f>
        <v>70.52</v>
      </c>
      <c r="AJ442" s="3">
        <f ca="1">IFERROR(__xludf.DUMMYFUNCTION("""COMPUTED_VALUE"""),14342468)</f>
        <v>14342468</v>
      </c>
      <c r="AK442" s="4">
        <f ca="1">IFERROR(__xludf.DUMMYFUNCTION("""COMPUTED_VALUE"""),42766.6666666666)</f>
        <v>42766.666666666599</v>
      </c>
      <c r="AL442" s="3">
        <f ca="1">IFERROR(__xludf.DUMMYFUNCTION("""COMPUTED_VALUE"""),63.72)</f>
        <v>63.72</v>
      </c>
      <c r="AM442" s="3">
        <f ca="1">IFERROR(__xludf.DUMMYFUNCTION("""COMPUTED_VALUE"""),63.72)</f>
        <v>63.72</v>
      </c>
      <c r="AN442" s="3">
        <f ca="1">IFERROR(__xludf.DUMMYFUNCTION("""COMPUTED_VALUE"""),63.06)</f>
        <v>63.06</v>
      </c>
      <c r="AO442" s="3">
        <f ca="1">IFERROR(__xludf.DUMMYFUNCTION("""COMPUTED_VALUE"""),63.38)</f>
        <v>63.38</v>
      </c>
      <c r="AP442" s="3">
        <f ca="1">IFERROR(__xludf.DUMMYFUNCTION("""COMPUTED_VALUE"""),19335161)</f>
        <v>19335161</v>
      </c>
      <c r="AQ442" s="4">
        <f ca="1">IFERROR(__xludf.DUMMYFUNCTION("""COMPUTED_VALUE"""),42766.6666666666)</f>
        <v>42766.666666666599</v>
      </c>
      <c r="AR442" s="3">
        <f ca="1">IFERROR(__xludf.DUMMYFUNCTION("""COMPUTED_VALUE"""),52.25)</f>
        <v>52.25</v>
      </c>
      <c r="AS442" s="3">
        <f ca="1">IFERROR(__xludf.DUMMYFUNCTION("""COMPUTED_VALUE"""),52.29)</f>
        <v>52.29</v>
      </c>
      <c r="AT442" s="3">
        <f ca="1">IFERROR(__xludf.DUMMYFUNCTION("""COMPUTED_VALUE"""),51.75)</f>
        <v>51.75</v>
      </c>
      <c r="AU442" s="3">
        <f ca="1">IFERROR(__xludf.DUMMYFUNCTION("""COMPUTED_VALUE"""),51.96)</f>
        <v>51.96</v>
      </c>
      <c r="AV442" s="3">
        <f ca="1">IFERROR(__xludf.DUMMYFUNCTION("""COMPUTED_VALUE"""),5526674)</f>
        <v>5526674</v>
      </c>
      <c r="AW442" s="4">
        <f ca="1">IFERROR(__xludf.DUMMYFUNCTION("""COMPUTED_VALUE"""),42930.6666666666)</f>
        <v>42930.666666666599</v>
      </c>
      <c r="AX442" s="3">
        <f ca="1">IFERROR(__xludf.DUMMYFUNCTION("""COMPUTED_VALUE"""),31.99)</f>
        <v>31.99</v>
      </c>
      <c r="AY442" s="3">
        <f ca="1">IFERROR(__xludf.DUMMYFUNCTION("""COMPUTED_VALUE"""),32.24)</f>
        <v>32.24</v>
      </c>
      <c r="AZ442" s="3">
        <f ca="1">IFERROR(__xludf.DUMMYFUNCTION("""COMPUTED_VALUE"""),31.99)</f>
        <v>31.99</v>
      </c>
      <c r="BA442" s="3">
        <f ca="1">IFERROR(__xludf.DUMMYFUNCTION("""COMPUTED_VALUE"""),32.2)</f>
        <v>32.200000000000003</v>
      </c>
      <c r="BB442" s="3">
        <f ca="1">IFERROR(__xludf.DUMMYFUNCTION("""COMPUTED_VALUE"""),1167422)</f>
        <v>1167422</v>
      </c>
      <c r="BC442" s="4">
        <f ca="1">IFERROR(__xludf.DUMMYFUNCTION("""COMPUTED_VALUE"""),42766.6666666666)</f>
        <v>42766.666666666599</v>
      </c>
      <c r="BD442" s="3">
        <f ca="1">IFERROR(__xludf.DUMMYFUNCTION("""COMPUTED_VALUE"""),50.17)</f>
        <v>50.17</v>
      </c>
      <c r="BE442" s="3">
        <f ca="1">IFERROR(__xludf.DUMMYFUNCTION("""COMPUTED_VALUE"""),50.22)</f>
        <v>50.22</v>
      </c>
      <c r="BF442" s="3">
        <f ca="1">IFERROR(__xludf.DUMMYFUNCTION("""COMPUTED_VALUE"""),49.86)</f>
        <v>49.86</v>
      </c>
      <c r="BG442" s="3">
        <f ca="1">IFERROR(__xludf.DUMMYFUNCTION("""COMPUTED_VALUE"""),50.08)</f>
        <v>50.08</v>
      </c>
      <c r="BH442" s="3">
        <f ca="1">IFERROR(__xludf.DUMMYFUNCTION("""COMPUTED_VALUE"""),9557845)</f>
        <v>9557845</v>
      </c>
      <c r="BI442" s="4">
        <f ca="1">IFERROR(__xludf.DUMMYFUNCTION("""COMPUTED_VALUE"""),42766.6666666666)</f>
        <v>42766.666666666599</v>
      </c>
      <c r="BJ442" s="3">
        <f ca="1">IFERROR(__xludf.DUMMYFUNCTION("""COMPUTED_VALUE"""),48.47)</f>
        <v>48.47</v>
      </c>
      <c r="BK442" s="3">
        <f ca="1">IFERROR(__xludf.DUMMYFUNCTION("""COMPUTED_VALUE"""),49.22)</f>
        <v>49.22</v>
      </c>
      <c r="BL442" s="3">
        <f ca="1">IFERROR(__xludf.DUMMYFUNCTION("""COMPUTED_VALUE"""),48.42)</f>
        <v>48.42</v>
      </c>
      <c r="BM442" s="3">
        <f ca="1">IFERROR(__xludf.DUMMYFUNCTION("""COMPUTED_VALUE"""),49.18)</f>
        <v>49.18</v>
      </c>
      <c r="BN442" s="3">
        <f ca="1">IFERROR(__xludf.DUMMYFUNCTION("""COMPUTED_VALUE"""),15916468)</f>
        <v>15916468</v>
      </c>
    </row>
    <row r="443" spans="7:66" ht="13" x14ac:dyDescent="0.15">
      <c r="G443" s="4">
        <f ca="1">IFERROR(__xludf.DUMMYFUNCTION("""COMPUTED_VALUE"""),42767.6666666666)</f>
        <v>42767.666666666599</v>
      </c>
      <c r="H443" s="3">
        <f ca="1">IFERROR(__xludf.DUMMYFUNCTION("""COMPUTED_VALUE"""),84.97)</f>
        <v>84.97</v>
      </c>
      <c r="I443" s="3">
        <f ca="1">IFERROR(__xludf.DUMMYFUNCTION("""COMPUTED_VALUE"""),85.12)</f>
        <v>85.12</v>
      </c>
      <c r="J443" s="3">
        <f ca="1">IFERROR(__xludf.DUMMYFUNCTION("""COMPUTED_VALUE"""),84.36)</f>
        <v>84.36</v>
      </c>
      <c r="K443" s="3">
        <f ca="1">IFERROR(__xludf.DUMMYFUNCTION("""COMPUTED_VALUE"""),84.67)</f>
        <v>84.67</v>
      </c>
      <c r="L443" s="3">
        <f ca="1">IFERROR(__xludf.DUMMYFUNCTION("""COMPUTED_VALUE"""),5206771)</f>
        <v>5206771</v>
      </c>
      <c r="M443" s="4">
        <f ca="1">IFERROR(__xludf.DUMMYFUNCTION("""COMPUTED_VALUE"""),42767.6666666666)</f>
        <v>42767.666666666599</v>
      </c>
      <c r="N443" s="3">
        <f ca="1">IFERROR(__xludf.DUMMYFUNCTION("""COMPUTED_VALUE"""),52.34)</f>
        <v>52.34</v>
      </c>
      <c r="O443" s="3">
        <f ca="1">IFERROR(__xludf.DUMMYFUNCTION("""COMPUTED_VALUE"""),52.5)</f>
        <v>52.5</v>
      </c>
      <c r="P443" s="3">
        <f ca="1">IFERROR(__xludf.DUMMYFUNCTION("""COMPUTED_VALUE"""),52.17)</f>
        <v>52.17</v>
      </c>
      <c r="Q443" s="3">
        <f ca="1">IFERROR(__xludf.DUMMYFUNCTION("""COMPUTED_VALUE"""),52.18)</f>
        <v>52.18</v>
      </c>
      <c r="R443" s="3">
        <f ca="1">IFERROR(__xludf.DUMMYFUNCTION("""COMPUTED_VALUE"""),18479763)</f>
        <v>18479763</v>
      </c>
      <c r="S443" s="4">
        <f ca="1">IFERROR(__xludf.DUMMYFUNCTION("""COMPUTED_VALUE"""),42767.6666666666)</f>
        <v>42767.666666666599</v>
      </c>
      <c r="T443" s="3">
        <f ca="1">IFERROR(__xludf.DUMMYFUNCTION("""COMPUTED_VALUE"""),73.29)</f>
        <v>73.290000000000006</v>
      </c>
      <c r="U443" s="3">
        <f ca="1">IFERROR(__xludf.DUMMYFUNCTION("""COMPUTED_VALUE"""),73.39)</f>
        <v>73.39</v>
      </c>
      <c r="V443" s="3">
        <f ca="1">IFERROR(__xludf.DUMMYFUNCTION("""COMPUTED_VALUE"""),71.91)</f>
        <v>71.91</v>
      </c>
      <c r="W443" s="3">
        <f ca="1">IFERROR(__xludf.DUMMYFUNCTION("""COMPUTED_VALUE"""),72.36)</f>
        <v>72.36</v>
      </c>
      <c r="X443" s="3">
        <f ca="1">IFERROR(__xludf.DUMMYFUNCTION("""COMPUTED_VALUE"""),18424308)</f>
        <v>18424308</v>
      </c>
      <c r="Y443" s="4">
        <f ca="1">IFERROR(__xludf.DUMMYFUNCTION("""COMPUTED_VALUE"""),42767.6666666666)</f>
        <v>42767.666666666599</v>
      </c>
      <c r="Z443" s="3">
        <f ca="1">IFERROR(__xludf.DUMMYFUNCTION("""COMPUTED_VALUE"""),23.49)</f>
        <v>23.49</v>
      </c>
      <c r="AA443" s="3">
        <f ca="1">IFERROR(__xludf.DUMMYFUNCTION("""COMPUTED_VALUE"""),23.61)</f>
        <v>23.61</v>
      </c>
      <c r="AB443" s="3">
        <f ca="1">IFERROR(__xludf.DUMMYFUNCTION("""COMPUTED_VALUE"""),23.27)</f>
        <v>23.27</v>
      </c>
      <c r="AC443" s="3">
        <f ca="1">IFERROR(__xludf.DUMMYFUNCTION("""COMPUTED_VALUE"""),23.34)</f>
        <v>23.34</v>
      </c>
      <c r="AD443" s="3">
        <f ca="1">IFERROR(__xludf.DUMMYFUNCTION("""COMPUTED_VALUE"""),72132221)</f>
        <v>72132221</v>
      </c>
      <c r="AE443" s="4">
        <f ca="1">IFERROR(__xludf.DUMMYFUNCTION("""COMPUTED_VALUE"""),42767.6666666666)</f>
        <v>42767.666666666599</v>
      </c>
      <c r="AF443" s="3">
        <f ca="1">IFERROR(__xludf.DUMMYFUNCTION("""COMPUTED_VALUE"""),70.52)</f>
        <v>70.52</v>
      </c>
      <c r="AG443" s="3">
        <f ca="1">IFERROR(__xludf.DUMMYFUNCTION("""COMPUTED_VALUE"""),71.13)</f>
        <v>71.13</v>
      </c>
      <c r="AH443" s="3">
        <f ca="1">IFERROR(__xludf.DUMMYFUNCTION("""COMPUTED_VALUE"""),70.38)</f>
        <v>70.38</v>
      </c>
      <c r="AI443" s="3">
        <f ca="1">IFERROR(__xludf.DUMMYFUNCTION("""COMPUTED_VALUE"""),71.13)</f>
        <v>71.13</v>
      </c>
      <c r="AJ443" s="3">
        <f ca="1">IFERROR(__xludf.DUMMYFUNCTION("""COMPUTED_VALUE"""),19490501)</f>
        <v>19490501</v>
      </c>
      <c r="AK443" s="4">
        <f ca="1">IFERROR(__xludf.DUMMYFUNCTION("""COMPUTED_VALUE"""),42767.6666666666)</f>
        <v>42767.666666666599</v>
      </c>
      <c r="AL443" s="3">
        <f ca="1">IFERROR(__xludf.DUMMYFUNCTION("""COMPUTED_VALUE"""),63.48)</f>
        <v>63.48</v>
      </c>
      <c r="AM443" s="3">
        <f ca="1">IFERROR(__xludf.DUMMYFUNCTION("""COMPUTED_VALUE"""),63.71)</f>
        <v>63.71</v>
      </c>
      <c r="AN443" s="3">
        <f ca="1">IFERROR(__xludf.DUMMYFUNCTION("""COMPUTED_VALUE"""),62.95)</f>
        <v>62.95</v>
      </c>
      <c r="AO443" s="3">
        <f ca="1">IFERROR(__xludf.DUMMYFUNCTION("""COMPUTED_VALUE"""),63.27)</f>
        <v>63.27</v>
      </c>
      <c r="AP443" s="3">
        <f ca="1">IFERROR(__xludf.DUMMYFUNCTION("""COMPUTED_VALUE"""),15358829)</f>
        <v>15358829</v>
      </c>
      <c r="AQ443" s="4">
        <f ca="1">IFERROR(__xludf.DUMMYFUNCTION("""COMPUTED_VALUE"""),42767.6666666666)</f>
        <v>42767.666666666599</v>
      </c>
      <c r="AR443" s="3">
        <f ca="1">IFERROR(__xludf.DUMMYFUNCTION("""COMPUTED_VALUE"""),51.94)</f>
        <v>51.94</v>
      </c>
      <c r="AS443" s="3">
        <f ca="1">IFERROR(__xludf.DUMMYFUNCTION("""COMPUTED_VALUE"""),52.32)</f>
        <v>52.32</v>
      </c>
      <c r="AT443" s="3">
        <f ca="1">IFERROR(__xludf.DUMMYFUNCTION("""COMPUTED_VALUE"""),51.79)</f>
        <v>51.79</v>
      </c>
      <c r="AU443" s="3">
        <f ca="1">IFERROR(__xludf.DUMMYFUNCTION("""COMPUTED_VALUE"""),52.22)</f>
        <v>52.22</v>
      </c>
      <c r="AV443" s="3">
        <f ca="1">IFERROR(__xludf.DUMMYFUNCTION("""COMPUTED_VALUE"""),10074860)</f>
        <v>10074860</v>
      </c>
      <c r="AW443" s="4">
        <f ca="1">IFERROR(__xludf.DUMMYFUNCTION("""COMPUTED_VALUE"""),42933.6666666666)</f>
        <v>42933.666666666599</v>
      </c>
      <c r="AX443" s="3">
        <f ca="1">IFERROR(__xludf.DUMMYFUNCTION("""COMPUTED_VALUE"""),32.17)</f>
        <v>32.17</v>
      </c>
      <c r="AY443" s="3">
        <f ca="1">IFERROR(__xludf.DUMMYFUNCTION("""COMPUTED_VALUE"""),32.33)</f>
        <v>32.33</v>
      </c>
      <c r="AZ443" s="3">
        <f ca="1">IFERROR(__xludf.DUMMYFUNCTION("""COMPUTED_VALUE"""),32.12)</f>
        <v>32.119999999999997</v>
      </c>
      <c r="BA443" s="3">
        <f ca="1">IFERROR(__xludf.DUMMYFUNCTION("""COMPUTED_VALUE"""),32.27)</f>
        <v>32.270000000000003</v>
      </c>
      <c r="BB443" s="3">
        <f ca="1">IFERROR(__xludf.DUMMYFUNCTION("""COMPUTED_VALUE"""),2285069)</f>
        <v>2285069</v>
      </c>
      <c r="BC443" s="4">
        <f ca="1">IFERROR(__xludf.DUMMYFUNCTION("""COMPUTED_VALUE"""),42767.6666666666)</f>
        <v>42767.666666666599</v>
      </c>
      <c r="BD443" s="3">
        <f ca="1">IFERROR(__xludf.DUMMYFUNCTION("""COMPUTED_VALUE"""),50.54)</f>
        <v>50.54</v>
      </c>
      <c r="BE443" s="3">
        <f ca="1">IFERROR(__xludf.DUMMYFUNCTION("""COMPUTED_VALUE"""),50.62)</f>
        <v>50.62</v>
      </c>
      <c r="BF443" s="3">
        <f ca="1">IFERROR(__xludf.DUMMYFUNCTION("""COMPUTED_VALUE"""),50.18)</f>
        <v>50.18</v>
      </c>
      <c r="BG443" s="3">
        <f ca="1">IFERROR(__xludf.DUMMYFUNCTION("""COMPUTED_VALUE"""),50.46)</f>
        <v>50.46</v>
      </c>
      <c r="BH443" s="3">
        <f ca="1">IFERROR(__xludf.DUMMYFUNCTION("""COMPUTED_VALUE"""),11681141)</f>
        <v>11681141</v>
      </c>
      <c r="BI443" s="4">
        <f ca="1">IFERROR(__xludf.DUMMYFUNCTION("""COMPUTED_VALUE"""),42767.6666666666)</f>
        <v>42767.666666666599</v>
      </c>
      <c r="BJ443" s="3">
        <f ca="1">IFERROR(__xludf.DUMMYFUNCTION("""COMPUTED_VALUE"""),48.92)</f>
        <v>48.92</v>
      </c>
      <c r="BK443" s="3">
        <f ca="1">IFERROR(__xludf.DUMMYFUNCTION("""COMPUTED_VALUE"""),48.94)</f>
        <v>48.94</v>
      </c>
      <c r="BL443" s="3">
        <f ca="1">IFERROR(__xludf.DUMMYFUNCTION("""COMPUTED_VALUE"""),48.19)</f>
        <v>48.19</v>
      </c>
      <c r="BM443" s="3">
        <f ca="1">IFERROR(__xludf.DUMMYFUNCTION("""COMPUTED_VALUE"""),48.33)</f>
        <v>48.33</v>
      </c>
      <c r="BN443" s="3">
        <f ca="1">IFERROR(__xludf.DUMMYFUNCTION("""COMPUTED_VALUE"""),24379533)</f>
        <v>24379533</v>
      </c>
    </row>
    <row r="444" spans="7:66" ht="13" x14ac:dyDescent="0.15">
      <c r="G444" s="4">
        <f ca="1">IFERROR(__xludf.DUMMYFUNCTION("""COMPUTED_VALUE"""),42768.6666666666)</f>
        <v>42768.666666666599</v>
      </c>
      <c r="H444" s="3">
        <f ca="1">IFERROR(__xludf.DUMMYFUNCTION("""COMPUTED_VALUE"""),84.54)</f>
        <v>84.54</v>
      </c>
      <c r="I444" s="3">
        <f ca="1">IFERROR(__xludf.DUMMYFUNCTION("""COMPUTED_VALUE"""),84.97)</f>
        <v>84.97</v>
      </c>
      <c r="J444" s="3">
        <f ca="1">IFERROR(__xludf.DUMMYFUNCTION("""COMPUTED_VALUE"""),84.44)</f>
        <v>84.44</v>
      </c>
      <c r="K444" s="3">
        <f ca="1">IFERROR(__xludf.DUMMYFUNCTION("""COMPUTED_VALUE"""),84.6)</f>
        <v>84.6</v>
      </c>
      <c r="L444" s="3">
        <f ca="1">IFERROR(__xludf.DUMMYFUNCTION("""COMPUTED_VALUE"""),4081031)</f>
        <v>4081031</v>
      </c>
      <c r="M444" s="4">
        <f ca="1">IFERROR(__xludf.DUMMYFUNCTION("""COMPUTED_VALUE"""),42768.6666666666)</f>
        <v>42768.666666666599</v>
      </c>
      <c r="N444" s="3">
        <f ca="1">IFERROR(__xludf.DUMMYFUNCTION("""COMPUTED_VALUE"""),52.42)</f>
        <v>52.42</v>
      </c>
      <c r="O444" s="3">
        <f ca="1">IFERROR(__xludf.DUMMYFUNCTION("""COMPUTED_VALUE"""),52.87)</f>
        <v>52.87</v>
      </c>
      <c r="P444" s="3">
        <f ca="1">IFERROR(__xludf.DUMMYFUNCTION("""COMPUTED_VALUE"""),52.42)</f>
        <v>52.42</v>
      </c>
      <c r="Q444" s="3">
        <f ca="1">IFERROR(__xludf.DUMMYFUNCTION("""COMPUTED_VALUE"""),52.66)</f>
        <v>52.66</v>
      </c>
      <c r="R444" s="3">
        <f ca="1">IFERROR(__xludf.DUMMYFUNCTION("""COMPUTED_VALUE"""),18747453)</f>
        <v>18747453</v>
      </c>
      <c r="S444" s="4">
        <f ca="1">IFERROR(__xludf.DUMMYFUNCTION("""COMPUTED_VALUE"""),42768.6666666666)</f>
        <v>42768.666666666599</v>
      </c>
      <c r="T444" s="3">
        <f ca="1">IFERROR(__xludf.DUMMYFUNCTION("""COMPUTED_VALUE"""),72.48)</f>
        <v>72.48</v>
      </c>
      <c r="U444" s="3">
        <f ca="1">IFERROR(__xludf.DUMMYFUNCTION("""COMPUTED_VALUE"""),72.9)</f>
        <v>72.900000000000006</v>
      </c>
      <c r="V444" s="3">
        <f ca="1">IFERROR(__xludf.DUMMYFUNCTION("""COMPUTED_VALUE"""),71.9)</f>
        <v>71.900000000000006</v>
      </c>
      <c r="W444" s="3">
        <f ca="1">IFERROR(__xludf.DUMMYFUNCTION("""COMPUTED_VALUE"""),72.77)</f>
        <v>72.77</v>
      </c>
      <c r="X444" s="3">
        <f ca="1">IFERROR(__xludf.DUMMYFUNCTION("""COMPUTED_VALUE"""),12880101)</f>
        <v>12880101</v>
      </c>
      <c r="Y444" s="4">
        <f ca="1">IFERROR(__xludf.DUMMYFUNCTION("""COMPUTED_VALUE"""),42768.6666666666)</f>
        <v>42768.666666666599</v>
      </c>
      <c r="Z444" s="3">
        <f ca="1">IFERROR(__xludf.DUMMYFUNCTION("""COMPUTED_VALUE"""),23.21)</f>
        <v>23.21</v>
      </c>
      <c r="AA444" s="3">
        <f ca="1">IFERROR(__xludf.DUMMYFUNCTION("""COMPUTED_VALUE"""),23.36)</f>
        <v>23.36</v>
      </c>
      <c r="AB444" s="3">
        <f ca="1">IFERROR(__xludf.DUMMYFUNCTION("""COMPUTED_VALUE"""),23.1)</f>
        <v>23.1</v>
      </c>
      <c r="AC444" s="3">
        <f ca="1">IFERROR(__xludf.DUMMYFUNCTION("""COMPUTED_VALUE"""),23.25)</f>
        <v>23.25</v>
      </c>
      <c r="AD444" s="3">
        <f ca="1">IFERROR(__xludf.DUMMYFUNCTION("""COMPUTED_VALUE"""),39396487)</f>
        <v>39396487</v>
      </c>
      <c r="AE444" s="4">
        <f ca="1">IFERROR(__xludf.DUMMYFUNCTION("""COMPUTED_VALUE"""),42768.6666666666)</f>
        <v>42768.666666666599</v>
      </c>
      <c r="AF444" s="3">
        <f ca="1">IFERROR(__xludf.DUMMYFUNCTION("""COMPUTED_VALUE"""),70.78)</f>
        <v>70.78</v>
      </c>
      <c r="AG444" s="3">
        <f ca="1">IFERROR(__xludf.DUMMYFUNCTION("""COMPUTED_VALUE"""),71.15)</f>
        <v>71.150000000000006</v>
      </c>
      <c r="AH444" s="3">
        <f ca="1">IFERROR(__xludf.DUMMYFUNCTION("""COMPUTED_VALUE"""),70.56)</f>
        <v>70.56</v>
      </c>
      <c r="AI444" s="3">
        <f ca="1">IFERROR(__xludf.DUMMYFUNCTION("""COMPUTED_VALUE"""),71.11)</f>
        <v>71.11</v>
      </c>
      <c r="AJ444" s="3">
        <f ca="1">IFERROR(__xludf.DUMMYFUNCTION("""COMPUTED_VALUE"""),14539361)</f>
        <v>14539361</v>
      </c>
      <c r="AK444" s="4">
        <f ca="1">IFERROR(__xludf.DUMMYFUNCTION("""COMPUTED_VALUE"""),42768.6666666666)</f>
        <v>42768.666666666599</v>
      </c>
      <c r="AL444" s="3">
        <f ca="1">IFERROR(__xludf.DUMMYFUNCTION("""COMPUTED_VALUE"""),63.17)</f>
        <v>63.17</v>
      </c>
      <c r="AM444" s="3">
        <f ca="1">IFERROR(__xludf.DUMMYFUNCTION("""COMPUTED_VALUE"""),63.34)</f>
        <v>63.34</v>
      </c>
      <c r="AN444" s="3">
        <f ca="1">IFERROR(__xludf.DUMMYFUNCTION("""COMPUTED_VALUE"""),62.89)</f>
        <v>62.89</v>
      </c>
      <c r="AO444" s="3">
        <f ca="1">IFERROR(__xludf.DUMMYFUNCTION("""COMPUTED_VALUE"""),63.15)</f>
        <v>63.15</v>
      </c>
      <c r="AP444" s="3">
        <f ca="1">IFERROR(__xludf.DUMMYFUNCTION("""COMPUTED_VALUE"""),9568357)</f>
        <v>9568357</v>
      </c>
      <c r="AQ444" s="4">
        <f ca="1">IFERROR(__xludf.DUMMYFUNCTION("""COMPUTED_VALUE"""),42768.6666666666)</f>
        <v>42768.666666666599</v>
      </c>
      <c r="AR444" s="3">
        <f ca="1">IFERROR(__xludf.DUMMYFUNCTION("""COMPUTED_VALUE"""),52.2)</f>
        <v>52.2</v>
      </c>
      <c r="AS444" s="3">
        <f ca="1">IFERROR(__xludf.DUMMYFUNCTION("""COMPUTED_VALUE"""),52.2)</f>
        <v>52.2</v>
      </c>
      <c r="AT444" s="3">
        <f ca="1">IFERROR(__xludf.DUMMYFUNCTION("""COMPUTED_VALUE"""),51.81)</f>
        <v>51.81</v>
      </c>
      <c r="AU444" s="3">
        <f ca="1">IFERROR(__xludf.DUMMYFUNCTION("""COMPUTED_VALUE"""),51.99)</f>
        <v>51.99</v>
      </c>
      <c r="AV444" s="3">
        <f ca="1">IFERROR(__xludf.DUMMYFUNCTION("""COMPUTED_VALUE"""),5065709)</f>
        <v>5065709</v>
      </c>
      <c r="AW444" s="4">
        <f ca="1">IFERROR(__xludf.DUMMYFUNCTION("""COMPUTED_VALUE"""),42934.6666666666)</f>
        <v>42934.666666666599</v>
      </c>
      <c r="AX444" s="3">
        <f ca="1">IFERROR(__xludf.DUMMYFUNCTION("""COMPUTED_VALUE"""),32.27)</f>
        <v>32.270000000000003</v>
      </c>
      <c r="AY444" s="3">
        <f ca="1">IFERROR(__xludf.DUMMYFUNCTION("""COMPUTED_VALUE"""),32.36)</f>
        <v>32.36</v>
      </c>
      <c r="AZ444" s="3">
        <f ca="1">IFERROR(__xludf.DUMMYFUNCTION("""COMPUTED_VALUE"""),32.18)</f>
        <v>32.18</v>
      </c>
      <c r="BA444" s="3">
        <f ca="1">IFERROR(__xludf.DUMMYFUNCTION("""COMPUTED_VALUE"""),32.23)</f>
        <v>32.229999999999997</v>
      </c>
      <c r="BB444" s="3">
        <f ca="1">IFERROR(__xludf.DUMMYFUNCTION("""COMPUTED_VALUE"""),2302889)</f>
        <v>2302889</v>
      </c>
      <c r="BC444" s="4">
        <f ca="1">IFERROR(__xludf.DUMMYFUNCTION("""COMPUTED_VALUE"""),42768.6666666666)</f>
        <v>42768.666666666599</v>
      </c>
      <c r="BD444" s="3">
        <f ca="1">IFERROR(__xludf.DUMMYFUNCTION("""COMPUTED_VALUE"""),50.31)</f>
        <v>50.31</v>
      </c>
      <c r="BE444" s="3">
        <f ca="1">IFERROR(__xludf.DUMMYFUNCTION("""COMPUTED_VALUE"""),50.45)</f>
        <v>50.45</v>
      </c>
      <c r="BF444" s="3">
        <f ca="1">IFERROR(__xludf.DUMMYFUNCTION("""COMPUTED_VALUE"""),50.1)</f>
        <v>50.1</v>
      </c>
      <c r="BG444" s="3">
        <f ca="1">IFERROR(__xludf.DUMMYFUNCTION("""COMPUTED_VALUE"""),50.36)</f>
        <v>50.36</v>
      </c>
      <c r="BH444" s="3">
        <f ca="1">IFERROR(__xludf.DUMMYFUNCTION("""COMPUTED_VALUE"""),8598869)</f>
        <v>8598869</v>
      </c>
      <c r="BI444" s="4">
        <f ca="1">IFERROR(__xludf.DUMMYFUNCTION("""COMPUTED_VALUE"""),42768.6666666666)</f>
        <v>42768.666666666599</v>
      </c>
      <c r="BJ444" s="3">
        <f ca="1">IFERROR(__xludf.DUMMYFUNCTION("""COMPUTED_VALUE"""),48.48)</f>
        <v>48.48</v>
      </c>
      <c r="BK444" s="3">
        <f ca="1">IFERROR(__xludf.DUMMYFUNCTION("""COMPUTED_VALUE"""),48.84)</f>
        <v>48.84</v>
      </c>
      <c r="BL444" s="3">
        <f ca="1">IFERROR(__xludf.DUMMYFUNCTION("""COMPUTED_VALUE"""),48.19)</f>
        <v>48.19</v>
      </c>
      <c r="BM444" s="3">
        <f ca="1">IFERROR(__xludf.DUMMYFUNCTION("""COMPUTED_VALUE"""),48.84)</f>
        <v>48.84</v>
      </c>
      <c r="BN444" s="3">
        <f ca="1">IFERROR(__xludf.DUMMYFUNCTION("""COMPUTED_VALUE"""),15661096)</f>
        <v>15661096</v>
      </c>
    </row>
    <row r="445" spans="7:66" ht="13" x14ac:dyDescent="0.15">
      <c r="G445" s="4">
        <f ca="1">IFERROR(__xludf.DUMMYFUNCTION("""COMPUTED_VALUE"""),42769.6666666666)</f>
        <v>42769.666666666599</v>
      </c>
      <c r="H445" s="3">
        <f ca="1">IFERROR(__xludf.DUMMYFUNCTION("""COMPUTED_VALUE"""),84.34)</f>
        <v>84.34</v>
      </c>
      <c r="I445" s="3">
        <f ca="1">IFERROR(__xludf.DUMMYFUNCTION("""COMPUTED_VALUE"""),84.63)</f>
        <v>84.63</v>
      </c>
      <c r="J445" s="3">
        <f ca="1">IFERROR(__xludf.DUMMYFUNCTION("""COMPUTED_VALUE"""),84.18)</f>
        <v>84.18</v>
      </c>
      <c r="K445" s="3">
        <f ca="1">IFERROR(__xludf.DUMMYFUNCTION("""COMPUTED_VALUE"""),84.49)</f>
        <v>84.49</v>
      </c>
      <c r="L445" s="3">
        <f ca="1">IFERROR(__xludf.DUMMYFUNCTION("""COMPUTED_VALUE"""),3652143)</f>
        <v>3652143</v>
      </c>
      <c r="M445" s="4">
        <f ca="1">IFERROR(__xludf.DUMMYFUNCTION("""COMPUTED_VALUE"""),42769.6666666666)</f>
        <v>42769.666666666599</v>
      </c>
      <c r="N445" s="3">
        <f ca="1">IFERROR(__xludf.DUMMYFUNCTION("""COMPUTED_VALUE"""),52.93)</f>
        <v>52.93</v>
      </c>
      <c r="O445" s="3">
        <f ca="1">IFERROR(__xludf.DUMMYFUNCTION("""COMPUTED_VALUE"""),53.15)</f>
        <v>53.15</v>
      </c>
      <c r="P445" s="3">
        <f ca="1">IFERROR(__xludf.DUMMYFUNCTION("""COMPUTED_VALUE"""),52.79)</f>
        <v>52.79</v>
      </c>
      <c r="Q445" s="3">
        <f ca="1">IFERROR(__xludf.DUMMYFUNCTION("""COMPUTED_VALUE"""),53)</f>
        <v>53</v>
      </c>
      <c r="R445" s="3">
        <f ca="1">IFERROR(__xludf.DUMMYFUNCTION("""COMPUTED_VALUE"""),17954739)</f>
        <v>17954739</v>
      </c>
      <c r="S445" s="4">
        <f ca="1">IFERROR(__xludf.DUMMYFUNCTION("""COMPUTED_VALUE"""),42769.6666666666)</f>
        <v>42769.666666666599</v>
      </c>
      <c r="T445" s="3">
        <f ca="1">IFERROR(__xludf.DUMMYFUNCTION("""COMPUTED_VALUE"""),73.06)</f>
        <v>73.06</v>
      </c>
      <c r="U445" s="3">
        <f ca="1">IFERROR(__xludf.DUMMYFUNCTION("""COMPUTED_VALUE"""),73.78)</f>
        <v>73.78</v>
      </c>
      <c r="V445" s="3">
        <f ca="1">IFERROR(__xludf.DUMMYFUNCTION("""COMPUTED_VALUE"""),72.63)</f>
        <v>72.63</v>
      </c>
      <c r="W445" s="3">
        <f ca="1">IFERROR(__xludf.DUMMYFUNCTION("""COMPUTED_VALUE"""),73.4)</f>
        <v>73.400000000000006</v>
      </c>
      <c r="X445" s="3">
        <f ca="1">IFERROR(__xludf.DUMMYFUNCTION("""COMPUTED_VALUE"""),11828580)</f>
        <v>11828580</v>
      </c>
      <c r="Y445" s="4">
        <f ca="1">IFERROR(__xludf.DUMMYFUNCTION("""COMPUTED_VALUE"""),42769.6666666666)</f>
        <v>42769.666666666599</v>
      </c>
      <c r="Z445" s="3">
        <f ca="1">IFERROR(__xludf.DUMMYFUNCTION("""COMPUTED_VALUE"""),23.65)</f>
        <v>23.65</v>
      </c>
      <c r="AA445" s="3">
        <f ca="1">IFERROR(__xludf.DUMMYFUNCTION("""COMPUTED_VALUE"""),23.74)</f>
        <v>23.74</v>
      </c>
      <c r="AB445" s="3">
        <f ca="1">IFERROR(__xludf.DUMMYFUNCTION("""COMPUTED_VALUE"""),23.44)</f>
        <v>23.44</v>
      </c>
      <c r="AC445" s="3">
        <f ca="1">IFERROR(__xludf.DUMMYFUNCTION("""COMPUTED_VALUE"""),23.72)</f>
        <v>23.72</v>
      </c>
      <c r="AD445" s="3">
        <f ca="1">IFERROR(__xludf.DUMMYFUNCTION("""COMPUTED_VALUE"""),86346618)</f>
        <v>86346618</v>
      </c>
      <c r="AE445" s="4">
        <f ca="1">IFERROR(__xludf.DUMMYFUNCTION("""COMPUTED_VALUE"""),42769.6666666666)</f>
        <v>42769.666666666599</v>
      </c>
      <c r="AF445" s="3">
        <f ca="1">IFERROR(__xludf.DUMMYFUNCTION("""COMPUTED_VALUE"""),71.34)</f>
        <v>71.34</v>
      </c>
      <c r="AG445" s="3">
        <f ca="1">IFERROR(__xludf.DUMMYFUNCTION("""COMPUTED_VALUE"""),71.49)</f>
        <v>71.489999999999995</v>
      </c>
      <c r="AH445" s="3">
        <f ca="1">IFERROR(__xludf.DUMMYFUNCTION("""COMPUTED_VALUE"""),71)</f>
        <v>71</v>
      </c>
      <c r="AI445" s="3">
        <f ca="1">IFERROR(__xludf.DUMMYFUNCTION("""COMPUTED_VALUE"""),71.42)</f>
        <v>71.42</v>
      </c>
      <c r="AJ445" s="3">
        <f ca="1">IFERROR(__xludf.DUMMYFUNCTION("""COMPUTED_VALUE"""),15104788)</f>
        <v>15104788</v>
      </c>
      <c r="AK445" s="4">
        <f ca="1">IFERROR(__xludf.DUMMYFUNCTION("""COMPUTED_VALUE"""),42769.6666666666)</f>
        <v>42769.666666666599</v>
      </c>
      <c r="AL445" s="3">
        <f ca="1">IFERROR(__xludf.DUMMYFUNCTION("""COMPUTED_VALUE"""),63.3)</f>
        <v>63.3</v>
      </c>
      <c r="AM445" s="3">
        <f ca="1">IFERROR(__xludf.DUMMYFUNCTION("""COMPUTED_VALUE"""),63.7)</f>
        <v>63.7</v>
      </c>
      <c r="AN445" s="3">
        <f ca="1">IFERROR(__xludf.DUMMYFUNCTION("""COMPUTED_VALUE"""),63.24)</f>
        <v>63.24</v>
      </c>
      <c r="AO445" s="3">
        <f ca="1">IFERROR(__xludf.DUMMYFUNCTION("""COMPUTED_VALUE"""),63.62)</f>
        <v>63.62</v>
      </c>
      <c r="AP445" s="3">
        <f ca="1">IFERROR(__xludf.DUMMYFUNCTION("""COMPUTED_VALUE"""),9874215)</f>
        <v>9874215</v>
      </c>
      <c r="AQ445" s="4">
        <f ca="1">IFERROR(__xludf.DUMMYFUNCTION("""COMPUTED_VALUE"""),42769.6666666666)</f>
        <v>42769.666666666599</v>
      </c>
      <c r="AR445" s="3">
        <f ca="1">IFERROR(__xludf.DUMMYFUNCTION("""COMPUTED_VALUE"""),52.07)</f>
        <v>52.07</v>
      </c>
      <c r="AS445" s="3">
        <f ca="1">IFERROR(__xludf.DUMMYFUNCTION("""COMPUTED_VALUE"""),52.16)</f>
        <v>52.16</v>
      </c>
      <c r="AT445" s="3">
        <f ca="1">IFERROR(__xludf.DUMMYFUNCTION("""COMPUTED_VALUE"""),51.91)</f>
        <v>51.91</v>
      </c>
      <c r="AU445" s="3">
        <f ca="1">IFERROR(__xludf.DUMMYFUNCTION("""COMPUTED_VALUE"""),52.08)</f>
        <v>52.08</v>
      </c>
      <c r="AV445" s="3">
        <f ca="1">IFERROR(__xludf.DUMMYFUNCTION("""COMPUTED_VALUE"""),5541846)</f>
        <v>5541846</v>
      </c>
      <c r="AW445" s="4">
        <f ca="1">IFERROR(__xludf.DUMMYFUNCTION("""COMPUTED_VALUE"""),42935.6666666666)</f>
        <v>42935.666666666599</v>
      </c>
      <c r="AX445" s="3">
        <f ca="1">IFERROR(__xludf.DUMMYFUNCTION("""COMPUTED_VALUE"""),32.22)</f>
        <v>32.22</v>
      </c>
      <c r="AY445" s="3">
        <f ca="1">IFERROR(__xludf.DUMMYFUNCTION("""COMPUTED_VALUE"""),32.47)</f>
        <v>32.47</v>
      </c>
      <c r="AZ445" s="3">
        <f ca="1">IFERROR(__xludf.DUMMYFUNCTION("""COMPUTED_VALUE"""),32.13)</f>
        <v>32.130000000000003</v>
      </c>
      <c r="BA445" s="3">
        <f ca="1">IFERROR(__xludf.DUMMYFUNCTION("""COMPUTED_VALUE"""),32.47)</f>
        <v>32.47</v>
      </c>
      <c r="BB445" s="3">
        <f ca="1">IFERROR(__xludf.DUMMYFUNCTION("""COMPUTED_VALUE"""),4613879)</f>
        <v>4613879</v>
      </c>
      <c r="BC445" s="4">
        <f ca="1">IFERROR(__xludf.DUMMYFUNCTION("""COMPUTED_VALUE"""),42769.6666666666)</f>
        <v>42769.666666666599</v>
      </c>
      <c r="BD445" s="3">
        <f ca="1">IFERROR(__xludf.DUMMYFUNCTION("""COMPUTED_VALUE"""),50.55)</f>
        <v>50.55</v>
      </c>
      <c r="BE445" s="3">
        <f ca="1">IFERROR(__xludf.DUMMYFUNCTION("""COMPUTED_VALUE"""),50.76)</f>
        <v>50.76</v>
      </c>
      <c r="BF445" s="3">
        <f ca="1">IFERROR(__xludf.DUMMYFUNCTION("""COMPUTED_VALUE"""),50.54)</f>
        <v>50.54</v>
      </c>
      <c r="BG445" s="3">
        <f ca="1">IFERROR(__xludf.DUMMYFUNCTION("""COMPUTED_VALUE"""),50.69)</f>
        <v>50.69</v>
      </c>
      <c r="BH445" s="3">
        <f ca="1">IFERROR(__xludf.DUMMYFUNCTION("""COMPUTED_VALUE"""),6833575)</f>
        <v>6833575</v>
      </c>
      <c r="BI445" s="4">
        <f ca="1">IFERROR(__xludf.DUMMYFUNCTION("""COMPUTED_VALUE"""),42769.6666666666)</f>
        <v>42769.666666666599</v>
      </c>
      <c r="BJ445" s="3">
        <f ca="1">IFERROR(__xludf.DUMMYFUNCTION("""COMPUTED_VALUE"""),48.98)</f>
        <v>48.98</v>
      </c>
      <c r="BK445" s="3">
        <f ca="1">IFERROR(__xludf.DUMMYFUNCTION("""COMPUTED_VALUE"""),49.1)</f>
        <v>49.1</v>
      </c>
      <c r="BL445" s="3">
        <f ca="1">IFERROR(__xludf.DUMMYFUNCTION("""COMPUTED_VALUE"""),48.79)</f>
        <v>48.79</v>
      </c>
      <c r="BM445" s="3">
        <f ca="1">IFERROR(__xludf.DUMMYFUNCTION("""COMPUTED_VALUE"""),48.9)</f>
        <v>48.9</v>
      </c>
      <c r="BN445" s="3">
        <f ca="1">IFERROR(__xludf.DUMMYFUNCTION("""COMPUTED_VALUE"""),11336644)</f>
        <v>11336644</v>
      </c>
    </row>
    <row r="446" spans="7:66" ht="13" x14ac:dyDescent="0.15">
      <c r="G446" s="4">
        <f ca="1">IFERROR(__xludf.DUMMYFUNCTION("""COMPUTED_VALUE"""),42772.6666666666)</f>
        <v>42772.666666666599</v>
      </c>
      <c r="H446" s="3">
        <f ca="1">IFERROR(__xludf.DUMMYFUNCTION("""COMPUTED_VALUE"""),84.25)</f>
        <v>84.25</v>
      </c>
      <c r="I446" s="3">
        <f ca="1">IFERROR(__xludf.DUMMYFUNCTION("""COMPUTED_VALUE"""),84.45)</f>
        <v>84.45</v>
      </c>
      <c r="J446" s="3">
        <f ca="1">IFERROR(__xludf.DUMMYFUNCTION("""COMPUTED_VALUE"""),84.1)</f>
        <v>84.1</v>
      </c>
      <c r="K446" s="3">
        <f ca="1">IFERROR(__xludf.DUMMYFUNCTION("""COMPUTED_VALUE"""),84.24)</f>
        <v>84.24</v>
      </c>
      <c r="L446" s="3">
        <f ca="1">IFERROR(__xludf.DUMMYFUNCTION("""COMPUTED_VALUE"""),3939267)</f>
        <v>3939267</v>
      </c>
      <c r="M446" s="4">
        <f ca="1">IFERROR(__xludf.DUMMYFUNCTION("""COMPUTED_VALUE"""),42772.6666666666)</f>
        <v>42772.666666666599</v>
      </c>
      <c r="N446" s="3">
        <f ca="1">IFERROR(__xludf.DUMMYFUNCTION("""COMPUTED_VALUE"""),52.97)</f>
        <v>52.97</v>
      </c>
      <c r="O446" s="3">
        <f ca="1">IFERROR(__xludf.DUMMYFUNCTION("""COMPUTED_VALUE"""),52.98)</f>
        <v>52.98</v>
      </c>
      <c r="P446" s="3">
        <f ca="1">IFERROR(__xludf.DUMMYFUNCTION("""COMPUTED_VALUE"""),52.71)</f>
        <v>52.71</v>
      </c>
      <c r="Q446" s="3">
        <f ca="1">IFERROR(__xludf.DUMMYFUNCTION("""COMPUTED_VALUE"""),52.71)</f>
        <v>52.71</v>
      </c>
      <c r="R446" s="3">
        <f ca="1">IFERROR(__xludf.DUMMYFUNCTION("""COMPUTED_VALUE"""),19067927)</f>
        <v>19067927</v>
      </c>
      <c r="S446" s="4">
        <f ca="1">IFERROR(__xludf.DUMMYFUNCTION("""COMPUTED_VALUE"""),42772.6666666666)</f>
        <v>42772.666666666599</v>
      </c>
      <c r="T446" s="3">
        <f ca="1">IFERROR(__xludf.DUMMYFUNCTION("""COMPUTED_VALUE"""),73.51)</f>
        <v>73.510000000000005</v>
      </c>
      <c r="U446" s="3">
        <f ca="1">IFERROR(__xludf.DUMMYFUNCTION("""COMPUTED_VALUE"""),73.65)</f>
        <v>73.650000000000006</v>
      </c>
      <c r="V446" s="3">
        <f ca="1">IFERROR(__xludf.DUMMYFUNCTION("""COMPUTED_VALUE"""),72.57)</f>
        <v>72.569999999999993</v>
      </c>
      <c r="W446" s="3">
        <f ca="1">IFERROR(__xludf.DUMMYFUNCTION("""COMPUTED_VALUE"""),72.78)</f>
        <v>72.78</v>
      </c>
      <c r="X446" s="3">
        <f ca="1">IFERROR(__xludf.DUMMYFUNCTION("""COMPUTED_VALUE"""),10521672)</f>
        <v>10521672</v>
      </c>
      <c r="Y446" s="4">
        <f ca="1">IFERROR(__xludf.DUMMYFUNCTION("""COMPUTED_VALUE"""),42772.6666666666)</f>
        <v>42772.666666666599</v>
      </c>
      <c r="Z446" s="3">
        <f ca="1">IFERROR(__xludf.DUMMYFUNCTION("""COMPUTED_VALUE"""),23.58)</f>
        <v>23.58</v>
      </c>
      <c r="AA446" s="3">
        <f ca="1">IFERROR(__xludf.DUMMYFUNCTION("""COMPUTED_VALUE"""),23.78)</f>
        <v>23.78</v>
      </c>
      <c r="AB446" s="3">
        <f ca="1">IFERROR(__xludf.DUMMYFUNCTION("""COMPUTED_VALUE"""),23.56)</f>
        <v>23.56</v>
      </c>
      <c r="AC446" s="3">
        <f ca="1">IFERROR(__xludf.DUMMYFUNCTION("""COMPUTED_VALUE"""),23.61)</f>
        <v>23.61</v>
      </c>
      <c r="AD446" s="3">
        <f ca="1">IFERROR(__xludf.DUMMYFUNCTION("""COMPUTED_VALUE"""),34952083)</f>
        <v>34952083</v>
      </c>
      <c r="AE446" s="4">
        <f ca="1">IFERROR(__xludf.DUMMYFUNCTION("""COMPUTED_VALUE"""),42772.6666666666)</f>
        <v>42772.666666666599</v>
      </c>
      <c r="AF446" s="3">
        <f ca="1">IFERROR(__xludf.DUMMYFUNCTION("""COMPUTED_VALUE"""),71.29)</f>
        <v>71.290000000000006</v>
      </c>
      <c r="AG446" s="3">
        <f ca="1">IFERROR(__xludf.DUMMYFUNCTION("""COMPUTED_VALUE"""),71.5)</f>
        <v>71.5</v>
      </c>
      <c r="AH446" s="3">
        <f ca="1">IFERROR(__xludf.DUMMYFUNCTION("""COMPUTED_VALUE"""),71.15)</f>
        <v>71.150000000000006</v>
      </c>
      <c r="AI446" s="3">
        <f ca="1">IFERROR(__xludf.DUMMYFUNCTION("""COMPUTED_VALUE"""),71.5)</f>
        <v>71.5</v>
      </c>
      <c r="AJ446" s="3">
        <f ca="1">IFERROR(__xludf.DUMMYFUNCTION("""COMPUTED_VALUE"""),11561794)</f>
        <v>11561794</v>
      </c>
      <c r="AK446" s="4">
        <f ca="1">IFERROR(__xludf.DUMMYFUNCTION("""COMPUTED_VALUE"""),42772.6666666666)</f>
        <v>42772.666666666599</v>
      </c>
      <c r="AL446" s="3">
        <f ca="1">IFERROR(__xludf.DUMMYFUNCTION("""COMPUTED_VALUE"""),63.58)</f>
        <v>63.58</v>
      </c>
      <c r="AM446" s="3">
        <f ca="1">IFERROR(__xludf.DUMMYFUNCTION("""COMPUTED_VALUE"""),63.87)</f>
        <v>63.87</v>
      </c>
      <c r="AN446" s="3">
        <f ca="1">IFERROR(__xludf.DUMMYFUNCTION("""COMPUTED_VALUE"""),63.49)</f>
        <v>63.49</v>
      </c>
      <c r="AO446" s="3">
        <f ca="1">IFERROR(__xludf.DUMMYFUNCTION("""COMPUTED_VALUE"""),63.71)</f>
        <v>63.71</v>
      </c>
      <c r="AP446" s="3">
        <f ca="1">IFERROR(__xludf.DUMMYFUNCTION("""COMPUTED_VALUE"""),7109341)</f>
        <v>7109341</v>
      </c>
      <c r="AQ446" s="4">
        <f ca="1">IFERROR(__xludf.DUMMYFUNCTION("""COMPUTED_VALUE"""),42772.6666666666)</f>
        <v>42772.666666666599</v>
      </c>
      <c r="AR446" s="3">
        <f ca="1">IFERROR(__xludf.DUMMYFUNCTION("""COMPUTED_VALUE"""),51.96)</f>
        <v>51.96</v>
      </c>
      <c r="AS446" s="3">
        <f ca="1">IFERROR(__xludf.DUMMYFUNCTION("""COMPUTED_VALUE"""),52.01)</f>
        <v>52.01</v>
      </c>
      <c r="AT446" s="3">
        <f ca="1">IFERROR(__xludf.DUMMYFUNCTION("""COMPUTED_VALUE"""),51.72)</f>
        <v>51.72</v>
      </c>
      <c r="AU446" s="3">
        <f ca="1">IFERROR(__xludf.DUMMYFUNCTION("""COMPUTED_VALUE"""),51.94)</f>
        <v>51.94</v>
      </c>
      <c r="AV446" s="3">
        <f ca="1">IFERROR(__xludf.DUMMYFUNCTION("""COMPUTED_VALUE"""),2722633)</f>
        <v>2722633</v>
      </c>
      <c r="AW446" s="4">
        <f ca="1">IFERROR(__xludf.DUMMYFUNCTION("""COMPUTED_VALUE"""),42936.6666666666)</f>
        <v>42936.666666666599</v>
      </c>
      <c r="AX446" s="3">
        <f ca="1">IFERROR(__xludf.DUMMYFUNCTION("""COMPUTED_VALUE"""),32.54)</f>
        <v>32.54</v>
      </c>
      <c r="AY446" s="3">
        <f ca="1">IFERROR(__xludf.DUMMYFUNCTION("""COMPUTED_VALUE"""),32.58)</f>
        <v>32.58</v>
      </c>
      <c r="AZ446" s="3">
        <f ca="1">IFERROR(__xludf.DUMMYFUNCTION("""COMPUTED_VALUE"""),32.36)</f>
        <v>32.36</v>
      </c>
      <c r="BA446" s="3">
        <f ca="1">IFERROR(__xludf.DUMMYFUNCTION("""COMPUTED_VALUE"""),32.38)</f>
        <v>32.380000000000003</v>
      </c>
      <c r="BB446" s="3">
        <f ca="1">IFERROR(__xludf.DUMMYFUNCTION("""COMPUTED_VALUE"""),1048321)</f>
        <v>1048321</v>
      </c>
      <c r="BC446" s="4">
        <f ca="1">IFERROR(__xludf.DUMMYFUNCTION("""COMPUTED_VALUE"""),42772.6666666666)</f>
        <v>42772.666666666599</v>
      </c>
      <c r="BD446" s="3">
        <f ca="1">IFERROR(__xludf.DUMMYFUNCTION("""COMPUTED_VALUE"""),50.62)</f>
        <v>50.62</v>
      </c>
      <c r="BE446" s="3">
        <f ca="1">IFERROR(__xludf.DUMMYFUNCTION("""COMPUTED_VALUE"""),50.73)</f>
        <v>50.73</v>
      </c>
      <c r="BF446" s="3">
        <f ca="1">IFERROR(__xludf.DUMMYFUNCTION("""COMPUTED_VALUE"""),50.49)</f>
        <v>50.49</v>
      </c>
      <c r="BG446" s="3">
        <f ca="1">IFERROR(__xludf.DUMMYFUNCTION("""COMPUTED_VALUE"""),50.72)</f>
        <v>50.72</v>
      </c>
      <c r="BH446" s="3">
        <f ca="1">IFERROR(__xludf.DUMMYFUNCTION("""COMPUTED_VALUE"""),6726518)</f>
        <v>6726518</v>
      </c>
      <c r="BI446" s="4">
        <f ca="1">IFERROR(__xludf.DUMMYFUNCTION("""COMPUTED_VALUE"""),42772.6666666666)</f>
        <v>42772.666666666599</v>
      </c>
      <c r="BJ446" s="3">
        <f ca="1">IFERROR(__xludf.DUMMYFUNCTION("""COMPUTED_VALUE"""),49.09)</f>
        <v>49.09</v>
      </c>
      <c r="BK446" s="3">
        <f ca="1">IFERROR(__xludf.DUMMYFUNCTION("""COMPUTED_VALUE"""),49.12)</f>
        <v>49.12</v>
      </c>
      <c r="BL446" s="3">
        <f ca="1">IFERROR(__xludf.DUMMYFUNCTION("""COMPUTED_VALUE"""),48.75)</f>
        <v>48.75</v>
      </c>
      <c r="BM446" s="3">
        <f ca="1">IFERROR(__xludf.DUMMYFUNCTION("""COMPUTED_VALUE"""),48.8)</f>
        <v>48.8</v>
      </c>
      <c r="BN446" s="3">
        <f ca="1">IFERROR(__xludf.DUMMYFUNCTION("""COMPUTED_VALUE"""),7041999)</f>
        <v>7041999</v>
      </c>
    </row>
    <row r="447" spans="7:66" ht="13" x14ac:dyDescent="0.15">
      <c r="G447" s="4">
        <f ca="1">IFERROR(__xludf.DUMMYFUNCTION("""COMPUTED_VALUE"""),42773.6666666666)</f>
        <v>42773.666666666599</v>
      </c>
      <c r="H447" s="3">
        <f ca="1">IFERROR(__xludf.DUMMYFUNCTION("""COMPUTED_VALUE"""),84.28)</f>
        <v>84.28</v>
      </c>
      <c r="I447" s="3">
        <f ca="1">IFERROR(__xludf.DUMMYFUNCTION("""COMPUTED_VALUE"""),84.41)</f>
        <v>84.41</v>
      </c>
      <c r="J447" s="3">
        <f ca="1">IFERROR(__xludf.DUMMYFUNCTION("""COMPUTED_VALUE"""),84.07)</f>
        <v>84.07</v>
      </c>
      <c r="K447" s="3">
        <f ca="1">IFERROR(__xludf.DUMMYFUNCTION("""COMPUTED_VALUE"""),84.16)</f>
        <v>84.16</v>
      </c>
      <c r="L447" s="3">
        <f ca="1">IFERROR(__xludf.DUMMYFUNCTION("""COMPUTED_VALUE"""),5725555)</f>
        <v>5725555</v>
      </c>
      <c r="M447" s="4">
        <f ca="1">IFERROR(__xludf.DUMMYFUNCTION("""COMPUTED_VALUE"""),42773.6666666666)</f>
        <v>42773.666666666599</v>
      </c>
      <c r="N447" s="3">
        <f ca="1">IFERROR(__xludf.DUMMYFUNCTION("""COMPUTED_VALUE"""),52.81)</f>
        <v>52.81</v>
      </c>
      <c r="O447" s="3">
        <f ca="1">IFERROR(__xludf.DUMMYFUNCTION("""COMPUTED_VALUE"""),53.24)</f>
        <v>53.24</v>
      </c>
      <c r="P447" s="3">
        <f ca="1">IFERROR(__xludf.DUMMYFUNCTION("""COMPUTED_VALUE"""),52.81)</f>
        <v>52.81</v>
      </c>
      <c r="Q447" s="3">
        <f ca="1">IFERROR(__xludf.DUMMYFUNCTION("""COMPUTED_VALUE"""),53.14)</f>
        <v>53.14</v>
      </c>
      <c r="R447" s="3">
        <f ca="1">IFERROR(__xludf.DUMMYFUNCTION("""COMPUTED_VALUE"""),8364416)</f>
        <v>8364416</v>
      </c>
      <c r="S447" s="4">
        <f ca="1">IFERROR(__xludf.DUMMYFUNCTION("""COMPUTED_VALUE"""),42773.6666666666)</f>
        <v>42773.666666666599</v>
      </c>
      <c r="T447" s="3">
        <f ca="1">IFERROR(__xludf.DUMMYFUNCTION("""COMPUTED_VALUE"""),72.46)</f>
        <v>72.459999999999994</v>
      </c>
      <c r="U447" s="3">
        <f ca="1">IFERROR(__xludf.DUMMYFUNCTION("""COMPUTED_VALUE"""),72.8)</f>
        <v>72.8</v>
      </c>
      <c r="V447" s="3">
        <f ca="1">IFERROR(__xludf.DUMMYFUNCTION("""COMPUTED_VALUE"""),71.37)</f>
        <v>71.37</v>
      </c>
      <c r="W447" s="3">
        <f ca="1">IFERROR(__xludf.DUMMYFUNCTION("""COMPUTED_VALUE"""),71.75)</f>
        <v>71.75</v>
      </c>
      <c r="X447" s="3">
        <f ca="1">IFERROR(__xludf.DUMMYFUNCTION("""COMPUTED_VALUE"""),14157752)</f>
        <v>14157752</v>
      </c>
      <c r="Y447" s="4">
        <f ca="1">IFERROR(__xludf.DUMMYFUNCTION("""COMPUTED_VALUE"""),42773.6666666666)</f>
        <v>42773.666666666599</v>
      </c>
      <c r="Z447" s="3">
        <f ca="1">IFERROR(__xludf.DUMMYFUNCTION("""COMPUTED_VALUE"""),23.75)</f>
        <v>23.75</v>
      </c>
      <c r="AA447" s="3">
        <f ca="1">IFERROR(__xludf.DUMMYFUNCTION("""COMPUTED_VALUE"""),23.76)</f>
        <v>23.76</v>
      </c>
      <c r="AB447" s="3">
        <f ca="1">IFERROR(__xludf.DUMMYFUNCTION("""COMPUTED_VALUE"""),23.52)</f>
        <v>23.52</v>
      </c>
      <c r="AC447" s="3">
        <f ca="1">IFERROR(__xludf.DUMMYFUNCTION("""COMPUTED_VALUE"""),23.55)</f>
        <v>23.55</v>
      </c>
      <c r="AD447" s="3">
        <f ca="1">IFERROR(__xludf.DUMMYFUNCTION("""COMPUTED_VALUE"""),50838490)</f>
        <v>50838490</v>
      </c>
      <c r="AE447" s="4">
        <f ca="1">IFERROR(__xludf.DUMMYFUNCTION("""COMPUTED_VALUE"""),42773.6666666666)</f>
        <v>42773.666666666599</v>
      </c>
      <c r="AF447" s="3">
        <f ca="1">IFERROR(__xludf.DUMMYFUNCTION("""COMPUTED_VALUE"""),71.55)</f>
        <v>71.55</v>
      </c>
      <c r="AG447" s="3">
        <f ca="1">IFERROR(__xludf.DUMMYFUNCTION("""COMPUTED_VALUE"""),71.83)</f>
        <v>71.83</v>
      </c>
      <c r="AH447" s="3">
        <f ca="1">IFERROR(__xludf.DUMMYFUNCTION("""COMPUTED_VALUE"""),71.33)</f>
        <v>71.33</v>
      </c>
      <c r="AI447" s="3">
        <f ca="1">IFERROR(__xludf.DUMMYFUNCTION("""COMPUTED_VALUE"""),71.57)</f>
        <v>71.569999999999993</v>
      </c>
      <c r="AJ447" s="3">
        <f ca="1">IFERROR(__xludf.DUMMYFUNCTION("""COMPUTED_VALUE"""),11278046)</f>
        <v>11278046</v>
      </c>
      <c r="AK447" s="4">
        <f ca="1">IFERROR(__xludf.DUMMYFUNCTION("""COMPUTED_VALUE"""),42773.6666666666)</f>
        <v>42773.666666666599</v>
      </c>
      <c r="AL447" s="3">
        <f ca="1">IFERROR(__xludf.DUMMYFUNCTION("""COMPUTED_VALUE"""),63.93)</f>
        <v>63.93</v>
      </c>
      <c r="AM447" s="3">
        <f ca="1">IFERROR(__xludf.DUMMYFUNCTION("""COMPUTED_VALUE"""),64.16)</f>
        <v>64.16</v>
      </c>
      <c r="AN447" s="3">
        <f ca="1">IFERROR(__xludf.DUMMYFUNCTION("""COMPUTED_VALUE"""),63.72)</f>
        <v>63.72</v>
      </c>
      <c r="AO447" s="3">
        <f ca="1">IFERROR(__xludf.DUMMYFUNCTION("""COMPUTED_VALUE"""),63.82)</f>
        <v>63.82</v>
      </c>
      <c r="AP447" s="3">
        <f ca="1">IFERROR(__xludf.DUMMYFUNCTION("""COMPUTED_VALUE"""),13347366)</f>
        <v>13347366</v>
      </c>
      <c r="AQ447" s="4">
        <f ca="1">IFERROR(__xludf.DUMMYFUNCTION("""COMPUTED_VALUE"""),42773.6666666666)</f>
        <v>42773.666666666599</v>
      </c>
      <c r="AR447" s="3">
        <f ca="1">IFERROR(__xludf.DUMMYFUNCTION("""COMPUTED_VALUE"""),51.8)</f>
        <v>51.8</v>
      </c>
      <c r="AS447" s="3">
        <f ca="1">IFERROR(__xludf.DUMMYFUNCTION("""COMPUTED_VALUE"""),51.88)</f>
        <v>51.88</v>
      </c>
      <c r="AT447" s="3">
        <f ca="1">IFERROR(__xludf.DUMMYFUNCTION("""COMPUTED_VALUE"""),51.45)</f>
        <v>51.45</v>
      </c>
      <c r="AU447" s="3">
        <f ca="1">IFERROR(__xludf.DUMMYFUNCTION("""COMPUTED_VALUE"""),51.53)</f>
        <v>51.53</v>
      </c>
      <c r="AV447" s="3">
        <f ca="1">IFERROR(__xludf.DUMMYFUNCTION("""COMPUTED_VALUE"""),4200800)</f>
        <v>4200800</v>
      </c>
      <c r="AW447" s="4">
        <f ca="1">IFERROR(__xludf.DUMMYFUNCTION("""COMPUTED_VALUE"""),42937.6666666666)</f>
        <v>42937.666666666599</v>
      </c>
      <c r="AX447" s="3">
        <f ca="1">IFERROR(__xludf.DUMMYFUNCTION("""COMPUTED_VALUE"""),32.36)</f>
        <v>32.36</v>
      </c>
      <c r="AY447" s="3">
        <f ca="1">IFERROR(__xludf.DUMMYFUNCTION("""COMPUTED_VALUE"""),32.47)</f>
        <v>32.47</v>
      </c>
      <c r="AZ447" s="3">
        <f ca="1">IFERROR(__xludf.DUMMYFUNCTION("""COMPUTED_VALUE"""),32.28)</f>
        <v>32.28</v>
      </c>
      <c r="BA447" s="3">
        <f ca="1">IFERROR(__xludf.DUMMYFUNCTION("""COMPUTED_VALUE"""),32.44)</f>
        <v>32.44</v>
      </c>
      <c r="BB447" s="3">
        <f ca="1">IFERROR(__xludf.DUMMYFUNCTION("""COMPUTED_VALUE"""),1200996)</f>
        <v>1200996</v>
      </c>
      <c r="BC447" s="4">
        <f ca="1">IFERROR(__xludf.DUMMYFUNCTION("""COMPUTED_VALUE"""),42773.6666666666)</f>
        <v>42773.666666666599</v>
      </c>
      <c r="BD447" s="3">
        <f ca="1">IFERROR(__xludf.DUMMYFUNCTION("""COMPUTED_VALUE"""),50.82)</f>
        <v>50.82</v>
      </c>
      <c r="BE447" s="3">
        <f ca="1">IFERROR(__xludf.DUMMYFUNCTION("""COMPUTED_VALUE"""),50.98)</f>
        <v>50.98</v>
      </c>
      <c r="BF447" s="3">
        <f ca="1">IFERROR(__xludf.DUMMYFUNCTION("""COMPUTED_VALUE"""),50.78)</f>
        <v>50.78</v>
      </c>
      <c r="BG447" s="3">
        <f ca="1">IFERROR(__xludf.DUMMYFUNCTION("""COMPUTED_VALUE"""),50.92)</f>
        <v>50.92</v>
      </c>
      <c r="BH447" s="3">
        <f ca="1">IFERROR(__xludf.DUMMYFUNCTION("""COMPUTED_VALUE"""),10053184)</f>
        <v>10053184</v>
      </c>
      <c r="BI447" s="4">
        <f ca="1">IFERROR(__xludf.DUMMYFUNCTION("""COMPUTED_VALUE"""),42773.6666666666)</f>
        <v>42773.666666666599</v>
      </c>
      <c r="BJ447" s="3">
        <f ca="1">IFERROR(__xludf.DUMMYFUNCTION("""COMPUTED_VALUE"""),48.88)</f>
        <v>48.88</v>
      </c>
      <c r="BK447" s="3">
        <f ca="1">IFERROR(__xludf.DUMMYFUNCTION("""COMPUTED_VALUE"""),49)</f>
        <v>49</v>
      </c>
      <c r="BL447" s="3">
        <f ca="1">IFERROR(__xludf.DUMMYFUNCTION("""COMPUTED_VALUE"""),48.75)</f>
        <v>48.75</v>
      </c>
      <c r="BM447" s="3">
        <f ca="1">IFERROR(__xludf.DUMMYFUNCTION("""COMPUTED_VALUE"""),48.92)</f>
        <v>48.92</v>
      </c>
      <c r="BN447" s="3">
        <f ca="1">IFERROR(__xludf.DUMMYFUNCTION("""COMPUTED_VALUE"""),6109128)</f>
        <v>6109128</v>
      </c>
    </row>
    <row r="448" spans="7:66" ht="13" x14ac:dyDescent="0.15">
      <c r="G448" s="4">
        <f ca="1">IFERROR(__xludf.DUMMYFUNCTION("""COMPUTED_VALUE"""),42774.6666666666)</f>
        <v>42774.666666666599</v>
      </c>
      <c r="H448" s="3">
        <f ca="1">IFERROR(__xludf.DUMMYFUNCTION("""COMPUTED_VALUE"""),84.16)</f>
        <v>84.16</v>
      </c>
      <c r="I448" s="3">
        <f ca="1">IFERROR(__xludf.DUMMYFUNCTION("""COMPUTED_VALUE"""),84.78)</f>
        <v>84.78</v>
      </c>
      <c r="J448" s="3">
        <f ca="1">IFERROR(__xludf.DUMMYFUNCTION("""COMPUTED_VALUE"""),84.16)</f>
        <v>84.16</v>
      </c>
      <c r="K448" s="3">
        <f ca="1">IFERROR(__xludf.DUMMYFUNCTION("""COMPUTED_VALUE"""),84.68)</f>
        <v>84.68</v>
      </c>
      <c r="L448" s="3">
        <f ca="1">IFERROR(__xludf.DUMMYFUNCTION("""COMPUTED_VALUE"""),4129895)</f>
        <v>4129895</v>
      </c>
      <c r="M448" s="4">
        <f ca="1">IFERROR(__xludf.DUMMYFUNCTION("""COMPUTED_VALUE"""),42774.6666666666)</f>
        <v>42774.666666666599</v>
      </c>
      <c r="N448" s="3">
        <f ca="1">IFERROR(__xludf.DUMMYFUNCTION("""COMPUTED_VALUE"""),53.2)</f>
        <v>53.2</v>
      </c>
      <c r="O448" s="3">
        <f ca="1">IFERROR(__xludf.DUMMYFUNCTION("""COMPUTED_VALUE"""),53.46)</f>
        <v>53.46</v>
      </c>
      <c r="P448" s="3">
        <f ca="1">IFERROR(__xludf.DUMMYFUNCTION("""COMPUTED_VALUE"""),53.12)</f>
        <v>53.12</v>
      </c>
      <c r="Q448" s="3">
        <f ca="1">IFERROR(__xludf.DUMMYFUNCTION("""COMPUTED_VALUE"""),53.36)</f>
        <v>53.36</v>
      </c>
      <c r="R448" s="3">
        <f ca="1">IFERROR(__xludf.DUMMYFUNCTION("""COMPUTED_VALUE"""),8559239)</f>
        <v>8559239</v>
      </c>
      <c r="S448" s="4">
        <f ca="1">IFERROR(__xludf.DUMMYFUNCTION("""COMPUTED_VALUE"""),42774.6666666666)</f>
        <v>42774.666666666599</v>
      </c>
      <c r="T448" s="3">
        <f ca="1">IFERROR(__xludf.DUMMYFUNCTION("""COMPUTED_VALUE"""),71.42)</f>
        <v>71.42</v>
      </c>
      <c r="U448" s="3">
        <f ca="1">IFERROR(__xludf.DUMMYFUNCTION("""COMPUTED_VALUE"""),72.08)</f>
        <v>72.08</v>
      </c>
      <c r="V448" s="3">
        <f ca="1">IFERROR(__xludf.DUMMYFUNCTION("""COMPUTED_VALUE"""),70.65)</f>
        <v>70.650000000000006</v>
      </c>
      <c r="W448" s="3">
        <f ca="1">IFERROR(__xludf.DUMMYFUNCTION("""COMPUTED_VALUE"""),71.92)</f>
        <v>71.92</v>
      </c>
      <c r="X448" s="3">
        <f ca="1">IFERROR(__xludf.DUMMYFUNCTION("""COMPUTED_VALUE"""),16148412)</f>
        <v>16148412</v>
      </c>
      <c r="Y448" s="4">
        <f ca="1">IFERROR(__xludf.DUMMYFUNCTION("""COMPUTED_VALUE"""),42774.6666666666)</f>
        <v>42774.666666666599</v>
      </c>
      <c r="Z448" s="3">
        <f ca="1">IFERROR(__xludf.DUMMYFUNCTION("""COMPUTED_VALUE"""),23.48)</f>
        <v>23.48</v>
      </c>
      <c r="AA448" s="3">
        <f ca="1">IFERROR(__xludf.DUMMYFUNCTION("""COMPUTED_VALUE"""),23.48)</f>
        <v>23.48</v>
      </c>
      <c r="AB448" s="3">
        <f ca="1">IFERROR(__xludf.DUMMYFUNCTION("""COMPUTED_VALUE"""),23.28)</f>
        <v>23.28</v>
      </c>
      <c r="AC448" s="3">
        <f ca="1">IFERROR(__xludf.DUMMYFUNCTION("""COMPUTED_VALUE"""),23.39)</f>
        <v>23.39</v>
      </c>
      <c r="AD448" s="3">
        <f ca="1">IFERROR(__xludf.DUMMYFUNCTION("""COMPUTED_VALUE"""),54341095)</f>
        <v>54341095</v>
      </c>
      <c r="AE448" s="4">
        <f ca="1">IFERROR(__xludf.DUMMYFUNCTION("""COMPUTED_VALUE"""),42774.6666666666)</f>
        <v>42774.666666666599</v>
      </c>
      <c r="AF448" s="3">
        <f ca="1">IFERROR(__xludf.DUMMYFUNCTION("""COMPUTED_VALUE"""),71.19)</f>
        <v>71.19</v>
      </c>
      <c r="AG448" s="3">
        <f ca="1">IFERROR(__xludf.DUMMYFUNCTION("""COMPUTED_VALUE"""),71.54)</f>
        <v>71.540000000000006</v>
      </c>
      <c r="AH448" s="3">
        <f ca="1">IFERROR(__xludf.DUMMYFUNCTION("""COMPUTED_VALUE"""),70.99)</f>
        <v>70.989999999999995</v>
      </c>
      <c r="AI448" s="3">
        <f ca="1">IFERROR(__xludf.DUMMYFUNCTION("""COMPUTED_VALUE"""),71.46)</f>
        <v>71.459999999999994</v>
      </c>
      <c r="AJ448" s="3">
        <f ca="1">IFERROR(__xludf.DUMMYFUNCTION("""COMPUTED_VALUE"""),6812927)</f>
        <v>6812927</v>
      </c>
      <c r="AK448" s="4">
        <f ca="1">IFERROR(__xludf.DUMMYFUNCTION("""COMPUTED_VALUE"""),42774.6666666666)</f>
        <v>42774.666666666599</v>
      </c>
      <c r="AL448" s="3">
        <f ca="1">IFERROR(__xludf.DUMMYFUNCTION("""COMPUTED_VALUE"""),63.77)</f>
        <v>63.77</v>
      </c>
      <c r="AM448" s="3">
        <f ca="1">IFERROR(__xludf.DUMMYFUNCTION("""COMPUTED_VALUE"""),63.79)</f>
        <v>63.79</v>
      </c>
      <c r="AN448" s="3">
        <f ca="1">IFERROR(__xludf.DUMMYFUNCTION("""COMPUTED_VALUE"""),63.52)</f>
        <v>63.52</v>
      </c>
      <c r="AO448" s="3">
        <f ca="1">IFERROR(__xludf.DUMMYFUNCTION("""COMPUTED_VALUE"""),63.73)</f>
        <v>63.73</v>
      </c>
      <c r="AP448" s="3">
        <f ca="1">IFERROR(__xludf.DUMMYFUNCTION("""COMPUTED_VALUE"""),7808374)</f>
        <v>7808374</v>
      </c>
      <c r="AQ448" s="4">
        <f ca="1">IFERROR(__xludf.DUMMYFUNCTION("""COMPUTED_VALUE"""),42774.6666666666)</f>
        <v>42774.666666666599</v>
      </c>
      <c r="AR448" s="3">
        <f ca="1">IFERROR(__xludf.DUMMYFUNCTION("""COMPUTED_VALUE"""),51.5)</f>
        <v>51.5</v>
      </c>
      <c r="AS448" s="3">
        <f ca="1">IFERROR(__xludf.DUMMYFUNCTION("""COMPUTED_VALUE"""),51.67)</f>
        <v>51.67</v>
      </c>
      <c r="AT448" s="3">
        <f ca="1">IFERROR(__xludf.DUMMYFUNCTION("""COMPUTED_VALUE"""),51.33)</f>
        <v>51.33</v>
      </c>
      <c r="AU448" s="3">
        <f ca="1">IFERROR(__xludf.DUMMYFUNCTION("""COMPUTED_VALUE"""),51.65)</f>
        <v>51.65</v>
      </c>
      <c r="AV448" s="3">
        <f ca="1">IFERROR(__xludf.DUMMYFUNCTION("""COMPUTED_VALUE"""),4689193)</f>
        <v>4689193</v>
      </c>
      <c r="AW448" s="4">
        <f ca="1">IFERROR(__xludf.DUMMYFUNCTION("""COMPUTED_VALUE"""),42940.6666666666)</f>
        <v>42940.666666666599</v>
      </c>
      <c r="AX448" s="3">
        <f ca="1">IFERROR(__xludf.DUMMYFUNCTION("""COMPUTED_VALUE"""),32.44)</f>
        <v>32.44</v>
      </c>
      <c r="AY448" s="3">
        <f ca="1">IFERROR(__xludf.DUMMYFUNCTION("""COMPUTED_VALUE"""),32.47)</f>
        <v>32.47</v>
      </c>
      <c r="AZ448" s="3">
        <f ca="1">IFERROR(__xludf.DUMMYFUNCTION("""COMPUTED_VALUE"""),32.26)</f>
        <v>32.26</v>
      </c>
      <c r="BA448" s="3">
        <f ca="1">IFERROR(__xludf.DUMMYFUNCTION("""COMPUTED_VALUE"""),32.42)</f>
        <v>32.42</v>
      </c>
      <c r="BB448" s="3">
        <f ca="1">IFERROR(__xludf.DUMMYFUNCTION("""COMPUTED_VALUE"""),1091520)</f>
        <v>1091520</v>
      </c>
      <c r="BC448" s="4">
        <f ca="1">IFERROR(__xludf.DUMMYFUNCTION("""COMPUTED_VALUE"""),42774.6666666666)</f>
        <v>42774.666666666599</v>
      </c>
      <c r="BD448" s="3">
        <f ca="1">IFERROR(__xludf.DUMMYFUNCTION("""COMPUTED_VALUE"""),50.97)</f>
        <v>50.97</v>
      </c>
      <c r="BE448" s="3">
        <f ca="1">IFERROR(__xludf.DUMMYFUNCTION("""COMPUTED_VALUE"""),51.09)</f>
        <v>51.09</v>
      </c>
      <c r="BF448" s="3">
        <f ca="1">IFERROR(__xludf.DUMMYFUNCTION("""COMPUTED_VALUE"""),50.78)</f>
        <v>50.78</v>
      </c>
      <c r="BG448" s="3">
        <f ca="1">IFERROR(__xludf.DUMMYFUNCTION("""COMPUTED_VALUE"""),51.01)</f>
        <v>51.01</v>
      </c>
      <c r="BH448" s="3">
        <f ca="1">IFERROR(__xludf.DUMMYFUNCTION("""COMPUTED_VALUE"""),6353085)</f>
        <v>6353085</v>
      </c>
      <c r="BI448" s="4">
        <f ca="1">IFERROR(__xludf.DUMMYFUNCTION("""COMPUTED_VALUE"""),42774.6666666666)</f>
        <v>42774.666666666599</v>
      </c>
      <c r="BJ448" s="3">
        <f ca="1">IFERROR(__xludf.DUMMYFUNCTION("""COMPUTED_VALUE"""),49.04)</f>
        <v>49.04</v>
      </c>
      <c r="BK448" s="3">
        <f ca="1">IFERROR(__xludf.DUMMYFUNCTION("""COMPUTED_VALUE"""),49.49)</f>
        <v>49.49</v>
      </c>
      <c r="BL448" s="3">
        <f ca="1">IFERROR(__xludf.DUMMYFUNCTION("""COMPUTED_VALUE"""),48.95)</f>
        <v>48.95</v>
      </c>
      <c r="BM448" s="3">
        <f ca="1">IFERROR(__xludf.DUMMYFUNCTION("""COMPUTED_VALUE"""),49.4)</f>
        <v>49.4</v>
      </c>
      <c r="BN448" s="3">
        <f ca="1">IFERROR(__xludf.DUMMYFUNCTION("""COMPUTED_VALUE"""),15881993)</f>
        <v>15881993</v>
      </c>
    </row>
    <row r="449" spans="7:66" ht="13" x14ac:dyDescent="0.15">
      <c r="G449" s="4">
        <f ca="1">IFERROR(__xludf.DUMMYFUNCTION("""COMPUTED_VALUE"""),42775.6666666666)</f>
        <v>42775.666666666599</v>
      </c>
      <c r="H449" s="3">
        <f ca="1">IFERROR(__xludf.DUMMYFUNCTION("""COMPUTED_VALUE"""),84.71)</f>
        <v>84.71</v>
      </c>
      <c r="I449" s="3">
        <f ca="1">IFERROR(__xludf.DUMMYFUNCTION("""COMPUTED_VALUE"""),85.42)</f>
        <v>85.42</v>
      </c>
      <c r="J449" s="3">
        <f ca="1">IFERROR(__xludf.DUMMYFUNCTION("""COMPUTED_VALUE"""),84.71)</f>
        <v>84.71</v>
      </c>
      <c r="K449" s="3">
        <f ca="1">IFERROR(__xludf.DUMMYFUNCTION("""COMPUTED_VALUE"""),85.21)</f>
        <v>85.21</v>
      </c>
      <c r="L449" s="3">
        <f ca="1">IFERROR(__xludf.DUMMYFUNCTION("""COMPUTED_VALUE"""),3529175)</f>
        <v>3529175</v>
      </c>
      <c r="M449" s="4">
        <f ca="1">IFERROR(__xludf.DUMMYFUNCTION("""COMPUTED_VALUE"""),42775.6666666666)</f>
        <v>42775.666666666599</v>
      </c>
      <c r="N449" s="3">
        <f ca="1">IFERROR(__xludf.DUMMYFUNCTION("""COMPUTED_VALUE"""),53.3)</f>
        <v>53.3</v>
      </c>
      <c r="O449" s="3">
        <f ca="1">IFERROR(__xludf.DUMMYFUNCTION("""COMPUTED_VALUE"""),53.67)</f>
        <v>53.67</v>
      </c>
      <c r="P449" s="3">
        <f ca="1">IFERROR(__xludf.DUMMYFUNCTION("""COMPUTED_VALUE"""),53.21)</f>
        <v>53.21</v>
      </c>
      <c r="Q449" s="3">
        <f ca="1">IFERROR(__xludf.DUMMYFUNCTION("""COMPUTED_VALUE"""),53.58)</f>
        <v>53.58</v>
      </c>
      <c r="R449" s="3">
        <f ca="1">IFERROR(__xludf.DUMMYFUNCTION("""COMPUTED_VALUE"""),8840897)</f>
        <v>8840897</v>
      </c>
      <c r="S449" s="4">
        <f ca="1">IFERROR(__xludf.DUMMYFUNCTION("""COMPUTED_VALUE"""),42775.6666666666)</f>
        <v>42775.666666666599</v>
      </c>
      <c r="T449" s="3">
        <f ca="1">IFERROR(__xludf.DUMMYFUNCTION("""COMPUTED_VALUE"""),72.35)</f>
        <v>72.349999999999994</v>
      </c>
      <c r="U449" s="3">
        <f ca="1">IFERROR(__xludf.DUMMYFUNCTION("""COMPUTED_VALUE"""),72.95)</f>
        <v>72.95</v>
      </c>
      <c r="V449" s="3">
        <f ca="1">IFERROR(__xludf.DUMMYFUNCTION("""COMPUTED_VALUE"""),72.35)</f>
        <v>72.349999999999994</v>
      </c>
      <c r="W449" s="3">
        <f ca="1">IFERROR(__xludf.DUMMYFUNCTION("""COMPUTED_VALUE"""),72.73)</f>
        <v>72.73</v>
      </c>
      <c r="X449" s="3">
        <f ca="1">IFERROR(__xludf.DUMMYFUNCTION("""COMPUTED_VALUE"""),9261602)</f>
        <v>9261602</v>
      </c>
      <c r="Y449" s="4">
        <f ca="1">IFERROR(__xludf.DUMMYFUNCTION("""COMPUTED_VALUE"""),42775.6666666666)</f>
        <v>42775.666666666599</v>
      </c>
      <c r="Z449" s="3">
        <f ca="1">IFERROR(__xludf.DUMMYFUNCTION("""COMPUTED_VALUE"""),23.46)</f>
        <v>23.46</v>
      </c>
      <c r="AA449" s="3">
        <f ca="1">IFERROR(__xludf.DUMMYFUNCTION("""COMPUTED_VALUE"""),23.74)</f>
        <v>23.74</v>
      </c>
      <c r="AB449" s="3">
        <f ca="1">IFERROR(__xludf.DUMMYFUNCTION("""COMPUTED_VALUE"""),23.33)</f>
        <v>23.33</v>
      </c>
      <c r="AC449" s="3">
        <f ca="1">IFERROR(__xludf.DUMMYFUNCTION("""COMPUTED_VALUE"""),23.71)</f>
        <v>23.71</v>
      </c>
      <c r="AD449" s="3">
        <f ca="1">IFERROR(__xludf.DUMMYFUNCTION("""COMPUTED_VALUE"""),76813699)</f>
        <v>76813699</v>
      </c>
      <c r="AE449" s="4">
        <f ca="1">IFERROR(__xludf.DUMMYFUNCTION("""COMPUTED_VALUE"""),42775.6666666666)</f>
        <v>42775.666666666599</v>
      </c>
      <c r="AF449" s="3">
        <f ca="1">IFERROR(__xludf.DUMMYFUNCTION("""COMPUTED_VALUE"""),71.45)</f>
        <v>71.45</v>
      </c>
      <c r="AG449" s="3">
        <f ca="1">IFERROR(__xludf.DUMMYFUNCTION("""COMPUTED_VALUE"""),71.93)</f>
        <v>71.930000000000007</v>
      </c>
      <c r="AH449" s="3">
        <f ca="1">IFERROR(__xludf.DUMMYFUNCTION("""COMPUTED_VALUE"""),71.39)</f>
        <v>71.39</v>
      </c>
      <c r="AI449" s="3">
        <f ca="1">IFERROR(__xludf.DUMMYFUNCTION("""COMPUTED_VALUE"""),71.72)</f>
        <v>71.72</v>
      </c>
      <c r="AJ449" s="3">
        <f ca="1">IFERROR(__xludf.DUMMYFUNCTION("""COMPUTED_VALUE"""),7869248)</f>
        <v>7869248</v>
      </c>
      <c r="AK449" s="4">
        <f ca="1">IFERROR(__xludf.DUMMYFUNCTION("""COMPUTED_VALUE"""),42775.6666666666)</f>
        <v>42775.666666666599</v>
      </c>
      <c r="AL449" s="3">
        <f ca="1">IFERROR(__xludf.DUMMYFUNCTION("""COMPUTED_VALUE"""),63.89)</f>
        <v>63.89</v>
      </c>
      <c r="AM449" s="3">
        <f ca="1">IFERROR(__xludf.DUMMYFUNCTION("""COMPUTED_VALUE"""),64.38)</f>
        <v>64.38</v>
      </c>
      <c r="AN449" s="3">
        <f ca="1">IFERROR(__xludf.DUMMYFUNCTION("""COMPUTED_VALUE"""),63.79)</f>
        <v>63.79</v>
      </c>
      <c r="AO449" s="3">
        <f ca="1">IFERROR(__xludf.DUMMYFUNCTION("""COMPUTED_VALUE"""),64.22)</f>
        <v>64.22</v>
      </c>
      <c r="AP449" s="3">
        <f ca="1">IFERROR(__xludf.DUMMYFUNCTION("""COMPUTED_VALUE"""),8176718)</f>
        <v>8176718</v>
      </c>
      <c r="AQ449" s="4">
        <f ca="1">IFERROR(__xludf.DUMMYFUNCTION("""COMPUTED_VALUE"""),42775.6666666666)</f>
        <v>42775.666666666599</v>
      </c>
      <c r="AR449" s="3">
        <f ca="1">IFERROR(__xludf.DUMMYFUNCTION("""COMPUTED_VALUE"""),51.67)</f>
        <v>51.67</v>
      </c>
      <c r="AS449" s="3">
        <f ca="1">IFERROR(__xludf.DUMMYFUNCTION("""COMPUTED_VALUE"""),51.79)</f>
        <v>51.79</v>
      </c>
      <c r="AT449" s="3">
        <f ca="1">IFERROR(__xludf.DUMMYFUNCTION("""COMPUTED_VALUE"""),51.52)</f>
        <v>51.52</v>
      </c>
      <c r="AU449" s="3">
        <f ca="1">IFERROR(__xludf.DUMMYFUNCTION("""COMPUTED_VALUE"""),51.63)</f>
        <v>51.63</v>
      </c>
      <c r="AV449" s="3">
        <f ca="1">IFERROR(__xludf.DUMMYFUNCTION("""COMPUTED_VALUE"""),8117431)</f>
        <v>8117431</v>
      </c>
      <c r="AW449" s="4">
        <f ca="1">IFERROR(__xludf.DUMMYFUNCTION("""COMPUTED_VALUE"""),42941.6666666666)</f>
        <v>42941.666666666599</v>
      </c>
      <c r="AX449" s="3">
        <f ca="1">IFERROR(__xludf.DUMMYFUNCTION("""COMPUTED_VALUE"""),32.43)</f>
        <v>32.43</v>
      </c>
      <c r="AY449" s="3">
        <f ca="1">IFERROR(__xludf.DUMMYFUNCTION("""COMPUTED_VALUE"""),32.43)</f>
        <v>32.43</v>
      </c>
      <c r="AZ449" s="3">
        <f ca="1">IFERROR(__xludf.DUMMYFUNCTION("""COMPUTED_VALUE"""),32.2)</f>
        <v>32.200000000000003</v>
      </c>
      <c r="BA449" s="3">
        <f ca="1">IFERROR(__xludf.DUMMYFUNCTION("""COMPUTED_VALUE"""),32.42)</f>
        <v>32.42</v>
      </c>
      <c r="BB449" s="3">
        <f ca="1">IFERROR(__xludf.DUMMYFUNCTION("""COMPUTED_VALUE"""),2142773)</f>
        <v>2142773</v>
      </c>
      <c r="BC449" s="4">
        <f ca="1">IFERROR(__xludf.DUMMYFUNCTION("""COMPUTED_VALUE"""),42775.6666666666)</f>
        <v>42775.666666666599</v>
      </c>
      <c r="BD449" s="3">
        <f ca="1">IFERROR(__xludf.DUMMYFUNCTION("""COMPUTED_VALUE"""),51.04)</f>
        <v>51.04</v>
      </c>
      <c r="BE449" s="3">
        <f ca="1">IFERROR(__xludf.DUMMYFUNCTION("""COMPUTED_VALUE"""),51.3)</f>
        <v>51.3</v>
      </c>
      <c r="BF449" s="3">
        <f ca="1">IFERROR(__xludf.DUMMYFUNCTION("""COMPUTED_VALUE"""),51.01)</f>
        <v>51.01</v>
      </c>
      <c r="BG449" s="3">
        <f ca="1">IFERROR(__xludf.DUMMYFUNCTION("""COMPUTED_VALUE"""),51.17)</f>
        <v>51.17</v>
      </c>
      <c r="BH449" s="3">
        <f ca="1">IFERROR(__xludf.DUMMYFUNCTION("""COMPUTED_VALUE"""),4870022)</f>
        <v>4870022</v>
      </c>
      <c r="BI449" s="4">
        <f ca="1">IFERROR(__xludf.DUMMYFUNCTION("""COMPUTED_VALUE"""),42775.6666666666)</f>
        <v>42775.666666666599</v>
      </c>
      <c r="BJ449" s="3">
        <f ca="1">IFERROR(__xludf.DUMMYFUNCTION("""COMPUTED_VALUE"""),49.35)</f>
        <v>49.35</v>
      </c>
      <c r="BK449" s="3">
        <f ca="1">IFERROR(__xludf.DUMMYFUNCTION("""COMPUTED_VALUE"""),49.47)</f>
        <v>49.47</v>
      </c>
      <c r="BL449" s="3">
        <f ca="1">IFERROR(__xludf.DUMMYFUNCTION("""COMPUTED_VALUE"""),48.86)</f>
        <v>48.86</v>
      </c>
      <c r="BM449" s="3">
        <f ca="1">IFERROR(__xludf.DUMMYFUNCTION("""COMPUTED_VALUE"""),48.98)</f>
        <v>48.98</v>
      </c>
      <c r="BN449" s="3">
        <f ca="1">IFERROR(__xludf.DUMMYFUNCTION("""COMPUTED_VALUE"""),14496034)</f>
        <v>14496034</v>
      </c>
    </row>
    <row r="450" spans="7:66" ht="13" x14ac:dyDescent="0.15">
      <c r="G450" s="4">
        <f ca="1">IFERROR(__xludf.DUMMYFUNCTION("""COMPUTED_VALUE"""),42776.6666666666)</f>
        <v>42776.666666666599</v>
      </c>
      <c r="H450" s="3">
        <f ca="1">IFERROR(__xludf.DUMMYFUNCTION("""COMPUTED_VALUE"""),85.33)</f>
        <v>85.33</v>
      </c>
      <c r="I450" s="3">
        <f ca="1">IFERROR(__xludf.DUMMYFUNCTION("""COMPUTED_VALUE"""),85.76)</f>
        <v>85.76</v>
      </c>
      <c r="J450" s="3">
        <f ca="1">IFERROR(__xludf.DUMMYFUNCTION("""COMPUTED_VALUE"""),85.29)</f>
        <v>85.29</v>
      </c>
      <c r="K450" s="3">
        <f ca="1">IFERROR(__xludf.DUMMYFUNCTION("""COMPUTED_VALUE"""),85.73)</f>
        <v>85.73</v>
      </c>
      <c r="L450" s="3">
        <f ca="1">IFERROR(__xludf.DUMMYFUNCTION("""COMPUTED_VALUE"""),3826000)</f>
        <v>3826000</v>
      </c>
      <c r="M450" s="4">
        <f ca="1">IFERROR(__xludf.DUMMYFUNCTION("""COMPUTED_VALUE"""),42776.6666666666)</f>
        <v>42776.666666666599</v>
      </c>
      <c r="N450" s="3">
        <f ca="1">IFERROR(__xludf.DUMMYFUNCTION("""COMPUTED_VALUE"""),53.61)</f>
        <v>53.61</v>
      </c>
      <c r="O450" s="3">
        <f ca="1">IFERROR(__xludf.DUMMYFUNCTION("""COMPUTED_VALUE"""),53.69)</f>
        <v>53.69</v>
      </c>
      <c r="P450" s="3">
        <f ca="1">IFERROR(__xludf.DUMMYFUNCTION("""COMPUTED_VALUE"""),53.42)</f>
        <v>53.42</v>
      </c>
      <c r="Q450" s="3">
        <f ca="1">IFERROR(__xludf.DUMMYFUNCTION("""COMPUTED_VALUE"""),53.62)</f>
        <v>53.62</v>
      </c>
      <c r="R450" s="3">
        <f ca="1">IFERROR(__xludf.DUMMYFUNCTION("""COMPUTED_VALUE"""),9354195)</f>
        <v>9354195</v>
      </c>
      <c r="S450" s="4">
        <f ca="1">IFERROR(__xludf.DUMMYFUNCTION("""COMPUTED_VALUE"""),42776.6666666666)</f>
        <v>42776.666666666599</v>
      </c>
      <c r="T450" s="3">
        <f ca="1">IFERROR(__xludf.DUMMYFUNCTION("""COMPUTED_VALUE"""),73.31)</f>
        <v>73.31</v>
      </c>
      <c r="U450" s="3">
        <f ca="1">IFERROR(__xludf.DUMMYFUNCTION("""COMPUTED_VALUE"""),73.69)</f>
        <v>73.69</v>
      </c>
      <c r="V450" s="3">
        <f ca="1">IFERROR(__xludf.DUMMYFUNCTION("""COMPUTED_VALUE"""),73.06)</f>
        <v>73.06</v>
      </c>
      <c r="W450" s="3">
        <f ca="1">IFERROR(__xludf.DUMMYFUNCTION("""COMPUTED_VALUE"""),73.28)</f>
        <v>73.28</v>
      </c>
      <c r="X450" s="3">
        <f ca="1">IFERROR(__xludf.DUMMYFUNCTION("""COMPUTED_VALUE"""),10405367)</f>
        <v>10405367</v>
      </c>
      <c r="Y450" s="4">
        <f ca="1">IFERROR(__xludf.DUMMYFUNCTION("""COMPUTED_VALUE"""),42776.6666666666)</f>
        <v>42776.666666666599</v>
      </c>
      <c r="Z450" s="3">
        <f ca="1">IFERROR(__xludf.DUMMYFUNCTION("""COMPUTED_VALUE"""),23.85)</f>
        <v>23.85</v>
      </c>
      <c r="AA450" s="3">
        <f ca="1">IFERROR(__xludf.DUMMYFUNCTION("""COMPUTED_VALUE"""),23.86)</f>
        <v>23.86</v>
      </c>
      <c r="AB450" s="3">
        <f ca="1">IFERROR(__xludf.DUMMYFUNCTION("""COMPUTED_VALUE"""),23.69)</f>
        <v>23.69</v>
      </c>
      <c r="AC450" s="3">
        <f ca="1">IFERROR(__xludf.DUMMYFUNCTION("""COMPUTED_VALUE"""),23.78)</f>
        <v>23.78</v>
      </c>
      <c r="AD450" s="3">
        <f ca="1">IFERROR(__xludf.DUMMYFUNCTION("""COMPUTED_VALUE"""),55078737)</f>
        <v>55078737</v>
      </c>
      <c r="AE450" s="4">
        <f ca="1">IFERROR(__xludf.DUMMYFUNCTION("""COMPUTED_VALUE"""),42776.6666666666)</f>
        <v>42776.666666666599</v>
      </c>
      <c r="AF450" s="3">
        <f ca="1">IFERROR(__xludf.DUMMYFUNCTION("""COMPUTED_VALUE"""),71.83)</f>
        <v>71.83</v>
      </c>
      <c r="AG450" s="3">
        <f ca="1">IFERROR(__xludf.DUMMYFUNCTION("""COMPUTED_VALUE"""),72.02)</f>
        <v>72.02</v>
      </c>
      <c r="AH450" s="3">
        <f ca="1">IFERROR(__xludf.DUMMYFUNCTION("""COMPUTED_VALUE"""),71.66)</f>
        <v>71.66</v>
      </c>
      <c r="AI450" s="3">
        <f ca="1">IFERROR(__xludf.DUMMYFUNCTION("""COMPUTED_VALUE"""),71.86)</f>
        <v>71.86</v>
      </c>
      <c r="AJ450" s="3">
        <f ca="1">IFERROR(__xludf.DUMMYFUNCTION("""COMPUTED_VALUE"""),4440343)</f>
        <v>4440343</v>
      </c>
      <c r="AK450" s="4">
        <f ca="1">IFERROR(__xludf.DUMMYFUNCTION("""COMPUTED_VALUE"""),42776.6666666666)</f>
        <v>42776.666666666599</v>
      </c>
      <c r="AL450" s="3">
        <f ca="1">IFERROR(__xludf.DUMMYFUNCTION("""COMPUTED_VALUE"""),64.52)</f>
        <v>64.52</v>
      </c>
      <c r="AM450" s="3">
        <f ca="1">IFERROR(__xludf.DUMMYFUNCTION("""COMPUTED_VALUE"""),64.79)</f>
        <v>64.790000000000006</v>
      </c>
      <c r="AN450" s="3">
        <f ca="1">IFERROR(__xludf.DUMMYFUNCTION("""COMPUTED_VALUE"""),64.37)</f>
        <v>64.37</v>
      </c>
      <c r="AO450" s="3">
        <f ca="1">IFERROR(__xludf.DUMMYFUNCTION("""COMPUTED_VALUE"""),64.73)</f>
        <v>64.73</v>
      </c>
      <c r="AP450" s="3">
        <f ca="1">IFERROR(__xludf.DUMMYFUNCTION("""COMPUTED_VALUE"""),7445764)</f>
        <v>7445764</v>
      </c>
      <c r="AQ450" s="4">
        <f ca="1">IFERROR(__xludf.DUMMYFUNCTION("""COMPUTED_VALUE"""),42776.6666666666)</f>
        <v>42776.666666666599</v>
      </c>
      <c r="AR450" s="3">
        <f ca="1">IFERROR(__xludf.DUMMYFUNCTION("""COMPUTED_VALUE"""),51.86)</f>
        <v>51.86</v>
      </c>
      <c r="AS450" s="3">
        <f ca="1">IFERROR(__xludf.DUMMYFUNCTION("""COMPUTED_VALUE"""),52.18)</f>
        <v>52.18</v>
      </c>
      <c r="AT450" s="3">
        <f ca="1">IFERROR(__xludf.DUMMYFUNCTION("""COMPUTED_VALUE"""),51.83)</f>
        <v>51.83</v>
      </c>
      <c r="AU450" s="3">
        <f ca="1">IFERROR(__xludf.DUMMYFUNCTION("""COMPUTED_VALUE"""),52.1)</f>
        <v>52.1</v>
      </c>
      <c r="AV450" s="3">
        <f ca="1">IFERROR(__xludf.DUMMYFUNCTION("""COMPUTED_VALUE"""),3477481)</f>
        <v>3477481</v>
      </c>
      <c r="AW450" s="4">
        <f ca="1">IFERROR(__xludf.DUMMYFUNCTION("""COMPUTED_VALUE"""),42942.6666666666)</f>
        <v>42942.666666666599</v>
      </c>
      <c r="AX450" s="3">
        <f ca="1">IFERROR(__xludf.DUMMYFUNCTION("""COMPUTED_VALUE"""),32.43)</f>
        <v>32.43</v>
      </c>
      <c r="AY450" s="3">
        <f ca="1">IFERROR(__xludf.DUMMYFUNCTION("""COMPUTED_VALUE"""),32.77)</f>
        <v>32.770000000000003</v>
      </c>
      <c r="AZ450" s="3">
        <f ca="1">IFERROR(__xludf.DUMMYFUNCTION("""COMPUTED_VALUE"""),32.34)</f>
        <v>32.340000000000003</v>
      </c>
      <c r="BA450" s="3">
        <f ca="1">IFERROR(__xludf.DUMMYFUNCTION("""COMPUTED_VALUE"""),32.69)</f>
        <v>32.69</v>
      </c>
      <c r="BB450" s="3">
        <f ca="1">IFERROR(__xludf.DUMMYFUNCTION("""COMPUTED_VALUE"""),1903795)</f>
        <v>1903795</v>
      </c>
      <c r="BC450" s="4">
        <f ca="1">IFERROR(__xludf.DUMMYFUNCTION("""COMPUTED_VALUE"""),42776.6666666666)</f>
        <v>42776.666666666599</v>
      </c>
      <c r="BD450" s="3">
        <f ca="1">IFERROR(__xludf.DUMMYFUNCTION("""COMPUTED_VALUE"""),51.29)</f>
        <v>51.29</v>
      </c>
      <c r="BE450" s="3">
        <f ca="1">IFERROR(__xludf.DUMMYFUNCTION("""COMPUTED_VALUE"""),51.4)</f>
        <v>51.4</v>
      </c>
      <c r="BF450" s="3">
        <f ca="1">IFERROR(__xludf.DUMMYFUNCTION("""COMPUTED_VALUE"""),51.16)</f>
        <v>51.16</v>
      </c>
      <c r="BG450" s="3">
        <f ca="1">IFERROR(__xludf.DUMMYFUNCTION("""COMPUTED_VALUE"""),51.32)</f>
        <v>51.32</v>
      </c>
      <c r="BH450" s="3">
        <f ca="1">IFERROR(__xludf.DUMMYFUNCTION("""COMPUTED_VALUE"""),4177870)</f>
        <v>4177870</v>
      </c>
      <c r="BI450" s="4">
        <f ca="1">IFERROR(__xludf.DUMMYFUNCTION("""COMPUTED_VALUE"""),42776.6666666666)</f>
        <v>42776.666666666599</v>
      </c>
      <c r="BJ450" s="3">
        <f ca="1">IFERROR(__xludf.DUMMYFUNCTION("""COMPUTED_VALUE"""),48.85)</f>
        <v>48.85</v>
      </c>
      <c r="BK450" s="3">
        <f ca="1">IFERROR(__xludf.DUMMYFUNCTION("""COMPUTED_VALUE"""),49.36)</f>
        <v>49.36</v>
      </c>
      <c r="BL450" s="3">
        <f ca="1">IFERROR(__xludf.DUMMYFUNCTION("""COMPUTED_VALUE"""),48.84)</f>
        <v>48.84</v>
      </c>
      <c r="BM450" s="3">
        <f ca="1">IFERROR(__xludf.DUMMYFUNCTION("""COMPUTED_VALUE"""),49.29)</f>
        <v>49.29</v>
      </c>
      <c r="BN450" s="3">
        <f ca="1">IFERROR(__xludf.DUMMYFUNCTION("""COMPUTED_VALUE"""),9479582)</f>
        <v>9479582</v>
      </c>
    </row>
    <row r="451" spans="7:66" ht="13" x14ac:dyDescent="0.15">
      <c r="G451" s="4">
        <f ca="1">IFERROR(__xludf.DUMMYFUNCTION("""COMPUTED_VALUE"""),42779.6666666666)</f>
        <v>42779.666666666599</v>
      </c>
      <c r="H451" s="3">
        <f ca="1">IFERROR(__xludf.DUMMYFUNCTION("""COMPUTED_VALUE"""),85.93)</f>
        <v>85.93</v>
      </c>
      <c r="I451" s="3">
        <f ca="1">IFERROR(__xludf.DUMMYFUNCTION("""COMPUTED_VALUE"""),86.05)</f>
        <v>86.05</v>
      </c>
      <c r="J451" s="3">
        <f ca="1">IFERROR(__xludf.DUMMYFUNCTION("""COMPUTED_VALUE"""),85.71)</f>
        <v>85.71</v>
      </c>
      <c r="K451" s="3">
        <f ca="1">IFERROR(__xludf.DUMMYFUNCTION("""COMPUTED_VALUE"""),85.83)</f>
        <v>85.83</v>
      </c>
      <c r="L451" s="3">
        <f ca="1">IFERROR(__xludf.DUMMYFUNCTION("""COMPUTED_VALUE"""),4408807)</f>
        <v>4408807</v>
      </c>
      <c r="M451" s="4">
        <f ca="1">IFERROR(__xludf.DUMMYFUNCTION("""COMPUTED_VALUE"""),42779.6666666666)</f>
        <v>42779.666666666599</v>
      </c>
      <c r="N451" s="3">
        <f ca="1">IFERROR(__xludf.DUMMYFUNCTION("""COMPUTED_VALUE"""),53.7)</f>
        <v>53.7</v>
      </c>
      <c r="O451" s="3">
        <f ca="1">IFERROR(__xludf.DUMMYFUNCTION("""COMPUTED_VALUE"""),53.77)</f>
        <v>53.77</v>
      </c>
      <c r="P451" s="3">
        <f ca="1">IFERROR(__xludf.DUMMYFUNCTION("""COMPUTED_VALUE"""),53.47)</f>
        <v>53.47</v>
      </c>
      <c r="Q451" s="3">
        <f ca="1">IFERROR(__xludf.DUMMYFUNCTION("""COMPUTED_VALUE"""),53.62)</f>
        <v>53.62</v>
      </c>
      <c r="R451" s="3">
        <f ca="1">IFERROR(__xludf.DUMMYFUNCTION("""COMPUTED_VALUE"""),14059475)</f>
        <v>14059475</v>
      </c>
      <c r="S451" s="4">
        <f ca="1">IFERROR(__xludf.DUMMYFUNCTION("""COMPUTED_VALUE"""),42779.6666666666)</f>
        <v>42779.666666666599</v>
      </c>
      <c r="T451" s="3">
        <f ca="1">IFERROR(__xludf.DUMMYFUNCTION("""COMPUTED_VALUE"""),73.13)</f>
        <v>73.13</v>
      </c>
      <c r="U451" s="3">
        <f ca="1">IFERROR(__xludf.DUMMYFUNCTION("""COMPUTED_VALUE"""),73.45)</f>
        <v>73.45</v>
      </c>
      <c r="V451" s="3">
        <f ca="1">IFERROR(__xludf.DUMMYFUNCTION("""COMPUTED_VALUE"""),72.99)</f>
        <v>72.989999999999995</v>
      </c>
      <c r="W451" s="3">
        <f ca="1">IFERROR(__xludf.DUMMYFUNCTION("""COMPUTED_VALUE"""),73.42)</f>
        <v>73.42</v>
      </c>
      <c r="X451" s="3">
        <f ca="1">IFERROR(__xludf.DUMMYFUNCTION("""COMPUTED_VALUE"""),7984938)</f>
        <v>7984938</v>
      </c>
      <c r="Y451" s="4">
        <f ca="1">IFERROR(__xludf.DUMMYFUNCTION("""COMPUTED_VALUE"""),42779.6666666666)</f>
        <v>42779.666666666599</v>
      </c>
      <c r="Z451" s="3">
        <f ca="1">IFERROR(__xludf.DUMMYFUNCTION("""COMPUTED_VALUE"""),23.93)</f>
        <v>23.93</v>
      </c>
      <c r="AA451" s="3">
        <f ca="1">IFERROR(__xludf.DUMMYFUNCTION("""COMPUTED_VALUE"""),24.16)</f>
        <v>24.16</v>
      </c>
      <c r="AB451" s="3">
        <f ca="1">IFERROR(__xludf.DUMMYFUNCTION("""COMPUTED_VALUE"""),23.89)</f>
        <v>23.89</v>
      </c>
      <c r="AC451" s="3">
        <f ca="1">IFERROR(__xludf.DUMMYFUNCTION("""COMPUTED_VALUE"""),24.05)</f>
        <v>24.05</v>
      </c>
      <c r="AD451" s="3">
        <f ca="1">IFERROR(__xludf.DUMMYFUNCTION("""COMPUTED_VALUE"""),76687038)</f>
        <v>76687038</v>
      </c>
      <c r="AE451" s="4">
        <f ca="1">IFERROR(__xludf.DUMMYFUNCTION("""COMPUTED_VALUE"""),42779.6666666666)</f>
        <v>42779.666666666599</v>
      </c>
      <c r="AF451" s="3">
        <f ca="1">IFERROR(__xludf.DUMMYFUNCTION("""COMPUTED_VALUE"""),71.93)</f>
        <v>71.930000000000007</v>
      </c>
      <c r="AG451" s="3">
        <f ca="1">IFERROR(__xludf.DUMMYFUNCTION("""COMPUTED_VALUE"""),72.34)</f>
        <v>72.34</v>
      </c>
      <c r="AH451" s="3">
        <f ca="1">IFERROR(__xludf.DUMMYFUNCTION("""COMPUTED_VALUE"""),71.93)</f>
        <v>71.930000000000007</v>
      </c>
      <c r="AI451" s="3">
        <f ca="1">IFERROR(__xludf.DUMMYFUNCTION("""COMPUTED_VALUE"""),72.3)</f>
        <v>72.3</v>
      </c>
      <c r="AJ451" s="3">
        <f ca="1">IFERROR(__xludf.DUMMYFUNCTION("""COMPUTED_VALUE"""),6465225)</f>
        <v>6465225</v>
      </c>
      <c r="AK451" s="4">
        <f ca="1">IFERROR(__xludf.DUMMYFUNCTION("""COMPUTED_VALUE"""),42779.6666666666)</f>
        <v>42779.666666666599</v>
      </c>
      <c r="AL451" s="3">
        <f ca="1">IFERROR(__xludf.DUMMYFUNCTION("""COMPUTED_VALUE"""),64.99)</f>
        <v>64.989999999999995</v>
      </c>
      <c r="AM451" s="3">
        <f ca="1">IFERROR(__xludf.DUMMYFUNCTION("""COMPUTED_VALUE"""),65.5)</f>
        <v>65.5</v>
      </c>
      <c r="AN451" s="3">
        <f ca="1">IFERROR(__xludf.DUMMYFUNCTION("""COMPUTED_VALUE"""),64.97)</f>
        <v>64.97</v>
      </c>
      <c r="AO451" s="3">
        <f ca="1">IFERROR(__xludf.DUMMYFUNCTION("""COMPUTED_VALUE"""),65.38)</f>
        <v>65.38</v>
      </c>
      <c r="AP451" s="3">
        <f ca="1">IFERROR(__xludf.DUMMYFUNCTION("""COMPUTED_VALUE"""),17349579)</f>
        <v>17349579</v>
      </c>
      <c r="AQ451" s="4">
        <f ca="1">IFERROR(__xludf.DUMMYFUNCTION("""COMPUTED_VALUE"""),42779.6666666666)</f>
        <v>42779.666666666599</v>
      </c>
      <c r="AR451" s="3">
        <f ca="1">IFERROR(__xludf.DUMMYFUNCTION("""COMPUTED_VALUE"""),52.3)</f>
        <v>52.3</v>
      </c>
      <c r="AS451" s="3">
        <f ca="1">IFERROR(__xludf.DUMMYFUNCTION("""COMPUTED_VALUE"""),52.67)</f>
        <v>52.67</v>
      </c>
      <c r="AT451" s="3">
        <f ca="1">IFERROR(__xludf.DUMMYFUNCTION("""COMPUTED_VALUE"""),52.3)</f>
        <v>52.3</v>
      </c>
      <c r="AU451" s="3">
        <f ca="1">IFERROR(__xludf.DUMMYFUNCTION("""COMPUTED_VALUE"""),52.53)</f>
        <v>52.53</v>
      </c>
      <c r="AV451" s="3">
        <f ca="1">IFERROR(__xludf.DUMMYFUNCTION("""COMPUTED_VALUE"""),3714068)</f>
        <v>3714068</v>
      </c>
      <c r="AW451" s="4">
        <f ca="1">IFERROR(__xludf.DUMMYFUNCTION("""COMPUTED_VALUE"""),42943.6666666666)</f>
        <v>42943.666666666599</v>
      </c>
      <c r="AX451" s="3">
        <f ca="1">IFERROR(__xludf.DUMMYFUNCTION("""COMPUTED_VALUE"""),32.56)</f>
        <v>32.56</v>
      </c>
      <c r="AY451" s="3">
        <f ca="1">IFERROR(__xludf.DUMMYFUNCTION("""COMPUTED_VALUE"""),32.76)</f>
        <v>32.76</v>
      </c>
      <c r="AZ451" s="3">
        <f ca="1">IFERROR(__xludf.DUMMYFUNCTION("""COMPUTED_VALUE"""),32.32)</f>
        <v>32.32</v>
      </c>
      <c r="BA451" s="3">
        <f ca="1">IFERROR(__xludf.DUMMYFUNCTION("""COMPUTED_VALUE"""),32.66)</f>
        <v>32.659999999999997</v>
      </c>
      <c r="BB451" s="3">
        <f ca="1">IFERROR(__xludf.DUMMYFUNCTION("""COMPUTED_VALUE"""),2164655)</f>
        <v>2164655</v>
      </c>
      <c r="BC451" s="4">
        <f ca="1">IFERROR(__xludf.DUMMYFUNCTION("""COMPUTED_VALUE"""),42779.6666666666)</f>
        <v>42779.666666666599</v>
      </c>
      <c r="BD451" s="3">
        <f ca="1">IFERROR(__xludf.DUMMYFUNCTION("""COMPUTED_VALUE"""),51.41)</f>
        <v>51.41</v>
      </c>
      <c r="BE451" s="3">
        <f ca="1">IFERROR(__xludf.DUMMYFUNCTION("""COMPUTED_VALUE"""),51.61)</f>
        <v>51.61</v>
      </c>
      <c r="BF451" s="3">
        <f ca="1">IFERROR(__xludf.DUMMYFUNCTION("""COMPUTED_VALUE"""),51.34)</f>
        <v>51.34</v>
      </c>
      <c r="BG451" s="3">
        <f ca="1">IFERROR(__xludf.DUMMYFUNCTION("""COMPUTED_VALUE"""),51.55)</f>
        <v>51.55</v>
      </c>
      <c r="BH451" s="3">
        <f ca="1">IFERROR(__xludf.DUMMYFUNCTION("""COMPUTED_VALUE"""),6579703)</f>
        <v>6579703</v>
      </c>
      <c r="BI451" s="4">
        <f ca="1">IFERROR(__xludf.DUMMYFUNCTION("""COMPUTED_VALUE"""),42779.6666666666)</f>
        <v>42779.666666666599</v>
      </c>
      <c r="BJ451" s="3">
        <f ca="1">IFERROR(__xludf.DUMMYFUNCTION("""COMPUTED_VALUE"""),49.33)</f>
        <v>49.33</v>
      </c>
      <c r="BK451" s="3">
        <f ca="1">IFERROR(__xludf.DUMMYFUNCTION("""COMPUTED_VALUE"""),49.58)</f>
        <v>49.58</v>
      </c>
      <c r="BL451" s="3">
        <f ca="1">IFERROR(__xludf.DUMMYFUNCTION("""COMPUTED_VALUE"""),49.16)</f>
        <v>49.16</v>
      </c>
      <c r="BM451" s="3">
        <f ca="1">IFERROR(__xludf.DUMMYFUNCTION("""COMPUTED_VALUE"""),49.53)</f>
        <v>49.53</v>
      </c>
      <c r="BN451" s="3">
        <f ca="1">IFERROR(__xludf.DUMMYFUNCTION("""COMPUTED_VALUE"""),13042814)</f>
        <v>13042814</v>
      </c>
    </row>
    <row r="452" spans="7:66" ht="13" x14ac:dyDescent="0.15">
      <c r="G452" s="4">
        <f ca="1">IFERROR(__xludf.DUMMYFUNCTION("""COMPUTED_VALUE"""),42780.6666666666)</f>
        <v>42780.666666666599</v>
      </c>
      <c r="H452" s="3">
        <f ca="1">IFERROR(__xludf.DUMMYFUNCTION("""COMPUTED_VALUE"""),85.79)</f>
        <v>85.79</v>
      </c>
      <c r="I452" s="3">
        <f ca="1">IFERROR(__xludf.DUMMYFUNCTION("""COMPUTED_VALUE"""),86.32)</f>
        <v>86.32</v>
      </c>
      <c r="J452" s="3">
        <f ca="1">IFERROR(__xludf.DUMMYFUNCTION("""COMPUTED_VALUE"""),85.76)</f>
        <v>85.76</v>
      </c>
      <c r="K452" s="3">
        <f ca="1">IFERROR(__xludf.DUMMYFUNCTION("""COMPUTED_VALUE"""),86.32)</f>
        <v>86.32</v>
      </c>
      <c r="L452" s="3">
        <f ca="1">IFERROR(__xludf.DUMMYFUNCTION("""COMPUTED_VALUE"""),3168130)</f>
        <v>3168130</v>
      </c>
      <c r="M452" s="4">
        <f ca="1">IFERROR(__xludf.DUMMYFUNCTION("""COMPUTED_VALUE"""),42780.6666666666)</f>
        <v>42780.666666666599</v>
      </c>
      <c r="N452" s="3">
        <f ca="1">IFERROR(__xludf.DUMMYFUNCTION("""COMPUTED_VALUE"""),53.49)</f>
        <v>53.49</v>
      </c>
      <c r="O452" s="3">
        <f ca="1">IFERROR(__xludf.DUMMYFUNCTION("""COMPUTED_VALUE"""),53.73)</f>
        <v>53.73</v>
      </c>
      <c r="P452" s="3">
        <f ca="1">IFERROR(__xludf.DUMMYFUNCTION("""COMPUTED_VALUE"""),53.3)</f>
        <v>53.3</v>
      </c>
      <c r="Q452" s="3">
        <f ca="1">IFERROR(__xludf.DUMMYFUNCTION("""COMPUTED_VALUE"""),53.63)</f>
        <v>53.63</v>
      </c>
      <c r="R452" s="3">
        <f ca="1">IFERROR(__xludf.DUMMYFUNCTION("""COMPUTED_VALUE"""),10483346)</f>
        <v>10483346</v>
      </c>
      <c r="S452" s="4">
        <f ca="1">IFERROR(__xludf.DUMMYFUNCTION("""COMPUTED_VALUE"""),42780.6666666666)</f>
        <v>42780.666666666599</v>
      </c>
      <c r="T452" s="3">
        <f ca="1">IFERROR(__xludf.DUMMYFUNCTION("""COMPUTED_VALUE"""),73.63)</f>
        <v>73.63</v>
      </c>
      <c r="U452" s="3">
        <f ca="1">IFERROR(__xludf.DUMMYFUNCTION("""COMPUTED_VALUE"""),73.69)</f>
        <v>73.69</v>
      </c>
      <c r="V452" s="3">
        <f ca="1">IFERROR(__xludf.DUMMYFUNCTION("""COMPUTED_VALUE"""),72.74)</f>
        <v>72.739999999999995</v>
      </c>
      <c r="W452" s="3">
        <f ca="1">IFERROR(__xludf.DUMMYFUNCTION("""COMPUTED_VALUE"""),73.66)</f>
        <v>73.66</v>
      </c>
      <c r="X452" s="3">
        <f ca="1">IFERROR(__xludf.DUMMYFUNCTION("""COMPUTED_VALUE"""),10771687)</f>
        <v>10771687</v>
      </c>
      <c r="Y452" s="4">
        <f ca="1">IFERROR(__xludf.DUMMYFUNCTION("""COMPUTED_VALUE"""),42780.6666666666)</f>
        <v>42780.666666666599</v>
      </c>
      <c r="Z452" s="3">
        <f ca="1">IFERROR(__xludf.DUMMYFUNCTION("""COMPUTED_VALUE"""),24.03)</f>
        <v>24.03</v>
      </c>
      <c r="AA452" s="3">
        <f ca="1">IFERROR(__xludf.DUMMYFUNCTION("""COMPUTED_VALUE"""),24.36)</f>
        <v>24.36</v>
      </c>
      <c r="AB452" s="3">
        <f ca="1">IFERROR(__xludf.DUMMYFUNCTION("""COMPUTED_VALUE"""),23.99)</f>
        <v>23.99</v>
      </c>
      <c r="AC452" s="3">
        <f ca="1">IFERROR(__xludf.DUMMYFUNCTION("""COMPUTED_VALUE"""),24.33)</f>
        <v>24.33</v>
      </c>
      <c r="AD452" s="3">
        <f ca="1">IFERROR(__xludf.DUMMYFUNCTION("""COMPUTED_VALUE"""),75954279)</f>
        <v>75954279</v>
      </c>
      <c r="AE452" s="4">
        <f ca="1">IFERROR(__xludf.DUMMYFUNCTION("""COMPUTED_VALUE"""),42780.6666666666)</f>
        <v>42780.666666666599</v>
      </c>
      <c r="AF452" s="3">
        <f ca="1">IFERROR(__xludf.DUMMYFUNCTION("""COMPUTED_VALUE"""),72.22)</f>
        <v>72.22</v>
      </c>
      <c r="AG452" s="3">
        <f ca="1">IFERROR(__xludf.DUMMYFUNCTION("""COMPUTED_VALUE"""),72.87)</f>
        <v>72.87</v>
      </c>
      <c r="AH452" s="3">
        <f ca="1">IFERROR(__xludf.DUMMYFUNCTION("""COMPUTED_VALUE"""),72.17)</f>
        <v>72.17</v>
      </c>
      <c r="AI452" s="3">
        <f ca="1">IFERROR(__xludf.DUMMYFUNCTION("""COMPUTED_VALUE"""),72.87)</f>
        <v>72.87</v>
      </c>
      <c r="AJ452" s="3">
        <f ca="1">IFERROR(__xludf.DUMMYFUNCTION("""COMPUTED_VALUE"""),10402997)</f>
        <v>10402997</v>
      </c>
      <c r="AK452" s="4">
        <f ca="1">IFERROR(__xludf.DUMMYFUNCTION("""COMPUTED_VALUE"""),42780.6666666666)</f>
        <v>42780.666666666599</v>
      </c>
      <c r="AL452" s="3">
        <f ca="1">IFERROR(__xludf.DUMMYFUNCTION("""COMPUTED_VALUE"""),65.29)</f>
        <v>65.290000000000006</v>
      </c>
      <c r="AM452" s="3">
        <f ca="1">IFERROR(__xludf.DUMMYFUNCTION("""COMPUTED_VALUE"""),65.41)</f>
        <v>65.41</v>
      </c>
      <c r="AN452" s="3">
        <f ca="1">IFERROR(__xludf.DUMMYFUNCTION("""COMPUTED_VALUE"""),65.05)</f>
        <v>65.05</v>
      </c>
      <c r="AO452" s="3">
        <f ca="1">IFERROR(__xludf.DUMMYFUNCTION("""COMPUTED_VALUE"""),65.41)</f>
        <v>65.41</v>
      </c>
      <c r="AP452" s="3">
        <f ca="1">IFERROR(__xludf.DUMMYFUNCTION("""COMPUTED_VALUE"""),8578572)</f>
        <v>8578572</v>
      </c>
      <c r="AQ452" s="4">
        <f ca="1">IFERROR(__xludf.DUMMYFUNCTION("""COMPUTED_VALUE"""),42780.6666666666)</f>
        <v>42780.666666666599</v>
      </c>
      <c r="AR452" s="3">
        <f ca="1">IFERROR(__xludf.DUMMYFUNCTION("""COMPUTED_VALUE"""),52.44)</f>
        <v>52.44</v>
      </c>
      <c r="AS452" s="3">
        <f ca="1">IFERROR(__xludf.DUMMYFUNCTION("""COMPUTED_VALUE"""),52.55)</f>
        <v>52.55</v>
      </c>
      <c r="AT452" s="3">
        <f ca="1">IFERROR(__xludf.DUMMYFUNCTION("""COMPUTED_VALUE"""),52.18)</f>
        <v>52.18</v>
      </c>
      <c r="AU452" s="3">
        <f ca="1">IFERROR(__xludf.DUMMYFUNCTION("""COMPUTED_VALUE"""),52.52)</f>
        <v>52.52</v>
      </c>
      <c r="AV452" s="3">
        <f ca="1">IFERROR(__xludf.DUMMYFUNCTION("""COMPUTED_VALUE"""),3662282)</f>
        <v>3662282</v>
      </c>
      <c r="AW452" s="4">
        <f ca="1">IFERROR(__xludf.DUMMYFUNCTION("""COMPUTED_VALUE"""),42944.6666666666)</f>
        <v>42944.666666666599</v>
      </c>
      <c r="AX452" s="3">
        <f ca="1">IFERROR(__xludf.DUMMYFUNCTION("""COMPUTED_VALUE"""),32.59)</f>
        <v>32.590000000000003</v>
      </c>
      <c r="AY452" s="3">
        <f ca="1">IFERROR(__xludf.DUMMYFUNCTION("""COMPUTED_VALUE"""),32.77)</f>
        <v>32.770000000000003</v>
      </c>
      <c r="AZ452" s="3">
        <f ca="1">IFERROR(__xludf.DUMMYFUNCTION("""COMPUTED_VALUE"""),32.52)</f>
        <v>32.520000000000003</v>
      </c>
      <c r="BA452" s="3">
        <f ca="1">IFERROR(__xludf.DUMMYFUNCTION("""COMPUTED_VALUE"""),32.64)</f>
        <v>32.64</v>
      </c>
      <c r="BB452" s="3">
        <f ca="1">IFERROR(__xludf.DUMMYFUNCTION("""COMPUTED_VALUE"""),2060197)</f>
        <v>2060197</v>
      </c>
      <c r="BC452" s="4">
        <f ca="1">IFERROR(__xludf.DUMMYFUNCTION("""COMPUTED_VALUE"""),42780.6666666666)</f>
        <v>42780.666666666599</v>
      </c>
      <c r="BD452" s="3">
        <f ca="1">IFERROR(__xludf.DUMMYFUNCTION("""COMPUTED_VALUE"""),51.49)</f>
        <v>51.49</v>
      </c>
      <c r="BE452" s="3">
        <f ca="1">IFERROR(__xludf.DUMMYFUNCTION("""COMPUTED_VALUE"""),51.72)</f>
        <v>51.72</v>
      </c>
      <c r="BF452" s="3">
        <f ca="1">IFERROR(__xludf.DUMMYFUNCTION("""COMPUTED_VALUE"""),51.34)</f>
        <v>51.34</v>
      </c>
      <c r="BG452" s="3">
        <f ca="1">IFERROR(__xludf.DUMMYFUNCTION("""COMPUTED_VALUE"""),51.72)</f>
        <v>51.72</v>
      </c>
      <c r="BH452" s="3">
        <f ca="1">IFERROR(__xludf.DUMMYFUNCTION("""COMPUTED_VALUE"""),6233755)</f>
        <v>6233755</v>
      </c>
      <c r="BI452" s="4">
        <f ca="1">IFERROR(__xludf.DUMMYFUNCTION("""COMPUTED_VALUE"""),42780.6666666666)</f>
        <v>42780.666666666599</v>
      </c>
      <c r="BJ452" s="3">
        <f ca="1">IFERROR(__xludf.DUMMYFUNCTION("""COMPUTED_VALUE"""),49.46)</f>
        <v>49.46</v>
      </c>
      <c r="BK452" s="3">
        <f ca="1">IFERROR(__xludf.DUMMYFUNCTION("""COMPUTED_VALUE"""),49.48)</f>
        <v>49.48</v>
      </c>
      <c r="BL452" s="3">
        <f ca="1">IFERROR(__xludf.DUMMYFUNCTION("""COMPUTED_VALUE"""),48.91)</f>
        <v>48.91</v>
      </c>
      <c r="BM452" s="3">
        <f ca="1">IFERROR(__xludf.DUMMYFUNCTION("""COMPUTED_VALUE"""),49.17)</f>
        <v>49.17</v>
      </c>
      <c r="BN452" s="3">
        <f ca="1">IFERROR(__xludf.DUMMYFUNCTION("""COMPUTED_VALUE"""),18784269)</f>
        <v>18784269</v>
      </c>
    </row>
    <row r="453" spans="7:66" ht="13" x14ac:dyDescent="0.15">
      <c r="G453" s="4">
        <f ca="1">IFERROR(__xludf.DUMMYFUNCTION("""COMPUTED_VALUE"""),42781.6666666666)</f>
        <v>42781.666666666599</v>
      </c>
      <c r="H453" s="3">
        <f ca="1">IFERROR(__xludf.DUMMYFUNCTION("""COMPUTED_VALUE"""),86.18)</f>
        <v>86.18</v>
      </c>
      <c r="I453" s="3">
        <f ca="1">IFERROR(__xludf.DUMMYFUNCTION("""COMPUTED_VALUE"""),86.8)</f>
        <v>86.8</v>
      </c>
      <c r="J453" s="3">
        <f ca="1">IFERROR(__xludf.DUMMYFUNCTION("""COMPUTED_VALUE"""),86.03)</f>
        <v>86.03</v>
      </c>
      <c r="K453" s="3">
        <f ca="1">IFERROR(__xludf.DUMMYFUNCTION("""COMPUTED_VALUE"""),86.77)</f>
        <v>86.77</v>
      </c>
      <c r="L453" s="3">
        <f ca="1">IFERROR(__xludf.DUMMYFUNCTION("""COMPUTED_VALUE"""),4754897)</f>
        <v>4754897</v>
      </c>
      <c r="M453" s="4">
        <f ca="1">IFERROR(__xludf.DUMMYFUNCTION("""COMPUTED_VALUE"""),42781.6666666666)</f>
        <v>42781.666666666599</v>
      </c>
      <c r="N453" s="3">
        <f ca="1">IFERROR(__xludf.DUMMYFUNCTION("""COMPUTED_VALUE"""),53.75)</f>
        <v>53.75</v>
      </c>
      <c r="O453" s="3">
        <f ca="1">IFERROR(__xludf.DUMMYFUNCTION("""COMPUTED_VALUE"""),54.16)</f>
        <v>54.16</v>
      </c>
      <c r="P453" s="3">
        <f ca="1">IFERROR(__xludf.DUMMYFUNCTION("""COMPUTED_VALUE"""),53.64)</f>
        <v>53.64</v>
      </c>
      <c r="Q453" s="3">
        <f ca="1">IFERROR(__xludf.DUMMYFUNCTION("""COMPUTED_VALUE"""),54.12)</f>
        <v>54.12</v>
      </c>
      <c r="R453" s="3">
        <f ca="1">IFERROR(__xludf.DUMMYFUNCTION("""COMPUTED_VALUE"""),12675948)</f>
        <v>12675948</v>
      </c>
      <c r="S453" s="4">
        <f ca="1">IFERROR(__xludf.DUMMYFUNCTION("""COMPUTED_VALUE"""),42781.6666666666)</f>
        <v>42781.666666666599</v>
      </c>
      <c r="T453" s="3">
        <f ca="1">IFERROR(__xludf.DUMMYFUNCTION("""COMPUTED_VALUE"""),73.44)</f>
        <v>73.44</v>
      </c>
      <c r="U453" s="3">
        <f ca="1">IFERROR(__xludf.DUMMYFUNCTION("""COMPUTED_VALUE"""),73.76)</f>
        <v>73.760000000000005</v>
      </c>
      <c r="V453" s="3">
        <f ca="1">IFERROR(__xludf.DUMMYFUNCTION("""COMPUTED_VALUE"""),73.13)</f>
        <v>73.13</v>
      </c>
      <c r="W453" s="3">
        <f ca="1">IFERROR(__xludf.DUMMYFUNCTION("""COMPUTED_VALUE"""),73.37)</f>
        <v>73.37</v>
      </c>
      <c r="X453" s="3">
        <f ca="1">IFERROR(__xludf.DUMMYFUNCTION("""COMPUTED_VALUE"""),8926600)</f>
        <v>8926600</v>
      </c>
      <c r="Y453" s="4">
        <f ca="1">IFERROR(__xludf.DUMMYFUNCTION("""COMPUTED_VALUE"""),42781.6666666666)</f>
        <v>42781.666666666599</v>
      </c>
      <c r="Z453" s="3">
        <f ca="1">IFERROR(__xludf.DUMMYFUNCTION("""COMPUTED_VALUE"""),24.45)</f>
        <v>24.45</v>
      </c>
      <c r="AA453" s="3">
        <f ca="1">IFERROR(__xludf.DUMMYFUNCTION("""COMPUTED_VALUE"""),24.57)</f>
        <v>24.57</v>
      </c>
      <c r="AB453" s="3">
        <f ca="1">IFERROR(__xludf.DUMMYFUNCTION("""COMPUTED_VALUE"""),24.27)</f>
        <v>24.27</v>
      </c>
      <c r="AC453" s="3">
        <f ca="1">IFERROR(__xludf.DUMMYFUNCTION("""COMPUTED_VALUE"""),24.52)</f>
        <v>24.52</v>
      </c>
      <c r="AD453" s="3">
        <f ca="1">IFERROR(__xludf.DUMMYFUNCTION("""COMPUTED_VALUE"""),76869353)</f>
        <v>76869353</v>
      </c>
      <c r="AE453" s="4">
        <f ca="1">IFERROR(__xludf.DUMMYFUNCTION("""COMPUTED_VALUE"""),42781.6666666666)</f>
        <v>42781.666666666599</v>
      </c>
      <c r="AF453" s="3">
        <f ca="1">IFERROR(__xludf.DUMMYFUNCTION("""COMPUTED_VALUE"""),72.71)</f>
        <v>72.709999999999994</v>
      </c>
      <c r="AG453" s="3">
        <f ca="1">IFERROR(__xludf.DUMMYFUNCTION("""COMPUTED_VALUE"""),73.8)</f>
        <v>73.8</v>
      </c>
      <c r="AH453" s="3">
        <f ca="1">IFERROR(__xludf.DUMMYFUNCTION("""COMPUTED_VALUE"""),72.64)</f>
        <v>72.64</v>
      </c>
      <c r="AI453" s="3">
        <f ca="1">IFERROR(__xludf.DUMMYFUNCTION("""COMPUTED_VALUE"""),73.66)</f>
        <v>73.66</v>
      </c>
      <c r="AJ453" s="3">
        <f ca="1">IFERROR(__xludf.DUMMYFUNCTION("""COMPUTED_VALUE"""),10091712)</f>
        <v>10091712</v>
      </c>
      <c r="AK453" s="4">
        <f ca="1">IFERROR(__xludf.DUMMYFUNCTION("""COMPUTED_VALUE"""),42781.6666666666)</f>
        <v>42781.666666666599</v>
      </c>
      <c r="AL453" s="3">
        <f ca="1">IFERROR(__xludf.DUMMYFUNCTION("""COMPUTED_VALUE"""),65.43)</f>
        <v>65.430000000000007</v>
      </c>
      <c r="AM453" s="3">
        <f ca="1">IFERROR(__xludf.DUMMYFUNCTION("""COMPUTED_VALUE"""),65.83)</f>
        <v>65.83</v>
      </c>
      <c r="AN453" s="3">
        <f ca="1">IFERROR(__xludf.DUMMYFUNCTION("""COMPUTED_VALUE"""),65.29)</f>
        <v>65.290000000000006</v>
      </c>
      <c r="AO453" s="3">
        <f ca="1">IFERROR(__xludf.DUMMYFUNCTION("""COMPUTED_VALUE"""),65.76)</f>
        <v>65.760000000000005</v>
      </c>
      <c r="AP453" s="3">
        <f ca="1">IFERROR(__xludf.DUMMYFUNCTION("""COMPUTED_VALUE"""),7845404)</f>
        <v>7845404</v>
      </c>
      <c r="AQ453" s="4">
        <f ca="1">IFERROR(__xludf.DUMMYFUNCTION("""COMPUTED_VALUE"""),42781.6666666666)</f>
        <v>42781.666666666599</v>
      </c>
      <c r="AR453" s="3">
        <f ca="1">IFERROR(__xludf.DUMMYFUNCTION("""COMPUTED_VALUE"""),52.38)</f>
        <v>52.38</v>
      </c>
      <c r="AS453" s="3">
        <f ca="1">IFERROR(__xludf.DUMMYFUNCTION("""COMPUTED_VALUE"""),52.62)</f>
        <v>52.62</v>
      </c>
      <c r="AT453" s="3">
        <f ca="1">IFERROR(__xludf.DUMMYFUNCTION("""COMPUTED_VALUE"""),52.35)</f>
        <v>52.35</v>
      </c>
      <c r="AU453" s="3">
        <f ca="1">IFERROR(__xludf.DUMMYFUNCTION("""COMPUTED_VALUE"""),52.45)</f>
        <v>52.45</v>
      </c>
      <c r="AV453" s="3">
        <f ca="1">IFERROR(__xludf.DUMMYFUNCTION("""COMPUTED_VALUE"""),3104904)</f>
        <v>3104904</v>
      </c>
      <c r="AW453" s="4">
        <f ca="1">IFERROR(__xludf.DUMMYFUNCTION("""COMPUTED_VALUE"""),42947.6666666666)</f>
        <v>42947.666666666599</v>
      </c>
      <c r="AX453" s="3">
        <f ca="1">IFERROR(__xludf.DUMMYFUNCTION("""COMPUTED_VALUE"""),32.62)</f>
        <v>32.619999999999997</v>
      </c>
      <c r="AY453" s="3">
        <f ca="1">IFERROR(__xludf.DUMMYFUNCTION("""COMPUTED_VALUE"""),32.66)</f>
        <v>32.659999999999997</v>
      </c>
      <c r="AZ453" s="3">
        <f ca="1">IFERROR(__xludf.DUMMYFUNCTION("""COMPUTED_VALUE"""),32.36)</f>
        <v>32.36</v>
      </c>
      <c r="BA453" s="3">
        <f ca="1">IFERROR(__xludf.DUMMYFUNCTION("""COMPUTED_VALUE"""),32.59)</f>
        <v>32.590000000000003</v>
      </c>
      <c r="BB453" s="3">
        <f ca="1">IFERROR(__xludf.DUMMYFUNCTION("""COMPUTED_VALUE"""),1526567)</f>
        <v>1526567</v>
      </c>
      <c r="BC453" s="4">
        <f ca="1">IFERROR(__xludf.DUMMYFUNCTION("""COMPUTED_VALUE"""),42781.6666666666)</f>
        <v>42781.666666666599</v>
      </c>
      <c r="BD453" s="3">
        <f ca="1">IFERROR(__xludf.DUMMYFUNCTION("""COMPUTED_VALUE"""),51.68)</f>
        <v>51.68</v>
      </c>
      <c r="BE453" s="3">
        <f ca="1">IFERROR(__xludf.DUMMYFUNCTION("""COMPUTED_VALUE"""),51.93)</f>
        <v>51.93</v>
      </c>
      <c r="BF453" s="3">
        <f ca="1">IFERROR(__xludf.DUMMYFUNCTION("""COMPUTED_VALUE"""),51.63)</f>
        <v>51.63</v>
      </c>
      <c r="BG453" s="3">
        <f ca="1">IFERROR(__xludf.DUMMYFUNCTION("""COMPUTED_VALUE"""),51.89)</f>
        <v>51.89</v>
      </c>
      <c r="BH453" s="3">
        <f ca="1">IFERROR(__xludf.DUMMYFUNCTION("""COMPUTED_VALUE"""),5947517)</f>
        <v>5947517</v>
      </c>
      <c r="BI453" s="4">
        <f ca="1">IFERROR(__xludf.DUMMYFUNCTION("""COMPUTED_VALUE"""),42781.6666666666)</f>
        <v>42781.666666666599</v>
      </c>
      <c r="BJ453" s="3">
        <f ca="1">IFERROR(__xludf.DUMMYFUNCTION("""COMPUTED_VALUE"""),48.82)</f>
        <v>48.82</v>
      </c>
      <c r="BK453" s="3">
        <f ca="1">IFERROR(__xludf.DUMMYFUNCTION("""COMPUTED_VALUE"""),49.07)</f>
        <v>49.07</v>
      </c>
      <c r="BL453" s="3">
        <f ca="1">IFERROR(__xludf.DUMMYFUNCTION("""COMPUTED_VALUE"""),48.65)</f>
        <v>48.65</v>
      </c>
      <c r="BM453" s="3">
        <f ca="1">IFERROR(__xludf.DUMMYFUNCTION("""COMPUTED_VALUE"""),49.05)</f>
        <v>49.05</v>
      </c>
      <c r="BN453" s="3">
        <f ca="1">IFERROR(__xludf.DUMMYFUNCTION("""COMPUTED_VALUE"""),18925381)</f>
        <v>18925381</v>
      </c>
    </row>
    <row r="454" spans="7:66" ht="13" x14ac:dyDescent="0.15">
      <c r="G454" s="4">
        <f ca="1">IFERROR(__xludf.DUMMYFUNCTION("""COMPUTED_VALUE"""),42782.6666666666)</f>
        <v>42782.666666666599</v>
      </c>
      <c r="H454" s="3">
        <f ca="1">IFERROR(__xludf.DUMMYFUNCTION("""COMPUTED_VALUE"""),86.68)</f>
        <v>86.68</v>
      </c>
      <c r="I454" s="3">
        <f ca="1">IFERROR(__xludf.DUMMYFUNCTION("""COMPUTED_VALUE"""),86.77)</f>
        <v>86.77</v>
      </c>
      <c r="J454" s="3">
        <f ca="1">IFERROR(__xludf.DUMMYFUNCTION("""COMPUTED_VALUE"""),86.17)</f>
        <v>86.17</v>
      </c>
      <c r="K454" s="3">
        <f ca="1">IFERROR(__xludf.DUMMYFUNCTION("""COMPUTED_VALUE"""),86.33)</f>
        <v>86.33</v>
      </c>
      <c r="L454" s="3">
        <f ca="1">IFERROR(__xludf.DUMMYFUNCTION("""COMPUTED_VALUE"""),3082517)</f>
        <v>3082517</v>
      </c>
      <c r="M454" s="4">
        <f ca="1">IFERROR(__xludf.DUMMYFUNCTION("""COMPUTED_VALUE"""),42782.6666666666)</f>
        <v>42782.666666666599</v>
      </c>
      <c r="N454" s="3">
        <f ca="1">IFERROR(__xludf.DUMMYFUNCTION("""COMPUTED_VALUE"""),54.06)</f>
        <v>54.06</v>
      </c>
      <c r="O454" s="3">
        <f ca="1">IFERROR(__xludf.DUMMYFUNCTION("""COMPUTED_VALUE"""),54.21)</f>
        <v>54.21</v>
      </c>
      <c r="P454" s="3">
        <f ca="1">IFERROR(__xludf.DUMMYFUNCTION("""COMPUTED_VALUE"""),53.81)</f>
        <v>53.81</v>
      </c>
      <c r="Q454" s="3">
        <f ca="1">IFERROR(__xludf.DUMMYFUNCTION("""COMPUTED_VALUE"""),54.19)</f>
        <v>54.19</v>
      </c>
      <c r="R454" s="3">
        <f ca="1">IFERROR(__xludf.DUMMYFUNCTION("""COMPUTED_VALUE"""),11377402)</f>
        <v>11377402</v>
      </c>
      <c r="S454" s="4">
        <f ca="1">IFERROR(__xludf.DUMMYFUNCTION("""COMPUTED_VALUE"""),42782.6666666666)</f>
        <v>42782.666666666599</v>
      </c>
      <c r="T454" s="3">
        <f ca="1">IFERROR(__xludf.DUMMYFUNCTION("""COMPUTED_VALUE"""),73.44)</f>
        <v>73.44</v>
      </c>
      <c r="U454" s="3">
        <f ca="1">IFERROR(__xludf.DUMMYFUNCTION("""COMPUTED_VALUE"""),73.54)</f>
        <v>73.540000000000006</v>
      </c>
      <c r="V454" s="3">
        <f ca="1">IFERROR(__xludf.DUMMYFUNCTION("""COMPUTED_VALUE"""),72.26)</f>
        <v>72.260000000000005</v>
      </c>
      <c r="W454" s="3">
        <f ca="1">IFERROR(__xludf.DUMMYFUNCTION("""COMPUTED_VALUE"""),72.37)</f>
        <v>72.37</v>
      </c>
      <c r="X454" s="3">
        <f ca="1">IFERROR(__xludf.DUMMYFUNCTION("""COMPUTED_VALUE"""),11375435)</f>
        <v>11375435</v>
      </c>
      <c r="Y454" s="4">
        <f ca="1">IFERROR(__xludf.DUMMYFUNCTION("""COMPUTED_VALUE"""),42782.6666666666)</f>
        <v>42782.666666666599</v>
      </c>
      <c r="Z454" s="3">
        <f ca="1">IFERROR(__xludf.DUMMYFUNCTION("""COMPUTED_VALUE"""),24.49)</f>
        <v>24.49</v>
      </c>
      <c r="AA454" s="3">
        <f ca="1">IFERROR(__xludf.DUMMYFUNCTION("""COMPUTED_VALUE"""),24.53)</f>
        <v>24.53</v>
      </c>
      <c r="AB454" s="3">
        <f ca="1">IFERROR(__xludf.DUMMYFUNCTION("""COMPUTED_VALUE"""),24.31)</f>
        <v>24.31</v>
      </c>
      <c r="AC454" s="3">
        <f ca="1">IFERROR(__xludf.DUMMYFUNCTION("""COMPUTED_VALUE"""),24.46)</f>
        <v>24.46</v>
      </c>
      <c r="AD454" s="3">
        <f ca="1">IFERROR(__xludf.DUMMYFUNCTION("""COMPUTED_VALUE"""),64048170)</f>
        <v>64048170</v>
      </c>
      <c r="AE454" s="4">
        <f ca="1">IFERROR(__xludf.DUMMYFUNCTION("""COMPUTED_VALUE"""),42782.6666666666)</f>
        <v>42782.666666666599</v>
      </c>
      <c r="AF454" s="3">
        <f ca="1">IFERROR(__xludf.DUMMYFUNCTION("""COMPUTED_VALUE"""),73.68)</f>
        <v>73.680000000000007</v>
      </c>
      <c r="AG454" s="3">
        <f ca="1">IFERROR(__xludf.DUMMYFUNCTION("""COMPUTED_VALUE"""),73.75)</f>
        <v>73.75</v>
      </c>
      <c r="AH454" s="3">
        <f ca="1">IFERROR(__xludf.DUMMYFUNCTION("""COMPUTED_VALUE"""),73.06)</f>
        <v>73.06</v>
      </c>
      <c r="AI454" s="3">
        <f ca="1">IFERROR(__xludf.DUMMYFUNCTION("""COMPUTED_VALUE"""),73.56)</f>
        <v>73.56</v>
      </c>
      <c r="AJ454" s="3">
        <f ca="1">IFERROR(__xludf.DUMMYFUNCTION("""COMPUTED_VALUE"""),11332623)</f>
        <v>11332623</v>
      </c>
      <c r="AK454" s="4">
        <f ca="1">IFERROR(__xludf.DUMMYFUNCTION("""COMPUTED_VALUE"""),42782.6666666666)</f>
        <v>42782.666666666599</v>
      </c>
      <c r="AL454" s="3">
        <f ca="1">IFERROR(__xludf.DUMMYFUNCTION("""COMPUTED_VALUE"""),65.76)</f>
        <v>65.760000000000005</v>
      </c>
      <c r="AM454" s="3">
        <f ca="1">IFERROR(__xludf.DUMMYFUNCTION("""COMPUTED_VALUE"""),65.79)</f>
        <v>65.790000000000006</v>
      </c>
      <c r="AN454" s="3">
        <f ca="1">IFERROR(__xludf.DUMMYFUNCTION("""COMPUTED_VALUE"""),65.34)</f>
        <v>65.34</v>
      </c>
      <c r="AO454" s="3">
        <f ca="1">IFERROR(__xludf.DUMMYFUNCTION("""COMPUTED_VALUE"""),65.78)</f>
        <v>65.78</v>
      </c>
      <c r="AP454" s="3">
        <f ca="1">IFERROR(__xludf.DUMMYFUNCTION("""COMPUTED_VALUE"""),10062432)</f>
        <v>10062432</v>
      </c>
      <c r="AQ454" s="4">
        <f ca="1">IFERROR(__xludf.DUMMYFUNCTION("""COMPUTED_VALUE"""),42782.6666666666)</f>
        <v>42782.666666666599</v>
      </c>
      <c r="AR454" s="3">
        <f ca="1">IFERROR(__xludf.DUMMYFUNCTION("""COMPUTED_VALUE"""),52.5)</f>
        <v>52.5</v>
      </c>
      <c r="AS454" s="3">
        <f ca="1">IFERROR(__xludf.DUMMYFUNCTION("""COMPUTED_VALUE"""),52.75)</f>
        <v>52.75</v>
      </c>
      <c r="AT454" s="3">
        <f ca="1">IFERROR(__xludf.DUMMYFUNCTION("""COMPUTED_VALUE"""),52.28)</f>
        <v>52.28</v>
      </c>
      <c r="AU454" s="3">
        <f ca="1">IFERROR(__xludf.DUMMYFUNCTION("""COMPUTED_VALUE"""),52.45)</f>
        <v>52.45</v>
      </c>
      <c r="AV454" s="3">
        <f ca="1">IFERROR(__xludf.DUMMYFUNCTION("""COMPUTED_VALUE"""),3204440)</f>
        <v>3204440</v>
      </c>
      <c r="AW454" s="4">
        <f ca="1">IFERROR(__xludf.DUMMYFUNCTION("""COMPUTED_VALUE"""),42948.6666666666)</f>
        <v>42948.666666666599</v>
      </c>
      <c r="AX454" s="3">
        <f ca="1">IFERROR(__xludf.DUMMYFUNCTION("""COMPUTED_VALUE"""),32.65)</f>
        <v>32.65</v>
      </c>
      <c r="AY454" s="3">
        <f ca="1">IFERROR(__xludf.DUMMYFUNCTION("""COMPUTED_VALUE"""),32.84)</f>
        <v>32.840000000000003</v>
      </c>
      <c r="AZ454" s="3">
        <f ca="1">IFERROR(__xludf.DUMMYFUNCTION("""COMPUTED_VALUE"""),32.45)</f>
        <v>32.450000000000003</v>
      </c>
      <c r="BA454" s="3">
        <f ca="1">IFERROR(__xludf.DUMMYFUNCTION("""COMPUTED_VALUE"""),32.73)</f>
        <v>32.729999999999997</v>
      </c>
      <c r="BB454" s="3">
        <f ca="1">IFERROR(__xludf.DUMMYFUNCTION("""COMPUTED_VALUE"""),2364510)</f>
        <v>2364510</v>
      </c>
      <c r="BC454" s="4">
        <f ca="1">IFERROR(__xludf.DUMMYFUNCTION("""COMPUTED_VALUE"""),42782.6666666666)</f>
        <v>42782.666666666599</v>
      </c>
      <c r="BD454" s="3">
        <f ca="1">IFERROR(__xludf.DUMMYFUNCTION("""COMPUTED_VALUE"""),51.96)</f>
        <v>51.96</v>
      </c>
      <c r="BE454" s="3">
        <f ca="1">IFERROR(__xludf.DUMMYFUNCTION("""COMPUTED_VALUE"""),52.15)</f>
        <v>52.15</v>
      </c>
      <c r="BF454" s="3">
        <f ca="1">IFERROR(__xludf.DUMMYFUNCTION("""COMPUTED_VALUE"""),51.89)</f>
        <v>51.89</v>
      </c>
      <c r="BG454" s="3">
        <f ca="1">IFERROR(__xludf.DUMMYFUNCTION("""COMPUTED_VALUE"""),52.01)</f>
        <v>52.01</v>
      </c>
      <c r="BH454" s="3">
        <f ca="1">IFERROR(__xludf.DUMMYFUNCTION("""COMPUTED_VALUE"""),7061549)</f>
        <v>7061549</v>
      </c>
      <c r="BI454" s="4">
        <f ca="1">IFERROR(__xludf.DUMMYFUNCTION("""COMPUTED_VALUE"""),42782.6666666666)</f>
        <v>42782.666666666599</v>
      </c>
      <c r="BJ454" s="3">
        <f ca="1">IFERROR(__xludf.DUMMYFUNCTION("""COMPUTED_VALUE"""),49.06)</f>
        <v>49.06</v>
      </c>
      <c r="BK454" s="3">
        <f ca="1">IFERROR(__xludf.DUMMYFUNCTION("""COMPUTED_VALUE"""),49.56)</f>
        <v>49.56</v>
      </c>
      <c r="BL454" s="3">
        <f ca="1">IFERROR(__xludf.DUMMYFUNCTION("""COMPUTED_VALUE"""),49.06)</f>
        <v>49.06</v>
      </c>
      <c r="BM454" s="3">
        <f ca="1">IFERROR(__xludf.DUMMYFUNCTION("""COMPUTED_VALUE"""),49.54)</f>
        <v>49.54</v>
      </c>
      <c r="BN454" s="3">
        <f ca="1">IFERROR(__xludf.DUMMYFUNCTION("""COMPUTED_VALUE"""),14001079)</f>
        <v>14001079</v>
      </c>
    </row>
    <row r="455" spans="7:66" ht="13" x14ac:dyDescent="0.15">
      <c r="G455" s="4">
        <f ca="1">IFERROR(__xludf.DUMMYFUNCTION("""COMPUTED_VALUE"""),42783.6666666666)</f>
        <v>42783.666666666599</v>
      </c>
      <c r="H455" s="3">
        <f ca="1">IFERROR(__xludf.DUMMYFUNCTION("""COMPUTED_VALUE"""),86.12)</f>
        <v>86.12</v>
      </c>
      <c r="I455" s="3">
        <f ca="1">IFERROR(__xludf.DUMMYFUNCTION("""COMPUTED_VALUE"""),86.61)</f>
        <v>86.61</v>
      </c>
      <c r="J455" s="3">
        <f ca="1">IFERROR(__xludf.DUMMYFUNCTION("""COMPUTED_VALUE"""),86.11)</f>
        <v>86.11</v>
      </c>
      <c r="K455" s="3">
        <f ca="1">IFERROR(__xludf.DUMMYFUNCTION("""COMPUTED_VALUE"""),86.61)</f>
        <v>86.61</v>
      </c>
      <c r="L455" s="3">
        <f ca="1">IFERROR(__xludf.DUMMYFUNCTION("""COMPUTED_VALUE"""),3878574)</f>
        <v>3878574</v>
      </c>
      <c r="M455" s="4">
        <f ca="1">IFERROR(__xludf.DUMMYFUNCTION("""COMPUTED_VALUE"""),42783.6666666666)</f>
        <v>42783.666666666599</v>
      </c>
      <c r="N455" s="3">
        <f ca="1">IFERROR(__xludf.DUMMYFUNCTION("""COMPUTED_VALUE"""),54.03)</f>
        <v>54.03</v>
      </c>
      <c r="O455" s="3">
        <f ca="1">IFERROR(__xludf.DUMMYFUNCTION("""COMPUTED_VALUE"""),54.52)</f>
        <v>54.52</v>
      </c>
      <c r="P455" s="3">
        <f ca="1">IFERROR(__xludf.DUMMYFUNCTION("""COMPUTED_VALUE"""),53.93)</f>
        <v>53.93</v>
      </c>
      <c r="Q455" s="3">
        <f ca="1">IFERROR(__xludf.DUMMYFUNCTION("""COMPUTED_VALUE"""),54.46)</f>
        <v>54.46</v>
      </c>
      <c r="R455" s="3">
        <f ca="1">IFERROR(__xludf.DUMMYFUNCTION("""COMPUTED_VALUE"""),15581773)</f>
        <v>15581773</v>
      </c>
      <c r="S455" s="4">
        <f ca="1">IFERROR(__xludf.DUMMYFUNCTION("""COMPUTED_VALUE"""),42783.6666666666)</f>
        <v>42783.666666666599</v>
      </c>
      <c r="T455" s="3">
        <f ca="1">IFERROR(__xludf.DUMMYFUNCTION("""COMPUTED_VALUE"""),72)</f>
        <v>72</v>
      </c>
      <c r="U455" s="3">
        <f ca="1">IFERROR(__xludf.DUMMYFUNCTION("""COMPUTED_VALUE"""),72.21)</f>
        <v>72.209999999999994</v>
      </c>
      <c r="V455" s="3">
        <f ca="1">IFERROR(__xludf.DUMMYFUNCTION("""COMPUTED_VALUE"""),71.74)</f>
        <v>71.739999999999995</v>
      </c>
      <c r="W455" s="3">
        <f ca="1">IFERROR(__xludf.DUMMYFUNCTION("""COMPUTED_VALUE"""),71.97)</f>
        <v>71.97</v>
      </c>
      <c r="X455" s="3">
        <f ca="1">IFERROR(__xludf.DUMMYFUNCTION("""COMPUTED_VALUE"""),11645027)</f>
        <v>11645027</v>
      </c>
      <c r="Y455" s="4">
        <f ca="1">IFERROR(__xludf.DUMMYFUNCTION("""COMPUTED_VALUE"""),42783.6666666666)</f>
        <v>42783.666666666599</v>
      </c>
      <c r="Z455" s="3">
        <f ca="1">IFERROR(__xludf.DUMMYFUNCTION("""COMPUTED_VALUE"""),24.28)</f>
        <v>24.28</v>
      </c>
      <c r="AA455" s="3">
        <f ca="1">IFERROR(__xludf.DUMMYFUNCTION("""COMPUTED_VALUE"""),24.47)</f>
        <v>24.47</v>
      </c>
      <c r="AB455" s="3">
        <f ca="1">IFERROR(__xludf.DUMMYFUNCTION("""COMPUTED_VALUE"""),24.25)</f>
        <v>24.25</v>
      </c>
      <c r="AC455" s="3">
        <f ca="1">IFERROR(__xludf.DUMMYFUNCTION("""COMPUTED_VALUE"""),24.47)</f>
        <v>24.47</v>
      </c>
      <c r="AD455" s="3">
        <f ca="1">IFERROR(__xludf.DUMMYFUNCTION("""COMPUTED_VALUE"""),54156555)</f>
        <v>54156555</v>
      </c>
      <c r="AE455" s="4">
        <f ca="1">IFERROR(__xludf.DUMMYFUNCTION("""COMPUTED_VALUE"""),42783.6666666666)</f>
        <v>42783.666666666599</v>
      </c>
      <c r="AF455" s="3">
        <f ca="1">IFERROR(__xludf.DUMMYFUNCTION("""COMPUTED_VALUE"""),73.28)</f>
        <v>73.28</v>
      </c>
      <c r="AG455" s="3">
        <f ca="1">IFERROR(__xludf.DUMMYFUNCTION("""COMPUTED_VALUE"""),73.7)</f>
        <v>73.7</v>
      </c>
      <c r="AH455" s="3">
        <f ca="1">IFERROR(__xludf.DUMMYFUNCTION("""COMPUTED_VALUE"""),73.28)</f>
        <v>73.28</v>
      </c>
      <c r="AI455" s="3">
        <f ca="1">IFERROR(__xludf.DUMMYFUNCTION("""COMPUTED_VALUE"""),73.66)</f>
        <v>73.66</v>
      </c>
      <c r="AJ455" s="3">
        <f ca="1">IFERROR(__xludf.DUMMYFUNCTION("""COMPUTED_VALUE"""),12118416)</f>
        <v>12118416</v>
      </c>
      <c r="AK455" s="4">
        <f ca="1">IFERROR(__xludf.DUMMYFUNCTION("""COMPUTED_VALUE"""),42783.6666666666)</f>
        <v>42783.666666666599</v>
      </c>
      <c r="AL455" s="3">
        <f ca="1">IFERROR(__xludf.DUMMYFUNCTION("""COMPUTED_VALUE"""),65.61)</f>
        <v>65.61</v>
      </c>
      <c r="AM455" s="3">
        <f ca="1">IFERROR(__xludf.DUMMYFUNCTION("""COMPUTED_VALUE"""),65.89)</f>
        <v>65.89</v>
      </c>
      <c r="AN455" s="3">
        <f ca="1">IFERROR(__xludf.DUMMYFUNCTION("""COMPUTED_VALUE"""),65.41)</f>
        <v>65.41</v>
      </c>
      <c r="AO455" s="3">
        <f ca="1">IFERROR(__xludf.DUMMYFUNCTION("""COMPUTED_VALUE"""),65.89)</f>
        <v>65.89</v>
      </c>
      <c r="AP455" s="3">
        <f ca="1">IFERROR(__xludf.DUMMYFUNCTION("""COMPUTED_VALUE"""),5194723)</f>
        <v>5194723</v>
      </c>
      <c r="AQ455" s="4">
        <f ca="1">IFERROR(__xludf.DUMMYFUNCTION("""COMPUTED_VALUE"""),42783.6666666666)</f>
        <v>42783.666666666599</v>
      </c>
      <c r="AR455" s="3">
        <f ca="1">IFERROR(__xludf.DUMMYFUNCTION("""COMPUTED_VALUE"""),52.35)</f>
        <v>52.35</v>
      </c>
      <c r="AS455" s="3">
        <f ca="1">IFERROR(__xludf.DUMMYFUNCTION("""COMPUTED_VALUE"""),52.42)</f>
        <v>52.42</v>
      </c>
      <c r="AT455" s="3">
        <f ca="1">IFERROR(__xludf.DUMMYFUNCTION("""COMPUTED_VALUE"""),52.11)</f>
        <v>52.11</v>
      </c>
      <c r="AU455" s="3">
        <f ca="1">IFERROR(__xludf.DUMMYFUNCTION("""COMPUTED_VALUE"""),52.3)</f>
        <v>52.3</v>
      </c>
      <c r="AV455" s="3">
        <f ca="1">IFERROR(__xludf.DUMMYFUNCTION("""COMPUTED_VALUE"""),3964137)</f>
        <v>3964137</v>
      </c>
      <c r="AW455" s="4">
        <f ca="1">IFERROR(__xludf.DUMMYFUNCTION("""COMPUTED_VALUE"""),42949.6666666666)</f>
        <v>42949.666666666599</v>
      </c>
      <c r="AX455" s="3">
        <f ca="1">IFERROR(__xludf.DUMMYFUNCTION("""COMPUTED_VALUE"""),32.65)</f>
        <v>32.65</v>
      </c>
      <c r="AY455" s="3">
        <f ca="1">IFERROR(__xludf.DUMMYFUNCTION("""COMPUTED_VALUE"""),32.65)</f>
        <v>32.65</v>
      </c>
      <c r="AZ455" s="3">
        <f ca="1">IFERROR(__xludf.DUMMYFUNCTION("""COMPUTED_VALUE"""),32.45)</f>
        <v>32.450000000000003</v>
      </c>
      <c r="BA455" s="3">
        <f ca="1">IFERROR(__xludf.DUMMYFUNCTION("""COMPUTED_VALUE"""),32.57)</f>
        <v>32.57</v>
      </c>
      <c r="BB455" s="3">
        <f ca="1">IFERROR(__xludf.DUMMYFUNCTION("""COMPUTED_VALUE"""),1712537)</f>
        <v>1712537</v>
      </c>
      <c r="BC455" s="4">
        <f ca="1">IFERROR(__xludf.DUMMYFUNCTION("""COMPUTED_VALUE"""),42783.6666666666)</f>
        <v>42783.666666666599</v>
      </c>
      <c r="BD455" s="3">
        <f ca="1">IFERROR(__xludf.DUMMYFUNCTION("""COMPUTED_VALUE"""),51.95)</f>
        <v>51.95</v>
      </c>
      <c r="BE455" s="3">
        <f ca="1">IFERROR(__xludf.DUMMYFUNCTION("""COMPUTED_VALUE"""),52.19)</f>
        <v>52.19</v>
      </c>
      <c r="BF455" s="3">
        <f ca="1">IFERROR(__xludf.DUMMYFUNCTION("""COMPUTED_VALUE"""),51.87)</f>
        <v>51.87</v>
      </c>
      <c r="BG455" s="3">
        <f ca="1">IFERROR(__xludf.DUMMYFUNCTION("""COMPUTED_VALUE"""),52.19)</f>
        <v>52.19</v>
      </c>
      <c r="BH455" s="3">
        <f ca="1">IFERROR(__xludf.DUMMYFUNCTION("""COMPUTED_VALUE"""),7087697)</f>
        <v>7087697</v>
      </c>
      <c r="BI455" s="4">
        <f ca="1">IFERROR(__xludf.DUMMYFUNCTION("""COMPUTED_VALUE"""),42783.6666666666)</f>
        <v>42783.666666666599</v>
      </c>
      <c r="BJ455" s="3">
        <f ca="1">IFERROR(__xludf.DUMMYFUNCTION("""COMPUTED_VALUE"""),49.67)</f>
        <v>49.67</v>
      </c>
      <c r="BK455" s="3">
        <f ca="1">IFERROR(__xludf.DUMMYFUNCTION("""COMPUTED_VALUE"""),49.72)</f>
        <v>49.72</v>
      </c>
      <c r="BL455" s="3">
        <f ca="1">IFERROR(__xludf.DUMMYFUNCTION("""COMPUTED_VALUE"""),49.29)</f>
        <v>49.29</v>
      </c>
      <c r="BM455" s="3">
        <f ca="1">IFERROR(__xludf.DUMMYFUNCTION("""COMPUTED_VALUE"""),49.57)</f>
        <v>49.57</v>
      </c>
      <c r="BN455" s="3">
        <f ca="1">IFERROR(__xludf.DUMMYFUNCTION("""COMPUTED_VALUE"""),9973464)</f>
        <v>9973464</v>
      </c>
    </row>
    <row r="456" spans="7:66" ht="13" x14ac:dyDescent="0.15">
      <c r="G456" s="4">
        <f ca="1">IFERROR(__xludf.DUMMYFUNCTION("""COMPUTED_VALUE"""),42787.6666666666)</f>
        <v>42787.666666666599</v>
      </c>
      <c r="H456" s="3">
        <f ca="1">IFERROR(__xludf.DUMMYFUNCTION("""COMPUTED_VALUE"""),86.99)</f>
        <v>86.99</v>
      </c>
      <c r="I456" s="3">
        <f ca="1">IFERROR(__xludf.DUMMYFUNCTION("""COMPUTED_VALUE"""),87.3)</f>
        <v>87.3</v>
      </c>
      <c r="J456" s="3">
        <f ca="1">IFERROR(__xludf.DUMMYFUNCTION("""COMPUTED_VALUE"""),86.78)</f>
        <v>86.78</v>
      </c>
      <c r="K456" s="3">
        <f ca="1">IFERROR(__xludf.DUMMYFUNCTION("""COMPUTED_VALUE"""),87.11)</f>
        <v>87.11</v>
      </c>
      <c r="L456" s="3">
        <f ca="1">IFERROR(__xludf.DUMMYFUNCTION("""COMPUTED_VALUE"""),3591388)</f>
        <v>3591388</v>
      </c>
      <c r="M456" s="4">
        <f ca="1">IFERROR(__xludf.DUMMYFUNCTION("""COMPUTED_VALUE"""),42787.6666666666)</f>
        <v>42787.666666666599</v>
      </c>
      <c r="N456" s="3">
        <f ca="1">IFERROR(__xludf.DUMMYFUNCTION("""COMPUTED_VALUE"""),54.62)</f>
        <v>54.62</v>
      </c>
      <c r="O456" s="3">
        <f ca="1">IFERROR(__xludf.DUMMYFUNCTION("""COMPUTED_VALUE"""),55.09)</f>
        <v>55.09</v>
      </c>
      <c r="P456" s="3">
        <f ca="1">IFERROR(__xludf.DUMMYFUNCTION("""COMPUTED_VALUE"""),54.56)</f>
        <v>54.56</v>
      </c>
      <c r="Q456" s="3">
        <f ca="1">IFERROR(__xludf.DUMMYFUNCTION("""COMPUTED_VALUE"""),54.95)</f>
        <v>54.95</v>
      </c>
      <c r="R456" s="3">
        <f ca="1">IFERROR(__xludf.DUMMYFUNCTION("""COMPUTED_VALUE"""),16499953)</f>
        <v>16499953</v>
      </c>
      <c r="S456" s="4">
        <f ca="1">IFERROR(__xludf.DUMMYFUNCTION("""COMPUTED_VALUE"""),42787.6666666666)</f>
        <v>42787.666666666599</v>
      </c>
      <c r="T456" s="3">
        <f ca="1">IFERROR(__xludf.DUMMYFUNCTION("""COMPUTED_VALUE"""),72.65)</f>
        <v>72.650000000000006</v>
      </c>
      <c r="U456" s="3">
        <f ca="1">IFERROR(__xludf.DUMMYFUNCTION("""COMPUTED_VALUE"""),72.85)</f>
        <v>72.849999999999994</v>
      </c>
      <c r="V456" s="3">
        <f ca="1">IFERROR(__xludf.DUMMYFUNCTION("""COMPUTED_VALUE"""),72.35)</f>
        <v>72.349999999999994</v>
      </c>
      <c r="W456" s="3">
        <f ca="1">IFERROR(__xludf.DUMMYFUNCTION("""COMPUTED_VALUE"""),72.46)</f>
        <v>72.459999999999994</v>
      </c>
      <c r="X456" s="3">
        <f ca="1">IFERROR(__xludf.DUMMYFUNCTION("""COMPUTED_VALUE"""),11802519)</f>
        <v>11802519</v>
      </c>
      <c r="Y456" s="4">
        <f ca="1">IFERROR(__xludf.DUMMYFUNCTION("""COMPUTED_VALUE"""),42787.6666666666)</f>
        <v>42787.666666666599</v>
      </c>
      <c r="Z456" s="3">
        <f ca="1">IFERROR(__xludf.DUMMYFUNCTION("""COMPUTED_VALUE"""),24.6)</f>
        <v>24.6</v>
      </c>
      <c r="AA456" s="3">
        <f ca="1">IFERROR(__xludf.DUMMYFUNCTION("""COMPUTED_VALUE"""),24.65)</f>
        <v>24.65</v>
      </c>
      <c r="AB456" s="3">
        <f ca="1">IFERROR(__xludf.DUMMYFUNCTION("""COMPUTED_VALUE"""),24.51)</f>
        <v>24.51</v>
      </c>
      <c r="AC456" s="3">
        <f ca="1">IFERROR(__xludf.DUMMYFUNCTION("""COMPUTED_VALUE"""),24.59)</f>
        <v>24.59</v>
      </c>
      <c r="AD456" s="3">
        <f ca="1">IFERROR(__xludf.DUMMYFUNCTION("""COMPUTED_VALUE"""),55216106)</f>
        <v>55216106</v>
      </c>
      <c r="AE456" s="4">
        <f ca="1">IFERROR(__xludf.DUMMYFUNCTION("""COMPUTED_VALUE"""),42787.6666666666)</f>
        <v>42787.666666666599</v>
      </c>
      <c r="AF456" s="3">
        <f ca="1">IFERROR(__xludf.DUMMYFUNCTION("""COMPUTED_VALUE"""),73.65)</f>
        <v>73.650000000000006</v>
      </c>
      <c r="AG456" s="3">
        <f ca="1">IFERROR(__xludf.DUMMYFUNCTION("""COMPUTED_VALUE"""),74.23)</f>
        <v>74.23</v>
      </c>
      <c r="AH456" s="3">
        <f ca="1">IFERROR(__xludf.DUMMYFUNCTION("""COMPUTED_VALUE"""),73.65)</f>
        <v>73.650000000000006</v>
      </c>
      <c r="AI456" s="3">
        <f ca="1">IFERROR(__xludf.DUMMYFUNCTION("""COMPUTED_VALUE"""),73.99)</f>
        <v>73.989999999999995</v>
      </c>
      <c r="AJ456" s="3">
        <f ca="1">IFERROR(__xludf.DUMMYFUNCTION("""COMPUTED_VALUE"""),10651815)</f>
        <v>10651815</v>
      </c>
      <c r="AK456" s="4">
        <f ca="1">IFERROR(__xludf.DUMMYFUNCTION("""COMPUTED_VALUE"""),42787.6666666666)</f>
        <v>42787.666666666599</v>
      </c>
      <c r="AL456" s="3">
        <f ca="1">IFERROR(__xludf.DUMMYFUNCTION("""COMPUTED_VALUE"""),65.99)</f>
        <v>65.989999999999995</v>
      </c>
      <c r="AM456" s="3">
        <f ca="1">IFERROR(__xludf.DUMMYFUNCTION("""COMPUTED_VALUE"""),66.28)</f>
        <v>66.28</v>
      </c>
      <c r="AN456" s="3">
        <f ca="1">IFERROR(__xludf.DUMMYFUNCTION("""COMPUTED_VALUE"""),65.9)</f>
        <v>65.900000000000006</v>
      </c>
      <c r="AO456" s="3">
        <f ca="1">IFERROR(__xludf.DUMMYFUNCTION("""COMPUTED_VALUE"""),66.22)</f>
        <v>66.22</v>
      </c>
      <c r="AP456" s="3">
        <f ca="1">IFERROR(__xludf.DUMMYFUNCTION("""COMPUTED_VALUE"""),9573858)</f>
        <v>9573858</v>
      </c>
      <c r="AQ456" s="4">
        <f ca="1">IFERROR(__xludf.DUMMYFUNCTION("""COMPUTED_VALUE"""),42787.6666666666)</f>
        <v>42787.666666666599</v>
      </c>
      <c r="AR456" s="3">
        <f ca="1">IFERROR(__xludf.DUMMYFUNCTION("""COMPUTED_VALUE"""),52.27)</f>
        <v>52.27</v>
      </c>
      <c r="AS456" s="3">
        <f ca="1">IFERROR(__xludf.DUMMYFUNCTION("""COMPUTED_VALUE"""),52.62)</f>
        <v>52.62</v>
      </c>
      <c r="AT456" s="3">
        <f ca="1">IFERROR(__xludf.DUMMYFUNCTION("""COMPUTED_VALUE"""),52.18)</f>
        <v>52.18</v>
      </c>
      <c r="AU456" s="3">
        <f ca="1">IFERROR(__xludf.DUMMYFUNCTION("""COMPUTED_VALUE"""),52.47)</f>
        <v>52.47</v>
      </c>
      <c r="AV456" s="3">
        <f ca="1">IFERROR(__xludf.DUMMYFUNCTION("""COMPUTED_VALUE"""),7375933)</f>
        <v>7375933</v>
      </c>
      <c r="AW456" s="4">
        <f ca="1">IFERROR(__xludf.DUMMYFUNCTION("""COMPUTED_VALUE"""),42950.6666666666)</f>
        <v>42950.666666666599</v>
      </c>
      <c r="AX456" s="3">
        <f ca="1">IFERROR(__xludf.DUMMYFUNCTION("""COMPUTED_VALUE"""),32.55)</f>
        <v>32.549999999999997</v>
      </c>
      <c r="AY456" s="3">
        <f ca="1">IFERROR(__xludf.DUMMYFUNCTION("""COMPUTED_VALUE"""),32.66)</f>
        <v>32.659999999999997</v>
      </c>
      <c r="AZ456" s="3">
        <f ca="1">IFERROR(__xludf.DUMMYFUNCTION("""COMPUTED_VALUE"""),32.39)</f>
        <v>32.39</v>
      </c>
      <c r="BA456" s="3">
        <f ca="1">IFERROR(__xludf.DUMMYFUNCTION("""COMPUTED_VALUE"""),32.49)</f>
        <v>32.49</v>
      </c>
      <c r="BB456" s="3">
        <f ca="1">IFERROR(__xludf.DUMMYFUNCTION("""COMPUTED_VALUE"""),1101311)</f>
        <v>1101311</v>
      </c>
      <c r="BC456" s="4">
        <f ca="1">IFERROR(__xludf.DUMMYFUNCTION("""COMPUTED_VALUE"""),42787.6666666666)</f>
        <v>42787.666666666599</v>
      </c>
      <c r="BD456" s="3">
        <f ca="1">IFERROR(__xludf.DUMMYFUNCTION("""COMPUTED_VALUE"""),52.3)</f>
        <v>52.3</v>
      </c>
      <c r="BE456" s="3">
        <f ca="1">IFERROR(__xludf.DUMMYFUNCTION("""COMPUTED_VALUE"""),52.48)</f>
        <v>52.48</v>
      </c>
      <c r="BF456" s="3">
        <f ca="1">IFERROR(__xludf.DUMMYFUNCTION("""COMPUTED_VALUE"""),52.22)</f>
        <v>52.22</v>
      </c>
      <c r="BG456" s="3">
        <f ca="1">IFERROR(__xludf.DUMMYFUNCTION("""COMPUTED_VALUE"""),52.46)</f>
        <v>52.46</v>
      </c>
      <c r="BH456" s="3">
        <f ca="1">IFERROR(__xludf.DUMMYFUNCTION("""COMPUTED_VALUE"""),7618703)</f>
        <v>7618703</v>
      </c>
      <c r="BI456" s="4">
        <f ca="1">IFERROR(__xludf.DUMMYFUNCTION("""COMPUTED_VALUE"""),42787.6666666666)</f>
        <v>42787.666666666599</v>
      </c>
      <c r="BJ456" s="3">
        <f ca="1">IFERROR(__xludf.DUMMYFUNCTION("""COMPUTED_VALUE"""),49.5)</f>
        <v>49.5</v>
      </c>
      <c r="BK456" s="3">
        <f ca="1">IFERROR(__xludf.DUMMYFUNCTION("""COMPUTED_VALUE"""),50.2)</f>
        <v>50.2</v>
      </c>
      <c r="BL456" s="3">
        <f ca="1">IFERROR(__xludf.DUMMYFUNCTION("""COMPUTED_VALUE"""),49.33)</f>
        <v>49.33</v>
      </c>
      <c r="BM456" s="3">
        <f ca="1">IFERROR(__xludf.DUMMYFUNCTION("""COMPUTED_VALUE"""),50.09)</f>
        <v>50.09</v>
      </c>
      <c r="BN456" s="3">
        <f ca="1">IFERROR(__xludf.DUMMYFUNCTION("""COMPUTED_VALUE"""),11358452)</f>
        <v>11358452</v>
      </c>
    </row>
    <row r="457" spans="7:66" ht="13" x14ac:dyDescent="0.15">
      <c r="G457" s="4">
        <f ca="1">IFERROR(__xludf.DUMMYFUNCTION("""COMPUTED_VALUE"""),42788.6666666666)</f>
        <v>42788.666666666599</v>
      </c>
      <c r="H457" s="3">
        <f ca="1">IFERROR(__xludf.DUMMYFUNCTION("""COMPUTED_VALUE"""),87.02)</f>
        <v>87.02</v>
      </c>
      <c r="I457" s="3">
        <f ca="1">IFERROR(__xludf.DUMMYFUNCTION("""COMPUTED_VALUE"""),87.21)</f>
        <v>87.21</v>
      </c>
      <c r="J457" s="3">
        <f ca="1">IFERROR(__xludf.DUMMYFUNCTION("""COMPUTED_VALUE"""),86.93)</f>
        <v>86.93</v>
      </c>
      <c r="K457" s="3">
        <f ca="1">IFERROR(__xludf.DUMMYFUNCTION("""COMPUTED_VALUE"""),87.11)</f>
        <v>87.11</v>
      </c>
      <c r="L457" s="3">
        <f ca="1">IFERROR(__xludf.DUMMYFUNCTION("""COMPUTED_VALUE"""),2245593)</f>
        <v>2245593</v>
      </c>
      <c r="M457" s="4">
        <f ca="1">IFERROR(__xludf.DUMMYFUNCTION("""COMPUTED_VALUE"""),42788.6666666666)</f>
        <v>42788.666666666599</v>
      </c>
      <c r="N457" s="3">
        <f ca="1">IFERROR(__xludf.DUMMYFUNCTION("""COMPUTED_VALUE"""),54.9)</f>
        <v>54.9</v>
      </c>
      <c r="O457" s="3">
        <f ca="1">IFERROR(__xludf.DUMMYFUNCTION("""COMPUTED_VALUE"""),55.03)</f>
        <v>55.03</v>
      </c>
      <c r="P457" s="3">
        <f ca="1">IFERROR(__xludf.DUMMYFUNCTION("""COMPUTED_VALUE"""),54.82)</f>
        <v>54.82</v>
      </c>
      <c r="Q457" s="3">
        <f ca="1">IFERROR(__xludf.DUMMYFUNCTION("""COMPUTED_VALUE"""),54.96)</f>
        <v>54.96</v>
      </c>
      <c r="R457" s="3">
        <f ca="1">IFERROR(__xludf.DUMMYFUNCTION("""COMPUTED_VALUE"""),8098986)</f>
        <v>8098986</v>
      </c>
      <c r="S457" s="4">
        <f ca="1">IFERROR(__xludf.DUMMYFUNCTION("""COMPUTED_VALUE"""),42788.6666666666)</f>
        <v>42788.666666666599</v>
      </c>
      <c r="T457" s="3">
        <f ca="1">IFERROR(__xludf.DUMMYFUNCTION("""COMPUTED_VALUE"""),72.12)</f>
        <v>72.12</v>
      </c>
      <c r="U457" s="3">
        <f ca="1">IFERROR(__xludf.DUMMYFUNCTION("""COMPUTED_VALUE"""),72.2)</f>
        <v>72.2</v>
      </c>
      <c r="V457" s="3">
        <f ca="1">IFERROR(__xludf.DUMMYFUNCTION("""COMPUTED_VALUE"""),71.31)</f>
        <v>71.31</v>
      </c>
      <c r="W457" s="3">
        <f ca="1">IFERROR(__xludf.DUMMYFUNCTION("""COMPUTED_VALUE"""),71.36)</f>
        <v>71.36</v>
      </c>
      <c r="X457" s="3">
        <f ca="1">IFERROR(__xludf.DUMMYFUNCTION("""COMPUTED_VALUE"""),11539405)</f>
        <v>11539405</v>
      </c>
      <c r="Y457" s="4">
        <f ca="1">IFERROR(__xludf.DUMMYFUNCTION("""COMPUTED_VALUE"""),42788.6666666666)</f>
        <v>42788.666666666599</v>
      </c>
      <c r="Z457" s="3">
        <f ca="1">IFERROR(__xludf.DUMMYFUNCTION("""COMPUTED_VALUE"""),24.49)</f>
        <v>24.49</v>
      </c>
      <c r="AA457" s="3">
        <f ca="1">IFERROR(__xludf.DUMMYFUNCTION("""COMPUTED_VALUE"""),24.68)</f>
        <v>24.68</v>
      </c>
      <c r="AB457" s="3">
        <f ca="1">IFERROR(__xludf.DUMMYFUNCTION("""COMPUTED_VALUE"""),24.45)</f>
        <v>24.45</v>
      </c>
      <c r="AC457" s="3">
        <f ca="1">IFERROR(__xludf.DUMMYFUNCTION("""COMPUTED_VALUE"""),24.61)</f>
        <v>24.61</v>
      </c>
      <c r="AD457" s="3">
        <f ca="1">IFERROR(__xludf.DUMMYFUNCTION("""COMPUTED_VALUE"""),50438917)</f>
        <v>50438917</v>
      </c>
      <c r="AE457" s="4">
        <f ca="1">IFERROR(__xludf.DUMMYFUNCTION("""COMPUTED_VALUE"""),42788.6666666666)</f>
        <v>42788.666666666599</v>
      </c>
      <c r="AF457" s="3">
        <f ca="1">IFERROR(__xludf.DUMMYFUNCTION("""COMPUTED_VALUE"""),73.9)</f>
        <v>73.900000000000006</v>
      </c>
      <c r="AG457" s="3">
        <f ca="1">IFERROR(__xludf.DUMMYFUNCTION("""COMPUTED_VALUE"""),74.14)</f>
        <v>74.14</v>
      </c>
      <c r="AH457" s="3">
        <f ca="1">IFERROR(__xludf.DUMMYFUNCTION("""COMPUTED_VALUE"""),73.82)</f>
        <v>73.819999999999993</v>
      </c>
      <c r="AI457" s="3">
        <f ca="1">IFERROR(__xludf.DUMMYFUNCTION("""COMPUTED_VALUE"""),73.88)</f>
        <v>73.88</v>
      </c>
      <c r="AJ457" s="3">
        <f ca="1">IFERROR(__xludf.DUMMYFUNCTION("""COMPUTED_VALUE"""),6634265)</f>
        <v>6634265</v>
      </c>
      <c r="AK457" s="4">
        <f ca="1">IFERROR(__xludf.DUMMYFUNCTION("""COMPUTED_VALUE"""),42788.6666666666)</f>
        <v>42788.666666666599</v>
      </c>
      <c r="AL457" s="3">
        <f ca="1">IFERROR(__xludf.DUMMYFUNCTION("""COMPUTED_VALUE"""),66.03)</f>
        <v>66.03</v>
      </c>
      <c r="AM457" s="3">
        <f ca="1">IFERROR(__xludf.DUMMYFUNCTION("""COMPUTED_VALUE"""),66.14)</f>
        <v>66.14</v>
      </c>
      <c r="AN457" s="3">
        <f ca="1">IFERROR(__xludf.DUMMYFUNCTION("""COMPUTED_VALUE"""),65.85)</f>
        <v>65.849999999999994</v>
      </c>
      <c r="AO457" s="3">
        <f ca="1">IFERROR(__xludf.DUMMYFUNCTION("""COMPUTED_VALUE"""),66.04)</f>
        <v>66.040000000000006</v>
      </c>
      <c r="AP457" s="3">
        <f ca="1">IFERROR(__xludf.DUMMYFUNCTION("""COMPUTED_VALUE"""),10614742)</f>
        <v>10614742</v>
      </c>
      <c r="AQ457" s="4">
        <f ca="1">IFERROR(__xludf.DUMMYFUNCTION("""COMPUTED_VALUE"""),42788.6666666666)</f>
        <v>42788.666666666599</v>
      </c>
      <c r="AR457" s="3">
        <f ca="1">IFERROR(__xludf.DUMMYFUNCTION("""COMPUTED_VALUE"""),52.26)</f>
        <v>52.26</v>
      </c>
      <c r="AS457" s="3">
        <f ca="1">IFERROR(__xludf.DUMMYFUNCTION("""COMPUTED_VALUE"""),52.9)</f>
        <v>52.9</v>
      </c>
      <c r="AT457" s="3">
        <f ca="1">IFERROR(__xludf.DUMMYFUNCTION("""COMPUTED_VALUE"""),52.23)</f>
        <v>52.23</v>
      </c>
      <c r="AU457" s="3">
        <f ca="1">IFERROR(__xludf.DUMMYFUNCTION("""COMPUTED_VALUE"""),52.61)</f>
        <v>52.61</v>
      </c>
      <c r="AV457" s="3">
        <f ca="1">IFERROR(__xludf.DUMMYFUNCTION("""COMPUTED_VALUE"""),5114433)</f>
        <v>5114433</v>
      </c>
      <c r="AW457" s="4">
        <f ca="1">IFERROR(__xludf.DUMMYFUNCTION("""COMPUTED_VALUE"""),42951.6666666666)</f>
        <v>42951.666666666599</v>
      </c>
      <c r="AX457" s="3">
        <f ca="1">IFERROR(__xludf.DUMMYFUNCTION("""COMPUTED_VALUE"""),32.46)</f>
        <v>32.46</v>
      </c>
      <c r="AY457" s="3">
        <f ca="1">IFERROR(__xludf.DUMMYFUNCTION("""COMPUTED_VALUE"""),32.66)</f>
        <v>32.659999999999997</v>
      </c>
      <c r="AZ457" s="3">
        <f ca="1">IFERROR(__xludf.DUMMYFUNCTION("""COMPUTED_VALUE"""),32.46)</f>
        <v>32.46</v>
      </c>
      <c r="BA457" s="3">
        <f ca="1">IFERROR(__xludf.DUMMYFUNCTION("""COMPUTED_VALUE"""),32.59)</f>
        <v>32.590000000000003</v>
      </c>
      <c r="BB457" s="3">
        <f ca="1">IFERROR(__xludf.DUMMYFUNCTION("""COMPUTED_VALUE"""),939594)</f>
        <v>939594</v>
      </c>
      <c r="BC457" s="4">
        <f ca="1">IFERROR(__xludf.DUMMYFUNCTION("""COMPUTED_VALUE"""),42788.6666666666)</f>
        <v>42788.666666666599</v>
      </c>
      <c r="BD457" s="3">
        <f ca="1">IFERROR(__xludf.DUMMYFUNCTION("""COMPUTED_VALUE"""),52.41)</f>
        <v>52.41</v>
      </c>
      <c r="BE457" s="3">
        <f ca="1">IFERROR(__xludf.DUMMYFUNCTION("""COMPUTED_VALUE"""),52.56)</f>
        <v>52.56</v>
      </c>
      <c r="BF457" s="3">
        <f ca="1">IFERROR(__xludf.DUMMYFUNCTION("""COMPUTED_VALUE"""),52.3)</f>
        <v>52.3</v>
      </c>
      <c r="BG457" s="3">
        <f ca="1">IFERROR(__xludf.DUMMYFUNCTION("""COMPUTED_VALUE"""),52.52)</f>
        <v>52.52</v>
      </c>
      <c r="BH457" s="3">
        <f ca="1">IFERROR(__xludf.DUMMYFUNCTION("""COMPUTED_VALUE"""),6884815)</f>
        <v>6884815</v>
      </c>
      <c r="BI457" s="4">
        <f ca="1">IFERROR(__xludf.DUMMYFUNCTION("""COMPUTED_VALUE"""),42788.6666666666)</f>
        <v>42788.666666666599</v>
      </c>
      <c r="BJ457" s="3">
        <f ca="1">IFERROR(__xludf.DUMMYFUNCTION("""COMPUTED_VALUE"""),50.09)</f>
        <v>50.09</v>
      </c>
      <c r="BK457" s="3">
        <f ca="1">IFERROR(__xludf.DUMMYFUNCTION("""COMPUTED_VALUE"""),50.4)</f>
        <v>50.4</v>
      </c>
      <c r="BL457" s="3">
        <f ca="1">IFERROR(__xludf.DUMMYFUNCTION("""COMPUTED_VALUE"""),49.89)</f>
        <v>49.89</v>
      </c>
      <c r="BM457" s="3">
        <f ca="1">IFERROR(__xludf.DUMMYFUNCTION("""COMPUTED_VALUE"""),50.3)</f>
        <v>50.3</v>
      </c>
      <c r="BN457" s="3">
        <f ca="1">IFERROR(__xludf.DUMMYFUNCTION("""COMPUTED_VALUE"""),16018632)</f>
        <v>16018632</v>
      </c>
    </row>
    <row r="458" spans="7:66" ht="13" x14ac:dyDescent="0.15">
      <c r="G458" s="4">
        <f ca="1">IFERROR(__xludf.DUMMYFUNCTION("""COMPUTED_VALUE"""),42789.6666666666)</f>
        <v>42789.666666666599</v>
      </c>
      <c r="H458" s="3">
        <f ca="1">IFERROR(__xludf.DUMMYFUNCTION("""COMPUTED_VALUE"""),87.22)</f>
        <v>87.22</v>
      </c>
      <c r="I458" s="3">
        <f ca="1">IFERROR(__xludf.DUMMYFUNCTION("""COMPUTED_VALUE"""),87.32)</f>
        <v>87.32</v>
      </c>
      <c r="J458" s="3">
        <f ca="1">IFERROR(__xludf.DUMMYFUNCTION("""COMPUTED_VALUE"""),86.45)</f>
        <v>86.45</v>
      </c>
      <c r="K458" s="3">
        <f ca="1">IFERROR(__xludf.DUMMYFUNCTION("""COMPUTED_VALUE"""),86.52)</f>
        <v>86.52</v>
      </c>
      <c r="L458" s="3">
        <f ca="1">IFERROR(__xludf.DUMMYFUNCTION("""COMPUTED_VALUE"""),3468703)</f>
        <v>3468703</v>
      </c>
      <c r="M458" s="4">
        <f ca="1">IFERROR(__xludf.DUMMYFUNCTION("""COMPUTED_VALUE"""),42789.6666666666)</f>
        <v>42789.666666666599</v>
      </c>
      <c r="N458" s="3">
        <f ca="1">IFERROR(__xludf.DUMMYFUNCTION("""COMPUTED_VALUE"""),55)</f>
        <v>55</v>
      </c>
      <c r="O458" s="3">
        <f ca="1">IFERROR(__xludf.DUMMYFUNCTION("""COMPUTED_VALUE"""),55.31)</f>
        <v>55.31</v>
      </c>
      <c r="P458" s="3">
        <f ca="1">IFERROR(__xludf.DUMMYFUNCTION("""COMPUTED_VALUE"""),54.96)</f>
        <v>54.96</v>
      </c>
      <c r="Q458" s="3">
        <f ca="1">IFERROR(__xludf.DUMMYFUNCTION("""COMPUTED_VALUE"""),55.09)</f>
        <v>55.09</v>
      </c>
      <c r="R458" s="3">
        <f ca="1">IFERROR(__xludf.DUMMYFUNCTION("""COMPUTED_VALUE"""),9790318)</f>
        <v>9790318</v>
      </c>
      <c r="S458" s="4">
        <f ca="1">IFERROR(__xludf.DUMMYFUNCTION("""COMPUTED_VALUE"""),42789.6666666666)</f>
        <v>42789.666666666599</v>
      </c>
      <c r="T458" s="3">
        <f ca="1">IFERROR(__xludf.DUMMYFUNCTION("""COMPUTED_VALUE"""),72.16)</f>
        <v>72.16</v>
      </c>
      <c r="U458" s="3">
        <f ca="1">IFERROR(__xludf.DUMMYFUNCTION("""COMPUTED_VALUE"""),72.28)</f>
        <v>72.28</v>
      </c>
      <c r="V458" s="3">
        <f ca="1">IFERROR(__xludf.DUMMYFUNCTION("""COMPUTED_VALUE"""),71.21)</f>
        <v>71.209999999999994</v>
      </c>
      <c r="W458" s="3">
        <f ca="1">IFERROR(__xludf.DUMMYFUNCTION("""COMPUTED_VALUE"""),71.66)</f>
        <v>71.66</v>
      </c>
      <c r="X458" s="3">
        <f ca="1">IFERROR(__xludf.DUMMYFUNCTION("""COMPUTED_VALUE"""),17390145)</f>
        <v>17390145</v>
      </c>
      <c r="Y458" s="4">
        <f ca="1">IFERROR(__xludf.DUMMYFUNCTION("""COMPUTED_VALUE"""),42789.6666666666)</f>
        <v>42789.666666666599</v>
      </c>
      <c r="Z458" s="3">
        <f ca="1">IFERROR(__xludf.DUMMYFUNCTION("""COMPUTED_VALUE"""),24.62)</f>
        <v>24.62</v>
      </c>
      <c r="AA458" s="3">
        <f ca="1">IFERROR(__xludf.DUMMYFUNCTION("""COMPUTED_VALUE"""),24.67)</f>
        <v>24.67</v>
      </c>
      <c r="AB458" s="3">
        <f ca="1">IFERROR(__xludf.DUMMYFUNCTION("""COMPUTED_VALUE"""),24.47)</f>
        <v>24.47</v>
      </c>
      <c r="AC458" s="3">
        <f ca="1">IFERROR(__xludf.DUMMYFUNCTION("""COMPUTED_VALUE"""),24.61)</f>
        <v>24.61</v>
      </c>
      <c r="AD458" s="3">
        <f ca="1">IFERROR(__xludf.DUMMYFUNCTION("""COMPUTED_VALUE"""),53509388)</f>
        <v>53509388</v>
      </c>
      <c r="AE458" s="4">
        <f ca="1">IFERROR(__xludf.DUMMYFUNCTION("""COMPUTED_VALUE"""),42789.6666666666)</f>
        <v>42789.666666666599</v>
      </c>
      <c r="AF458" s="3">
        <f ca="1">IFERROR(__xludf.DUMMYFUNCTION("""COMPUTED_VALUE"""),73.96)</f>
        <v>73.959999999999994</v>
      </c>
      <c r="AG458" s="3">
        <f ca="1">IFERROR(__xludf.DUMMYFUNCTION("""COMPUTED_VALUE"""),74.55)</f>
        <v>74.55</v>
      </c>
      <c r="AH458" s="3">
        <f ca="1">IFERROR(__xludf.DUMMYFUNCTION("""COMPUTED_VALUE"""),73.87)</f>
        <v>73.87</v>
      </c>
      <c r="AI458" s="3">
        <f ca="1">IFERROR(__xludf.DUMMYFUNCTION("""COMPUTED_VALUE"""),74.42)</f>
        <v>74.42</v>
      </c>
      <c r="AJ458" s="3">
        <f ca="1">IFERROR(__xludf.DUMMYFUNCTION("""COMPUTED_VALUE"""),8685596)</f>
        <v>8685596</v>
      </c>
      <c r="AK458" s="4">
        <f ca="1">IFERROR(__xludf.DUMMYFUNCTION("""COMPUTED_VALUE"""),42789.6666666666)</f>
        <v>42789.666666666599</v>
      </c>
      <c r="AL458" s="3">
        <f ca="1">IFERROR(__xludf.DUMMYFUNCTION("""COMPUTED_VALUE"""),66.15)</f>
        <v>66.150000000000006</v>
      </c>
      <c r="AM458" s="3">
        <f ca="1">IFERROR(__xludf.DUMMYFUNCTION("""COMPUTED_VALUE"""),66.22)</f>
        <v>66.22</v>
      </c>
      <c r="AN458" s="3">
        <f ca="1">IFERROR(__xludf.DUMMYFUNCTION("""COMPUTED_VALUE"""),65.39)</f>
        <v>65.39</v>
      </c>
      <c r="AO458" s="3">
        <f ca="1">IFERROR(__xludf.DUMMYFUNCTION("""COMPUTED_VALUE"""),65.61)</f>
        <v>65.61</v>
      </c>
      <c r="AP458" s="3">
        <f ca="1">IFERROR(__xludf.DUMMYFUNCTION("""COMPUTED_VALUE"""),16800135)</f>
        <v>16800135</v>
      </c>
      <c r="AQ458" s="4">
        <f ca="1">IFERROR(__xludf.DUMMYFUNCTION("""COMPUTED_VALUE"""),42789.6666666666)</f>
        <v>42789.666666666599</v>
      </c>
      <c r="AR458" s="3">
        <f ca="1">IFERROR(__xludf.DUMMYFUNCTION("""COMPUTED_VALUE"""),52.72)</f>
        <v>52.72</v>
      </c>
      <c r="AS458" s="3">
        <f ca="1">IFERROR(__xludf.DUMMYFUNCTION("""COMPUTED_VALUE"""),52.91)</f>
        <v>52.91</v>
      </c>
      <c r="AT458" s="3">
        <f ca="1">IFERROR(__xludf.DUMMYFUNCTION("""COMPUTED_VALUE"""),52.27)</f>
        <v>52.27</v>
      </c>
      <c r="AU458" s="3">
        <f ca="1">IFERROR(__xludf.DUMMYFUNCTION("""COMPUTED_VALUE"""),52.32)</f>
        <v>52.32</v>
      </c>
      <c r="AV458" s="3">
        <f ca="1">IFERROR(__xludf.DUMMYFUNCTION("""COMPUTED_VALUE"""),3535262)</f>
        <v>3535262</v>
      </c>
      <c r="AW458" s="4">
        <f ca="1">IFERROR(__xludf.DUMMYFUNCTION("""COMPUTED_VALUE"""),42954.6666666666)</f>
        <v>42954.666666666599</v>
      </c>
      <c r="AX458" s="3">
        <f ca="1">IFERROR(__xludf.DUMMYFUNCTION("""COMPUTED_VALUE"""),32.56)</f>
        <v>32.56</v>
      </c>
      <c r="AY458" s="3">
        <f ca="1">IFERROR(__xludf.DUMMYFUNCTION("""COMPUTED_VALUE"""),32.64)</f>
        <v>32.64</v>
      </c>
      <c r="AZ458" s="3">
        <f ca="1">IFERROR(__xludf.DUMMYFUNCTION("""COMPUTED_VALUE"""),32.43)</f>
        <v>32.43</v>
      </c>
      <c r="BA458" s="3">
        <f ca="1">IFERROR(__xludf.DUMMYFUNCTION("""COMPUTED_VALUE"""),32.57)</f>
        <v>32.57</v>
      </c>
      <c r="BB458" s="3">
        <f ca="1">IFERROR(__xludf.DUMMYFUNCTION("""COMPUTED_VALUE"""),781896)</f>
        <v>781896</v>
      </c>
      <c r="BC458" s="4">
        <f ca="1">IFERROR(__xludf.DUMMYFUNCTION("""COMPUTED_VALUE"""),42789.6666666666)</f>
        <v>42789.666666666599</v>
      </c>
      <c r="BD458" s="3">
        <f ca="1">IFERROR(__xludf.DUMMYFUNCTION("""COMPUTED_VALUE"""),52.59)</f>
        <v>52.59</v>
      </c>
      <c r="BE458" s="3">
        <f ca="1">IFERROR(__xludf.DUMMYFUNCTION("""COMPUTED_VALUE"""),52.63)</f>
        <v>52.63</v>
      </c>
      <c r="BF458" s="3">
        <f ca="1">IFERROR(__xludf.DUMMYFUNCTION("""COMPUTED_VALUE"""),52.28)</f>
        <v>52.28</v>
      </c>
      <c r="BG458" s="3">
        <f ca="1">IFERROR(__xludf.DUMMYFUNCTION("""COMPUTED_VALUE"""),52.51)</f>
        <v>52.51</v>
      </c>
      <c r="BH458" s="3">
        <f ca="1">IFERROR(__xludf.DUMMYFUNCTION("""COMPUTED_VALUE"""),6702668)</f>
        <v>6702668</v>
      </c>
      <c r="BI458" s="4">
        <f ca="1">IFERROR(__xludf.DUMMYFUNCTION("""COMPUTED_VALUE"""),42789.6666666666)</f>
        <v>42789.666666666599</v>
      </c>
      <c r="BJ458" s="3">
        <f ca="1">IFERROR(__xludf.DUMMYFUNCTION("""COMPUTED_VALUE"""),50.52)</f>
        <v>50.52</v>
      </c>
      <c r="BK458" s="3">
        <f ca="1">IFERROR(__xludf.DUMMYFUNCTION("""COMPUTED_VALUE"""),51)</f>
        <v>51</v>
      </c>
      <c r="BL458" s="3">
        <f ca="1">IFERROR(__xludf.DUMMYFUNCTION("""COMPUTED_VALUE"""),50.41)</f>
        <v>50.41</v>
      </c>
      <c r="BM458" s="3">
        <f ca="1">IFERROR(__xludf.DUMMYFUNCTION("""COMPUTED_VALUE"""),50.82)</f>
        <v>50.82</v>
      </c>
      <c r="BN458" s="3">
        <f ca="1">IFERROR(__xludf.DUMMYFUNCTION("""COMPUTED_VALUE"""),15003582)</f>
        <v>15003582</v>
      </c>
    </row>
    <row r="459" spans="7:66" ht="13" x14ac:dyDescent="0.15">
      <c r="G459" s="4">
        <f ca="1">IFERROR(__xludf.DUMMYFUNCTION("""COMPUTED_VALUE"""),42790.6666666666)</f>
        <v>42790.666666666599</v>
      </c>
      <c r="H459" s="3">
        <f ca="1">IFERROR(__xludf.DUMMYFUNCTION("""COMPUTED_VALUE"""),86.37)</f>
        <v>86.37</v>
      </c>
      <c r="I459" s="3">
        <f ca="1">IFERROR(__xludf.DUMMYFUNCTION("""COMPUTED_VALUE"""),86.92)</f>
        <v>86.92</v>
      </c>
      <c r="J459" s="3">
        <f ca="1">IFERROR(__xludf.DUMMYFUNCTION("""COMPUTED_VALUE"""),86.18)</f>
        <v>86.18</v>
      </c>
      <c r="K459" s="3">
        <f ca="1">IFERROR(__xludf.DUMMYFUNCTION("""COMPUTED_VALUE"""),86.92)</f>
        <v>86.92</v>
      </c>
      <c r="L459" s="3">
        <f ca="1">IFERROR(__xludf.DUMMYFUNCTION("""COMPUTED_VALUE"""),4846313)</f>
        <v>4846313</v>
      </c>
      <c r="M459" s="4">
        <f ca="1">IFERROR(__xludf.DUMMYFUNCTION("""COMPUTED_VALUE"""),42790.6666666666)</f>
        <v>42790.666666666599</v>
      </c>
      <c r="N459" s="3">
        <f ca="1">IFERROR(__xludf.DUMMYFUNCTION("""COMPUTED_VALUE"""),55.03)</f>
        <v>55.03</v>
      </c>
      <c r="O459" s="3">
        <f ca="1">IFERROR(__xludf.DUMMYFUNCTION("""COMPUTED_VALUE"""),55.3)</f>
        <v>55.3</v>
      </c>
      <c r="P459" s="3">
        <f ca="1">IFERROR(__xludf.DUMMYFUNCTION("""COMPUTED_VALUE"""),54.99)</f>
        <v>54.99</v>
      </c>
      <c r="Q459" s="3">
        <f ca="1">IFERROR(__xludf.DUMMYFUNCTION("""COMPUTED_VALUE"""),55.28)</f>
        <v>55.28</v>
      </c>
      <c r="R459" s="3">
        <f ca="1">IFERROR(__xludf.DUMMYFUNCTION("""COMPUTED_VALUE"""),7762232)</f>
        <v>7762232</v>
      </c>
      <c r="S459" s="4">
        <f ca="1">IFERROR(__xludf.DUMMYFUNCTION("""COMPUTED_VALUE"""),42790.6666666666)</f>
        <v>42790.666666666599</v>
      </c>
      <c r="T459" s="3">
        <f ca="1">IFERROR(__xludf.DUMMYFUNCTION("""COMPUTED_VALUE"""),71.14)</f>
        <v>71.14</v>
      </c>
      <c r="U459" s="3">
        <f ca="1">IFERROR(__xludf.DUMMYFUNCTION("""COMPUTED_VALUE"""),71.41)</f>
        <v>71.41</v>
      </c>
      <c r="V459" s="3">
        <f ca="1">IFERROR(__xludf.DUMMYFUNCTION("""COMPUTED_VALUE"""),70.63)</f>
        <v>70.63</v>
      </c>
      <c r="W459" s="3">
        <f ca="1">IFERROR(__xludf.DUMMYFUNCTION("""COMPUTED_VALUE"""),70.99)</f>
        <v>70.989999999999995</v>
      </c>
      <c r="X459" s="3">
        <f ca="1">IFERROR(__xludf.DUMMYFUNCTION("""COMPUTED_VALUE"""),13997642)</f>
        <v>13997642</v>
      </c>
      <c r="Y459" s="4">
        <f ca="1">IFERROR(__xludf.DUMMYFUNCTION("""COMPUTED_VALUE"""),42790.6666666666)</f>
        <v>42790.666666666599</v>
      </c>
      <c r="Z459" s="3">
        <f ca="1">IFERROR(__xludf.DUMMYFUNCTION("""COMPUTED_VALUE"""),24.35)</f>
        <v>24.35</v>
      </c>
      <c r="AA459" s="3">
        <f ca="1">IFERROR(__xludf.DUMMYFUNCTION("""COMPUTED_VALUE"""),24.48)</f>
        <v>24.48</v>
      </c>
      <c r="AB459" s="3">
        <f ca="1">IFERROR(__xludf.DUMMYFUNCTION("""COMPUTED_VALUE"""),24.31)</f>
        <v>24.31</v>
      </c>
      <c r="AC459" s="3">
        <f ca="1">IFERROR(__xludf.DUMMYFUNCTION("""COMPUTED_VALUE"""),24.42)</f>
        <v>24.42</v>
      </c>
      <c r="AD459" s="3">
        <f ca="1">IFERROR(__xludf.DUMMYFUNCTION("""COMPUTED_VALUE"""),61686780)</f>
        <v>61686780</v>
      </c>
      <c r="AE459" s="4">
        <f ca="1">IFERROR(__xludf.DUMMYFUNCTION("""COMPUTED_VALUE"""),42790.6666666666)</f>
        <v>42790.666666666599</v>
      </c>
      <c r="AF459" s="3">
        <f ca="1">IFERROR(__xludf.DUMMYFUNCTION("""COMPUTED_VALUE"""),74.3)</f>
        <v>74.3</v>
      </c>
      <c r="AG459" s="3">
        <f ca="1">IFERROR(__xludf.DUMMYFUNCTION("""COMPUTED_VALUE"""),74.82)</f>
        <v>74.819999999999993</v>
      </c>
      <c r="AH459" s="3">
        <f ca="1">IFERROR(__xludf.DUMMYFUNCTION("""COMPUTED_VALUE"""),74.27)</f>
        <v>74.27</v>
      </c>
      <c r="AI459" s="3">
        <f ca="1">IFERROR(__xludf.DUMMYFUNCTION("""COMPUTED_VALUE"""),74.78)</f>
        <v>74.78</v>
      </c>
      <c r="AJ459" s="3">
        <f ca="1">IFERROR(__xludf.DUMMYFUNCTION("""COMPUTED_VALUE"""),9103034)</f>
        <v>9103034</v>
      </c>
      <c r="AK459" s="4">
        <f ca="1">IFERROR(__xludf.DUMMYFUNCTION("""COMPUTED_VALUE"""),42790.6666666666)</f>
        <v>42790.666666666599</v>
      </c>
      <c r="AL459" s="3">
        <f ca="1">IFERROR(__xludf.DUMMYFUNCTION("""COMPUTED_VALUE"""),65.26)</f>
        <v>65.260000000000005</v>
      </c>
      <c r="AM459" s="3">
        <f ca="1">IFERROR(__xludf.DUMMYFUNCTION("""COMPUTED_VALUE"""),65.9)</f>
        <v>65.900000000000006</v>
      </c>
      <c r="AN459" s="3">
        <f ca="1">IFERROR(__xludf.DUMMYFUNCTION("""COMPUTED_VALUE"""),65.17)</f>
        <v>65.17</v>
      </c>
      <c r="AO459" s="3">
        <f ca="1">IFERROR(__xludf.DUMMYFUNCTION("""COMPUTED_VALUE"""),65.89)</f>
        <v>65.89</v>
      </c>
      <c r="AP459" s="3">
        <f ca="1">IFERROR(__xludf.DUMMYFUNCTION("""COMPUTED_VALUE"""),12662950)</f>
        <v>12662950</v>
      </c>
      <c r="AQ459" s="4">
        <f ca="1">IFERROR(__xludf.DUMMYFUNCTION("""COMPUTED_VALUE"""),42790.6666666666)</f>
        <v>42790.666666666599</v>
      </c>
      <c r="AR459" s="3">
        <f ca="1">IFERROR(__xludf.DUMMYFUNCTION("""COMPUTED_VALUE"""),52.1)</f>
        <v>52.1</v>
      </c>
      <c r="AS459" s="3">
        <f ca="1">IFERROR(__xludf.DUMMYFUNCTION("""COMPUTED_VALUE"""),52.47)</f>
        <v>52.47</v>
      </c>
      <c r="AT459" s="3">
        <f ca="1">IFERROR(__xludf.DUMMYFUNCTION("""COMPUTED_VALUE"""),52.02)</f>
        <v>52.02</v>
      </c>
      <c r="AU459" s="3">
        <f ca="1">IFERROR(__xludf.DUMMYFUNCTION("""COMPUTED_VALUE"""),52.43)</f>
        <v>52.43</v>
      </c>
      <c r="AV459" s="3">
        <f ca="1">IFERROR(__xludf.DUMMYFUNCTION("""COMPUTED_VALUE"""),4812330)</f>
        <v>4812330</v>
      </c>
      <c r="AW459" s="4">
        <f ca="1">IFERROR(__xludf.DUMMYFUNCTION("""COMPUTED_VALUE"""),42955.6666666666)</f>
        <v>42955.666666666599</v>
      </c>
      <c r="AX459" s="3">
        <f ca="1">IFERROR(__xludf.DUMMYFUNCTION("""COMPUTED_VALUE"""),32.51)</f>
        <v>32.51</v>
      </c>
      <c r="AY459" s="3">
        <f ca="1">IFERROR(__xludf.DUMMYFUNCTION("""COMPUTED_VALUE"""),32.56)</f>
        <v>32.56</v>
      </c>
      <c r="AZ459" s="3">
        <f ca="1">IFERROR(__xludf.DUMMYFUNCTION("""COMPUTED_VALUE"""),32.32)</f>
        <v>32.32</v>
      </c>
      <c r="BA459" s="3">
        <f ca="1">IFERROR(__xludf.DUMMYFUNCTION("""COMPUTED_VALUE"""),32.42)</f>
        <v>32.42</v>
      </c>
      <c r="BB459" s="3">
        <f ca="1">IFERROR(__xludf.DUMMYFUNCTION("""COMPUTED_VALUE"""),1070653)</f>
        <v>1070653</v>
      </c>
      <c r="BC459" s="4">
        <f ca="1">IFERROR(__xludf.DUMMYFUNCTION("""COMPUTED_VALUE"""),42790.6666666666)</f>
        <v>42790.666666666599</v>
      </c>
      <c r="BD459" s="3">
        <f ca="1">IFERROR(__xludf.DUMMYFUNCTION("""COMPUTED_VALUE"""),52.2)</f>
        <v>52.2</v>
      </c>
      <c r="BE459" s="3">
        <f ca="1">IFERROR(__xludf.DUMMYFUNCTION("""COMPUTED_VALUE"""),52.65)</f>
        <v>52.65</v>
      </c>
      <c r="BF459" s="3">
        <f ca="1">IFERROR(__xludf.DUMMYFUNCTION("""COMPUTED_VALUE"""),52.17)</f>
        <v>52.17</v>
      </c>
      <c r="BG459" s="3">
        <f ca="1">IFERROR(__xludf.DUMMYFUNCTION("""COMPUTED_VALUE"""),52.63)</f>
        <v>52.63</v>
      </c>
      <c r="BH459" s="3">
        <f ca="1">IFERROR(__xludf.DUMMYFUNCTION("""COMPUTED_VALUE"""),7772505)</f>
        <v>7772505</v>
      </c>
      <c r="BI459" s="4">
        <f ca="1">IFERROR(__xludf.DUMMYFUNCTION("""COMPUTED_VALUE"""),42790.6666666666)</f>
        <v>42790.666666666599</v>
      </c>
      <c r="BJ459" s="3">
        <f ca="1">IFERROR(__xludf.DUMMYFUNCTION("""COMPUTED_VALUE"""),50.99)</f>
        <v>50.99</v>
      </c>
      <c r="BK459" s="3">
        <f ca="1">IFERROR(__xludf.DUMMYFUNCTION("""COMPUTED_VALUE"""),51.59)</f>
        <v>51.59</v>
      </c>
      <c r="BL459" s="3">
        <f ca="1">IFERROR(__xludf.DUMMYFUNCTION("""COMPUTED_VALUE"""),50.99)</f>
        <v>50.99</v>
      </c>
      <c r="BM459" s="3">
        <f ca="1">IFERROR(__xludf.DUMMYFUNCTION("""COMPUTED_VALUE"""),51.59)</f>
        <v>51.59</v>
      </c>
      <c r="BN459" s="3">
        <f ca="1">IFERROR(__xludf.DUMMYFUNCTION("""COMPUTED_VALUE"""),18629698)</f>
        <v>18629698</v>
      </c>
    </row>
    <row r="460" spans="7:66" ht="13" x14ac:dyDescent="0.15">
      <c r="G460" s="4">
        <f ca="1">IFERROR(__xludf.DUMMYFUNCTION("""COMPUTED_VALUE"""),42793.6666666666)</f>
        <v>42793.666666666599</v>
      </c>
      <c r="H460" s="3">
        <f ca="1">IFERROR(__xludf.DUMMYFUNCTION("""COMPUTED_VALUE"""),86.95)</f>
        <v>86.95</v>
      </c>
      <c r="I460" s="3">
        <f ca="1">IFERROR(__xludf.DUMMYFUNCTION("""COMPUTED_VALUE"""),87.08)</f>
        <v>87.08</v>
      </c>
      <c r="J460" s="3">
        <f ca="1">IFERROR(__xludf.DUMMYFUNCTION("""COMPUTED_VALUE"""),86.66)</f>
        <v>86.66</v>
      </c>
      <c r="K460" s="3">
        <f ca="1">IFERROR(__xludf.DUMMYFUNCTION("""COMPUTED_VALUE"""),87.02)</f>
        <v>87.02</v>
      </c>
      <c r="L460" s="3">
        <f ca="1">IFERROR(__xludf.DUMMYFUNCTION("""COMPUTED_VALUE"""),3452412)</f>
        <v>3452412</v>
      </c>
      <c r="M460" s="4">
        <f ca="1">IFERROR(__xludf.DUMMYFUNCTION("""COMPUTED_VALUE"""),42793.6666666666)</f>
        <v>42793.666666666599</v>
      </c>
      <c r="N460" s="3">
        <f ca="1">IFERROR(__xludf.DUMMYFUNCTION("""COMPUTED_VALUE"""),55.19)</f>
        <v>55.19</v>
      </c>
      <c r="O460" s="3">
        <f ca="1">IFERROR(__xludf.DUMMYFUNCTION("""COMPUTED_VALUE"""),55.19)</f>
        <v>55.19</v>
      </c>
      <c r="P460" s="3">
        <f ca="1">IFERROR(__xludf.DUMMYFUNCTION("""COMPUTED_VALUE"""),54.91)</f>
        <v>54.91</v>
      </c>
      <c r="Q460" s="3">
        <f ca="1">IFERROR(__xludf.DUMMYFUNCTION("""COMPUTED_VALUE"""),55.03)</f>
        <v>55.03</v>
      </c>
      <c r="R460" s="3">
        <f ca="1">IFERROR(__xludf.DUMMYFUNCTION("""COMPUTED_VALUE"""),12707464)</f>
        <v>12707464</v>
      </c>
      <c r="S460" s="4">
        <f ca="1">IFERROR(__xludf.DUMMYFUNCTION("""COMPUTED_VALUE"""),42793.6666666666)</f>
        <v>42793.666666666599</v>
      </c>
      <c r="T460" s="3">
        <f ca="1">IFERROR(__xludf.DUMMYFUNCTION("""COMPUTED_VALUE"""),71.06)</f>
        <v>71.06</v>
      </c>
      <c r="U460" s="3">
        <f ca="1">IFERROR(__xludf.DUMMYFUNCTION("""COMPUTED_VALUE"""),71.91)</f>
        <v>71.91</v>
      </c>
      <c r="V460" s="3">
        <f ca="1">IFERROR(__xludf.DUMMYFUNCTION("""COMPUTED_VALUE"""),70.94)</f>
        <v>70.94</v>
      </c>
      <c r="W460" s="3">
        <f ca="1">IFERROR(__xludf.DUMMYFUNCTION("""COMPUTED_VALUE"""),71.6)</f>
        <v>71.599999999999994</v>
      </c>
      <c r="X460" s="3">
        <f ca="1">IFERROR(__xludf.DUMMYFUNCTION("""COMPUTED_VALUE"""),23686442)</f>
        <v>23686442</v>
      </c>
      <c r="Y460" s="4">
        <f ca="1">IFERROR(__xludf.DUMMYFUNCTION("""COMPUTED_VALUE"""),42793.6666666666)</f>
        <v>42793.666666666599</v>
      </c>
      <c r="Z460" s="3">
        <f ca="1">IFERROR(__xludf.DUMMYFUNCTION("""COMPUTED_VALUE"""),24.45)</f>
        <v>24.45</v>
      </c>
      <c r="AA460" s="3">
        <f ca="1">IFERROR(__xludf.DUMMYFUNCTION("""COMPUTED_VALUE"""),24.6)</f>
        <v>24.6</v>
      </c>
      <c r="AB460" s="3">
        <f ca="1">IFERROR(__xludf.DUMMYFUNCTION("""COMPUTED_VALUE"""),24.44)</f>
        <v>24.44</v>
      </c>
      <c r="AC460" s="3">
        <f ca="1">IFERROR(__xludf.DUMMYFUNCTION("""COMPUTED_VALUE"""),24.55)</f>
        <v>24.55</v>
      </c>
      <c r="AD460" s="3">
        <f ca="1">IFERROR(__xludf.DUMMYFUNCTION("""COMPUTED_VALUE"""),39655008)</f>
        <v>39655008</v>
      </c>
      <c r="AE460" s="4">
        <f ca="1">IFERROR(__xludf.DUMMYFUNCTION("""COMPUTED_VALUE"""),42793.6666666666)</f>
        <v>42793.666666666599</v>
      </c>
      <c r="AF460" s="3">
        <f ca="1">IFERROR(__xludf.DUMMYFUNCTION("""COMPUTED_VALUE"""),74.83)</f>
        <v>74.83</v>
      </c>
      <c r="AG460" s="3">
        <f ca="1">IFERROR(__xludf.DUMMYFUNCTION("""COMPUTED_VALUE"""),75.18)</f>
        <v>75.180000000000007</v>
      </c>
      <c r="AH460" s="3">
        <f ca="1">IFERROR(__xludf.DUMMYFUNCTION("""COMPUTED_VALUE"""),74.67)</f>
        <v>74.67</v>
      </c>
      <c r="AI460" s="3">
        <f ca="1">IFERROR(__xludf.DUMMYFUNCTION("""COMPUTED_VALUE"""),75.14)</f>
        <v>75.14</v>
      </c>
      <c r="AJ460" s="3">
        <f ca="1">IFERROR(__xludf.DUMMYFUNCTION("""COMPUTED_VALUE"""),8178202)</f>
        <v>8178202</v>
      </c>
      <c r="AK460" s="4">
        <f ca="1">IFERROR(__xludf.DUMMYFUNCTION("""COMPUTED_VALUE"""),42793.6666666666)</f>
        <v>42793.666666666599</v>
      </c>
      <c r="AL460" s="3">
        <f ca="1">IFERROR(__xludf.DUMMYFUNCTION("""COMPUTED_VALUE"""),65.95)</f>
        <v>65.95</v>
      </c>
      <c r="AM460" s="3">
        <f ca="1">IFERROR(__xludf.DUMMYFUNCTION("""COMPUTED_VALUE"""),66.18)</f>
        <v>66.180000000000007</v>
      </c>
      <c r="AN460" s="3">
        <f ca="1">IFERROR(__xludf.DUMMYFUNCTION("""COMPUTED_VALUE"""),65.73)</f>
        <v>65.73</v>
      </c>
      <c r="AO460" s="3">
        <f ca="1">IFERROR(__xludf.DUMMYFUNCTION("""COMPUTED_VALUE"""),66.13)</f>
        <v>66.13</v>
      </c>
      <c r="AP460" s="3">
        <f ca="1">IFERROR(__xludf.DUMMYFUNCTION("""COMPUTED_VALUE"""),10705384)</f>
        <v>10705384</v>
      </c>
      <c r="AQ460" s="4">
        <f ca="1">IFERROR(__xludf.DUMMYFUNCTION("""COMPUTED_VALUE"""),42793.6666666666)</f>
        <v>42793.666666666599</v>
      </c>
      <c r="AR460" s="3">
        <f ca="1">IFERROR(__xludf.DUMMYFUNCTION("""COMPUTED_VALUE"""),52.43)</f>
        <v>52.43</v>
      </c>
      <c r="AS460" s="3">
        <f ca="1">IFERROR(__xludf.DUMMYFUNCTION("""COMPUTED_VALUE"""),52.73)</f>
        <v>52.73</v>
      </c>
      <c r="AT460" s="3">
        <f ca="1">IFERROR(__xludf.DUMMYFUNCTION("""COMPUTED_VALUE"""),52.22)</f>
        <v>52.22</v>
      </c>
      <c r="AU460" s="3">
        <f ca="1">IFERROR(__xludf.DUMMYFUNCTION("""COMPUTED_VALUE"""),52.3)</f>
        <v>52.3</v>
      </c>
      <c r="AV460" s="3">
        <f ca="1">IFERROR(__xludf.DUMMYFUNCTION("""COMPUTED_VALUE"""),6297832)</f>
        <v>6297832</v>
      </c>
      <c r="AW460" s="4">
        <f ca="1">IFERROR(__xludf.DUMMYFUNCTION("""COMPUTED_VALUE"""),42956.6666666666)</f>
        <v>42956.666666666599</v>
      </c>
      <c r="AX460" s="3">
        <f ca="1">IFERROR(__xludf.DUMMYFUNCTION("""COMPUTED_VALUE"""),32.42)</f>
        <v>32.42</v>
      </c>
      <c r="AY460" s="3">
        <f ca="1">IFERROR(__xludf.DUMMYFUNCTION("""COMPUTED_VALUE"""),32.5)</f>
        <v>32.5</v>
      </c>
      <c r="AZ460" s="3">
        <f ca="1">IFERROR(__xludf.DUMMYFUNCTION("""COMPUTED_VALUE"""),32.3)</f>
        <v>32.299999999999997</v>
      </c>
      <c r="BA460" s="3">
        <f ca="1">IFERROR(__xludf.DUMMYFUNCTION("""COMPUTED_VALUE"""),32.46)</f>
        <v>32.46</v>
      </c>
      <c r="BB460" s="3">
        <f ca="1">IFERROR(__xludf.DUMMYFUNCTION("""COMPUTED_VALUE"""),1134394)</f>
        <v>1134394</v>
      </c>
      <c r="BC460" s="4">
        <f ca="1">IFERROR(__xludf.DUMMYFUNCTION("""COMPUTED_VALUE"""),42793.6666666666)</f>
        <v>42793.666666666599</v>
      </c>
      <c r="BD460" s="3">
        <f ca="1">IFERROR(__xludf.DUMMYFUNCTION("""COMPUTED_VALUE"""),52.62)</f>
        <v>52.62</v>
      </c>
      <c r="BE460" s="3">
        <f ca="1">IFERROR(__xludf.DUMMYFUNCTION("""COMPUTED_VALUE"""),52.62)</f>
        <v>52.62</v>
      </c>
      <c r="BF460" s="3">
        <f ca="1">IFERROR(__xludf.DUMMYFUNCTION("""COMPUTED_VALUE"""),52.48)</f>
        <v>52.48</v>
      </c>
      <c r="BG460" s="3">
        <f ca="1">IFERROR(__xludf.DUMMYFUNCTION("""COMPUTED_VALUE"""),52.6)</f>
        <v>52.6</v>
      </c>
      <c r="BH460" s="3">
        <f ca="1">IFERROR(__xludf.DUMMYFUNCTION("""COMPUTED_VALUE"""),7975631)</f>
        <v>7975631</v>
      </c>
      <c r="BI460" s="4">
        <f ca="1">IFERROR(__xludf.DUMMYFUNCTION("""COMPUTED_VALUE"""),42793.6666666666)</f>
        <v>42793.666666666599</v>
      </c>
      <c r="BJ460" s="3">
        <f ca="1">IFERROR(__xludf.DUMMYFUNCTION("""COMPUTED_VALUE"""),51.49)</f>
        <v>51.49</v>
      </c>
      <c r="BK460" s="3">
        <f ca="1">IFERROR(__xludf.DUMMYFUNCTION("""COMPUTED_VALUE"""),51.53)</f>
        <v>51.53</v>
      </c>
      <c r="BL460" s="3">
        <f ca="1">IFERROR(__xludf.DUMMYFUNCTION("""COMPUTED_VALUE"""),51.23)</f>
        <v>51.23</v>
      </c>
      <c r="BM460" s="3">
        <f ca="1">IFERROR(__xludf.DUMMYFUNCTION("""COMPUTED_VALUE"""),51.3)</f>
        <v>51.3</v>
      </c>
      <c r="BN460" s="3">
        <f ca="1">IFERROR(__xludf.DUMMYFUNCTION("""COMPUTED_VALUE"""),13982858)</f>
        <v>13982858</v>
      </c>
    </row>
    <row r="461" spans="7:66" ht="13" x14ac:dyDescent="0.15">
      <c r="G461" s="4">
        <f ca="1">IFERROR(__xludf.DUMMYFUNCTION("""COMPUTED_VALUE"""),42794.6666666666)</f>
        <v>42794.666666666599</v>
      </c>
      <c r="H461" s="3">
        <f ca="1">IFERROR(__xludf.DUMMYFUNCTION("""COMPUTED_VALUE"""),86.79)</f>
        <v>86.79</v>
      </c>
      <c r="I461" s="3">
        <f ca="1">IFERROR(__xludf.DUMMYFUNCTION("""COMPUTED_VALUE"""),86.81)</f>
        <v>86.81</v>
      </c>
      <c r="J461" s="3">
        <f ca="1">IFERROR(__xludf.DUMMYFUNCTION("""COMPUTED_VALUE"""),86.3)</f>
        <v>86.3</v>
      </c>
      <c r="K461" s="3">
        <f ca="1">IFERROR(__xludf.DUMMYFUNCTION("""COMPUTED_VALUE"""),86.37)</f>
        <v>86.37</v>
      </c>
      <c r="L461" s="3">
        <f ca="1">IFERROR(__xludf.DUMMYFUNCTION("""COMPUTED_VALUE"""),4089516)</f>
        <v>4089516</v>
      </c>
      <c r="M461" s="4">
        <f ca="1">IFERROR(__xludf.DUMMYFUNCTION("""COMPUTED_VALUE"""),42794.6666666666)</f>
        <v>42794.666666666599</v>
      </c>
      <c r="N461" s="3">
        <f ca="1">IFERROR(__xludf.DUMMYFUNCTION("""COMPUTED_VALUE"""),54.94)</f>
        <v>54.94</v>
      </c>
      <c r="O461" s="3">
        <f ca="1">IFERROR(__xludf.DUMMYFUNCTION("""COMPUTED_VALUE"""),55.22)</f>
        <v>55.22</v>
      </c>
      <c r="P461" s="3">
        <f ca="1">IFERROR(__xludf.DUMMYFUNCTION("""COMPUTED_VALUE"""),54.88)</f>
        <v>54.88</v>
      </c>
      <c r="Q461" s="3">
        <f ca="1">IFERROR(__xludf.DUMMYFUNCTION("""COMPUTED_VALUE"""),55.1)</f>
        <v>55.1</v>
      </c>
      <c r="R461" s="3">
        <f ca="1">IFERROR(__xludf.DUMMYFUNCTION("""COMPUTED_VALUE"""),17735461)</f>
        <v>17735461</v>
      </c>
      <c r="S461" s="4">
        <f ca="1">IFERROR(__xludf.DUMMYFUNCTION("""COMPUTED_VALUE"""),42794.6666666666)</f>
        <v>42794.666666666599</v>
      </c>
      <c r="T461" s="3">
        <f ca="1">IFERROR(__xludf.DUMMYFUNCTION("""COMPUTED_VALUE"""),71.39)</f>
        <v>71.39</v>
      </c>
      <c r="U461" s="3">
        <f ca="1">IFERROR(__xludf.DUMMYFUNCTION("""COMPUTED_VALUE"""),71.72)</f>
        <v>71.72</v>
      </c>
      <c r="V461" s="3">
        <f ca="1">IFERROR(__xludf.DUMMYFUNCTION("""COMPUTED_VALUE"""),71.18)</f>
        <v>71.180000000000007</v>
      </c>
      <c r="W461" s="3">
        <f ca="1">IFERROR(__xludf.DUMMYFUNCTION("""COMPUTED_VALUE"""),71.38)</f>
        <v>71.38</v>
      </c>
      <c r="X461" s="3">
        <f ca="1">IFERROR(__xludf.DUMMYFUNCTION("""COMPUTED_VALUE"""),14018447)</f>
        <v>14018447</v>
      </c>
      <c r="Y461" s="4">
        <f ca="1">IFERROR(__xludf.DUMMYFUNCTION("""COMPUTED_VALUE"""),42794.6666666666)</f>
        <v>42794.666666666599</v>
      </c>
      <c r="Z461" s="3">
        <f ca="1">IFERROR(__xludf.DUMMYFUNCTION("""COMPUTED_VALUE"""),24.46)</f>
        <v>24.46</v>
      </c>
      <c r="AA461" s="3">
        <f ca="1">IFERROR(__xludf.DUMMYFUNCTION("""COMPUTED_VALUE"""),24.55)</f>
        <v>24.55</v>
      </c>
      <c r="AB461" s="3">
        <f ca="1">IFERROR(__xludf.DUMMYFUNCTION("""COMPUTED_VALUE"""),24.38)</f>
        <v>24.38</v>
      </c>
      <c r="AC461" s="3">
        <f ca="1">IFERROR(__xludf.DUMMYFUNCTION("""COMPUTED_VALUE"""),24.54)</f>
        <v>24.54</v>
      </c>
      <c r="AD461" s="3">
        <f ca="1">IFERROR(__xludf.DUMMYFUNCTION("""COMPUTED_VALUE"""),48912989)</f>
        <v>48912989</v>
      </c>
      <c r="AE461" s="4">
        <f ca="1">IFERROR(__xludf.DUMMYFUNCTION("""COMPUTED_VALUE"""),42794.6666666666)</f>
        <v>42794.666666666599</v>
      </c>
      <c r="AF461" s="3">
        <f ca="1">IFERROR(__xludf.DUMMYFUNCTION("""COMPUTED_VALUE"""),74.93)</f>
        <v>74.930000000000007</v>
      </c>
      <c r="AG461" s="3">
        <f ca="1">IFERROR(__xludf.DUMMYFUNCTION("""COMPUTED_VALUE"""),75.23)</f>
        <v>75.23</v>
      </c>
      <c r="AH461" s="3">
        <f ca="1">IFERROR(__xludf.DUMMYFUNCTION("""COMPUTED_VALUE"""),74.77)</f>
        <v>74.77</v>
      </c>
      <c r="AI461" s="3">
        <f ca="1">IFERROR(__xludf.DUMMYFUNCTION("""COMPUTED_VALUE"""),74.99)</f>
        <v>74.989999999999995</v>
      </c>
      <c r="AJ461" s="3">
        <f ca="1">IFERROR(__xludf.DUMMYFUNCTION("""COMPUTED_VALUE"""),10258588)</f>
        <v>10258588</v>
      </c>
      <c r="AK461" s="4">
        <f ca="1">IFERROR(__xludf.DUMMYFUNCTION("""COMPUTED_VALUE"""),42794.6666666666)</f>
        <v>42794.666666666599</v>
      </c>
      <c r="AL461" s="3">
        <f ca="1">IFERROR(__xludf.DUMMYFUNCTION("""COMPUTED_VALUE"""),66.16)</f>
        <v>66.16</v>
      </c>
      <c r="AM461" s="3">
        <f ca="1">IFERROR(__xludf.DUMMYFUNCTION("""COMPUTED_VALUE"""),66.26)</f>
        <v>66.260000000000005</v>
      </c>
      <c r="AN461" s="3">
        <f ca="1">IFERROR(__xludf.DUMMYFUNCTION("""COMPUTED_VALUE"""),65.74)</f>
        <v>65.739999999999995</v>
      </c>
      <c r="AO461" s="3">
        <f ca="1">IFERROR(__xludf.DUMMYFUNCTION("""COMPUTED_VALUE"""),65.86)</f>
        <v>65.86</v>
      </c>
      <c r="AP461" s="3">
        <f ca="1">IFERROR(__xludf.DUMMYFUNCTION("""COMPUTED_VALUE"""),9629948)</f>
        <v>9629948</v>
      </c>
      <c r="AQ461" s="4">
        <f ca="1">IFERROR(__xludf.DUMMYFUNCTION("""COMPUTED_VALUE"""),42794.6666666666)</f>
        <v>42794.666666666599</v>
      </c>
      <c r="AR461" s="3">
        <f ca="1">IFERROR(__xludf.DUMMYFUNCTION("""COMPUTED_VALUE"""),52.26)</f>
        <v>52.26</v>
      </c>
      <c r="AS461" s="3">
        <f ca="1">IFERROR(__xludf.DUMMYFUNCTION("""COMPUTED_VALUE"""),52.5)</f>
        <v>52.5</v>
      </c>
      <c r="AT461" s="3">
        <f ca="1">IFERROR(__xludf.DUMMYFUNCTION("""COMPUTED_VALUE"""),52.17)</f>
        <v>52.17</v>
      </c>
      <c r="AU461" s="3">
        <f ca="1">IFERROR(__xludf.DUMMYFUNCTION("""COMPUTED_VALUE"""),52.25)</f>
        <v>52.25</v>
      </c>
      <c r="AV461" s="3">
        <f ca="1">IFERROR(__xludf.DUMMYFUNCTION("""COMPUTED_VALUE"""),3862245)</f>
        <v>3862245</v>
      </c>
      <c r="AW461" s="4">
        <f ca="1">IFERROR(__xludf.DUMMYFUNCTION("""COMPUTED_VALUE"""),42957.6666666666)</f>
        <v>42957.666666666599</v>
      </c>
      <c r="AX461" s="3">
        <f ca="1">IFERROR(__xludf.DUMMYFUNCTION("""COMPUTED_VALUE"""),32.37)</f>
        <v>32.369999999999997</v>
      </c>
      <c r="AY461" s="3">
        <f ca="1">IFERROR(__xludf.DUMMYFUNCTION("""COMPUTED_VALUE"""),32.42)</f>
        <v>32.42</v>
      </c>
      <c r="AZ461" s="3">
        <f ca="1">IFERROR(__xludf.DUMMYFUNCTION("""COMPUTED_VALUE"""),32.16)</f>
        <v>32.159999999999997</v>
      </c>
      <c r="BA461" s="3">
        <f ca="1">IFERROR(__xludf.DUMMYFUNCTION("""COMPUTED_VALUE"""),32.17)</f>
        <v>32.17</v>
      </c>
      <c r="BB461" s="3">
        <f ca="1">IFERROR(__xludf.DUMMYFUNCTION("""COMPUTED_VALUE"""),1412033)</f>
        <v>1412033</v>
      </c>
      <c r="BC461" s="4">
        <f ca="1">IFERROR(__xludf.DUMMYFUNCTION("""COMPUTED_VALUE"""),42794.6666666666)</f>
        <v>42794.666666666599</v>
      </c>
      <c r="BD461" s="3">
        <f ca="1">IFERROR(__xludf.DUMMYFUNCTION("""COMPUTED_VALUE"""),52.51)</f>
        <v>52.51</v>
      </c>
      <c r="BE461" s="3">
        <f ca="1">IFERROR(__xludf.DUMMYFUNCTION("""COMPUTED_VALUE"""),52.56)</f>
        <v>52.56</v>
      </c>
      <c r="BF461" s="3">
        <f ca="1">IFERROR(__xludf.DUMMYFUNCTION("""COMPUTED_VALUE"""),52.27)</f>
        <v>52.27</v>
      </c>
      <c r="BG461" s="3">
        <f ca="1">IFERROR(__xludf.DUMMYFUNCTION("""COMPUTED_VALUE"""),52.35)</f>
        <v>52.35</v>
      </c>
      <c r="BH461" s="3">
        <f ca="1">IFERROR(__xludf.DUMMYFUNCTION("""COMPUTED_VALUE"""),7621497)</f>
        <v>7621497</v>
      </c>
      <c r="BI461" s="4">
        <f ca="1">IFERROR(__xludf.DUMMYFUNCTION("""COMPUTED_VALUE"""),42794.6666666666)</f>
        <v>42794.666666666599</v>
      </c>
      <c r="BJ461" s="3">
        <f ca="1">IFERROR(__xludf.DUMMYFUNCTION("""COMPUTED_VALUE"""),51.29)</f>
        <v>51.29</v>
      </c>
      <c r="BK461" s="3">
        <f ca="1">IFERROR(__xludf.DUMMYFUNCTION("""COMPUTED_VALUE"""),51.9)</f>
        <v>51.9</v>
      </c>
      <c r="BL461" s="3">
        <f ca="1">IFERROR(__xludf.DUMMYFUNCTION("""COMPUTED_VALUE"""),51.2)</f>
        <v>51.2</v>
      </c>
      <c r="BM461" s="3">
        <f ca="1">IFERROR(__xludf.DUMMYFUNCTION("""COMPUTED_VALUE"""),51.77)</f>
        <v>51.77</v>
      </c>
      <c r="BN461" s="3">
        <f ca="1">IFERROR(__xludf.DUMMYFUNCTION("""COMPUTED_VALUE"""),14410423)</f>
        <v>14410423</v>
      </c>
    </row>
    <row r="462" spans="7:66" ht="13" x14ac:dyDescent="0.15">
      <c r="G462" s="4">
        <f ca="1">IFERROR(__xludf.DUMMYFUNCTION("""COMPUTED_VALUE"""),42795.6666666666)</f>
        <v>42795.666666666599</v>
      </c>
      <c r="H462" s="3">
        <f ca="1">IFERROR(__xludf.DUMMYFUNCTION("""COMPUTED_VALUE"""),87.3)</f>
        <v>87.3</v>
      </c>
      <c r="I462" s="3">
        <f ca="1">IFERROR(__xludf.DUMMYFUNCTION("""COMPUTED_VALUE"""),87.58)</f>
        <v>87.58</v>
      </c>
      <c r="J462" s="3">
        <f ca="1">IFERROR(__xludf.DUMMYFUNCTION("""COMPUTED_VALUE"""),87.02)</f>
        <v>87.02</v>
      </c>
      <c r="K462" s="3">
        <f ca="1">IFERROR(__xludf.DUMMYFUNCTION("""COMPUTED_VALUE"""),87.34)</f>
        <v>87.34</v>
      </c>
      <c r="L462" s="3">
        <f ca="1">IFERROR(__xludf.DUMMYFUNCTION("""COMPUTED_VALUE"""),8634802)</f>
        <v>8634802</v>
      </c>
      <c r="M462" s="4">
        <f ca="1">IFERROR(__xludf.DUMMYFUNCTION("""COMPUTED_VALUE"""),42795.6666666666)</f>
        <v>42795.666666666599</v>
      </c>
      <c r="N462" s="3">
        <f ca="1">IFERROR(__xludf.DUMMYFUNCTION("""COMPUTED_VALUE"""),55.13)</f>
        <v>55.13</v>
      </c>
      <c r="O462" s="3">
        <f ca="1">IFERROR(__xludf.DUMMYFUNCTION("""COMPUTED_VALUE"""),55.48)</f>
        <v>55.48</v>
      </c>
      <c r="P462" s="3">
        <f ca="1">IFERROR(__xludf.DUMMYFUNCTION("""COMPUTED_VALUE"""),55.05)</f>
        <v>55.05</v>
      </c>
      <c r="Q462" s="3">
        <f ca="1">IFERROR(__xludf.DUMMYFUNCTION("""COMPUTED_VALUE"""),55.36)</f>
        <v>55.36</v>
      </c>
      <c r="R462" s="3">
        <f ca="1">IFERROR(__xludf.DUMMYFUNCTION("""COMPUTED_VALUE"""),16716139)</f>
        <v>16716139</v>
      </c>
      <c r="S462" s="4">
        <f ca="1">IFERROR(__xludf.DUMMYFUNCTION("""COMPUTED_VALUE"""),42795.6666666666)</f>
        <v>42795.666666666599</v>
      </c>
      <c r="T462" s="3">
        <f ca="1">IFERROR(__xludf.DUMMYFUNCTION("""COMPUTED_VALUE"""),72.04)</f>
        <v>72.040000000000006</v>
      </c>
      <c r="U462" s="3">
        <f ca="1">IFERROR(__xludf.DUMMYFUNCTION("""COMPUTED_VALUE"""),73.14)</f>
        <v>73.14</v>
      </c>
      <c r="V462" s="3">
        <f ca="1">IFERROR(__xludf.DUMMYFUNCTION("""COMPUTED_VALUE"""),71.99)</f>
        <v>71.989999999999995</v>
      </c>
      <c r="W462" s="3">
        <f ca="1">IFERROR(__xludf.DUMMYFUNCTION("""COMPUTED_VALUE"""),72.81)</f>
        <v>72.81</v>
      </c>
      <c r="X462" s="3">
        <f ca="1">IFERROR(__xludf.DUMMYFUNCTION("""COMPUTED_VALUE"""),18997571)</f>
        <v>18997571</v>
      </c>
      <c r="Y462" s="4">
        <f ca="1">IFERROR(__xludf.DUMMYFUNCTION("""COMPUTED_VALUE"""),42795.6666666666)</f>
        <v>42795.666666666599</v>
      </c>
      <c r="Z462" s="3">
        <f ca="1">IFERROR(__xludf.DUMMYFUNCTION("""COMPUTED_VALUE"""),25.01)</f>
        <v>25.01</v>
      </c>
      <c r="AA462" s="3">
        <f ca="1">IFERROR(__xludf.DUMMYFUNCTION("""COMPUTED_VALUE"""),25.29)</f>
        <v>25.29</v>
      </c>
      <c r="AB462" s="3">
        <f ca="1">IFERROR(__xludf.DUMMYFUNCTION("""COMPUTED_VALUE"""),24.98)</f>
        <v>24.98</v>
      </c>
      <c r="AC462" s="3">
        <f ca="1">IFERROR(__xludf.DUMMYFUNCTION("""COMPUTED_VALUE"""),25.24)</f>
        <v>25.24</v>
      </c>
      <c r="AD462" s="3">
        <f ca="1">IFERROR(__xludf.DUMMYFUNCTION("""COMPUTED_VALUE"""),92150012)</f>
        <v>92150012</v>
      </c>
      <c r="AE462" s="4">
        <f ca="1">IFERROR(__xludf.DUMMYFUNCTION("""COMPUTED_VALUE"""),42795.6666666666)</f>
        <v>42795.666666666599</v>
      </c>
      <c r="AF462" s="3">
        <f ca="1">IFERROR(__xludf.DUMMYFUNCTION("""COMPUTED_VALUE"""),75.44)</f>
        <v>75.44</v>
      </c>
      <c r="AG462" s="3">
        <f ca="1">IFERROR(__xludf.DUMMYFUNCTION("""COMPUTED_VALUE"""),75.93)</f>
        <v>75.930000000000007</v>
      </c>
      <c r="AH462" s="3">
        <f ca="1">IFERROR(__xludf.DUMMYFUNCTION("""COMPUTED_VALUE"""),75.22)</f>
        <v>75.22</v>
      </c>
      <c r="AI462" s="3">
        <f ca="1">IFERROR(__xludf.DUMMYFUNCTION("""COMPUTED_VALUE"""),75.74)</f>
        <v>75.739999999999995</v>
      </c>
      <c r="AJ462" s="3">
        <f ca="1">IFERROR(__xludf.DUMMYFUNCTION("""COMPUTED_VALUE"""),15196599)</f>
        <v>15196599</v>
      </c>
      <c r="AK462" s="4">
        <f ca="1">IFERROR(__xludf.DUMMYFUNCTION("""COMPUTED_VALUE"""),42795.6666666666)</f>
        <v>42795.666666666599</v>
      </c>
      <c r="AL462" s="3">
        <f ca="1">IFERROR(__xludf.DUMMYFUNCTION("""COMPUTED_VALUE"""),66.43)</f>
        <v>66.430000000000007</v>
      </c>
      <c r="AM462" s="3">
        <f ca="1">IFERROR(__xludf.DUMMYFUNCTION("""COMPUTED_VALUE"""),67.19)</f>
        <v>67.19</v>
      </c>
      <c r="AN462" s="3">
        <f ca="1">IFERROR(__xludf.DUMMYFUNCTION("""COMPUTED_VALUE"""),66.42)</f>
        <v>66.42</v>
      </c>
      <c r="AO462" s="3">
        <f ca="1">IFERROR(__xludf.DUMMYFUNCTION("""COMPUTED_VALUE"""),66.97)</f>
        <v>66.97</v>
      </c>
      <c r="AP462" s="3">
        <f ca="1">IFERROR(__xludf.DUMMYFUNCTION("""COMPUTED_VALUE"""),16452551)</f>
        <v>16452551</v>
      </c>
      <c r="AQ462" s="4">
        <f ca="1">IFERROR(__xludf.DUMMYFUNCTION("""COMPUTED_VALUE"""),42795.6666666666)</f>
        <v>42795.666666666599</v>
      </c>
      <c r="AR462" s="3">
        <f ca="1">IFERROR(__xludf.DUMMYFUNCTION("""COMPUTED_VALUE"""),52.73)</f>
        <v>52.73</v>
      </c>
      <c r="AS462" s="3">
        <f ca="1">IFERROR(__xludf.DUMMYFUNCTION("""COMPUTED_VALUE"""),53.44)</f>
        <v>53.44</v>
      </c>
      <c r="AT462" s="3">
        <f ca="1">IFERROR(__xludf.DUMMYFUNCTION("""COMPUTED_VALUE"""),52.73)</f>
        <v>52.73</v>
      </c>
      <c r="AU462" s="3">
        <f ca="1">IFERROR(__xludf.DUMMYFUNCTION("""COMPUTED_VALUE"""),53.27)</f>
        <v>53.27</v>
      </c>
      <c r="AV462" s="3">
        <f ca="1">IFERROR(__xludf.DUMMYFUNCTION("""COMPUTED_VALUE"""),5901095)</f>
        <v>5901095</v>
      </c>
      <c r="AW462" s="4">
        <f ca="1">IFERROR(__xludf.DUMMYFUNCTION("""COMPUTED_VALUE"""),42958.6666666666)</f>
        <v>42958.666666666599</v>
      </c>
      <c r="AX462" s="3">
        <f ca="1">IFERROR(__xludf.DUMMYFUNCTION("""COMPUTED_VALUE"""),32.08)</f>
        <v>32.08</v>
      </c>
      <c r="AY462" s="3">
        <f ca="1">IFERROR(__xludf.DUMMYFUNCTION("""COMPUTED_VALUE"""),32.2)</f>
        <v>32.200000000000003</v>
      </c>
      <c r="AZ462" s="3">
        <f ca="1">IFERROR(__xludf.DUMMYFUNCTION("""COMPUTED_VALUE"""),31.82)</f>
        <v>31.82</v>
      </c>
      <c r="BA462" s="3">
        <f ca="1">IFERROR(__xludf.DUMMYFUNCTION("""COMPUTED_VALUE"""),31.96)</f>
        <v>31.96</v>
      </c>
      <c r="BB462" s="3">
        <f ca="1">IFERROR(__xludf.DUMMYFUNCTION("""COMPUTED_VALUE"""),1548094)</f>
        <v>1548094</v>
      </c>
      <c r="BC462" s="4">
        <f ca="1">IFERROR(__xludf.DUMMYFUNCTION("""COMPUTED_VALUE"""),42795.6666666666)</f>
        <v>42795.666666666599</v>
      </c>
      <c r="BD462" s="3">
        <f ca="1">IFERROR(__xludf.DUMMYFUNCTION("""COMPUTED_VALUE"""),52.67)</f>
        <v>52.67</v>
      </c>
      <c r="BE462" s="3">
        <f ca="1">IFERROR(__xludf.DUMMYFUNCTION("""COMPUTED_VALUE"""),53.16)</f>
        <v>53.16</v>
      </c>
      <c r="BF462" s="3">
        <f ca="1">IFERROR(__xludf.DUMMYFUNCTION("""COMPUTED_VALUE"""),52.55)</f>
        <v>52.55</v>
      </c>
      <c r="BG462" s="3">
        <f ca="1">IFERROR(__xludf.DUMMYFUNCTION("""COMPUTED_VALUE"""),53.09)</f>
        <v>53.09</v>
      </c>
      <c r="BH462" s="3">
        <f ca="1">IFERROR(__xludf.DUMMYFUNCTION("""COMPUTED_VALUE"""),9095297)</f>
        <v>9095297</v>
      </c>
      <c r="BI462" s="4">
        <f ca="1">IFERROR(__xludf.DUMMYFUNCTION("""COMPUTED_VALUE"""),42795.6666666666)</f>
        <v>42795.666666666599</v>
      </c>
      <c r="BJ462" s="3">
        <f ca="1">IFERROR(__xludf.DUMMYFUNCTION("""COMPUTED_VALUE"""),51.03)</f>
        <v>51.03</v>
      </c>
      <c r="BK462" s="3">
        <f ca="1">IFERROR(__xludf.DUMMYFUNCTION("""COMPUTED_VALUE"""),51.69)</f>
        <v>51.69</v>
      </c>
      <c r="BL462" s="3">
        <f ca="1">IFERROR(__xludf.DUMMYFUNCTION("""COMPUTED_VALUE"""),50.98)</f>
        <v>50.98</v>
      </c>
      <c r="BM462" s="3">
        <f ca="1">IFERROR(__xludf.DUMMYFUNCTION("""COMPUTED_VALUE"""),51.31)</f>
        <v>51.31</v>
      </c>
      <c r="BN462" s="3">
        <f ca="1">IFERROR(__xludf.DUMMYFUNCTION("""COMPUTED_VALUE"""),29121553)</f>
        <v>29121553</v>
      </c>
    </row>
    <row r="463" spans="7:66" ht="13" x14ac:dyDescent="0.15">
      <c r="G463" s="4">
        <f ca="1">IFERROR(__xludf.DUMMYFUNCTION("""COMPUTED_VALUE"""),42796.6666666666)</f>
        <v>42796.666666666599</v>
      </c>
      <c r="H463" s="3">
        <f ca="1">IFERROR(__xludf.DUMMYFUNCTION("""COMPUTED_VALUE"""),87.3)</f>
        <v>87.3</v>
      </c>
      <c r="I463" s="3">
        <f ca="1">IFERROR(__xludf.DUMMYFUNCTION("""COMPUTED_VALUE"""),87.43)</f>
        <v>87.43</v>
      </c>
      <c r="J463" s="3">
        <f ca="1">IFERROR(__xludf.DUMMYFUNCTION("""COMPUTED_VALUE"""),87.06)</f>
        <v>87.06</v>
      </c>
      <c r="K463" s="3">
        <f ca="1">IFERROR(__xludf.DUMMYFUNCTION("""COMPUTED_VALUE"""),87.13)</f>
        <v>87.13</v>
      </c>
      <c r="L463" s="3">
        <f ca="1">IFERROR(__xludf.DUMMYFUNCTION("""COMPUTED_VALUE"""),3935376)</f>
        <v>3935376</v>
      </c>
      <c r="M463" s="4">
        <f ca="1">IFERROR(__xludf.DUMMYFUNCTION("""COMPUTED_VALUE"""),42796.6666666666)</f>
        <v>42796.666666666599</v>
      </c>
      <c r="N463" s="3">
        <f ca="1">IFERROR(__xludf.DUMMYFUNCTION("""COMPUTED_VALUE"""),55.3)</f>
        <v>55.3</v>
      </c>
      <c r="O463" s="3">
        <f ca="1">IFERROR(__xludf.DUMMYFUNCTION("""COMPUTED_VALUE"""),55.47)</f>
        <v>55.47</v>
      </c>
      <c r="P463" s="3">
        <f ca="1">IFERROR(__xludf.DUMMYFUNCTION("""COMPUTED_VALUE"""),55.19)</f>
        <v>55.19</v>
      </c>
      <c r="Q463" s="3">
        <f ca="1">IFERROR(__xludf.DUMMYFUNCTION("""COMPUTED_VALUE"""),55.35)</f>
        <v>55.35</v>
      </c>
      <c r="R463" s="3">
        <f ca="1">IFERROR(__xludf.DUMMYFUNCTION("""COMPUTED_VALUE"""),9988467)</f>
        <v>9988467</v>
      </c>
      <c r="S463" s="4">
        <f ca="1">IFERROR(__xludf.DUMMYFUNCTION("""COMPUTED_VALUE"""),42796.6666666666)</f>
        <v>42796.666666666599</v>
      </c>
      <c r="T463" s="3">
        <f ca="1">IFERROR(__xludf.DUMMYFUNCTION("""COMPUTED_VALUE"""),72.45)</f>
        <v>72.45</v>
      </c>
      <c r="U463" s="3">
        <f ca="1">IFERROR(__xludf.DUMMYFUNCTION("""COMPUTED_VALUE"""),72.81)</f>
        <v>72.81</v>
      </c>
      <c r="V463" s="3">
        <f ca="1">IFERROR(__xludf.DUMMYFUNCTION("""COMPUTED_VALUE"""),72.09)</f>
        <v>72.09</v>
      </c>
      <c r="W463" s="3">
        <f ca="1">IFERROR(__xludf.DUMMYFUNCTION("""COMPUTED_VALUE"""),72.12)</f>
        <v>72.12</v>
      </c>
      <c r="X463" s="3">
        <f ca="1">IFERROR(__xludf.DUMMYFUNCTION("""COMPUTED_VALUE"""),10770279)</f>
        <v>10770279</v>
      </c>
      <c r="Y463" s="4">
        <f ca="1">IFERROR(__xludf.DUMMYFUNCTION("""COMPUTED_VALUE"""),42796.6666666666)</f>
        <v>42796.666666666599</v>
      </c>
      <c r="Z463" s="3">
        <f ca="1">IFERROR(__xludf.DUMMYFUNCTION("""COMPUTED_VALUE"""),25.29)</f>
        <v>25.29</v>
      </c>
      <c r="AA463" s="3">
        <f ca="1">IFERROR(__xludf.DUMMYFUNCTION("""COMPUTED_VALUE"""),25.3)</f>
        <v>25.3</v>
      </c>
      <c r="AB463" s="3">
        <f ca="1">IFERROR(__xludf.DUMMYFUNCTION("""COMPUTED_VALUE"""),24.84)</f>
        <v>24.84</v>
      </c>
      <c r="AC463" s="3">
        <f ca="1">IFERROR(__xludf.DUMMYFUNCTION("""COMPUTED_VALUE"""),24.85)</f>
        <v>24.85</v>
      </c>
      <c r="AD463" s="3">
        <f ca="1">IFERROR(__xludf.DUMMYFUNCTION("""COMPUTED_VALUE"""),69446222)</f>
        <v>69446222</v>
      </c>
      <c r="AE463" s="4">
        <f ca="1">IFERROR(__xludf.DUMMYFUNCTION("""COMPUTED_VALUE"""),42796.6666666666)</f>
        <v>42796.666666666599</v>
      </c>
      <c r="AF463" s="3">
        <f ca="1">IFERROR(__xludf.DUMMYFUNCTION("""COMPUTED_VALUE"""),75.62)</f>
        <v>75.62</v>
      </c>
      <c r="AG463" s="3">
        <f ca="1">IFERROR(__xludf.DUMMYFUNCTION("""COMPUTED_VALUE"""),75.89)</f>
        <v>75.89</v>
      </c>
      <c r="AH463" s="3">
        <f ca="1">IFERROR(__xludf.DUMMYFUNCTION("""COMPUTED_VALUE"""),75.49)</f>
        <v>75.489999999999995</v>
      </c>
      <c r="AI463" s="3">
        <f ca="1">IFERROR(__xludf.DUMMYFUNCTION("""COMPUTED_VALUE"""),75.5)</f>
        <v>75.5</v>
      </c>
      <c r="AJ463" s="3">
        <f ca="1">IFERROR(__xludf.DUMMYFUNCTION("""COMPUTED_VALUE"""),7889322)</f>
        <v>7889322</v>
      </c>
      <c r="AK463" s="4">
        <f ca="1">IFERROR(__xludf.DUMMYFUNCTION("""COMPUTED_VALUE"""),42796.6666666666)</f>
        <v>42796.666666666599</v>
      </c>
      <c r="AL463" s="3">
        <f ca="1">IFERROR(__xludf.DUMMYFUNCTION("""COMPUTED_VALUE"""),66.87)</f>
        <v>66.87</v>
      </c>
      <c r="AM463" s="3">
        <f ca="1">IFERROR(__xludf.DUMMYFUNCTION("""COMPUTED_VALUE"""),67.05)</f>
        <v>67.05</v>
      </c>
      <c r="AN463" s="3">
        <f ca="1">IFERROR(__xludf.DUMMYFUNCTION("""COMPUTED_VALUE"""),66.23)</f>
        <v>66.23</v>
      </c>
      <c r="AO463" s="3">
        <f ca="1">IFERROR(__xludf.DUMMYFUNCTION("""COMPUTED_VALUE"""),66.25)</f>
        <v>66.25</v>
      </c>
      <c r="AP463" s="3">
        <f ca="1">IFERROR(__xludf.DUMMYFUNCTION("""COMPUTED_VALUE"""),8453854)</f>
        <v>8453854</v>
      </c>
      <c r="AQ463" s="4">
        <f ca="1">IFERROR(__xludf.DUMMYFUNCTION("""COMPUTED_VALUE"""),42796.6666666666)</f>
        <v>42796.666666666599</v>
      </c>
      <c r="AR463" s="3">
        <f ca="1">IFERROR(__xludf.DUMMYFUNCTION("""COMPUTED_VALUE"""),53.23)</f>
        <v>53.23</v>
      </c>
      <c r="AS463" s="3">
        <f ca="1">IFERROR(__xludf.DUMMYFUNCTION("""COMPUTED_VALUE"""),53.25)</f>
        <v>53.25</v>
      </c>
      <c r="AT463" s="3">
        <f ca="1">IFERROR(__xludf.DUMMYFUNCTION("""COMPUTED_VALUE"""),52.7)</f>
        <v>52.7</v>
      </c>
      <c r="AU463" s="3">
        <f ca="1">IFERROR(__xludf.DUMMYFUNCTION("""COMPUTED_VALUE"""),52.7)</f>
        <v>52.7</v>
      </c>
      <c r="AV463" s="3">
        <f ca="1">IFERROR(__xludf.DUMMYFUNCTION("""COMPUTED_VALUE"""),4574684)</f>
        <v>4574684</v>
      </c>
      <c r="AW463" s="4">
        <f ca="1">IFERROR(__xludf.DUMMYFUNCTION("""COMPUTED_VALUE"""),42961.6666666666)</f>
        <v>42961.666666666599</v>
      </c>
      <c r="AX463" s="3">
        <f ca="1">IFERROR(__xludf.DUMMYFUNCTION("""COMPUTED_VALUE"""),32.08)</f>
        <v>32.08</v>
      </c>
      <c r="AY463" s="3">
        <f ca="1">IFERROR(__xludf.DUMMYFUNCTION("""COMPUTED_VALUE"""),32.53)</f>
        <v>32.53</v>
      </c>
      <c r="AZ463" s="3">
        <f ca="1">IFERROR(__xludf.DUMMYFUNCTION("""COMPUTED_VALUE"""),32.07)</f>
        <v>32.07</v>
      </c>
      <c r="BA463" s="3">
        <f ca="1">IFERROR(__xludf.DUMMYFUNCTION("""COMPUTED_VALUE"""),32.49)</f>
        <v>32.49</v>
      </c>
      <c r="BB463" s="3">
        <f ca="1">IFERROR(__xludf.DUMMYFUNCTION("""COMPUTED_VALUE"""),1196939)</f>
        <v>1196939</v>
      </c>
      <c r="BC463" s="4">
        <f ca="1">IFERROR(__xludf.DUMMYFUNCTION("""COMPUTED_VALUE"""),42796.6666666666)</f>
        <v>42796.666666666599</v>
      </c>
      <c r="BD463" s="3">
        <f ca="1">IFERROR(__xludf.DUMMYFUNCTION("""COMPUTED_VALUE"""),53.04)</f>
        <v>53.04</v>
      </c>
      <c r="BE463" s="3">
        <f ca="1">IFERROR(__xludf.DUMMYFUNCTION("""COMPUTED_VALUE"""),53.05)</f>
        <v>53.05</v>
      </c>
      <c r="BF463" s="3">
        <f ca="1">IFERROR(__xludf.DUMMYFUNCTION("""COMPUTED_VALUE"""),52.71)</f>
        <v>52.71</v>
      </c>
      <c r="BG463" s="3">
        <f ca="1">IFERROR(__xludf.DUMMYFUNCTION("""COMPUTED_VALUE"""),52.74)</f>
        <v>52.74</v>
      </c>
      <c r="BH463" s="3">
        <f ca="1">IFERROR(__xludf.DUMMYFUNCTION("""COMPUTED_VALUE"""),7170112)</f>
        <v>7170112</v>
      </c>
      <c r="BI463" s="4">
        <f ca="1">IFERROR(__xludf.DUMMYFUNCTION("""COMPUTED_VALUE"""),42796.6666666666)</f>
        <v>42796.666666666599</v>
      </c>
      <c r="BJ463" s="3">
        <f ca="1">IFERROR(__xludf.DUMMYFUNCTION("""COMPUTED_VALUE"""),51.13)</f>
        <v>51.13</v>
      </c>
      <c r="BK463" s="3">
        <f ca="1">IFERROR(__xludf.DUMMYFUNCTION("""COMPUTED_VALUE"""),52)</f>
        <v>52</v>
      </c>
      <c r="BL463" s="3">
        <f ca="1">IFERROR(__xludf.DUMMYFUNCTION("""COMPUTED_VALUE"""),51.06)</f>
        <v>51.06</v>
      </c>
      <c r="BM463" s="3">
        <f ca="1">IFERROR(__xludf.DUMMYFUNCTION("""COMPUTED_VALUE"""),51.68)</f>
        <v>51.68</v>
      </c>
      <c r="BN463" s="3">
        <f ca="1">IFERROR(__xludf.DUMMYFUNCTION("""COMPUTED_VALUE"""),17372834)</f>
        <v>17372834</v>
      </c>
    </row>
    <row r="464" spans="7:66" ht="13" x14ac:dyDescent="0.15">
      <c r="G464" s="4">
        <f ca="1">IFERROR(__xludf.DUMMYFUNCTION("""COMPUTED_VALUE"""),42797.6666666666)</f>
        <v>42797.666666666599</v>
      </c>
      <c r="H464" s="3">
        <f ca="1">IFERROR(__xludf.DUMMYFUNCTION("""COMPUTED_VALUE"""),87.04)</f>
        <v>87.04</v>
      </c>
      <c r="I464" s="3">
        <f ca="1">IFERROR(__xludf.DUMMYFUNCTION("""COMPUTED_VALUE"""),87.22)</f>
        <v>87.22</v>
      </c>
      <c r="J464" s="3">
        <f ca="1">IFERROR(__xludf.DUMMYFUNCTION("""COMPUTED_VALUE"""),86.68)</f>
        <v>86.68</v>
      </c>
      <c r="K464" s="3">
        <f ca="1">IFERROR(__xludf.DUMMYFUNCTION("""COMPUTED_VALUE"""),87)</f>
        <v>87</v>
      </c>
      <c r="L464" s="3">
        <f ca="1">IFERROR(__xludf.DUMMYFUNCTION("""COMPUTED_VALUE"""),3281538)</f>
        <v>3281538</v>
      </c>
      <c r="M464" s="4">
        <f ca="1">IFERROR(__xludf.DUMMYFUNCTION("""COMPUTED_VALUE"""),42797.6666666666)</f>
        <v>42797.666666666599</v>
      </c>
      <c r="N464" s="3">
        <f ca="1">IFERROR(__xludf.DUMMYFUNCTION("""COMPUTED_VALUE"""),55.18)</f>
        <v>55.18</v>
      </c>
      <c r="O464" s="3">
        <f ca="1">IFERROR(__xludf.DUMMYFUNCTION("""COMPUTED_VALUE"""),55.23)</f>
        <v>55.23</v>
      </c>
      <c r="P464" s="3">
        <f ca="1">IFERROR(__xludf.DUMMYFUNCTION("""COMPUTED_VALUE"""),54.9)</f>
        <v>54.9</v>
      </c>
      <c r="Q464" s="3">
        <f ca="1">IFERROR(__xludf.DUMMYFUNCTION("""COMPUTED_VALUE"""),55.14)</f>
        <v>55.14</v>
      </c>
      <c r="R464" s="3">
        <f ca="1">IFERROR(__xludf.DUMMYFUNCTION("""COMPUTED_VALUE"""),10083246)</f>
        <v>10083246</v>
      </c>
      <c r="S464" s="4">
        <f ca="1">IFERROR(__xludf.DUMMYFUNCTION("""COMPUTED_VALUE"""),42797.6666666666)</f>
        <v>42797.666666666599</v>
      </c>
      <c r="T464" s="3">
        <f ca="1">IFERROR(__xludf.DUMMYFUNCTION("""COMPUTED_VALUE"""),72.24)</f>
        <v>72.239999999999995</v>
      </c>
      <c r="U464" s="3">
        <f ca="1">IFERROR(__xludf.DUMMYFUNCTION("""COMPUTED_VALUE"""),72.51)</f>
        <v>72.510000000000005</v>
      </c>
      <c r="V464" s="3">
        <f ca="1">IFERROR(__xludf.DUMMYFUNCTION("""COMPUTED_VALUE"""),71.83)</f>
        <v>71.83</v>
      </c>
      <c r="W464" s="3">
        <f ca="1">IFERROR(__xludf.DUMMYFUNCTION("""COMPUTED_VALUE"""),71.99)</f>
        <v>71.989999999999995</v>
      </c>
      <c r="X464" s="3">
        <f ca="1">IFERROR(__xludf.DUMMYFUNCTION("""COMPUTED_VALUE"""),11166488)</f>
        <v>11166488</v>
      </c>
      <c r="Y464" s="4">
        <f ca="1">IFERROR(__xludf.DUMMYFUNCTION("""COMPUTED_VALUE"""),42797.6666666666)</f>
        <v>42797.666666666599</v>
      </c>
      <c r="Z464" s="3">
        <f ca="1">IFERROR(__xludf.DUMMYFUNCTION("""COMPUTED_VALUE"""),24.87)</f>
        <v>24.87</v>
      </c>
      <c r="AA464" s="3">
        <f ca="1">IFERROR(__xludf.DUMMYFUNCTION("""COMPUTED_VALUE"""),25.03)</f>
        <v>25.03</v>
      </c>
      <c r="AB464" s="3">
        <f ca="1">IFERROR(__xludf.DUMMYFUNCTION("""COMPUTED_VALUE"""),24.86)</f>
        <v>24.86</v>
      </c>
      <c r="AC464" s="3">
        <f ca="1">IFERROR(__xludf.DUMMYFUNCTION("""COMPUTED_VALUE"""),24.97)</f>
        <v>24.97</v>
      </c>
      <c r="AD464" s="3">
        <f ca="1">IFERROR(__xludf.DUMMYFUNCTION("""COMPUTED_VALUE"""),57652782)</f>
        <v>57652782</v>
      </c>
      <c r="AE464" s="4">
        <f ca="1">IFERROR(__xludf.DUMMYFUNCTION("""COMPUTED_VALUE"""),42797.6666666666)</f>
        <v>42797.666666666599</v>
      </c>
      <c r="AF464" s="3">
        <f ca="1">IFERROR(__xludf.DUMMYFUNCTION("""COMPUTED_VALUE"""),75.39)</f>
        <v>75.39</v>
      </c>
      <c r="AG464" s="3">
        <f ca="1">IFERROR(__xludf.DUMMYFUNCTION("""COMPUTED_VALUE"""),75.86)</f>
        <v>75.86</v>
      </c>
      <c r="AH464" s="3">
        <f ca="1">IFERROR(__xludf.DUMMYFUNCTION("""COMPUTED_VALUE"""),75.36)</f>
        <v>75.36</v>
      </c>
      <c r="AI464" s="3">
        <f ca="1">IFERROR(__xludf.DUMMYFUNCTION("""COMPUTED_VALUE"""),75.8)</f>
        <v>75.8</v>
      </c>
      <c r="AJ464" s="3">
        <f ca="1">IFERROR(__xludf.DUMMYFUNCTION("""COMPUTED_VALUE"""),6635276)</f>
        <v>6635276</v>
      </c>
      <c r="AK464" s="4">
        <f ca="1">IFERROR(__xludf.DUMMYFUNCTION("""COMPUTED_VALUE"""),42797.6666666666)</f>
        <v>42797.666666666599</v>
      </c>
      <c r="AL464" s="3">
        <f ca="1">IFERROR(__xludf.DUMMYFUNCTION("""COMPUTED_VALUE"""),66.26)</f>
        <v>66.260000000000005</v>
      </c>
      <c r="AM464" s="3">
        <f ca="1">IFERROR(__xludf.DUMMYFUNCTION("""COMPUTED_VALUE"""),66.43)</f>
        <v>66.430000000000007</v>
      </c>
      <c r="AN464" s="3">
        <f ca="1">IFERROR(__xludf.DUMMYFUNCTION("""COMPUTED_VALUE"""),66.01)</f>
        <v>66.010000000000005</v>
      </c>
      <c r="AO464" s="3">
        <f ca="1">IFERROR(__xludf.DUMMYFUNCTION("""COMPUTED_VALUE"""),66.32)</f>
        <v>66.319999999999993</v>
      </c>
      <c r="AP464" s="3">
        <f ca="1">IFERROR(__xludf.DUMMYFUNCTION("""COMPUTED_VALUE"""),5862845)</f>
        <v>5862845</v>
      </c>
      <c r="AQ464" s="4">
        <f ca="1">IFERROR(__xludf.DUMMYFUNCTION("""COMPUTED_VALUE"""),42797.6666666666)</f>
        <v>42797.666666666599</v>
      </c>
      <c r="AR464" s="3">
        <f ca="1">IFERROR(__xludf.DUMMYFUNCTION("""COMPUTED_VALUE"""),52.7)</f>
        <v>52.7</v>
      </c>
      <c r="AS464" s="3">
        <f ca="1">IFERROR(__xludf.DUMMYFUNCTION("""COMPUTED_VALUE"""),52.87)</f>
        <v>52.87</v>
      </c>
      <c r="AT464" s="3">
        <f ca="1">IFERROR(__xludf.DUMMYFUNCTION("""COMPUTED_VALUE"""),52.52)</f>
        <v>52.52</v>
      </c>
      <c r="AU464" s="3">
        <f ca="1">IFERROR(__xludf.DUMMYFUNCTION("""COMPUTED_VALUE"""),52.66)</f>
        <v>52.66</v>
      </c>
      <c r="AV464" s="3">
        <f ca="1">IFERROR(__xludf.DUMMYFUNCTION("""COMPUTED_VALUE"""),2962128)</f>
        <v>2962128</v>
      </c>
      <c r="AW464" s="4">
        <f ca="1">IFERROR(__xludf.DUMMYFUNCTION("""COMPUTED_VALUE"""),42962.6666666666)</f>
        <v>42962.666666666599</v>
      </c>
      <c r="AX464" s="3">
        <f ca="1">IFERROR(__xludf.DUMMYFUNCTION("""COMPUTED_VALUE"""),32.38)</f>
        <v>32.380000000000003</v>
      </c>
      <c r="AY464" s="3">
        <f ca="1">IFERROR(__xludf.DUMMYFUNCTION("""COMPUTED_VALUE"""),32.44)</f>
        <v>32.44</v>
      </c>
      <c r="AZ464" s="3">
        <f ca="1">IFERROR(__xludf.DUMMYFUNCTION("""COMPUTED_VALUE"""),32.23)</f>
        <v>32.229999999999997</v>
      </c>
      <c r="BA464" s="3">
        <f ca="1">IFERROR(__xludf.DUMMYFUNCTION("""COMPUTED_VALUE"""),32.43)</f>
        <v>32.43</v>
      </c>
      <c r="BB464" s="3">
        <f ca="1">IFERROR(__xludf.DUMMYFUNCTION("""COMPUTED_VALUE"""),2138051)</f>
        <v>2138051</v>
      </c>
      <c r="BC464" s="4">
        <f ca="1">IFERROR(__xludf.DUMMYFUNCTION("""COMPUTED_VALUE"""),42797.6666666666)</f>
        <v>42797.666666666599</v>
      </c>
      <c r="BD464" s="3">
        <f ca="1">IFERROR(__xludf.DUMMYFUNCTION("""COMPUTED_VALUE"""),52.7)</f>
        <v>52.7</v>
      </c>
      <c r="BE464" s="3">
        <f ca="1">IFERROR(__xludf.DUMMYFUNCTION("""COMPUTED_VALUE"""),52.86)</f>
        <v>52.86</v>
      </c>
      <c r="BF464" s="3">
        <f ca="1">IFERROR(__xludf.DUMMYFUNCTION("""COMPUTED_VALUE"""),52.59)</f>
        <v>52.59</v>
      </c>
      <c r="BG464" s="3">
        <f ca="1">IFERROR(__xludf.DUMMYFUNCTION("""COMPUTED_VALUE"""),52.86)</f>
        <v>52.86</v>
      </c>
      <c r="BH464" s="3">
        <f ca="1">IFERROR(__xludf.DUMMYFUNCTION("""COMPUTED_VALUE"""),7856975)</f>
        <v>7856975</v>
      </c>
      <c r="BI464" s="4">
        <f ca="1">IFERROR(__xludf.DUMMYFUNCTION("""COMPUTED_VALUE"""),42797.6666666666)</f>
        <v>42797.666666666599</v>
      </c>
      <c r="BJ464" s="3">
        <f ca="1">IFERROR(__xludf.DUMMYFUNCTION("""COMPUTED_VALUE"""),51.68)</f>
        <v>51.68</v>
      </c>
      <c r="BK464" s="3">
        <f ca="1">IFERROR(__xludf.DUMMYFUNCTION("""COMPUTED_VALUE"""),51.71)</f>
        <v>51.71</v>
      </c>
      <c r="BL464" s="3">
        <f ca="1">IFERROR(__xludf.DUMMYFUNCTION("""COMPUTED_VALUE"""),51.09)</f>
        <v>51.09</v>
      </c>
      <c r="BM464" s="3">
        <f ca="1">IFERROR(__xludf.DUMMYFUNCTION("""COMPUTED_VALUE"""),51.52)</f>
        <v>51.52</v>
      </c>
      <c r="BN464" s="3">
        <f ca="1">IFERROR(__xludf.DUMMYFUNCTION("""COMPUTED_VALUE"""),17575040)</f>
        <v>17575040</v>
      </c>
    </row>
    <row r="465" spans="7:66" ht="13" x14ac:dyDescent="0.15">
      <c r="G465" s="4">
        <f ca="1">IFERROR(__xludf.DUMMYFUNCTION("""COMPUTED_VALUE"""),42800.6666666666)</f>
        <v>42800.666666666599</v>
      </c>
      <c r="H465" s="3">
        <f ca="1">IFERROR(__xludf.DUMMYFUNCTION("""COMPUTED_VALUE"""),86.72)</f>
        <v>86.72</v>
      </c>
      <c r="I465" s="3">
        <f ca="1">IFERROR(__xludf.DUMMYFUNCTION("""COMPUTED_VALUE"""),86.81)</f>
        <v>86.81</v>
      </c>
      <c r="J465" s="3">
        <f ca="1">IFERROR(__xludf.DUMMYFUNCTION("""COMPUTED_VALUE"""),86.39)</f>
        <v>86.39</v>
      </c>
      <c r="K465" s="3">
        <f ca="1">IFERROR(__xludf.DUMMYFUNCTION("""COMPUTED_VALUE"""),86.72)</f>
        <v>86.72</v>
      </c>
      <c r="L465" s="3">
        <f ca="1">IFERROR(__xludf.DUMMYFUNCTION("""COMPUTED_VALUE"""),2602736)</f>
        <v>2602736</v>
      </c>
      <c r="M465" s="4">
        <f ca="1">IFERROR(__xludf.DUMMYFUNCTION("""COMPUTED_VALUE"""),42800.6666666666)</f>
        <v>42800.666666666599</v>
      </c>
      <c r="N465" s="3">
        <f ca="1">IFERROR(__xludf.DUMMYFUNCTION("""COMPUTED_VALUE"""),54.95)</f>
        <v>54.95</v>
      </c>
      <c r="O465" s="3">
        <f ca="1">IFERROR(__xludf.DUMMYFUNCTION("""COMPUTED_VALUE"""),54.98)</f>
        <v>54.98</v>
      </c>
      <c r="P465" s="3">
        <f ca="1">IFERROR(__xludf.DUMMYFUNCTION("""COMPUTED_VALUE"""),54.81)</f>
        <v>54.81</v>
      </c>
      <c r="Q465" s="3">
        <f ca="1">IFERROR(__xludf.DUMMYFUNCTION("""COMPUTED_VALUE"""),54.9)</f>
        <v>54.9</v>
      </c>
      <c r="R465" s="3">
        <f ca="1">IFERROR(__xludf.DUMMYFUNCTION("""COMPUTED_VALUE"""),6686606)</f>
        <v>6686606</v>
      </c>
      <c r="S465" s="4">
        <f ca="1">IFERROR(__xludf.DUMMYFUNCTION("""COMPUTED_VALUE"""),42800.6666666666)</f>
        <v>42800.666666666599</v>
      </c>
      <c r="T465" s="3">
        <f ca="1">IFERROR(__xludf.DUMMYFUNCTION("""COMPUTED_VALUE"""),71.87)</f>
        <v>71.87</v>
      </c>
      <c r="U465" s="3">
        <f ca="1">IFERROR(__xludf.DUMMYFUNCTION("""COMPUTED_VALUE"""),72.25)</f>
        <v>72.25</v>
      </c>
      <c r="V465" s="3">
        <f ca="1">IFERROR(__xludf.DUMMYFUNCTION("""COMPUTED_VALUE"""),71.59)</f>
        <v>71.59</v>
      </c>
      <c r="W465" s="3">
        <f ca="1">IFERROR(__xludf.DUMMYFUNCTION("""COMPUTED_VALUE"""),72.15)</f>
        <v>72.150000000000006</v>
      </c>
      <c r="X465" s="3">
        <f ca="1">IFERROR(__xludf.DUMMYFUNCTION("""COMPUTED_VALUE"""),8374749)</f>
        <v>8374749</v>
      </c>
      <c r="Y465" s="4">
        <f ca="1">IFERROR(__xludf.DUMMYFUNCTION("""COMPUTED_VALUE"""),42800.6666666666)</f>
        <v>42800.666666666599</v>
      </c>
      <c r="Z465" s="3">
        <f ca="1">IFERROR(__xludf.DUMMYFUNCTION("""COMPUTED_VALUE"""),24.82)</f>
        <v>24.82</v>
      </c>
      <c r="AA465" s="3">
        <f ca="1">IFERROR(__xludf.DUMMYFUNCTION("""COMPUTED_VALUE"""),24.86)</f>
        <v>24.86</v>
      </c>
      <c r="AB465" s="3">
        <f ca="1">IFERROR(__xludf.DUMMYFUNCTION("""COMPUTED_VALUE"""),24.67)</f>
        <v>24.67</v>
      </c>
      <c r="AC465" s="3">
        <f ca="1">IFERROR(__xludf.DUMMYFUNCTION("""COMPUTED_VALUE"""),24.78)</f>
        <v>24.78</v>
      </c>
      <c r="AD465" s="3">
        <f ca="1">IFERROR(__xludf.DUMMYFUNCTION("""COMPUTED_VALUE"""),49017181)</f>
        <v>49017181</v>
      </c>
      <c r="AE465" s="4">
        <f ca="1">IFERROR(__xludf.DUMMYFUNCTION("""COMPUTED_VALUE"""),42800.6666666666)</f>
        <v>42800.666666666599</v>
      </c>
      <c r="AF465" s="3">
        <f ca="1">IFERROR(__xludf.DUMMYFUNCTION("""COMPUTED_VALUE"""),75.69)</f>
        <v>75.69</v>
      </c>
      <c r="AG465" s="3">
        <f ca="1">IFERROR(__xludf.DUMMYFUNCTION("""COMPUTED_VALUE"""),75.75)</f>
        <v>75.75</v>
      </c>
      <c r="AH465" s="3">
        <f ca="1">IFERROR(__xludf.DUMMYFUNCTION("""COMPUTED_VALUE"""),75.24)</f>
        <v>75.239999999999995</v>
      </c>
      <c r="AI465" s="3">
        <f ca="1">IFERROR(__xludf.DUMMYFUNCTION("""COMPUTED_VALUE"""),75.51)</f>
        <v>75.510000000000005</v>
      </c>
      <c r="AJ465" s="3">
        <f ca="1">IFERROR(__xludf.DUMMYFUNCTION("""COMPUTED_VALUE"""),5886906)</f>
        <v>5886906</v>
      </c>
      <c r="AK465" s="4">
        <f ca="1">IFERROR(__xludf.DUMMYFUNCTION("""COMPUTED_VALUE"""),42800.6666666666)</f>
        <v>42800.666666666599</v>
      </c>
      <c r="AL465" s="3">
        <f ca="1">IFERROR(__xludf.DUMMYFUNCTION("""COMPUTED_VALUE"""),66)</f>
        <v>66</v>
      </c>
      <c r="AM465" s="3">
        <f ca="1">IFERROR(__xludf.DUMMYFUNCTION("""COMPUTED_VALUE"""),66.24)</f>
        <v>66.239999999999995</v>
      </c>
      <c r="AN465" s="3">
        <f ca="1">IFERROR(__xludf.DUMMYFUNCTION("""COMPUTED_VALUE"""),65.89)</f>
        <v>65.89</v>
      </c>
      <c r="AO465" s="3">
        <f ca="1">IFERROR(__xludf.DUMMYFUNCTION("""COMPUTED_VALUE"""),66.16)</f>
        <v>66.16</v>
      </c>
      <c r="AP465" s="3">
        <f ca="1">IFERROR(__xludf.DUMMYFUNCTION("""COMPUTED_VALUE"""),7164681)</f>
        <v>7164681</v>
      </c>
      <c r="AQ465" s="4">
        <f ca="1">IFERROR(__xludf.DUMMYFUNCTION("""COMPUTED_VALUE"""),42800.6666666666)</f>
        <v>42800.666666666599</v>
      </c>
      <c r="AR465" s="3">
        <f ca="1">IFERROR(__xludf.DUMMYFUNCTION("""COMPUTED_VALUE"""),52.47)</f>
        <v>52.47</v>
      </c>
      <c r="AS465" s="3">
        <f ca="1">IFERROR(__xludf.DUMMYFUNCTION("""COMPUTED_VALUE"""),52.61)</f>
        <v>52.61</v>
      </c>
      <c r="AT465" s="3">
        <f ca="1">IFERROR(__xludf.DUMMYFUNCTION("""COMPUTED_VALUE"""),52.24)</f>
        <v>52.24</v>
      </c>
      <c r="AU465" s="3">
        <f ca="1">IFERROR(__xludf.DUMMYFUNCTION("""COMPUTED_VALUE"""),52.32)</f>
        <v>52.32</v>
      </c>
      <c r="AV465" s="3">
        <f ca="1">IFERROR(__xludf.DUMMYFUNCTION("""COMPUTED_VALUE"""),3556714)</f>
        <v>3556714</v>
      </c>
      <c r="AW465" s="4">
        <f ca="1">IFERROR(__xludf.DUMMYFUNCTION("""COMPUTED_VALUE"""),42963.6666666666)</f>
        <v>42963.666666666599</v>
      </c>
      <c r="AX465" s="3">
        <f ca="1">IFERROR(__xludf.DUMMYFUNCTION("""COMPUTED_VALUE"""),32.46)</f>
        <v>32.46</v>
      </c>
      <c r="AY465" s="3">
        <f ca="1">IFERROR(__xludf.DUMMYFUNCTION("""COMPUTED_VALUE"""),32.65)</f>
        <v>32.65</v>
      </c>
      <c r="AZ465" s="3">
        <f ca="1">IFERROR(__xludf.DUMMYFUNCTION("""COMPUTED_VALUE"""),32.46)</f>
        <v>32.46</v>
      </c>
      <c r="BA465" s="3">
        <f ca="1">IFERROR(__xludf.DUMMYFUNCTION("""COMPUTED_VALUE"""),32.53)</f>
        <v>32.53</v>
      </c>
      <c r="BB465" s="3">
        <f ca="1">IFERROR(__xludf.DUMMYFUNCTION("""COMPUTED_VALUE"""),1043622)</f>
        <v>1043622</v>
      </c>
      <c r="BC465" s="4">
        <f ca="1">IFERROR(__xludf.DUMMYFUNCTION("""COMPUTED_VALUE"""),42800.6666666666)</f>
        <v>42800.666666666599</v>
      </c>
      <c r="BD465" s="3">
        <f ca="1">IFERROR(__xludf.DUMMYFUNCTION("""COMPUTED_VALUE"""),52.64)</f>
        <v>52.64</v>
      </c>
      <c r="BE465" s="3">
        <f ca="1">IFERROR(__xludf.DUMMYFUNCTION("""COMPUTED_VALUE"""),52.87)</f>
        <v>52.87</v>
      </c>
      <c r="BF465" s="3">
        <f ca="1">IFERROR(__xludf.DUMMYFUNCTION("""COMPUTED_VALUE"""),52.55)</f>
        <v>52.55</v>
      </c>
      <c r="BG465" s="3">
        <f ca="1">IFERROR(__xludf.DUMMYFUNCTION("""COMPUTED_VALUE"""),52.78)</f>
        <v>52.78</v>
      </c>
      <c r="BH465" s="3">
        <f ca="1">IFERROR(__xludf.DUMMYFUNCTION("""COMPUTED_VALUE"""),6715162)</f>
        <v>6715162</v>
      </c>
      <c r="BI465" s="4">
        <f ca="1">IFERROR(__xludf.DUMMYFUNCTION("""COMPUTED_VALUE"""),42800.6666666666)</f>
        <v>42800.666666666599</v>
      </c>
      <c r="BJ465" s="3">
        <f ca="1">IFERROR(__xludf.DUMMYFUNCTION("""COMPUTED_VALUE"""),51.43)</f>
        <v>51.43</v>
      </c>
      <c r="BK465" s="3">
        <f ca="1">IFERROR(__xludf.DUMMYFUNCTION("""COMPUTED_VALUE"""),51.53)</f>
        <v>51.53</v>
      </c>
      <c r="BL465" s="3">
        <f ca="1">IFERROR(__xludf.DUMMYFUNCTION("""COMPUTED_VALUE"""),51.24)</f>
        <v>51.24</v>
      </c>
      <c r="BM465" s="3">
        <f ca="1">IFERROR(__xludf.DUMMYFUNCTION("""COMPUTED_VALUE"""),51.42)</f>
        <v>51.42</v>
      </c>
      <c r="BN465" s="3">
        <f ca="1">IFERROR(__xludf.DUMMYFUNCTION("""COMPUTED_VALUE"""),7616801)</f>
        <v>7616801</v>
      </c>
    </row>
    <row r="466" spans="7:66" ht="13" x14ac:dyDescent="0.15">
      <c r="G466" s="4">
        <f ca="1">IFERROR(__xludf.DUMMYFUNCTION("""COMPUTED_VALUE"""),42801.6666666666)</f>
        <v>42801.666666666599</v>
      </c>
      <c r="H466" s="3">
        <f ca="1">IFERROR(__xludf.DUMMYFUNCTION("""COMPUTED_VALUE"""),86.72)</f>
        <v>86.72</v>
      </c>
      <c r="I466" s="3">
        <f ca="1">IFERROR(__xludf.DUMMYFUNCTION("""COMPUTED_VALUE"""),86.73)</f>
        <v>86.73</v>
      </c>
      <c r="J466" s="3">
        <f ca="1">IFERROR(__xludf.DUMMYFUNCTION("""COMPUTED_VALUE"""),86.34)</f>
        <v>86.34</v>
      </c>
      <c r="K466" s="3">
        <f ca="1">IFERROR(__xludf.DUMMYFUNCTION("""COMPUTED_VALUE"""),86.44)</f>
        <v>86.44</v>
      </c>
      <c r="L466" s="3">
        <f ca="1">IFERROR(__xludf.DUMMYFUNCTION("""COMPUTED_VALUE"""),3073900)</f>
        <v>3073900</v>
      </c>
      <c r="M466" s="4">
        <f ca="1">IFERROR(__xludf.DUMMYFUNCTION("""COMPUTED_VALUE"""),42801.6666666666)</f>
        <v>42801.666666666599</v>
      </c>
      <c r="N466" s="3">
        <f ca="1">IFERROR(__xludf.DUMMYFUNCTION("""COMPUTED_VALUE"""),54.76)</f>
        <v>54.76</v>
      </c>
      <c r="O466" s="3">
        <f ca="1">IFERROR(__xludf.DUMMYFUNCTION("""COMPUTED_VALUE"""),54.94)</f>
        <v>54.94</v>
      </c>
      <c r="P466" s="3">
        <f ca="1">IFERROR(__xludf.DUMMYFUNCTION("""COMPUTED_VALUE"""),54.75)</f>
        <v>54.75</v>
      </c>
      <c r="Q466" s="3">
        <f ca="1">IFERROR(__xludf.DUMMYFUNCTION("""COMPUTED_VALUE"""),54.83)</f>
        <v>54.83</v>
      </c>
      <c r="R466" s="3">
        <f ca="1">IFERROR(__xludf.DUMMYFUNCTION("""COMPUTED_VALUE"""),7846514)</f>
        <v>7846514</v>
      </c>
      <c r="S466" s="4">
        <f ca="1">IFERROR(__xludf.DUMMYFUNCTION("""COMPUTED_VALUE"""),42801.6666666666)</f>
        <v>42801.666666666599</v>
      </c>
      <c r="T466" s="3">
        <f ca="1">IFERROR(__xludf.DUMMYFUNCTION("""COMPUTED_VALUE"""),72.41)</f>
        <v>72.41</v>
      </c>
      <c r="U466" s="3">
        <f ca="1">IFERROR(__xludf.DUMMYFUNCTION("""COMPUTED_VALUE"""),72.43)</f>
        <v>72.430000000000007</v>
      </c>
      <c r="V466" s="3">
        <f ca="1">IFERROR(__xludf.DUMMYFUNCTION("""COMPUTED_VALUE"""),71.42)</f>
        <v>71.42</v>
      </c>
      <c r="W466" s="3">
        <f ca="1">IFERROR(__xludf.DUMMYFUNCTION("""COMPUTED_VALUE"""),71.51)</f>
        <v>71.510000000000005</v>
      </c>
      <c r="X466" s="3">
        <f ca="1">IFERROR(__xludf.DUMMYFUNCTION("""COMPUTED_VALUE"""),11461751)</f>
        <v>11461751</v>
      </c>
      <c r="Y466" s="4">
        <f ca="1">IFERROR(__xludf.DUMMYFUNCTION("""COMPUTED_VALUE"""),42801.6666666666)</f>
        <v>42801.666666666599</v>
      </c>
      <c r="Z466" s="3">
        <f ca="1">IFERROR(__xludf.DUMMYFUNCTION("""COMPUTED_VALUE"""),24.82)</f>
        <v>24.82</v>
      </c>
      <c r="AA466" s="3">
        <f ca="1">IFERROR(__xludf.DUMMYFUNCTION("""COMPUTED_VALUE"""),24.82)</f>
        <v>24.82</v>
      </c>
      <c r="AB466" s="3">
        <f ca="1">IFERROR(__xludf.DUMMYFUNCTION("""COMPUTED_VALUE"""),24.65)</f>
        <v>24.65</v>
      </c>
      <c r="AC466" s="3">
        <f ca="1">IFERROR(__xludf.DUMMYFUNCTION("""COMPUTED_VALUE"""),24.71)</f>
        <v>24.71</v>
      </c>
      <c r="AD466" s="3">
        <f ca="1">IFERROR(__xludf.DUMMYFUNCTION("""COMPUTED_VALUE"""),53726499)</f>
        <v>53726499</v>
      </c>
      <c r="AE466" s="4">
        <f ca="1">IFERROR(__xludf.DUMMYFUNCTION("""COMPUTED_VALUE"""),42801.6666666666)</f>
        <v>42801.666666666599</v>
      </c>
      <c r="AF466" s="3">
        <f ca="1">IFERROR(__xludf.DUMMYFUNCTION("""COMPUTED_VALUE"""),74.89)</f>
        <v>74.89</v>
      </c>
      <c r="AG466" s="3">
        <f ca="1">IFERROR(__xludf.DUMMYFUNCTION("""COMPUTED_VALUE"""),75.36)</f>
        <v>75.36</v>
      </c>
      <c r="AH466" s="3">
        <f ca="1">IFERROR(__xludf.DUMMYFUNCTION("""COMPUTED_VALUE"""),74.74)</f>
        <v>74.739999999999995</v>
      </c>
      <c r="AI466" s="3">
        <f ca="1">IFERROR(__xludf.DUMMYFUNCTION("""COMPUTED_VALUE"""),74.98)</f>
        <v>74.98</v>
      </c>
      <c r="AJ466" s="3">
        <f ca="1">IFERROR(__xludf.DUMMYFUNCTION("""COMPUTED_VALUE"""),12330631)</f>
        <v>12330631</v>
      </c>
      <c r="AK466" s="4">
        <f ca="1">IFERROR(__xludf.DUMMYFUNCTION("""COMPUTED_VALUE"""),42801.6666666666)</f>
        <v>42801.666666666599</v>
      </c>
      <c r="AL466" s="3">
        <f ca="1">IFERROR(__xludf.DUMMYFUNCTION("""COMPUTED_VALUE"""),66.14)</f>
        <v>66.14</v>
      </c>
      <c r="AM466" s="3">
        <f ca="1">IFERROR(__xludf.DUMMYFUNCTION("""COMPUTED_VALUE"""),66.24)</f>
        <v>66.239999999999995</v>
      </c>
      <c r="AN466" s="3">
        <f ca="1">IFERROR(__xludf.DUMMYFUNCTION("""COMPUTED_VALUE"""),65.88)</f>
        <v>65.88</v>
      </c>
      <c r="AO466" s="3">
        <f ca="1">IFERROR(__xludf.DUMMYFUNCTION("""COMPUTED_VALUE"""),65.97)</f>
        <v>65.97</v>
      </c>
      <c r="AP466" s="3">
        <f ca="1">IFERROR(__xludf.DUMMYFUNCTION("""COMPUTED_VALUE"""),8790796)</f>
        <v>8790796</v>
      </c>
      <c r="AQ466" s="4">
        <f ca="1">IFERROR(__xludf.DUMMYFUNCTION("""COMPUTED_VALUE"""),42801.6666666666)</f>
        <v>42801.666666666599</v>
      </c>
      <c r="AR466" s="3">
        <f ca="1">IFERROR(__xludf.DUMMYFUNCTION("""COMPUTED_VALUE"""),52.35)</f>
        <v>52.35</v>
      </c>
      <c r="AS466" s="3">
        <f ca="1">IFERROR(__xludf.DUMMYFUNCTION("""COMPUTED_VALUE"""),52.4)</f>
        <v>52.4</v>
      </c>
      <c r="AT466" s="3">
        <f ca="1">IFERROR(__xludf.DUMMYFUNCTION("""COMPUTED_VALUE"""),52.01)</f>
        <v>52.01</v>
      </c>
      <c r="AU466" s="3">
        <f ca="1">IFERROR(__xludf.DUMMYFUNCTION("""COMPUTED_VALUE"""),52.03)</f>
        <v>52.03</v>
      </c>
      <c r="AV466" s="3">
        <f ca="1">IFERROR(__xludf.DUMMYFUNCTION("""COMPUTED_VALUE"""),3838142)</f>
        <v>3838142</v>
      </c>
      <c r="AW466" s="4">
        <f ca="1">IFERROR(__xludf.DUMMYFUNCTION("""COMPUTED_VALUE"""),42964.6666666666)</f>
        <v>42964.666666666599</v>
      </c>
      <c r="AX466" s="3">
        <f ca="1">IFERROR(__xludf.DUMMYFUNCTION("""COMPUTED_VALUE"""),32.48)</f>
        <v>32.479999999999997</v>
      </c>
      <c r="AY466" s="3">
        <f ca="1">IFERROR(__xludf.DUMMYFUNCTION("""COMPUTED_VALUE"""),32.6)</f>
        <v>32.6</v>
      </c>
      <c r="AZ466" s="3">
        <f ca="1">IFERROR(__xludf.DUMMYFUNCTION("""COMPUTED_VALUE"""),32.3)</f>
        <v>32.299999999999997</v>
      </c>
      <c r="BA466" s="3">
        <f ca="1">IFERROR(__xludf.DUMMYFUNCTION("""COMPUTED_VALUE"""),32.3)</f>
        <v>32.299999999999997</v>
      </c>
      <c r="BB466" s="3">
        <f ca="1">IFERROR(__xludf.DUMMYFUNCTION("""COMPUTED_VALUE"""),1375983)</f>
        <v>1375983</v>
      </c>
      <c r="BC466" s="4">
        <f ca="1">IFERROR(__xludf.DUMMYFUNCTION("""COMPUTED_VALUE"""),42801.6666666666)</f>
        <v>42801.666666666599</v>
      </c>
      <c r="BD466" s="3">
        <f ca="1">IFERROR(__xludf.DUMMYFUNCTION("""COMPUTED_VALUE"""),52.74)</f>
        <v>52.74</v>
      </c>
      <c r="BE466" s="3">
        <f ca="1">IFERROR(__xludf.DUMMYFUNCTION("""COMPUTED_VALUE"""),53)</f>
        <v>53</v>
      </c>
      <c r="BF466" s="3">
        <f ca="1">IFERROR(__xludf.DUMMYFUNCTION("""COMPUTED_VALUE"""),52.7)</f>
        <v>52.7</v>
      </c>
      <c r="BG466" s="3">
        <f ca="1">IFERROR(__xludf.DUMMYFUNCTION("""COMPUTED_VALUE"""),52.78)</f>
        <v>52.78</v>
      </c>
      <c r="BH466" s="3">
        <f ca="1">IFERROR(__xludf.DUMMYFUNCTION("""COMPUTED_VALUE"""),6980447)</f>
        <v>6980447</v>
      </c>
      <c r="BI466" s="4">
        <f ca="1">IFERROR(__xludf.DUMMYFUNCTION("""COMPUTED_VALUE"""),42801.6666666666)</f>
        <v>42801.666666666599</v>
      </c>
      <c r="BJ466" s="3">
        <f ca="1">IFERROR(__xludf.DUMMYFUNCTION("""COMPUTED_VALUE"""),51.36)</f>
        <v>51.36</v>
      </c>
      <c r="BK466" s="3">
        <f ca="1">IFERROR(__xludf.DUMMYFUNCTION("""COMPUTED_VALUE"""),51.58)</f>
        <v>51.58</v>
      </c>
      <c r="BL466" s="3">
        <f ca="1">IFERROR(__xludf.DUMMYFUNCTION("""COMPUTED_VALUE"""),51.32)</f>
        <v>51.32</v>
      </c>
      <c r="BM466" s="3">
        <f ca="1">IFERROR(__xludf.DUMMYFUNCTION("""COMPUTED_VALUE"""),51.39)</f>
        <v>51.39</v>
      </c>
      <c r="BN466" s="3">
        <f ca="1">IFERROR(__xludf.DUMMYFUNCTION("""COMPUTED_VALUE"""),17951673)</f>
        <v>17951673</v>
      </c>
    </row>
    <row r="467" spans="7:66" ht="13" x14ac:dyDescent="0.15">
      <c r="G467" s="4">
        <f ca="1">IFERROR(__xludf.DUMMYFUNCTION("""COMPUTED_VALUE"""),42802.6666666666)</f>
        <v>42802.666666666599</v>
      </c>
      <c r="H467" s="3">
        <f ca="1">IFERROR(__xludf.DUMMYFUNCTION("""COMPUTED_VALUE"""),86.57)</f>
        <v>86.57</v>
      </c>
      <c r="I467" s="3">
        <f ca="1">IFERROR(__xludf.DUMMYFUNCTION("""COMPUTED_VALUE"""),86.96)</f>
        <v>86.96</v>
      </c>
      <c r="J467" s="3">
        <f ca="1">IFERROR(__xludf.DUMMYFUNCTION("""COMPUTED_VALUE"""),86.54)</f>
        <v>86.54</v>
      </c>
      <c r="K467" s="3">
        <f ca="1">IFERROR(__xludf.DUMMYFUNCTION("""COMPUTED_VALUE"""),86.8)</f>
        <v>86.8</v>
      </c>
      <c r="L467" s="3">
        <f ca="1">IFERROR(__xludf.DUMMYFUNCTION("""COMPUTED_VALUE"""),2609528)</f>
        <v>2609528</v>
      </c>
      <c r="M467" s="4">
        <f ca="1">IFERROR(__xludf.DUMMYFUNCTION("""COMPUTED_VALUE"""),42802.6666666666)</f>
        <v>42802.666666666599</v>
      </c>
      <c r="N467" s="3">
        <f ca="1">IFERROR(__xludf.DUMMYFUNCTION("""COMPUTED_VALUE"""),54.69)</f>
        <v>54.69</v>
      </c>
      <c r="O467" s="3">
        <f ca="1">IFERROR(__xludf.DUMMYFUNCTION("""COMPUTED_VALUE"""),54.8)</f>
        <v>54.8</v>
      </c>
      <c r="P467" s="3">
        <f ca="1">IFERROR(__xludf.DUMMYFUNCTION("""COMPUTED_VALUE"""),54.64)</f>
        <v>54.64</v>
      </c>
      <c r="Q467" s="3">
        <f ca="1">IFERROR(__xludf.DUMMYFUNCTION("""COMPUTED_VALUE"""),54.71)</f>
        <v>54.71</v>
      </c>
      <c r="R467" s="3">
        <f ca="1">IFERROR(__xludf.DUMMYFUNCTION("""COMPUTED_VALUE"""),10787982)</f>
        <v>10787982</v>
      </c>
      <c r="S467" s="4">
        <f ca="1">IFERROR(__xludf.DUMMYFUNCTION("""COMPUTED_VALUE"""),42802.6666666666)</f>
        <v>42802.666666666599</v>
      </c>
      <c r="T467" s="3">
        <f ca="1">IFERROR(__xludf.DUMMYFUNCTION("""COMPUTED_VALUE"""),71.22)</f>
        <v>71.22</v>
      </c>
      <c r="U467" s="3">
        <f ca="1">IFERROR(__xludf.DUMMYFUNCTION("""COMPUTED_VALUE"""),71.64)</f>
        <v>71.64</v>
      </c>
      <c r="V467" s="3">
        <f ca="1">IFERROR(__xludf.DUMMYFUNCTION("""COMPUTED_VALUE"""),69.62)</f>
        <v>69.62</v>
      </c>
      <c r="W467" s="3">
        <f ca="1">IFERROR(__xludf.DUMMYFUNCTION("""COMPUTED_VALUE"""),69.65)</f>
        <v>69.650000000000006</v>
      </c>
      <c r="X467" s="3">
        <f ca="1">IFERROR(__xludf.DUMMYFUNCTION("""COMPUTED_VALUE"""),25566236)</f>
        <v>25566236</v>
      </c>
      <c r="Y467" s="4">
        <f ca="1">IFERROR(__xludf.DUMMYFUNCTION("""COMPUTED_VALUE"""),42802.6666666666)</f>
        <v>42802.666666666599</v>
      </c>
      <c r="Z467" s="3">
        <f ca="1">IFERROR(__xludf.DUMMYFUNCTION("""COMPUTED_VALUE"""),24.98)</f>
        <v>24.98</v>
      </c>
      <c r="AA467" s="3">
        <f ca="1">IFERROR(__xludf.DUMMYFUNCTION("""COMPUTED_VALUE"""),25.06)</f>
        <v>25.06</v>
      </c>
      <c r="AB467" s="3">
        <f ca="1">IFERROR(__xludf.DUMMYFUNCTION("""COMPUTED_VALUE"""),24.71)</f>
        <v>24.71</v>
      </c>
      <c r="AC467" s="3">
        <f ca="1">IFERROR(__xludf.DUMMYFUNCTION("""COMPUTED_VALUE"""),24.72)</f>
        <v>24.72</v>
      </c>
      <c r="AD467" s="3">
        <f ca="1">IFERROR(__xludf.DUMMYFUNCTION("""COMPUTED_VALUE"""),104601047)</f>
        <v>104601047</v>
      </c>
      <c r="AE467" s="4">
        <f ca="1">IFERROR(__xludf.DUMMYFUNCTION("""COMPUTED_VALUE"""),42802.6666666666)</f>
        <v>42802.666666666599</v>
      </c>
      <c r="AF467" s="3">
        <f ca="1">IFERROR(__xludf.DUMMYFUNCTION("""COMPUTED_VALUE"""),74.97)</f>
        <v>74.97</v>
      </c>
      <c r="AG467" s="3">
        <f ca="1">IFERROR(__xludf.DUMMYFUNCTION("""COMPUTED_VALUE"""),75.54)</f>
        <v>75.540000000000006</v>
      </c>
      <c r="AH467" s="3">
        <f ca="1">IFERROR(__xludf.DUMMYFUNCTION("""COMPUTED_VALUE"""),74.92)</f>
        <v>74.92</v>
      </c>
      <c r="AI467" s="3">
        <f ca="1">IFERROR(__xludf.DUMMYFUNCTION("""COMPUTED_VALUE"""),75.28)</f>
        <v>75.28</v>
      </c>
      <c r="AJ467" s="3">
        <f ca="1">IFERROR(__xludf.DUMMYFUNCTION("""COMPUTED_VALUE"""),8130032)</f>
        <v>8130032</v>
      </c>
      <c r="AK467" s="4">
        <f ca="1">IFERROR(__xludf.DUMMYFUNCTION("""COMPUTED_VALUE"""),42802.6666666666)</f>
        <v>42802.666666666599</v>
      </c>
      <c r="AL467" s="3">
        <f ca="1">IFERROR(__xludf.DUMMYFUNCTION("""COMPUTED_VALUE"""),66.06)</f>
        <v>66.06</v>
      </c>
      <c r="AM467" s="3">
        <f ca="1">IFERROR(__xludf.DUMMYFUNCTION("""COMPUTED_VALUE"""),66.1)</f>
        <v>66.099999999999994</v>
      </c>
      <c r="AN467" s="3">
        <f ca="1">IFERROR(__xludf.DUMMYFUNCTION("""COMPUTED_VALUE"""),65.63)</f>
        <v>65.63</v>
      </c>
      <c r="AO467" s="3">
        <f ca="1">IFERROR(__xludf.DUMMYFUNCTION("""COMPUTED_VALUE"""),65.74)</f>
        <v>65.739999999999995</v>
      </c>
      <c r="AP467" s="3">
        <f ca="1">IFERROR(__xludf.DUMMYFUNCTION("""COMPUTED_VALUE"""),10728959)</f>
        <v>10728959</v>
      </c>
      <c r="AQ467" s="4">
        <f ca="1">IFERROR(__xludf.DUMMYFUNCTION("""COMPUTED_VALUE"""),42802.6666666666)</f>
        <v>42802.666666666599</v>
      </c>
      <c r="AR467" s="3">
        <f ca="1">IFERROR(__xludf.DUMMYFUNCTION("""COMPUTED_VALUE"""),52.07)</f>
        <v>52.07</v>
      </c>
      <c r="AS467" s="3">
        <f ca="1">IFERROR(__xludf.DUMMYFUNCTION("""COMPUTED_VALUE"""),52.57)</f>
        <v>52.57</v>
      </c>
      <c r="AT467" s="3">
        <f ca="1">IFERROR(__xludf.DUMMYFUNCTION("""COMPUTED_VALUE"""),51.95)</f>
        <v>51.95</v>
      </c>
      <c r="AU467" s="3">
        <f ca="1">IFERROR(__xludf.DUMMYFUNCTION("""COMPUTED_VALUE"""),52.03)</f>
        <v>52.03</v>
      </c>
      <c r="AV467" s="3">
        <f ca="1">IFERROR(__xludf.DUMMYFUNCTION("""COMPUTED_VALUE"""),5089134)</f>
        <v>5089134</v>
      </c>
      <c r="AW467" s="4">
        <f ca="1">IFERROR(__xludf.DUMMYFUNCTION("""COMPUTED_VALUE"""),42965.6666666666)</f>
        <v>42965.666666666599</v>
      </c>
      <c r="AX467" s="3">
        <f ca="1">IFERROR(__xludf.DUMMYFUNCTION("""COMPUTED_VALUE"""),32.23)</f>
        <v>32.229999999999997</v>
      </c>
      <c r="AY467" s="3">
        <f ca="1">IFERROR(__xludf.DUMMYFUNCTION("""COMPUTED_VALUE"""),32.23)</f>
        <v>32.229999999999997</v>
      </c>
      <c r="AZ467" s="3">
        <f ca="1">IFERROR(__xludf.DUMMYFUNCTION("""COMPUTED_VALUE"""),31.97)</f>
        <v>31.97</v>
      </c>
      <c r="BA467" s="3">
        <f ca="1">IFERROR(__xludf.DUMMYFUNCTION("""COMPUTED_VALUE"""),32.06)</f>
        <v>32.06</v>
      </c>
      <c r="BB467" s="3">
        <f ca="1">IFERROR(__xludf.DUMMYFUNCTION("""COMPUTED_VALUE"""),1276949)</f>
        <v>1276949</v>
      </c>
      <c r="BC467" s="4">
        <f ca="1">IFERROR(__xludf.DUMMYFUNCTION("""COMPUTED_VALUE"""),42802.6666666666)</f>
        <v>42802.666666666599</v>
      </c>
      <c r="BD467" s="3">
        <f ca="1">IFERROR(__xludf.DUMMYFUNCTION("""COMPUTED_VALUE"""),52.84)</f>
        <v>52.84</v>
      </c>
      <c r="BE467" s="3">
        <f ca="1">IFERROR(__xludf.DUMMYFUNCTION("""COMPUTED_VALUE"""),53)</f>
        <v>53</v>
      </c>
      <c r="BF467" s="3">
        <f ca="1">IFERROR(__xludf.DUMMYFUNCTION("""COMPUTED_VALUE"""),52.77)</f>
        <v>52.77</v>
      </c>
      <c r="BG467" s="3">
        <f ca="1">IFERROR(__xludf.DUMMYFUNCTION("""COMPUTED_VALUE"""),52.84)</f>
        <v>52.84</v>
      </c>
      <c r="BH467" s="3">
        <f ca="1">IFERROR(__xludf.DUMMYFUNCTION("""COMPUTED_VALUE"""),5680931)</f>
        <v>5680931</v>
      </c>
      <c r="BI467" s="4">
        <f ca="1">IFERROR(__xludf.DUMMYFUNCTION("""COMPUTED_VALUE"""),42802.6666666666)</f>
        <v>42802.666666666599</v>
      </c>
      <c r="BJ467" s="3">
        <f ca="1">IFERROR(__xludf.DUMMYFUNCTION("""COMPUTED_VALUE"""),50.95)</f>
        <v>50.95</v>
      </c>
      <c r="BK467" s="3">
        <f ca="1">IFERROR(__xludf.DUMMYFUNCTION("""COMPUTED_VALUE"""),51)</f>
        <v>51</v>
      </c>
      <c r="BL467" s="3">
        <f ca="1">IFERROR(__xludf.DUMMYFUNCTION("""COMPUTED_VALUE"""),50.55)</f>
        <v>50.55</v>
      </c>
      <c r="BM467" s="3">
        <f ca="1">IFERROR(__xludf.DUMMYFUNCTION("""COMPUTED_VALUE"""),50.65)</f>
        <v>50.65</v>
      </c>
      <c r="BN467" s="3">
        <f ca="1">IFERROR(__xludf.DUMMYFUNCTION("""COMPUTED_VALUE"""),18393940)</f>
        <v>18393940</v>
      </c>
    </row>
    <row r="468" spans="7:66" ht="13" x14ac:dyDescent="0.15">
      <c r="G468" s="4">
        <f ca="1">IFERROR(__xludf.DUMMYFUNCTION("""COMPUTED_VALUE"""),42803.6666666666)</f>
        <v>42803.666666666599</v>
      </c>
      <c r="H468" s="3">
        <f ca="1">IFERROR(__xludf.DUMMYFUNCTION("""COMPUTED_VALUE"""),86.72)</f>
        <v>86.72</v>
      </c>
      <c r="I468" s="3">
        <f ca="1">IFERROR(__xludf.DUMMYFUNCTION("""COMPUTED_VALUE"""),86.97)</f>
        <v>86.97</v>
      </c>
      <c r="J468" s="3">
        <f ca="1">IFERROR(__xludf.DUMMYFUNCTION("""COMPUTED_VALUE"""),86.47)</f>
        <v>86.47</v>
      </c>
      <c r="K468" s="3">
        <f ca="1">IFERROR(__xludf.DUMMYFUNCTION("""COMPUTED_VALUE"""),86.72)</f>
        <v>86.72</v>
      </c>
      <c r="L468" s="3">
        <f ca="1">IFERROR(__xludf.DUMMYFUNCTION("""COMPUTED_VALUE"""),2746929)</f>
        <v>2746929</v>
      </c>
      <c r="M468" s="4">
        <f ca="1">IFERROR(__xludf.DUMMYFUNCTION("""COMPUTED_VALUE"""),42803.6666666666)</f>
        <v>42803.666666666599</v>
      </c>
      <c r="N468" s="3">
        <f ca="1">IFERROR(__xludf.DUMMYFUNCTION("""COMPUTED_VALUE"""),54.69)</f>
        <v>54.69</v>
      </c>
      <c r="O468" s="3">
        <f ca="1">IFERROR(__xludf.DUMMYFUNCTION("""COMPUTED_VALUE"""),54.89)</f>
        <v>54.89</v>
      </c>
      <c r="P468" s="3">
        <f ca="1">IFERROR(__xludf.DUMMYFUNCTION("""COMPUTED_VALUE"""),54.69)</f>
        <v>54.69</v>
      </c>
      <c r="Q468" s="3">
        <f ca="1">IFERROR(__xludf.DUMMYFUNCTION("""COMPUTED_VALUE"""),54.8)</f>
        <v>54.8</v>
      </c>
      <c r="R468" s="3">
        <f ca="1">IFERROR(__xludf.DUMMYFUNCTION("""COMPUTED_VALUE"""),7025304)</f>
        <v>7025304</v>
      </c>
      <c r="S468" s="4">
        <f ca="1">IFERROR(__xludf.DUMMYFUNCTION("""COMPUTED_VALUE"""),42803.6666666666)</f>
        <v>42803.666666666599</v>
      </c>
      <c r="T468" s="3">
        <f ca="1">IFERROR(__xludf.DUMMYFUNCTION("""COMPUTED_VALUE"""),69.3)</f>
        <v>69.3</v>
      </c>
      <c r="U468" s="3">
        <f ca="1">IFERROR(__xludf.DUMMYFUNCTION("""COMPUTED_VALUE"""),70.15)</f>
        <v>70.150000000000006</v>
      </c>
      <c r="V468" s="3">
        <f ca="1">IFERROR(__xludf.DUMMYFUNCTION("""COMPUTED_VALUE"""),68.89)</f>
        <v>68.89</v>
      </c>
      <c r="W468" s="3">
        <f ca="1">IFERROR(__xludf.DUMMYFUNCTION("""COMPUTED_VALUE"""),70.11)</f>
        <v>70.11</v>
      </c>
      <c r="X468" s="3">
        <f ca="1">IFERROR(__xludf.DUMMYFUNCTION("""COMPUTED_VALUE"""),27770650)</f>
        <v>27770650</v>
      </c>
      <c r="Y468" s="4">
        <f ca="1">IFERROR(__xludf.DUMMYFUNCTION("""COMPUTED_VALUE"""),42803.6666666666)</f>
        <v>42803.666666666599</v>
      </c>
      <c r="Z468" s="3">
        <f ca="1">IFERROR(__xludf.DUMMYFUNCTION("""COMPUTED_VALUE"""),24.82)</f>
        <v>24.82</v>
      </c>
      <c r="AA468" s="3">
        <f ca="1">IFERROR(__xludf.DUMMYFUNCTION("""COMPUTED_VALUE"""),24.94)</f>
        <v>24.94</v>
      </c>
      <c r="AB468" s="3">
        <f ca="1">IFERROR(__xludf.DUMMYFUNCTION("""COMPUTED_VALUE"""),24.7)</f>
        <v>24.7</v>
      </c>
      <c r="AC468" s="3">
        <f ca="1">IFERROR(__xludf.DUMMYFUNCTION("""COMPUTED_VALUE"""),24.81)</f>
        <v>24.81</v>
      </c>
      <c r="AD468" s="3">
        <f ca="1">IFERROR(__xludf.DUMMYFUNCTION("""COMPUTED_VALUE"""),60804082)</f>
        <v>60804082</v>
      </c>
      <c r="AE468" s="4">
        <f ca="1">IFERROR(__xludf.DUMMYFUNCTION("""COMPUTED_VALUE"""),42803.6666666666)</f>
        <v>42803.666666666599</v>
      </c>
      <c r="AF468" s="3">
        <f ca="1">IFERROR(__xludf.DUMMYFUNCTION("""COMPUTED_VALUE"""),75.27)</f>
        <v>75.27</v>
      </c>
      <c r="AG468" s="3">
        <f ca="1">IFERROR(__xludf.DUMMYFUNCTION("""COMPUTED_VALUE"""),75.79)</f>
        <v>75.790000000000006</v>
      </c>
      <c r="AH468" s="3">
        <f ca="1">IFERROR(__xludf.DUMMYFUNCTION("""COMPUTED_VALUE"""),75.22)</f>
        <v>75.22</v>
      </c>
      <c r="AI468" s="3">
        <f ca="1">IFERROR(__xludf.DUMMYFUNCTION("""COMPUTED_VALUE"""),75.69)</f>
        <v>75.69</v>
      </c>
      <c r="AJ468" s="3">
        <f ca="1">IFERROR(__xludf.DUMMYFUNCTION("""COMPUTED_VALUE"""),8451394)</f>
        <v>8451394</v>
      </c>
      <c r="AK468" s="4">
        <f ca="1">IFERROR(__xludf.DUMMYFUNCTION("""COMPUTED_VALUE"""),42803.6666666666)</f>
        <v>42803.666666666599</v>
      </c>
      <c r="AL468" s="3">
        <f ca="1">IFERROR(__xludf.DUMMYFUNCTION("""COMPUTED_VALUE"""),65.7)</f>
        <v>65.7</v>
      </c>
      <c r="AM468" s="3">
        <f ca="1">IFERROR(__xludf.DUMMYFUNCTION("""COMPUTED_VALUE"""),65.86)</f>
        <v>65.86</v>
      </c>
      <c r="AN468" s="3">
        <f ca="1">IFERROR(__xludf.DUMMYFUNCTION("""COMPUTED_VALUE"""),65.16)</f>
        <v>65.16</v>
      </c>
      <c r="AO468" s="3">
        <f ca="1">IFERROR(__xludf.DUMMYFUNCTION("""COMPUTED_VALUE"""),65.44)</f>
        <v>65.44</v>
      </c>
      <c r="AP468" s="3">
        <f ca="1">IFERROR(__xludf.DUMMYFUNCTION("""COMPUTED_VALUE"""),9976098)</f>
        <v>9976098</v>
      </c>
      <c r="AQ468" s="4">
        <f ca="1">IFERROR(__xludf.DUMMYFUNCTION("""COMPUTED_VALUE"""),42803.6666666666)</f>
        <v>42803.666666666599</v>
      </c>
      <c r="AR468" s="3">
        <f ca="1">IFERROR(__xludf.DUMMYFUNCTION("""COMPUTED_VALUE"""),52.1)</f>
        <v>52.1</v>
      </c>
      <c r="AS468" s="3">
        <f ca="1">IFERROR(__xludf.DUMMYFUNCTION("""COMPUTED_VALUE"""),52.17)</f>
        <v>52.17</v>
      </c>
      <c r="AT468" s="3">
        <f ca="1">IFERROR(__xludf.DUMMYFUNCTION("""COMPUTED_VALUE"""),51.62)</f>
        <v>51.62</v>
      </c>
      <c r="AU468" s="3">
        <f ca="1">IFERROR(__xludf.DUMMYFUNCTION("""COMPUTED_VALUE"""),51.87)</f>
        <v>51.87</v>
      </c>
      <c r="AV468" s="3">
        <f ca="1">IFERROR(__xludf.DUMMYFUNCTION("""COMPUTED_VALUE"""),4519840)</f>
        <v>4519840</v>
      </c>
      <c r="AW468" s="4">
        <f ca="1">IFERROR(__xludf.DUMMYFUNCTION("""COMPUTED_VALUE"""),42968.6666666666)</f>
        <v>42968.666666666599</v>
      </c>
      <c r="AX468" s="3">
        <f ca="1">IFERROR(__xludf.DUMMYFUNCTION("""COMPUTED_VALUE"""),32.1)</f>
        <v>32.1</v>
      </c>
      <c r="AY468" s="3">
        <f ca="1">IFERROR(__xludf.DUMMYFUNCTION("""COMPUTED_VALUE"""),32.46)</f>
        <v>32.46</v>
      </c>
      <c r="AZ468" s="3">
        <f ca="1">IFERROR(__xludf.DUMMYFUNCTION("""COMPUTED_VALUE"""),32.02)</f>
        <v>32.020000000000003</v>
      </c>
      <c r="BA468" s="3">
        <f ca="1">IFERROR(__xludf.DUMMYFUNCTION("""COMPUTED_VALUE"""),32.39)</f>
        <v>32.39</v>
      </c>
      <c r="BB468" s="3">
        <f ca="1">IFERROR(__xludf.DUMMYFUNCTION("""COMPUTED_VALUE"""),1094517)</f>
        <v>1094517</v>
      </c>
      <c r="BC468" s="4">
        <f ca="1">IFERROR(__xludf.DUMMYFUNCTION("""COMPUTED_VALUE"""),42803.6666666666)</f>
        <v>42803.666666666599</v>
      </c>
      <c r="BD468" s="3">
        <f ca="1">IFERROR(__xludf.DUMMYFUNCTION("""COMPUTED_VALUE"""),52.85)</f>
        <v>52.85</v>
      </c>
      <c r="BE468" s="3">
        <f ca="1">IFERROR(__xludf.DUMMYFUNCTION("""COMPUTED_VALUE"""),52.91)</f>
        <v>52.91</v>
      </c>
      <c r="BF468" s="3">
        <f ca="1">IFERROR(__xludf.DUMMYFUNCTION("""COMPUTED_VALUE"""),52.57)</f>
        <v>52.57</v>
      </c>
      <c r="BG468" s="3">
        <f ca="1">IFERROR(__xludf.DUMMYFUNCTION("""COMPUTED_VALUE"""),52.83)</f>
        <v>52.83</v>
      </c>
      <c r="BH468" s="3">
        <f ca="1">IFERROR(__xludf.DUMMYFUNCTION("""COMPUTED_VALUE"""),7650187)</f>
        <v>7650187</v>
      </c>
      <c r="BI468" s="4">
        <f ca="1">IFERROR(__xludf.DUMMYFUNCTION("""COMPUTED_VALUE"""),42803.6666666666)</f>
        <v>42803.666666666599</v>
      </c>
      <c r="BJ468" s="3">
        <f ca="1">IFERROR(__xludf.DUMMYFUNCTION("""COMPUTED_VALUE"""),50.77)</f>
        <v>50.77</v>
      </c>
      <c r="BK468" s="3">
        <f ca="1">IFERROR(__xludf.DUMMYFUNCTION("""COMPUTED_VALUE"""),50.95)</f>
        <v>50.95</v>
      </c>
      <c r="BL468" s="3">
        <f ca="1">IFERROR(__xludf.DUMMYFUNCTION("""COMPUTED_VALUE"""),50.5)</f>
        <v>50.5</v>
      </c>
      <c r="BM468" s="3">
        <f ca="1">IFERROR(__xludf.DUMMYFUNCTION("""COMPUTED_VALUE"""),50.54)</f>
        <v>50.54</v>
      </c>
      <c r="BN468" s="3">
        <f ca="1">IFERROR(__xludf.DUMMYFUNCTION("""COMPUTED_VALUE"""),12842758)</f>
        <v>12842758</v>
      </c>
    </row>
    <row r="469" spans="7:66" ht="13" x14ac:dyDescent="0.15">
      <c r="G469" s="4">
        <f ca="1">IFERROR(__xludf.DUMMYFUNCTION("""COMPUTED_VALUE"""),42804.6666666666)</f>
        <v>42804.666666666599</v>
      </c>
      <c r="H469" s="3">
        <f ca="1">IFERROR(__xludf.DUMMYFUNCTION("""COMPUTED_VALUE"""),87.1)</f>
        <v>87.1</v>
      </c>
      <c r="I469" s="3">
        <f ca="1">IFERROR(__xludf.DUMMYFUNCTION("""COMPUTED_VALUE"""),87.18)</f>
        <v>87.18</v>
      </c>
      <c r="J469" s="3">
        <f ca="1">IFERROR(__xludf.DUMMYFUNCTION("""COMPUTED_VALUE"""),86.67)</f>
        <v>86.67</v>
      </c>
      <c r="K469" s="3">
        <f ca="1">IFERROR(__xludf.DUMMYFUNCTION("""COMPUTED_VALUE"""),86.85)</f>
        <v>86.85</v>
      </c>
      <c r="L469" s="3">
        <f ca="1">IFERROR(__xludf.DUMMYFUNCTION("""COMPUTED_VALUE"""),3506602)</f>
        <v>3506602</v>
      </c>
      <c r="M469" s="4">
        <f ca="1">IFERROR(__xludf.DUMMYFUNCTION("""COMPUTED_VALUE"""),42804.6666666666)</f>
        <v>42804.666666666599</v>
      </c>
      <c r="N469" s="3">
        <f ca="1">IFERROR(__xludf.DUMMYFUNCTION("""COMPUTED_VALUE"""),55.03)</f>
        <v>55.03</v>
      </c>
      <c r="O469" s="3">
        <f ca="1">IFERROR(__xludf.DUMMYFUNCTION("""COMPUTED_VALUE"""),55.12)</f>
        <v>55.12</v>
      </c>
      <c r="P469" s="3">
        <f ca="1">IFERROR(__xludf.DUMMYFUNCTION("""COMPUTED_VALUE"""),54.9)</f>
        <v>54.9</v>
      </c>
      <c r="Q469" s="3">
        <f ca="1">IFERROR(__xludf.DUMMYFUNCTION("""COMPUTED_VALUE"""),55.05)</f>
        <v>55.05</v>
      </c>
      <c r="R469" s="3">
        <f ca="1">IFERROR(__xludf.DUMMYFUNCTION("""COMPUTED_VALUE"""),6530445)</f>
        <v>6530445</v>
      </c>
      <c r="S469" s="4">
        <f ca="1">IFERROR(__xludf.DUMMYFUNCTION("""COMPUTED_VALUE"""),42804.6666666666)</f>
        <v>42804.666666666599</v>
      </c>
      <c r="T469" s="3">
        <f ca="1">IFERROR(__xludf.DUMMYFUNCTION("""COMPUTED_VALUE"""),70.56)</f>
        <v>70.56</v>
      </c>
      <c r="U469" s="3">
        <f ca="1">IFERROR(__xludf.DUMMYFUNCTION("""COMPUTED_VALUE"""),70.65)</f>
        <v>70.650000000000006</v>
      </c>
      <c r="V469" s="3">
        <f ca="1">IFERROR(__xludf.DUMMYFUNCTION("""COMPUTED_VALUE"""),69.6)</f>
        <v>69.599999999999994</v>
      </c>
      <c r="W469" s="3">
        <f ca="1">IFERROR(__xludf.DUMMYFUNCTION("""COMPUTED_VALUE"""),70.01)</f>
        <v>70.010000000000005</v>
      </c>
      <c r="X469" s="3">
        <f ca="1">IFERROR(__xludf.DUMMYFUNCTION("""COMPUTED_VALUE"""),17479266)</f>
        <v>17479266</v>
      </c>
      <c r="Y469" s="4">
        <f ca="1">IFERROR(__xludf.DUMMYFUNCTION("""COMPUTED_VALUE"""),42804.6666666666)</f>
        <v>42804.666666666599</v>
      </c>
      <c r="Z469" s="3">
        <f ca="1">IFERROR(__xludf.DUMMYFUNCTION("""COMPUTED_VALUE"""),24.93)</f>
        <v>24.93</v>
      </c>
      <c r="AA469" s="3">
        <f ca="1">IFERROR(__xludf.DUMMYFUNCTION("""COMPUTED_VALUE"""),24.95)</f>
        <v>24.95</v>
      </c>
      <c r="AB469" s="3">
        <f ca="1">IFERROR(__xludf.DUMMYFUNCTION("""COMPUTED_VALUE"""),24.63)</f>
        <v>24.63</v>
      </c>
      <c r="AC469" s="3">
        <f ca="1">IFERROR(__xludf.DUMMYFUNCTION("""COMPUTED_VALUE"""),24.79)</f>
        <v>24.79</v>
      </c>
      <c r="AD469" s="3">
        <f ca="1">IFERROR(__xludf.DUMMYFUNCTION("""COMPUTED_VALUE"""),62148618)</f>
        <v>62148618</v>
      </c>
      <c r="AE469" s="4">
        <f ca="1">IFERROR(__xludf.DUMMYFUNCTION("""COMPUTED_VALUE"""),42804.6666666666)</f>
        <v>42804.666666666599</v>
      </c>
      <c r="AF469" s="3">
        <f ca="1">IFERROR(__xludf.DUMMYFUNCTION("""COMPUTED_VALUE"""),76.01)</f>
        <v>76.010000000000005</v>
      </c>
      <c r="AG469" s="3">
        <f ca="1">IFERROR(__xludf.DUMMYFUNCTION("""COMPUTED_VALUE"""),76.09)</f>
        <v>76.09</v>
      </c>
      <c r="AH469" s="3">
        <f ca="1">IFERROR(__xludf.DUMMYFUNCTION("""COMPUTED_VALUE"""),75.7)</f>
        <v>75.7</v>
      </c>
      <c r="AI469" s="3">
        <f ca="1">IFERROR(__xludf.DUMMYFUNCTION("""COMPUTED_VALUE"""),75.98)</f>
        <v>75.98</v>
      </c>
      <c r="AJ469" s="3">
        <f ca="1">IFERROR(__xludf.DUMMYFUNCTION("""COMPUTED_VALUE"""),10455762)</f>
        <v>10455762</v>
      </c>
      <c r="AK469" s="4">
        <f ca="1">IFERROR(__xludf.DUMMYFUNCTION("""COMPUTED_VALUE"""),42804.6666666666)</f>
        <v>42804.666666666599</v>
      </c>
      <c r="AL469" s="3">
        <f ca="1">IFERROR(__xludf.DUMMYFUNCTION("""COMPUTED_VALUE"""),65.79)</f>
        <v>65.790000000000006</v>
      </c>
      <c r="AM469" s="3">
        <f ca="1">IFERROR(__xludf.DUMMYFUNCTION("""COMPUTED_VALUE"""),65.84)</f>
        <v>65.84</v>
      </c>
      <c r="AN469" s="3">
        <f ca="1">IFERROR(__xludf.DUMMYFUNCTION("""COMPUTED_VALUE"""),65.32)</f>
        <v>65.319999999999993</v>
      </c>
      <c r="AO469" s="3">
        <f ca="1">IFERROR(__xludf.DUMMYFUNCTION("""COMPUTED_VALUE"""),65.84)</f>
        <v>65.84</v>
      </c>
      <c r="AP469" s="3">
        <f ca="1">IFERROR(__xludf.DUMMYFUNCTION("""COMPUTED_VALUE"""),9780496)</f>
        <v>9780496</v>
      </c>
      <c r="AQ469" s="4">
        <f ca="1">IFERROR(__xludf.DUMMYFUNCTION("""COMPUTED_VALUE"""),42804.6666666666)</f>
        <v>42804.666666666599</v>
      </c>
      <c r="AR469" s="3">
        <f ca="1">IFERROR(__xludf.DUMMYFUNCTION("""COMPUTED_VALUE"""),52.15)</f>
        <v>52.15</v>
      </c>
      <c r="AS469" s="3">
        <f ca="1">IFERROR(__xludf.DUMMYFUNCTION("""COMPUTED_VALUE"""),52.28)</f>
        <v>52.28</v>
      </c>
      <c r="AT469" s="3">
        <f ca="1">IFERROR(__xludf.DUMMYFUNCTION("""COMPUTED_VALUE"""),51.87)</f>
        <v>51.87</v>
      </c>
      <c r="AU469" s="3">
        <f ca="1">IFERROR(__xludf.DUMMYFUNCTION("""COMPUTED_VALUE"""),52.11)</f>
        <v>52.11</v>
      </c>
      <c r="AV469" s="3">
        <f ca="1">IFERROR(__xludf.DUMMYFUNCTION("""COMPUTED_VALUE"""),4769091)</f>
        <v>4769091</v>
      </c>
      <c r="AW469" s="4">
        <f ca="1">IFERROR(__xludf.DUMMYFUNCTION("""COMPUTED_VALUE"""),42969.6666666666)</f>
        <v>42969.666666666599</v>
      </c>
      <c r="AX469" s="3">
        <f ca="1">IFERROR(__xludf.DUMMYFUNCTION("""COMPUTED_VALUE"""),32.45)</f>
        <v>32.450000000000003</v>
      </c>
      <c r="AY469" s="3">
        <f ca="1">IFERROR(__xludf.DUMMYFUNCTION("""COMPUTED_VALUE"""),32.52)</f>
        <v>32.520000000000003</v>
      </c>
      <c r="AZ469" s="3">
        <f ca="1">IFERROR(__xludf.DUMMYFUNCTION("""COMPUTED_VALUE"""),32.24)</f>
        <v>32.24</v>
      </c>
      <c r="BA469" s="3">
        <f ca="1">IFERROR(__xludf.DUMMYFUNCTION("""COMPUTED_VALUE"""),32.37)</f>
        <v>32.369999999999997</v>
      </c>
      <c r="BB469" s="3">
        <f ca="1">IFERROR(__xludf.DUMMYFUNCTION("""COMPUTED_VALUE"""),1150211)</f>
        <v>1150211</v>
      </c>
      <c r="BC469" s="4">
        <f ca="1">IFERROR(__xludf.DUMMYFUNCTION("""COMPUTED_VALUE"""),42804.6666666666)</f>
        <v>42804.666666666599</v>
      </c>
      <c r="BD469" s="3">
        <f ca="1">IFERROR(__xludf.DUMMYFUNCTION("""COMPUTED_VALUE"""),53.08)</f>
        <v>53.08</v>
      </c>
      <c r="BE469" s="3">
        <f ca="1">IFERROR(__xludf.DUMMYFUNCTION("""COMPUTED_VALUE"""),53.22)</f>
        <v>53.22</v>
      </c>
      <c r="BF469" s="3">
        <f ca="1">IFERROR(__xludf.DUMMYFUNCTION("""COMPUTED_VALUE"""),52.89)</f>
        <v>52.89</v>
      </c>
      <c r="BG469" s="3">
        <f ca="1">IFERROR(__xludf.DUMMYFUNCTION("""COMPUTED_VALUE"""),53.11)</f>
        <v>53.11</v>
      </c>
      <c r="BH469" s="3">
        <f ca="1">IFERROR(__xludf.DUMMYFUNCTION("""COMPUTED_VALUE"""),7354788)</f>
        <v>7354788</v>
      </c>
      <c r="BI469" s="4">
        <f ca="1">IFERROR(__xludf.DUMMYFUNCTION("""COMPUTED_VALUE"""),42804.6666666666)</f>
        <v>42804.666666666599</v>
      </c>
      <c r="BJ469" s="3">
        <f ca="1">IFERROR(__xludf.DUMMYFUNCTION("""COMPUTED_VALUE"""),50.81)</f>
        <v>50.81</v>
      </c>
      <c r="BK469" s="3">
        <f ca="1">IFERROR(__xludf.DUMMYFUNCTION("""COMPUTED_VALUE"""),51.06)</f>
        <v>51.06</v>
      </c>
      <c r="BL469" s="3">
        <f ca="1">IFERROR(__xludf.DUMMYFUNCTION("""COMPUTED_VALUE"""),50.64)</f>
        <v>50.64</v>
      </c>
      <c r="BM469" s="3">
        <f ca="1">IFERROR(__xludf.DUMMYFUNCTION("""COMPUTED_VALUE"""),50.96)</f>
        <v>50.96</v>
      </c>
      <c r="BN469" s="3">
        <f ca="1">IFERROR(__xludf.DUMMYFUNCTION("""COMPUTED_VALUE"""),11491797)</f>
        <v>11491797</v>
      </c>
    </row>
    <row r="470" spans="7:66" ht="13" x14ac:dyDescent="0.15">
      <c r="G470" s="4">
        <f ca="1">IFERROR(__xludf.DUMMYFUNCTION("""COMPUTED_VALUE"""),42807.6666666666)</f>
        <v>42807.666666666599</v>
      </c>
      <c r="H470" s="3">
        <f ca="1">IFERROR(__xludf.DUMMYFUNCTION("""COMPUTED_VALUE"""),86.9)</f>
        <v>86.9</v>
      </c>
      <c r="I470" s="3">
        <f ca="1">IFERROR(__xludf.DUMMYFUNCTION("""COMPUTED_VALUE"""),87.11)</f>
        <v>87.11</v>
      </c>
      <c r="J470" s="3">
        <f ca="1">IFERROR(__xludf.DUMMYFUNCTION("""COMPUTED_VALUE"""),86.8)</f>
        <v>86.8</v>
      </c>
      <c r="K470" s="3">
        <f ca="1">IFERROR(__xludf.DUMMYFUNCTION("""COMPUTED_VALUE"""),87.08)</f>
        <v>87.08</v>
      </c>
      <c r="L470" s="3">
        <f ca="1">IFERROR(__xludf.DUMMYFUNCTION("""COMPUTED_VALUE"""),2491102)</f>
        <v>2491102</v>
      </c>
      <c r="M470" s="4">
        <f ca="1">IFERROR(__xludf.DUMMYFUNCTION("""COMPUTED_VALUE"""),42807.6666666666)</f>
        <v>42807.666666666599</v>
      </c>
      <c r="N470" s="3">
        <f ca="1">IFERROR(__xludf.DUMMYFUNCTION("""COMPUTED_VALUE"""),55)</f>
        <v>55</v>
      </c>
      <c r="O470" s="3">
        <f ca="1">IFERROR(__xludf.DUMMYFUNCTION("""COMPUTED_VALUE"""),55.16)</f>
        <v>55.16</v>
      </c>
      <c r="P470" s="3">
        <f ca="1">IFERROR(__xludf.DUMMYFUNCTION("""COMPUTED_VALUE"""),54.93)</f>
        <v>54.93</v>
      </c>
      <c r="Q470" s="3">
        <f ca="1">IFERROR(__xludf.DUMMYFUNCTION("""COMPUTED_VALUE"""),55.09)</f>
        <v>55.09</v>
      </c>
      <c r="R470" s="3">
        <f ca="1">IFERROR(__xludf.DUMMYFUNCTION("""COMPUTED_VALUE"""),10657995)</f>
        <v>10657995</v>
      </c>
      <c r="S470" s="4">
        <f ca="1">IFERROR(__xludf.DUMMYFUNCTION("""COMPUTED_VALUE"""),42807.6666666666)</f>
        <v>42807.666666666599</v>
      </c>
      <c r="T470" s="3">
        <f ca="1">IFERROR(__xludf.DUMMYFUNCTION("""COMPUTED_VALUE"""),69.94)</f>
        <v>69.94</v>
      </c>
      <c r="U470" s="3">
        <f ca="1">IFERROR(__xludf.DUMMYFUNCTION("""COMPUTED_VALUE"""),70.36)</f>
        <v>70.36</v>
      </c>
      <c r="V470" s="3">
        <f ca="1">IFERROR(__xludf.DUMMYFUNCTION("""COMPUTED_VALUE"""),69.78)</f>
        <v>69.78</v>
      </c>
      <c r="W470" s="3">
        <f ca="1">IFERROR(__xludf.DUMMYFUNCTION("""COMPUTED_VALUE"""),70.02)</f>
        <v>70.02</v>
      </c>
      <c r="X470" s="3">
        <f ca="1">IFERROR(__xludf.DUMMYFUNCTION("""COMPUTED_VALUE"""),13078803)</f>
        <v>13078803</v>
      </c>
      <c r="Y470" s="4">
        <f ca="1">IFERROR(__xludf.DUMMYFUNCTION("""COMPUTED_VALUE"""),42807.6666666666)</f>
        <v>42807.666666666599</v>
      </c>
      <c r="Z470" s="3">
        <f ca="1">IFERROR(__xludf.DUMMYFUNCTION("""COMPUTED_VALUE"""),24.82)</f>
        <v>24.82</v>
      </c>
      <c r="AA470" s="3">
        <f ca="1">IFERROR(__xludf.DUMMYFUNCTION("""COMPUTED_VALUE"""),24.88)</f>
        <v>24.88</v>
      </c>
      <c r="AB470" s="3">
        <f ca="1">IFERROR(__xludf.DUMMYFUNCTION("""COMPUTED_VALUE"""),24.7)</f>
        <v>24.7</v>
      </c>
      <c r="AC470" s="3">
        <f ca="1">IFERROR(__xludf.DUMMYFUNCTION("""COMPUTED_VALUE"""),24.85)</f>
        <v>24.85</v>
      </c>
      <c r="AD470" s="3">
        <f ca="1">IFERROR(__xludf.DUMMYFUNCTION("""COMPUTED_VALUE"""),49418405)</f>
        <v>49418405</v>
      </c>
      <c r="AE470" s="4">
        <f ca="1">IFERROR(__xludf.DUMMYFUNCTION("""COMPUTED_VALUE"""),42807.6666666666)</f>
        <v>42807.666666666599</v>
      </c>
      <c r="AF470" s="3">
        <f ca="1">IFERROR(__xludf.DUMMYFUNCTION("""COMPUTED_VALUE"""),76.05)</f>
        <v>76.05</v>
      </c>
      <c r="AG470" s="3">
        <f ca="1">IFERROR(__xludf.DUMMYFUNCTION("""COMPUTED_VALUE"""),76.05)</f>
        <v>76.05</v>
      </c>
      <c r="AH470" s="3">
        <f ca="1">IFERROR(__xludf.DUMMYFUNCTION("""COMPUTED_VALUE"""),75.62)</f>
        <v>75.62</v>
      </c>
      <c r="AI470" s="3">
        <f ca="1">IFERROR(__xludf.DUMMYFUNCTION("""COMPUTED_VALUE"""),75.92)</f>
        <v>75.92</v>
      </c>
      <c r="AJ470" s="3">
        <f ca="1">IFERROR(__xludf.DUMMYFUNCTION("""COMPUTED_VALUE"""),6898546)</f>
        <v>6898546</v>
      </c>
      <c r="AK470" s="4">
        <f ca="1">IFERROR(__xludf.DUMMYFUNCTION("""COMPUTED_VALUE"""),42807.6666666666)</f>
        <v>42807.666666666599</v>
      </c>
      <c r="AL470" s="3">
        <f ca="1">IFERROR(__xludf.DUMMYFUNCTION("""COMPUTED_VALUE"""),65.77)</f>
        <v>65.77</v>
      </c>
      <c r="AM470" s="3">
        <f ca="1">IFERROR(__xludf.DUMMYFUNCTION("""COMPUTED_VALUE"""),65.93)</f>
        <v>65.930000000000007</v>
      </c>
      <c r="AN470" s="3">
        <f ca="1">IFERROR(__xludf.DUMMYFUNCTION("""COMPUTED_VALUE"""),65.61)</f>
        <v>65.61</v>
      </c>
      <c r="AO470" s="3">
        <f ca="1">IFERROR(__xludf.DUMMYFUNCTION("""COMPUTED_VALUE"""),65.8)</f>
        <v>65.8</v>
      </c>
      <c r="AP470" s="3">
        <f ca="1">IFERROR(__xludf.DUMMYFUNCTION("""COMPUTED_VALUE"""),11620274)</f>
        <v>11620274</v>
      </c>
      <c r="AQ470" s="4">
        <f ca="1">IFERROR(__xludf.DUMMYFUNCTION("""COMPUTED_VALUE"""),42807.6666666666)</f>
        <v>42807.666666666599</v>
      </c>
      <c r="AR470" s="3">
        <f ca="1">IFERROR(__xludf.DUMMYFUNCTION("""COMPUTED_VALUE"""),52.17)</f>
        <v>52.17</v>
      </c>
      <c r="AS470" s="3">
        <f ca="1">IFERROR(__xludf.DUMMYFUNCTION("""COMPUTED_VALUE"""),52.27)</f>
        <v>52.27</v>
      </c>
      <c r="AT470" s="3">
        <f ca="1">IFERROR(__xludf.DUMMYFUNCTION("""COMPUTED_VALUE"""),52.03)</f>
        <v>52.03</v>
      </c>
      <c r="AU470" s="3">
        <f ca="1">IFERROR(__xludf.DUMMYFUNCTION("""COMPUTED_VALUE"""),52.26)</f>
        <v>52.26</v>
      </c>
      <c r="AV470" s="3">
        <f ca="1">IFERROR(__xludf.DUMMYFUNCTION("""COMPUTED_VALUE"""),3535187)</f>
        <v>3535187</v>
      </c>
      <c r="AW470" s="4">
        <f ca="1">IFERROR(__xludf.DUMMYFUNCTION("""COMPUTED_VALUE"""),42970.6666666666)</f>
        <v>42970.666666666599</v>
      </c>
      <c r="AX470" s="3">
        <f ca="1">IFERROR(__xludf.DUMMYFUNCTION("""COMPUTED_VALUE"""),32.34)</f>
        <v>32.340000000000003</v>
      </c>
      <c r="AY470" s="3">
        <f ca="1">IFERROR(__xludf.DUMMYFUNCTION("""COMPUTED_VALUE"""),32.75)</f>
        <v>32.75</v>
      </c>
      <c r="AZ470" s="3">
        <f ca="1">IFERROR(__xludf.DUMMYFUNCTION("""COMPUTED_VALUE"""),32.31)</f>
        <v>32.31</v>
      </c>
      <c r="BA470" s="3">
        <f ca="1">IFERROR(__xludf.DUMMYFUNCTION("""COMPUTED_VALUE"""),32.7)</f>
        <v>32.700000000000003</v>
      </c>
      <c r="BB470" s="3">
        <f ca="1">IFERROR(__xludf.DUMMYFUNCTION("""COMPUTED_VALUE"""),973953)</f>
        <v>973953</v>
      </c>
      <c r="BC470" s="4">
        <f ca="1">IFERROR(__xludf.DUMMYFUNCTION("""COMPUTED_VALUE"""),42807.6666666666)</f>
        <v>42807.666666666599</v>
      </c>
      <c r="BD470" s="3">
        <f ca="1">IFERROR(__xludf.DUMMYFUNCTION("""COMPUTED_VALUE"""),53.11)</f>
        <v>53.11</v>
      </c>
      <c r="BE470" s="3">
        <f ca="1">IFERROR(__xludf.DUMMYFUNCTION("""COMPUTED_VALUE"""),53.22)</f>
        <v>53.22</v>
      </c>
      <c r="BF470" s="3">
        <f ca="1">IFERROR(__xludf.DUMMYFUNCTION("""COMPUTED_VALUE"""),53.06)</f>
        <v>53.06</v>
      </c>
      <c r="BG470" s="3">
        <f ca="1">IFERROR(__xludf.DUMMYFUNCTION("""COMPUTED_VALUE"""),53.16)</f>
        <v>53.16</v>
      </c>
      <c r="BH470" s="3">
        <f ca="1">IFERROR(__xludf.DUMMYFUNCTION("""COMPUTED_VALUE"""),7461245)</f>
        <v>7461245</v>
      </c>
      <c r="BI470" s="4">
        <f ca="1">IFERROR(__xludf.DUMMYFUNCTION("""COMPUTED_VALUE"""),42807.6666666666)</f>
        <v>42807.666666666599</v>
      </c>
      <c r="BJ470" s="3">
        <f ca="1">IFERROR(__xludf.DUMMYFUNCTION("""COMPUTED_VALUE"""),50.92)</f>
        <v>50.92</v>
      </c>
      <c r="BK470" s="3">
        <f ca="1">IFERROR(__xludf.DUMMYFUNCTION("""COMPUTED_VALUE"""),51.14)</f>
        <v>51.14</v>
      </c>
      <c r="BL470" s="3">
        <f ca="1">IFERROR(__xludf.DUMMYFUNCTION("""COMPUTED_VALUE"""),50.86)</f>
        <v>50.86</v>
      </c>
      <c r="BM470" s="3">
        <f ca="1">IFERROR(__xludf.DUMMYFUNCTION("""COMPUTED_VALUE"""),51.11)</f>
        <v>51.11</v>
      </c>
      <c r="BN470" s="3">
        <f ca="1">IFERROR(__xludf.DUMMYFUNCTION("""COMPUTED_VALUE"""),14057982)</f>
        <v>14057982</v>
      </c>
    </row>
    <row r="471" spans="7:66" ht="13" x14ac:dyDescent="0.15">
      <c r="G471" s="4">
        <f ca="1">IFERROR(__xludf.DUMMYFUNCTION("""COMPUTED_VALUE"""),42808.6666666666)</f>
        <v>42808.666666666599</v>
      </c>
      <c r="H471" s="3">
        <f ca="1">IFERROR(__xludf.DUMMYFUNCTION("""COMPUTED_VALUE"""),86.99)</f>
        <v>86.99</v>
      </c>
      <c r="I471" s="3">
        <f ca="1">IFERROR(__xludf.DUMMYFUNCTION("""COMPUTED_VALUE"""),87.2)</f>
        <v>87.2</v>
      </c>
      <c r="J471" s="3">
        <f ca="1">IFERROR(__xludf.DUMMYFUNCTION("""COMPUTED_VALUE"""),86.77)</f>
        <v>86.77</v>
      </c>
      <c r="K471" s="3">
        <f ca="1">IFERROR(__xludf.DUMMYFUNCTION("""COMPUTED_VALUE"""),87.06)</f>
        <v>87.06</v>
      </c>
      <c r="L471" s="3">
        <f ca="1">IFERROR(__xludf.DUMMYFUNCTION("""COMPUTED_VALUE"""),3892828)</f>
        <v>3892828</v>
      </c>
      <c r="M471" s="4">
        <f ca="1">IFERROR(__xludf.DUMMYFUNCTION("""COMPUTED_VALUE"""),42808.6666666666)</f>
        <v>42808.666666666599</v>
      </c>
      <c r="N471" s="3">
        <f ca="1">IFERROR(__xludf.DUMMYFUNCTION("""COMPUTED_VALUE"""),55.02)</f>
        <v>55.02</v>
      </c>
      <c r="O471" s="3">
        <f ca="1">IFERROR(__xludf.DUMMYFUNCTION("""COMPUTED_VALUE"""),55.14)</f>
        <v>55.14</v>
      </c>
      <c r="P471" s="3">
        <f ca="1">IFERROR(__xludf.DUMMYFUNCTION("""COMPUTED_VALUE"""),54.9)</f>
        <v>54.9</v>
      </c>
      <c r="Q471" s="3">
        <f ca="1">IFERROR(__xludf.DUMMYFUNCTION("""COMPUTED_VALUE"""),54.93)</f>
        <v>54.93</v>
      </c>
      <c r="R471" s="3">
        <f ca="1">IFERROR(__xludf.DUMMYFUNCTION("""COMPUTED_VALUE"""),7890811)</f>
        <v>7890811</v>
      </c>
      <c r="S471" s="4">
        <f ca="1">IFERROR(__xludf.DUMMYFUNCTION("""COMPUTED_VALUE"""),42808.6666666666)</f>
        <v>42808.666666666599</v>
      </c>
      <c r="T471" s="3">
        <f ca="1">IFERROR(__xludf.DUMMYFUNCTION("""COMPUTED_VALUE"""),69.48)</f>
        <v>69.48</v>
      </c>
      <c r="U471" s="3">
        <f ca="1">IFERROR(__xludf.DUMMYFUNCTION("""COMPUTED_VALUE"""),69.49)</f>
        <v>69.489999999999995</v>
      </c>
      <c r="V471" s="3">
        <f ca="1">IFERROR(__xludf.DUMMYFUNCTION("""COMPUTED_VALUE"""),68.62)</f>
        <v>68.62</v>
      </c>
      <c r="W471" s="3">
        <f ca="1">IFERROR(__xludf.DUMMYFUNCTION("""COMPUTED_VALUE"""),69.23)</f>
        <v>69.23</v>
      </c>
      <c r="X471" s="3">
        <f ca="1">IFERROR(__xludf.DUMMYFUNCTION("""COMPUTED_VALUE"""),26384761)</f>
        <v>26384761</v>
      </c>
      <c r="Y471" s="4">
        <f ca="1">IFERROR(__xludf.DUMMYFUNCTION("""COMPUTED_VALUE"""),42808.6666666666)</f>
        <v>42808.666666666599</v>
      </c>
      <c r="Z471" s="3">
        <f ca="1">IFERROR(__xludf.DUMMYFUNCTION("""COMPUTED_VALUE"""),24.75)</f>
        <v>24.75</v>
      </c>
      <c r="AA471" s="3">
        <f ca="1">IFERROR(__xludf.DUMMYFUNCTION("""COMPUTED_VALUE"""),24.8)</f>
        <v>24.8</v>
      </c>
      <c r="AB471" s="3">
        <f ca="1">IFERROR(__xludf.DUMMYFUNCTION("""COMPUTED_VALUE"""),24.6)</f>
        <v>24.6</v>
      </c>
      <c r="AC471" s="3">
        <f ca="1">IFERROR(__xludf.DUMMYFUNCTION("""COMPUTED_VALUE"""),24.78)</f>
        <v>24.78</v>
      </c>
      <c r="AD471" s="3">
        <f ca="1">IFERROR(__xludf.DUMMYFUNCTION("""COMPUTED_VALUE"""),49511126)</f>
        <v>49511126</v>
      </c>
      <c r="AE471" s="4">
        <f ca="1">IFERROR(__xludf.DUMMYFUNCTION("""COMPUTED_VALUE"""),42808.6666666666)</f>
        <v>42808.666666666599</v>
      </c>
      <c r="AF471" s="3">
        <f ca="1">IFERROR(__xludf.DUMMYFUNCTION("""COMPUTED_VALUE"""),75.71)</f>
        <v>75.709999999999994</v>
      </c>
      <c r="AG471" s="3">
        <f ca="1">IFERROR(__xludf.DUMMYFUNCTION("""COMPUTED_VALUE"""),75.96)</f>
        <v>75.959999999999994</v>
      </c>
      <c r="AH471" s="3">
        <f ca="1">IFERROR(__xludf.DUMMYFUNCTION("""COMPUTED_VALUE"""),75.56)</f>
        <v>75.56</v>
      </c>
      <c r="AI471" s="3">
        <f ca="1">IFERROR(__xludf.DUMMYFUNCTION("""COMPUTED_VALUE"""),75.64)</f>
        <v>75.64</v>
      </c>
      <c r="AJ471" s="3">
        <f ca="1">IFERROR(__xludf.DUMMYFUNCTION("""COMPUTED_VALUE"""),7296332)</f>
        <v>7296332</v>
      </c>
      <c r="AK471" s="4">
        <f ca="1">IFERROR(__xludf.DUMMYFUNCTION("""COMPUTED_VALUE"""),42808.6666666666)</f>
        <v>42808.666666666599</v>
      </c>
      <c r="AL471" s="3">
        <f ca="1">IFERROR(__xludf.DUMMYFUNCTION("""COMPUTED_VALUE"""),65.58)</f>
        <v>65.58</v>
      </c>
      <c r="AM471" s="3">
        <f ca="1">IFERROR(__xludf.DUMMYFUNCTION("""COMPUTED_VALUE"""),65.66)</f>
        <v>65.66</v>
      </c>
      <c r="AN471" s="3">
        <f ca="1">IFERROR(__xludf.DUMMYFUNCTION("""COMPUTED_VALUE"""),65.05)</f>
        <v>65.05</v>
      </c>
      <c r="AO471" s="3">
        <f ca="1">IFERROR(__xludf.DUMMYFUNCTION("""COMPUTED_VALUE"""),65.18)</f>
        <v>65.180000000000007</v>
      </c>
      <c r="AP471" s="3">
        <f ca="1">IFERROR(__xludf.DUMMYFUNCTION("""COMPUTED_VALUE"""),10810671)</f>
        <v>10810671</v>
      </c>
      <c r="AQ471" s="4">
        <f ca="1">IFERROR(__xludf.DUMMYFUNCTION("""COMPUTED_VALUE"""),42808.6666666666)</f>
        <v>42808.666666666599</v>
      </c>
      <c r="AR471" s="3">
        <f ca="1">IFERROR(__xludf.DUMMYFUNCTION("""COMPUTED_VALUE"""),52.05)</f>
        <v>52.05</v>
      </c>
      <c r="AS471" s="3">
        <f ca="1">IFERROR(__xludf.DUMMYFUNCTION("""COMPUTED_VALUE"""),52.09)</f>
        <v>52.09</v>
      </c>
      <c r="AT471" s="3">
        <f ca="1">IFERROR(__xludf.DUMMYFUNCTION("""COMPUTED_VALUE"""),51.75)</f>
        <v>51.75</v>
      </c>
      <c r="AU471" s="3">
        <f ca="1">IFERROR(__xludf.DUMMYFUNCTION("""COMPUTED_VALUE"""),51.81)</f>
        <v>51.81</v>
      </c>
      <c r="AV471" s="3">
        <f ca="1">IFERROR(__xludf.DUMMYFUNCTION("""COMPUTED_VALUE"""),5656510)</f>
        <v>5656510</v>
      </c>
      <c r="AW471" s="4">
        <f ca="1">IFERROR(__xludf.DUMMYFUNCTION("""COMPUTED_VALUE"""),42971.6666666666)</f>
        <v>42971.666666666599</v>
      </c>
      <c r="AX471" s="3">
        <f ca="1">IFERROR(__xludf.DUMMYFUNCTION("""COMPUTED_VALUE"""),32.75)</f>
        <v>32.75</v>
      </c>
      <c r="AY471" s="3">
        <f ca="1">IFERROR(__xludf.DUMMYFUNCTION("""COMPUTED_VALUE"""),32.93)</f>
        <v>32.93</v>
      </c>
      <c r="AZ471" s="3">
        <f ca="1">IFERROR(__xludf.DUMMYFUNCTION("""COMPUTED_VALUE"""),32.63)</f>
        <v>32.630000000000003</v>
      </c>
      <c r="BA471" s="3">
        <f ca="1">IFERROR(__xludf.DUMMYFUNCTION("""COMPUTED_VALUE"""),32.64)</f>
        <v>32.64</v>
      </c>
      <c r="BB471" s="3">
        <f ca="1">IFERROR(__xludf.DUMMYFUNCTION("""COMPUTED_VALUE"""),1595108)</f>
        <v>1595108</v>
      </c>
      <c r="BC471" s="4">
        <f ca="1">IFERROR(__xludf.DUMMYFUNCTION("""COMPUTED_VALUE"""),42808.6666666666)</f>
        <v>42808.666666666599</v>
      </c>
      <c r="BD471" s="3">
        <f ca="1">IFERROR(__xludf.DUMMYFUNCTION("""COMPUTED_VALUE"""),53.12)</f>
        <v>53.12</v>
      </c>
      <c r="BE471" s="3">
        <f ca="1">IFERROR(__xludf.DUMMYFUNCTION("""COMPUTED_VALUE"""),53.12)</f>
        <v>53.12</v>
      </c>
      <c r="BF471" s="3">
        <f ca="1">IFERROR(__xludf.DUMMYFUNCTION("""COMPUTED_VALUE"""),52.84)</f>
        <v>52.84</v>
      </c>
      <c r="BG471" s="3">
        <f ca="1">IFERROR(__xludf.DUMMYFUNCTION("""COMPUTED_VALUE"""),53.04)</f>
        <v>53.04</v>
      </c>
      <c r="BH471" s="3">
        <f ca="1">IFERROR(__xludf.DUMMYFUNCTION("""COMPUTED_VALUE"""),7239872)</f>
        <v>7239872</v>
      </c>
      <c r="BI471" s="4">
        <f ca="1">IFERROR(__xludf.DUMMYFUNCTION("""COMPUTED_VALUE"""),42808.6666666666)</f>
        <v>42808.666666666599</v>
      </c>
      <c r="BJ471" s="3">
        <f ca="1">IFERROR(__xludf.DUMMYFUNCTION("""COMPUTED_VALUE"""),51.05)</f>
        <v>51.05</v>
      </c>
      <c r="BK471" s="3">
        <f ca="1">IFERROR(__xludf.DUMMYFUNCTION("""COMPUTED_VALUE"""),51.2)</f>
        <v>51.2</v>
      </c>
      <c r="BL471" s="3">
        <f ca="1">IFERROR(__xludf.DUMMYFUNCTION("""COMPUTED_VALUE"""),50.89)</f>
        <v>50.89</v>
      </c>
      <c r="BM471" s="3">
        <f ca="1">IFERROR(__xludf.DUMMYFUNCTION("""COMPUTED_VALUE"""),51.06)</f>
        <v>51.06</v>
      </c>
      <c r="BN471" s="3">
        <f ca="1">IFERROR(__xludf.DUMMYFUNCTION("""COMPUTED_VALUE"""),11670519)</f>
        <v>11670519</v>
      </c>
    </row>
    <row r="472" spans="7:66" ht="13" x14ac:dyDescent="0.15">
      <c r="G472" s="4">
        <f ca="1">IFERROR(__xludf.DUMMYFUNCTION("""COMPUTED_VALUE"""),42809.6666666666)</f>
        <v>42809.666666666599</v>
      </c>
      <c r="H472" s="3">
        <f ca="1">IFERROR(__xludf.DUMMYFUNCTION("""COMPUTED_VALUE"""),87.23)</f>
        <v>87.23</v>
      </c>
      <c r="I472" s="3">
        <f ca="1">IFERROR(__xludf.DUMMYFUNCTION("""COMPUTED_VALUE"""),87.69)</f>
        <v>87.69</v>
      </c>
      <c r="J472" s="3">
        <f ca="1">IFERROR(__xludf.DUMMYFUNCTION("""COMPUTED_VALUE"""),86.95)</f>
        <v>86.95</v>
      </c>
      <c r="K472" s="3">
        <f ca="1">IFERROR(__xludf.DUMMYFUNCTION("""COMPUTED_VALUE"""),87.52)</f>
        <v>87.52</v>
      </c>
      <c r="L472" s="3">
        <f ca="1">IFERROR(__xludf.DUMMYFUNCTION("""COMPUTED_VALUE"""),3736900)</f>
        <v>3736900</v>
      </c>
      <c r="M472" s="4">
        <f ca="1">IFERROR(__xludf.DUMMYFUNCTION("""COMPUTED_VALUE"""),42809.6666666666)</f>
        <v>42809.666666666599</v>
      </c>
      <c r="N472" s="3">
        <f ca="1">IFERROR(__xludf.DUMMYFUNCTION("""COMPUTED_VALUE"""),55)</f>
        <v>55</v>
      </c>
      <c r="O472" s="3">
        <f ca="1">IFERROR(__xludf.DUMMYFUNCTION("""COMPUTED_VALUE"""),55.5)</f>
        <v>55.5</v>
      </c>
      <c r="P472" s="3">
        <f ca="1">IFERROR(__xludf.DUMMYFUNCTION("""COMPUTED_VALUE"""),55)</f>
        <v>55</v>
      </c>
      <c r="Q472" s="3">
        <f ca="1">IFERROR(__xludf.DUMMYFUNCTION("""COMPUTED_VALUE"""),55.34)</f>
        <v>55.34</v>
      </c>
      <c r="R472" s="3">
        <f ca="1">IFERROR(__xludf.DUMMYFUNCTION("""COMPUTED_VALUE"""),14102871)</f>
        <v>14102871</v>
      </c>
      <c r="S472" s="4">
        <f ca="1">IFERROR(__xludf.DUMMYFUNCTION("""COMPUTED_VALUE"""),42809.6666666666)</f>
        <v>42809.666666666599</v>
      </c>
      <c r="T472" s="3">
        <f ca="1">IFERROR(__xludf.DUMMYFUNCTION("""COMPUTED_VALUE"""),69.82)</f>
        <v>69.819999999999993</v>
      </c>
      <c r="U472" s="3">
        <f ca="1">IFERROR(__xludf.DUMMYFUNCTION("""COMPUTED_VALUE"""),70.93)</f>
        <v>70.930000000000007</v>
      </c>
      <c r="V472" s="3">
        <f ca="1">IFERROR(__xludf.DUMMYFUNCTION("""COMPUTED_VALUE"""),69.48)</f>
        <v>69.48</v>
      </c>
      <c r="W472" s="3">
        <f ca="1">IFERROR(__xludf.DUMMYFUNCTION("""COMPUTED_VALUE"""),70.77)</f>
        <v>70.77</v>
      </c>
      <c r="X472" s="3">
        <f ca="1">IFERROR(__xludf.DUMMYFUNCTION("""COMPUTED_VALUE"""),23205014)</f>
        <v>23205014</v>
      </c>
      <c r="Y472" s="4">
        <f ca="1">IFERROR(__xludf.DUMMYFUNCTION("""COMPUTED_VALUE"""),42809.6666666666)</f>
        <v>42809.666666666599</v>
      </c>
      <c r="Z472" s="3">
        <f ca="1">IFERROR(__xludf.DUMMYFUNCTION("""COMPUTED_VALUE"""),24.82)</f>
        <v>24.82</v>
      </c>
      <c r="AA472" s="3">
        <f ca="1">IFERROR(__xludf.DUMMYFUNCTION("""COMPUTED_VALUE"""),24.92)</f>
        <v>24.92</v>
      </c>
      <c r="AB472" s="3">
        <f ca="1">IFERROR(__xludf.DUMMYFUNCTION("""COMPUTED_VALUE"""),24.63)</f>
        <v>24.63</v>
      </c>
      <c r="AC472" s="3">
        <f ca="1">IFERROR(__xludf.DUMMYFUNCTION("""COMPUTED_VALUE"""),24.74)</f>
        <v>24.74</v>
      </c>
      <c r="AD472" s="3">
        <f ca="1">IFERROR(__xludf.DUMMYFUNCTION("""COMPUTED_VALUE"""),86455125)</f>
        <v>86455125</v>
      </c>
      <c r="AE472" s="4">
        <f ca="1">IFERROR(__xludf.DUMMYFUNCTION("""COMPUTED_VALUE"""),42809.6666666666)</f>
        <v>42809.666666666599</v>
      </c>
      <c r="AF472" s="3">
        <f ca="1">IFERROR(__xludf.DUMMYFUNCTION("""COMPUTED_VALUE"""),75.75)</f>
        <v>75.75</v>
      </c>
      <c r="AG472" s="3">
        <f ca="1">IFERROR(__xludf.DUMMYFUNCTION("""COMPUTED_VALUE"""),76.75)</f>
        <v>76.75</v>
      </c>
      <c r="AH472" s="3">
        <f ca="1">IFERROR(__xludf.DUMMYFUNCTION("""COMPUTED_VALUE"""),75.75)</f>
        <v>75.75</v>
      </c>
      <c r="AI472" s="3">
        <f ca="1">IFERROR(__xludf.DUMMYFUNCTION("""COMPUTED_VALUE"""),76.59)</f>
        <v>76.59</v>
      </c>
      <c r="AJ472" s="3">
        <f ca="1">IFERROR(__xludf.DUMMYFUNCTION("""COMPUTED_VALUE"""),11044878)</f>
        <v>11044878</v>
      </c>
      <c r="AK472" s="4">
        <f ca="1">IFERROR(__xludf.DUMMYFUNCTION("""COMPUTED_VALUE"""),42809.6666666666)</f>
        <v>42809.666666666599</v>
      </c>
      <c r="AL472" s="3">
        <f ca="1">IFERROR(__xludf.DUMMYFUNCTION("""COMPUTED_VALUE"""),65.33)</f>
        <v>65.33</v>
      </c>
      <c r="AM472" s="3">
        <f ca="1">IFERROR(__xludf.DUMMYFUNCTION("""COMPUTED_VALUE"""),66.14)</f>
        <v>66.14</v>
      </c>
      <c r="AN472" s="3">
        <f ca="1">IFERROR(__xludf.DUMMYFUNCTION("""COMPUTED_VALUE"""),65.25)</f>
        <v>65.25</v>
      </c>
      <c r="AO472" s="3">
        <f ca="1">IFERROR(__xludf.DUMMYFUNCTION("""COMPUTED_VALUE"""),65.92)</f>
        <v>65.92</v>
      </c>
      <c r="AP472" s="3">
        <f ca="1">IFERROR(__xludf.DUMMYFUNCTION("""COMPUTED_VALUE"""),14737224)</f>
        <v>14737224</v>
      </c>
      <c r="AQ472" s="4">
        <f ca="1">IFERROR(__xludf.DUMMYFUNCTION("""COMPUTED_VALUE"""),42809.6666666666)</f>
        <v>42809.666666666599</v>
      </c>
      <c r="AR472" s="3">
        <f ca="1">IFERROR(__xludf.DUMMYFUNCTION("""COMPUTED_VALUE"""),52.03)</f>
        <v>52.03</v>
      </c>
      <c r="AS472" s="3">
        <f ca="1">IFERROR(__xludf.DUMMYFUNCTION("""COMPUTED_VALUE"""),52.73)</f>
        <v>52.73</v>
      </c>
      <c r="AT472" s="3">
        <f ca="1">IFERROR(__xludf.DUMMYFUNCTION("""COMPUTED_VALUE"""),51.99)</f>
        <v>51.99</v>
      </c>
      <c r="AU472" s="3">
        <f ca="1">IFERROR(__xludf.DUMMYFUNCTION("""COMPUTED_VALUE"""),52.64)</f>
        <v>52.64</v>
      </c>
      <c r="AV472" s="3">
        <f ca="1">IFERROR(__xludf.DUMMYFUNCTION("""COMPUTED_VALUE"""),5699045)</f>
        <v>5699045</v>
      </c>
      <c r="AW472" s="4">
        <f ca="1">IFERROR(__xludf.DUMMYFUNCTION("""COMPUTED_VALUE"""),42972.6666666666)</f>
        <v>42972.666666666599</v>
      </c>
      <c r="AX472" s="3">
        <f ca="1">IFERROR(__xludf.DUMMYFUNCTION("""COMPUTED_VALUE"""),32.76)</f>
        <v>32.76</v>
      </c>
      <c r="AY472" s="3">
        <f ca="1">IFERROR(__xludf.DUMMYFUNCTION("""COMPUTED_VALUE"""),32.91)</f>
        <v>32.909999999999997</v>
      </c>
      <c r="AZ472" s="3">
        <f ca="1">IFERROR(__xludf.DUMMYFUNCTION("""COMPUTED_VALUE"""),32.65)</f>
        <v>32.65</v>
      </c>
      <c r="BA472" s="3">
        <f ca="1">IFERROR(__xludf.DUMMYFUNCTION("""COMPUTED_VALUE"""),32.8)</f>
        <v>32.799999999999997</v>
      </c>
      <c r="BB472" s="3">
        <f ca="1">IFERROR(__xludf.DUMMYFUNCTION("""COMPUTED_VALUE"""),1063585)</f>
        <v>1063585</v>
      </c>
      <c r="BC472" s="4">
        <f ca="1">IFERROR(__xludf.DUMMYFUNCTION("""COMPUTED_VALUE"""),42809.6666666666)</f>
        <v>42809.666666666599</v>
      </c>
      <c r="BD472" s="3">
        <f ca="1">IFERROR(__xludf.DUMMYFUNCTION("""COMPUTED_VALUE"""),53.12)</f>
        <v>53.12</v>
      </c>
      <c r="BE472" s="3">
        <f ca="1">IFERROR(__xludf.DUMMYFUNCTION("""COMPUTED_VALUE"""),53.49)</f>
        <v>53.49</v>
      </c>
      <c r="BF472" s="3">
        <f ca="1">IFERROR(__xludf.DUMMYFUNCTION("""COMPUTED_VALUE"""),52.96)</f>
        <v>52.96</v>
      </c>
      <c r="BG472" s="3">
        <f ca="1">IFERROR(__xludf.DUMMYFUNCTION("""COMPUTED_VALUE"""),53.4)</f>
        <v>53.4</v>
      </c>
      <c r="BH472" s="3">
        <f ca="1">IFERROR(__xludf.DUMMYFUNCTION("""COMPUTED_VALUE"""),8933564)</f>
        <v>8933564</v>
      </c>
      <c r="BI472" s="4">
        <f ca="1">IFERROR(__xludf.DUMMYFUNCTION("""COMPUTED_VALUE"""),42809.6666666666)</f>
        <v>42809.666666666599</v>
      </c>
      <c r="BJ472" s="3">
        <f ca="1">IFERROR(__xludf.DUMMYFUNCTION("""COMPUTED_VALUE"""),51.24)</f>
        <v>51.24</v>
      </c>
      <c r="BK472" s="3">
        <f ca="1">IFERROR(__xludf.DUMMYFUNCTION("""COMPUTED_VALUE"""),52.14)</f>
        <v>52.14</v>
      </c>
      <c r="BL472" s="3">
        <f ca="1">IFERROR(__xludf.DUMMYFUNCTION("""COMPUTED_VALUE"""),51.14)</f>
        <v>51.14</v>
      </c>
      <c r="BM472" s="3">
        <f ca="1">IFERROR(__xludf.DUMMYFUNCTION("""COMPUTED_VALUE"""),51.88)</f>
        <v>51.88</v>
      </c>
      <c r="BN472" s="3">
        <f ca="1">IFERROR(__xludf.DUMMYFUNCTION("""COMPUTED_VALUE"""),22619164)</f>
        <v>22619164</v>
      </c>
    </row>
    <row r="473" spans="7:66" ht="13" x14ac:dyDescent="0.15">
      <c r="G473" s="4">
        <f ca="1">IFERROR(__xludf.DUMMYFUNCTION("""COMPUTED_VALUE"""),42810.6666666666)</f>
        <v>42810.666666666599</v>
      </c>
      <c r="H473" s="3">
        <f ca="1">IFERROR(__xludf.DUMMYFUNCTION("""COMPUTED_VALUE"""),87.58)</f>
        <v>87.58</v>
      </c>
      <c r="I473" s="3">
        <f ca="1">IFERROR(__xludf.DUMMYFUNCTION("""COMPUTED_VALUE"""),87.75)</f>
        <v>87.75</v>
      </c>
      <c r="J473" s="3">
        <f ca="1">IFERROR(__xludf.DUMMYFUNCTION("""COMPUTED_VALUE"""),87.41)</f>
        <v>87.41</v>
      </c>
      <c r="K473" s="3">
        <f ca="1">IFERROR(__xludf.DUMMYFUNCTION("""COMPUTED_VALUE"""),87.51)</f>
        <v>87.51</v>
      </c>
      <c r="L473" s="3">
        <f ca="1">IFERROR(__xludf.DUMMYFUNCTION("""COMPUTED_VALUE"""),6264710)</f>
        <v>6264710</v>
      </c>
      <c r="M473" s="4">
        <f ca="1">IFERROR(__xludf.DUMMYFUNCTION("""COMPUTED_VALUE"""),42810.6666666666)</f>
        <v>42810.666666666599</v>
      </c>
      <c r="N473" s="3">
        <f ca="1">IFERROR(__xludf.DUMMYFUNCTION("""COMPUTED_VALUE"""),55.35)</f>
        <v>55.35</v>
      </c>
      <c r="O473" s="3">
        <f ca="1">IFERROR(__xludf.DUMMYFUNCTION("""COMPUTED_VALUE"""),55.42)</f>
        <v>55.42</v>
      </c>
      <c r="P473" s="3">
        <f ca="1">IFERROR(__xludf.DUMMYFUNCTION("""COMPUTED_VALUE"""),55.23)</f>
        <v>55.23</v>
      </c>
      <c r="Q473" s="3">
        <f ca="1">IFERROR(__xludf.DUMMYFUNCTION("""COMPUTED_VALUE"""),55.42)</f>
        <v>55.42</v>
      </c>
      <c r="R473" s="3">
        <f ca="1">IFERROR(__xludf.DUMMYFUNCTION("""COMPUTED_VALUE"""),8727176)</f>
        <v>8727176</v>
      </c>
      <c r="S473" s="4">
        <f ca="1">IFERROR(__xludf.DUMMYFUNCTION("""COMPUTED_VALUE"""),42810.6666666666)</f>
        <v>42810.666666666599</v>
      </c>
      <c r="T473" s="3">
        <f ca="1">IFERROR(__xludf.DUMMYFUNCTION("""COMPUTED_VALUE"""),70.92)</f>
        <v>70.92</v>
      </c>
      <c r="U473" s="3">
        <f ca="1">IFERROR(__xludf.DUMMYFUNCTION("""COMPUTED_VALUE"""),70.92)</f>
        <v>70.92</v>
      </c>
      <c r="V473" s="3">
        <f ca="1">IFERROR(__xludf.DUMMYFUNCTION("""COMPUTED_VALUE"""),70.07)</f>
        <v>70.069999999999993</v>
      </c>
      <c r="W473" s="3">
        <f ca="1">IFERROR(__xludf.DUMMYFUNCTION("""COMPUTED_VALUE"""),70.27)</f>
        <v>70.27</v>
      </c>
      <c r="X473" s="3">
        <f ca="1">IFERROR(__xludf.DUMMYFUNCTION("""COMPUTED_VALUE"""),16277545)</f>
        <v>16277545</v>
      </c>
      <c r="Y473" s="4">
        <f ca="1">IFERROR(__xludf.DUMMYFUNCTION("""COMPUTED_VALUE"""),42810.6666666666)</f>
        <v>42810.666666666599</v>
      </c>
      <c r="Z473" s="3">
        <f ca="1">IFERROR(__xludf.DUMMYFUNCTION("""COMPUTED_VALUE"""),24.84)</f>
        <v>24.84</v>
      </c>
      <c r="AA473" s="3">
        <f ca="1">IFERROR(__xludf.DUMMYFUNCTION("""COMPUTED_VALUE"""),24.97)</f>
        <v>24.97</v>
      </c>
      <c r="AB473" s="3">
        <f ca="1">IFERROR(__xludf.DUMMYFUNCTION("""COMPUTED_VALUE"""),24.77)</f>
        <v>24.77</v>
      </c>
      <c r="AC473" s="3">
        <f ca="1">IFERROR(__xludf.DUMMYFUNCTION("""COMPUTED_VALUE"""),24.78)</f>
        <v>24.78</v>
      </c>
      <c r="AD473" s="3">
        <f ca="1">IFERROR(__xludf.DUMMYFUNCTION("""COMPUTED_VALUE"""),89233679)</f>
        <v>89233679</v>
      </c>
      <c r="AE473" s="4">
        <f ca="1">IFERROR(__xludf.DUMMYFUNCTION("""COMPUTED_VALUE"""),42810.6666666666)</f>
        <v>42810.666666666599</v>
      </c>
      <c r="AF473" s="3">
        <f ca="1">IFERROR(__xludf.DUMMYFUNCTION("""COMPUTED_VALUE"""),76.4)</f>
        <v>76.400000000000006</v>
      </c>
      <c r="AG473" s="3">
        <f ca="1">IFERROR(__xludf.DUMMYFUNCTION("""COMPUTED_VALUE"""),76.4)</f>
        <v>76.400000000000006</v>
      </c>
      <c r="AH473" s="3">
        <f ca="1">IFERROR(__xludf.DUMMYFUNCTION("""COMPUTED_VALUE"""),75.56)</f>
        <v>75.56</v>
      </c>
      <c r="AI473" s="3">
        <f ca="1">IFERROR(__xludf.DUMMYFUNCTION("""COMPUTED_VALUE"""),75.85)</f>
        <v>75.849999999999994</v>
      </c>
      <c r="AJ473" s="3">
        <f ca="1">IFERROR(__xludf.DUMMYFUNCTION("""COMPUTED_VALUE"""),12129389)</f>
        <v>12129389</v>
      </c>
      <c r="AK473" s="4">
        <f ca="1">IFERROR(__xludf.DUMMYFUNCTION("""COMPUTED_VALUE"""),42810.6666666666)</f>
        <v>42810.666666666599</v>
      </c>
      <c r="AL473" s="3">
        <f ca="1">IFERROR(__xludf.DUMMYFUNCTION("""COMPUTED_VALUE"""),66.03)</f>
        <v>66.03</v>
      </c>
      <c r="AM473" s="3">
        <f ca="1">IFERROR(__xludf.DUMMYFUNCTION("""COMPUTED_VALUE"""),66.15)</f>
        <v>66.150000000000006</v>
      </c>
      <c r="AN473" s="3">
        <f ca="1">IFERROR(__xludf.DUMMYFUNCTION("""COMPUTED_VALUE"""),65.57)</f>
        <v>65.569999999999993</v>
      </c>
      <c r="AO473" s="3">
        <f ca="1">IFERROR(__xludf.DUMMYFUNCTION("""COMPUTED_VALUE"""),65.62)</f>
        <v>65.62</v>
      </c>
      <c r="AP473" s="3">
        <f ca="1">IFERROR(__xludf.DUMMYFUNCTION("""COMPUTED_VALUE"""),14152405)</f>
        <v>14152405</v>
      </c>
      <c r="AQ473" s="4">
        <f ca="1">IFERROR(__xludf.DUMMYFUNCTION("""COMPUTED_VALUE"""),42810.6666666666)</f>
        <v>42810.666666666599</v>
      </c>
      <c r="AR473" s="3">
        <f ca="1">IFERROR(__xludf.DUMMYFUNCTION("""COMPUTED_VALUE"""),52.76)</f>
        <v>52.76</v>
      </c>
      <c r="AS473" s="3">
        <f ca="1">IFERROR(__xludf.DUMMYFUNCTION("""COMPUTED_VALUE"""),52.83)</f>
        <v>52.83</v>
      </c>
      <c r="AT473" s="3">
        <f ca="1">IFERROR(__xludf.DUMMYFUNCTION("""COMPUTED_VALUE"""),52.2)</f>
        <v>52.2</v>
      </c>
      <c r="AU473" s="3">
        <f ca="1">IFERROR(__xludf.DUMMYFUNCTION("""COMPUTED_VALUE"""),52.28)</f>
        <v>52.28</v>
      </c>
      <c r="AV473" s="3">
        <f ca="1">IFERROR(__xludf.DUMMYFUNCTION("""COMPUTED_VALUE"""),6540079)</f>
        <v>6540079</v>
      </c>
      <c r="AW473" s="4">
        <f ca="1">IFERROR(__xludf.DUMMYFUNCTION("""COMPUTED_VALUE"""),42975.6666666666)</f>
        <v>42975.666666666599</v>
      </c>
      <c r="AX473" s="3">
        <f ca="1">IFERROR(__xludf.DUMMYFUNCTION("""COMPUTED_VALUE"""),32.84)</f>
        <v>32.840000000000003</v>
      </c>
      <c r="AY473" s="3">
        <f ca="1">IFERROR(__xludf.DUMMYFUNCTION("""COMPUTED_VALUE"""),32.86)</f>
        <v>32.86</v>
      </c>
      <c r="AZ473" s="3">
        <f ca="1">IFERROR(__xludf.DUMMYFUNCTION("""COMPUTED_VALUE"""),32.54)</f>
        <v>32.54</v>
      </c>
      <c r="BA473" s="3">
        <f ca="1">IFERROR(__xludf.DUMMYFUNCTION("""COMPUTED_VALUE"""),32.63)</f>
        <v>32.630000000000003</v>
      </c>
      <c r="BB473" s="3">
        <f ca="1">IFERROR(__xludf.DUMMYFUNCTION("""COMPUTED_VALUE"""),895262)</f>
        <v>895262</v>
      </c>
      <c r="BC473" s="4">
        <f ca="1">IFERROR(__xludf.DUMMYFUNCTION("""COMPUTED_VALUE"""),42810.6666666666)</f>
        <v>42810.666666666599</v>
      </c>
      <c r="BD473" s="3">
        <f ca="1">IFERROR(__xludf.DUMMYFUNCTION("""COMPUTED_VALUE"""),53.6)</f>
        <v>53.6</v>
      </c>
      <c r="BE473" s="3">
        <f ca="1">IFERROR(__xludf.DUMMYFUNCTION("""COMPUTED_VALUE"""),53.62)</f>
        <v>53.62</v>
      </c>
      <c r="BF473" s="3">
        <f ca="1">IFERROR(__xludf.DUMMYFUNCTION("""COMPUTED_VALUE"""),53.37)</f>
        <v>53.37</v>
      </c>
      <c r="BG473" s="3">
        <f ca="1">IFERROR(__xludf.DUMMYFUNCTION("""COMPUTED_VALUE"""),53.43)</f>
        <v>53.43</v>
      </c>
      <c r="BH473" s="3">
        <f ca="1">IFERROR(__xludf.DUMMYFUNCTION("""COMPUTED_VALUE"""),10977953)</f>
        <v>10977953</v>
      </c>
      <c r="BI473" s="4">
        <f ca="1">IFERROR(__xludf.DUMMYFUNCTION("""COMPUTED_VALUE"""),42810.6666666666)</f>
        <v>42810.666666666599</v>
      </c>
      <c r="BJ473" s="3">
        <f ca="1">IFERROR(__xludf.DUMMYFUNCTION("""COMPUTED_VALUE"""),51.78)</f>
        <v>51.78</v>
      </c>
      <c r="BK473" s="3">
        <f ca="1">IFERROR(__xludf.DUMMYFUNCTION("""COMPUTED_VALUE"""),51.78)</f>
        <v>51.78</v>
      </c>
      <c r="BL473" s="3">
        <f ca="1">IFERROR(__xludf.DUMMYFUNCTION("""COMPUTED_VALUE"""),51.21)</f>
        <v>51.21</v>
      </c>
      <c r="BM473" s="3">
        <f ca="1">IFERROR(__xludf.DUMMYFUNCTION("""COMPUTED_VALUE"""),51.31)</f>
        <v>51.31</v>
      </c>
      <c r="BN473" s="3">
        <f ca="1">IFERROR(__xludf.DUMMYFUNCTION("""COMPUTED_VALUE"""),18728354)</f>
        <v>18728354</v>
      </c>
    </row>
    <row r="474" spans="7:66" ht="13" x14ac:dyDescent="0.15">
      <c r="G474" s="4">
        <f ca="1">IFERROR(__xludf.DUMMYFUNCTION("""COMPUTED_VALUE"""),42811.6666666666)</f>
        <v>42811.666666666599</v>
      </c>
      <c r="H474" s="3">
        <f ca="1">IFERROR(__xludf.DUMMYFUNCTION("""COMPUTED_VALUE"""),87.35)</f>
        <v>87.35</v>
      </c>
      <c r="I474" s="3">
        <f ca="1">IFERROR(__xludf.DUMMYFUNCTION("""COMPUTED_VALUE"""),87.53)</f>
        <v>87.53</v>
      </c>
      <c r="J474" s="3">
        <f ca="1">IFERROR(__xludf.DUMMYFUNCTION("""COMPUTED_VALUE"""),87.1)</f>
        <v>87.1</v>
      </c>
      <c r="K474" s="3">
        <f ca="1">IFERROR(__xludf.DUMMYFUNCTION("""COMPUTED_VALUE"""),87.36)</f>
        <v>87.36</v>
      </c>
      <c r="L474" s="3">
        <f ca="1">IFERROR(__xludf.DUMMYFUNCTION("""COMPUTED_VALUE"""),4714252)</f>
        <v>4714252</v>
      </c>
      <c r="M474" s="4">
        <f ca="1">IFERROR(__xludf.DUMMYFUNCTION("""COMPUTED_VALUE"""),42811.6666666666)</f>
        <v>42811.666666666599</v>
      </c>
      <c r="N474" s="3">
        <f ca="1">IFERROR(__xludf.DUMMYFUNCTION("""COMPUTED_VALUE"""),55.17)</f>
        <v>55.17</v>
      </c>
      <c r="O474" s="3">
        <f ca="1">IFERROR(__xludf.DUMMYFUNCTION("""COMPUTED_VALUE"""),55.36)</f>
        <v>55.36</v>
      </c>
      <c r="P474" s="3">
        <f ca="1">IFERROR(__xludf.DUMMYFUNCTION("""COMPUTED_VALUE"""),54.98)</f>
        <v>54.98</v>
      </c>
      <c r="Q474" s="3">
        <f ca="1">IFERROR(__xludf.DUMMYFUNCTION("""COMPUTED_VALUE"""),54.98)</f>
        <v>54.98</v>
      </c>
      <c r="R474" s="3">
        <f ca="1">IFERROR(__xludf.DUMMYFUNCTION("""COMPUTED_VALUE"""),16469401)</f>
        <v>16469401</v>
      </c>
      <c r="S474" s="4">
        <f ca="1">IFERROR(__xludf.DUMMYFUNCTION("""COMPUTED_VALUE"""),42811.6666666666)</f>
        <v>42811.666666666599</v>
      </c>
      <c r="T474" s="3">
        <f ca="1">IFERROR(__xludf.DUMMYFUNCTION("""COMPUTED_VALUE"""),70.14)</f>
        <v>70.14</v>
      </c>
      <c r="U474" s="3">
        <f ca="1">IFERROR(__xludf.DUMMYFUNCTION("""COMPUTED_VALUE"""),70.29)</f>
        <v>70.290000000000006</v>
      </c>
      <c r="V474" s="3">
        <f ca="1">IFERROR(__xludf.DUMMYFUNCTION("""COMPUTED_VALUE"""),69.8)</f>
        <v>69.8</v>
      </c>
      <c r="W474" s="3">
        <f ca="1">IFERROR(__xludf.DUMMYFUNCTION("""COMPUTED_VALUE"""),69.8)</f>
        <v>69.8</v>
      </c>
      <c r="X474" s="3">
        <f ca="1">IFERROR(__xludf.DUMMYFUNCTION("""COMPUTED_VALUE"""),14243909)</f>
        <v>14243909</v>
      </c>
      <c r="Y474" s="4">
        <f ca="1">IFERROR(__xludf.DUMMYFUNCTION("""COMPUTED_VALUE"""),42811.6666666666)</f>
        <v>42811.666666666599</v>
      </c>
      <c r="Z474" s="3">
        <f ca="1">IFERROR(__xludf.DUMMYFUNCTION("""COMPUTED_VALUE"""),24.75)</f>
        <v>24.75</v>
      </c>
      <c r="AA474" s="3">
        <f ca="1">IFERROR(__xludf.DUMMYFUNCTION("""COMPUTED_VALUE"""),24.76)</f>
        <v>24.76</v>
      </c>
      <c r="AB474" s="3">
        <f ca="1">IFERROR(__xludf.DUMMYFUNCTION("""COMPUTED_VALUE"""),22)</f>
        <v>22</v>
      </c>
      <c r="AC474" s="3">
        <f ca="1">IFERROR(__xludf.DUMMYFUNCTION("""COMPUTED_VALUE"""),24.45)</f>
        <v>24.45</v>
      </c>
      <c r="AD474" s="3">
        <f ca="1">IFERROR(__xludf.DUMMYFUNCTION("""COMPUTED_VALUE"""),83056828)</f>
        <v>83056828</v>
      </c>
      <c r="AE474" s="4">
        <f ca="1">IFERROR(__xludf.DUMMYFUNCTION("""COMPUTED_VALUE"""),42811.6666666666)</f>
        <v>42811.666666666599</v>
      </c>
      <c r="AF474" s="3">
        <f ca="1">IFERROR(__xludf.DUMMYFUNCTION("""COMPUTED_VALUE"""),75.39)</f>
        <v>75.39</v>
      </c>
      <c r="AG474" s="3">
        <f ca="1">IFERROR(__xludf.DUMMYFUNCTION("""COMPUTED_VALUE"""),75.53)</f>
        <v>75.53</v>
      </c>
      <c r="AH474" s="3">
        <f ca="1">IFERROR(__xludf.DUMMYFUNCTION("""COMPUTED_VALUE"""),75.12)</f>
        <v>75.12</v>
      </c>
      <c r="AI474" s="3">
        <f ca="1">IFERROR(__xludf.DUMMYFUNCTION("""COMPUTED_VALUE"""),75.16)</f>
        <v>75.16</v>
      </c>
      <c r="AJ474" s="3">
        <f ca="1">IFERROR(__xludf.DUMMYFUNCTION("""COMPUTED_VALUE"""),10400969)</f>
        <v>10400969</v>
      </c>
      <c r="AK474" s="4">
        <f ca="1">IFERROR(__xludf.DUMMYFUNCTION("""COMPUTED_VALUE"""),42811.6666666666)</f>
        <v>42811.666666666599</v>
      </c>
      <c r="AL474" s="3">
        <f ca="1">IFERROR(__xludf.DUMMYFUNCTION("""COMPUTED_VALUE"""),65.52)</f>
        <v>65.52</v>
      </c>
      <c r="AM474" s="3">
        <f ca="1">IFERROR(__xludf.DUMMYFUNCTION("""COMPUTED_VALUE"""),65.85)</f>
        <v>65.849999999999994</v>
      </c>
      <c r="AN474" s="3">
        <f ca="1">IFERROR(__xludf.DUMMYFUNCTION("""COMPUTED_VALUE"""),65.39)</f>
        <v>65.39</v>
      </c>
      <c r="AO474" s="3">
        <f ca="1">IFERROR(__xludf.DUMMYFUNCTION("""COMPUTED_VALUE"""),65.68)</f>
        <v>65.680000000000007</v>
      </c>
      <c r="AP474" s="3">
        <f ca="1">IFERROR(__xludf.DUMMYFUNCTION("""COMPUTED_VALUE"""),10880067)</f>
        <v>10880067</v>
      </c>
      <c r="AQ474" s="4">
        <f ca="1">IFERROR(__xludf.DUMMYFUNCTION("""COMPUTED_VALUE"""),42811.6666666666)</f>
        <v>42811.666666666599</v>
      </c>
      <c r="AR474" s="3">
        <f ca="1">IFERROR(__xludf.DUMMYFUNCTION("""COMPUTED_VALUE"""),52.36)</f>
        <v>52.36</v>
      </c>
      <c r="AS474" s="3">
        <f ca="1">IFERROR(__xludf.DUMMYFUNCTION("""COMPUTED_VALUE"""),52.53)</f>
        <v>52.53</v>
      </c>
      <c r="AT474" s="3">
        <f ca="1">IFERROR(__xludf.DUMMYFUNCTION("""COMPUTED_VALUE"""),52.29)</f>
        <v>52.29</v>
      </c>
      <c r="AU474" s="3">
        <f ca="1">IFERROR(__xludf.DUMMYFUNCTION("""COMPUTED_VALUE"""),52.34)</f>
        <v>52.34</v>
      </c>
      <c r="AV474" s="3">
        <f ca="1">IFERROR(__xludf.DUMMYFUNCTION("""COMPUTED_VALUE"""),5130588)</f>
        <v>5130588</v>
      </c>
      <c r="AW474" s="4">
        <f ca="1">IFERROR(__xludf.DUMMYFUNCTION("""COMPUTED_VALUE"""),42976.6666666666)</f>
        <v>42976.666666666599</v>
      </c>
      <c r="AX474" s="3">
        <f ca="1">IFERROR(__xludf.DUMMYFUNCTION("""COMPUTED_VALUE"""),32.6)</f>
        <v>32.6</v>
      </c>
      <c r="AY474" s="3">
        <f ca="1">IFERROR(__xludf.DUMMYFUNCTION("""COMPUTED_VALUE"""),32.75)</f>
        <v>32.75</v>
      </c>
      <c r="AZ474" s="3">
        <f ca="1">IFERROR(__xludf.DUMMYFUNCTION("""COMPUTED_VALUE"""),32.59)</f>
        <v>32.590000000000003</v>
      </c>
      <c r="BA474" s="3">
        <f ca="1">IFERROR(__xludf.DUMMYFUNCTION("""COMPUTED_VALUE"""),32.61)</f>
        <v>32.61</v>
      </c>
      <c r="BB474" s="3">
        <f ca="1">IFERROR(__xludf.DUMMYFUNCTION("""COMPUTED_VALUE"""),2577301)</f>
        <v>2577301</v>
      </c>
      <c r="BC474" s="4">
        <f ca="1">IFERROR(__xludf.DUMMYFUNCTION("""COMPUTED_VALUE"""),42811.6666666666)</f>
        <v>42811.666666666599</v>
      </c>
      <c r="BD474" s="3">
        <f ca="1">IFERROR(__xludf.DUMMYFUNCTION("""COMPUTED_VALUE"""),53.43)</f>
        <v>53.43</v>
      </c>
      <c r="BE474" s="3">
        <f ca="1">IFERROR(__xludf.DUMMYFUNCTION("""COMPUTED_VALUE"""),53.51)</f>
        <v>53.51</v>
      </c>
      <c r="BF474" s="3">
        <f ca="1">IFERROR(__xludf.DUMMYFUNCTION("""COMPUTED_VALUE"""),53.32)</f>
        <v>53.32</v>
      </c>
      <c r="BG474" s="3">
        <f ca="1">IFERROR(__xludf.DUMMYFUNCTION("""COMPUTED_VALUE"""),53.34)</f>
        <v>53.34</v>
      </c>
      <c r="BH474" s="3">
        <f ca="1">IFERROR(__xludf.DUMMYFUNCTION("""COMPUTED_VALUE"""),6895356)</f>
        <v>6895356</v>
      </c>
      <c r="BI474" s="4">
        <f ca="1">IFERROR(__xludf.DUMMYFUNCTION("""COMPUTED_VALUE"""),42811.6666666666)</f>
        <v>42811.666666666599</v>
      </c>
      <c r="BJ474" s="3">
        <f ca="1">IFERROR(__xludf.DUMMYFUNCTION("""COMPUTED_VALUE"""),51.1)</f>
        <v>51.1</v>
      </c>
      <c r="BK474" s="3">
        <f ca="1">IFERROR(__xludf.DUMMYFUNCTION("""COMPUTED_VALUE"""),51.52)</f>
        <v>51.52</v>
      </c>
      <c r="BL474" s="3">
        <f ca="1">IFERROR(__xludf.DUMMYFUNCTION("""COMPUTED_VALUE"""),51.04)</f>
        <v>51.04</v>
      </c>
      <c r="BM474" s="3">
        <f ca="1">IFERROR(__xludf.DUMMYFUNCTION("""COMPUTED_VALUE"""),51.23)</f>
        <v>51.23</v>
      </c>
      <c r="BN474" s="3">
        <f ca="1">IFERROR(__xludf.DUMMYFUNCTION("""COMPUTED_VALUE"""),15128544)</f>
        <v>15128544</v>
      </c>
    </row>
    <row r="475" spans="7:66" ht="13" x14ac:dyDescent="0.15">
      <c r="G475" s="4">
        <f ca="1">IFERROR(__xludf.DUMMYFUNCTION("""COMPUTED_VALUE"""),42814.6666666666)</f>
        <v>42814.666666666599</v>
      </c>
      <c r="H475" s="3">
        <f ca="1">IFERROR(__xludf.DUMMYFUNCTION("""COMPUTED_VALUE"""),87.43)</f>
        <v>87.43</v>
      </c>
      <c r="I475" s="3">
        <f ca="1">IFERROR(__xludf.DUMMYFUNCTION("""COMPUTED_VALUE"""),87.45)</f>
        <v>87.45</v>
      </c>
      <c r="J475" s="3">
        <f ca="1">IFERROR(__xludf.DUMMYFUNCTION("""COMPUTED_VALUE"""),86.98)</f>
        <v>86.98</v>
      </c>
      <c r="K475" s="3">
        <f ca="1">IFERROR(__xludf.DUMMYFUNCTION("""COMPUTED_VALUE"""),87.15)</f>
        <v>87.15</v>
      </c>
      <c r="L475" s="3">
        <f ca="1">IFERROR(__xludf.DUMMYFUNCTION("""COMPUTED_VALUE"""),2639009)</f>
        <v>2639009</v>
      </c>
      <c r="M475" s="4">
        <f ca="1">IFERROR(__xludf.DUMMYFUNCTION("""COMPUTED_VALUE"""),42814.6666666666)</f>
        <v>42814.666666666599</v>
      </c>
      <c r="N475" s="3">
        <f ca="1">IFERROR(__xludf.DUMMYFUNCTION("""COMPUTED_VALUE"""),55.03)</f>
        <v>55.03</v>
      </c>
      <c r="O475" s="3">
        <f ca="1">IFERROR(__xludf.DUMMYFUNCTION("""COMPUTED_VALUE"""),55.16)</f>
        <v>55.16</v>
      </c>
      <c r="P475" s="3">
        <f ca="1">IFERROR(__xludf.DUMMYFUNCTION("""COMPUTED_VALUE"""),54.99)</f>
        <v>54.99</v>
      </c>
      <c r="Q475" s="3">
        <f ca="1">IFERROR(__xludf.DUMMYFUNCTION("""COMPUTED_VALUE"""),55.08)</f>
        <v>55.08</v>
      </c>
      <c r="R475" s="3">
        <f ca="1">IFERROR(__xludf.DUMMYFUNCTION("""COMPUTED_VALUE"""),6559189)</f>
        <v>6559189</v>
      </c>
      <c r="S475" s="4">
        <f ca="1">IFERROR(__xludf.DUMMYFUNCTION("""COMPUTED_VALUE"""),42814.6666666666)</f>
        <v>42814.666666666599</v>
      </c>
      <c r="T475" s="3">
        <f ca="1">IFERROR(__xludf.DUMMYFUNCTION("""COMPUTED_VALUE"""),69.57)</f>
        <v>69.569999999999993</v>
      </c>
      <c r="U475" s="3">
        <f ca="1">IFERROR(__xludf.DUMMYFUNCTION("""COMPUTED_VALUE"""),69.85)</f>
        <v>69.849999999999994</v>
      </c>
      <c r="V475" s="3">
        <f ca="1">IFERROR(__xludf.DUMMYFUNCTION("""COMPUTED_VALUE"""),69.15)</f>
        <v>69.150000000000006</v>
      </c>
      <c r="W475" s="3">
        <f ca="1">IFERROR(__xludf.DUMMYFUNCTION("""COMPUTED_VALUE"""),69.75)</f>
        <v>69.75</v>
      </c>
      <c r="X475" s="3">
        <f ca="1">IFERROR(__xludf.DUMMYFUNCTION("""COMPUTED_VALUE"""),12218665)</f>
        <v>12218665</v>
      </c>
      <c r="Y475" s="4">
        <f ca="1">IFERROR(__xludf.DUMMYFUNCTION("""COMPUTED_VALUE"""),42814.6666666666)</f>
        <v>42814.666666666599</v>
      </c>
      <c r="Z475" s="3">
        <f ca="1">IFERROR(__xludf.DUMMYFUNCTION("""COMPUTED_VALUE"""),24.4)</f>
        <v>24.4</v>
      </c>
      <c r="AA475" s="3">
        <f ca="1">IFERROR(__xludf.DUMMYFUNCTION("""COMPUTED_VALUE"""),24.47)</f>
        <v>24.47</v>
      </c>
      <c r="AB475" s="3">
        <f ca="1">IFERROR(__xludf.DUMMYFUNCTION("""COMPUTED_VALUE"""),24.25)</f>
        <v>24.25</v>
      </c>
      <c r="AC475" s="3">
        <f ca="1">IFERROR(__xludf.DUMMYFUNCTION("""COMPUTED_VALUE"""),24.27)</f>
        <v>24.27</v>
      </c>
      <c r="AD475" s="3">
        <f ca="1">IFERROR(__xludf.DUMMYFUNCTION("""COMPUTED_VALUE"""),78676416)</f>
        <v>78676416</v>
      </c>
      <c r="AE475" s="4">
        <f ca="1">IFERROR(__xludf.DUMMYFUNCTION("""COMPUTED_VALUE"""),42814.6666666666)</f>
        <v>42814.666666666599</v>
      </c>
      <c r="AF475" s="3">
        <f ca="1">IFERROR(__xludf.DUMMYFUNCTION("""COMPUTED_VALUE"""),75.18)</f>
        <v>75.180000000000007</v>
      </c>
      <c r="AG475" s="3">
        <f ca="1">IFERROR(__xludf.DUMMYFUNCTION("""COMPUTED_VALUE"""),75.29)</f>
        <v>75.290000000000006</v>
      </c>
      <c r="AH475" s="3">
        <f ca="1">IFERROR(__xludf.DUMMYFUNCTION("""COMPUTED_VALUE"""),74.9)</f>
        <v>74.900000000000006</v>
      </c>
      <c r="AI475" s="3">
        <f ca="1">IFERROR(__xludf.DUMMYFUNCTION("""COMPUTED_VALUE"""),75.04)</f>
        <v>75.040000000000006</v>
      </c>
      <c r="AJ475" s="3">
        <f ca="1">IFERROR(__xludf.DUMMYFUNCTION("""COMPUTED_VALUE"""),4728301)</f>
        <v>4728301</v>
      </c>
      <c r="AK475" s="4">
        <f ca="1">IFERROR(__xludf.DUMMYFUNCTION("""COMPUTED_VALUE"""),42814.6666666666)</f>
        <v>42814.666666666599</v>
      </c>
      <c r="AL475" s="3">
        <f ca="1">IFERROR(__xludf.DUMMYFUNCTION("""COMPUTED_VALUE"""),65.74)</f>
        <v>65.739999999999995</v>
      </c>
      <c r="AM475" s="3">
        <f ca="1">IFERROR(__xludf.DUMMYFUNCTION("""COMPUTED_VALUE"""),65.82)</f>
        <v>65.819999999999993</v>
      </c>
      <c r="AN475" s="3">
        <f ca="1">IFERROR(__xludf.DUMMYFUNCTION("""COMPUTED_VALUE"""),65.49)</f>
        <v>65.489999999999995</v>
      </c>
      <c r="AO475" s="3">
        <f ca="1">IFERROR(__xludf.DUMMYFUNCTION("""COMPUTED_VALUE"""),65.56)</f>
        <v>65.56</v>
      </c>
      <c r="AP475" s="3">
        <f ca="1">IFERROR(__xludf.DUMMYFUNCTION("""COMPUTED_VALUE"""),5752608)</f>
        <v>5752608</v>
      </c>
      <c r="AQ475" s="4">
        <f ca="1">IFERROR(__xludf.DUMMYFUNCTION("""COMPUTED_VALUE"""),42814.6666666666)</f>
        <v>42814.666666666599</v>
      </c>
      <c r="AR475" s="3">
        <f ca="1">IFERROR(__xludf.DUMMYFUNCTION("""COMPUTED_VALUE"""),52.38)</f>
        <v>52.38</v>
      </c>
      <c r="AS475" s="3">
        <f ca="1">IFERROR(__xludf.DUMMYFUNCTION("""COMPUTED_VALUE"""),52.66)</f>
        <v>52.66</v>
      </c>
      <c r="AT475" s="3">
        <f ca="1">IFERROR(__xludf.DUMMYFUNCTION("""COMPUTED_VALUE"""),52.18)</f>
        <v>52.18</v>
      </c>
      <c r="AU475" s="3">
        <f ca="1">IFERROR(__xludf.DUMMYFUNCTION("""COMPUTED_VALUE"""),52.62)</f>
        <v>52.62</v>
      </c>
      <c r="AV475" s="3">
        <f ca="1">IFERROR(__xludf.DUMMYFUNCTION("""COMPUTED_VALUE"""),2755200)</f>
        <v>2755200</v>
      </c>
      <c r="AW475" s="4">
        <f ca="1">IFERROR(__xludf.DUMMYFUNCTION("""COMPUTED_VALUE"""),42977.6666666666)</f>
        <v>42977.666666666599</v>
      </c>
      <c r="AX475" s="3">
        <f ca="1">IFERROR(__xludf.DUMMYFUNCTION("""COMPUTED_VALUE"""),32.58)</f>
        <v>32.58</v>
      </c>
      <c r="AY475" s="3">
        <f ca="1">IFERROR(__xludf.DUMMYFUNCTION("""COMPUTED_VALUE"""),32.77)</f>
        <v>32.770000000000003</v>
      </c>
      <c r="AZ475" s="3">
        <f ca="1">IFERROR(__xludf.DUMMYFUNCTION("""COMPUTED_VALUE"""),32.45)</f>
        <v>32.450000000000003</v>
      </c>
      <c r="BA475" s="3">
        <f ca="1">IFERROR(__xludf.DUMMYFUNCTION("""COMPUTED_VALUE"""),32.76)</f>
        <v>32.76</v>
      </c>
      <c r="BB475" s="3">
        <f ca="1">IFERROR(__xludf.DUMMYFUNCTION("""COMPUTED_VALUE"""),963550)</f>
        <v>963550</v>
      </c>
      <c r="BC475" s="4">
        <f ca="1">IFERROR(__xludf.DUMMYFUNCTION("""COMPUTED_VALUE"""),42814.6666666666)</f>
        <v>42814.666666666599</v>
      </c>
      <c r="BD475" s="3">
        <f ca="1">IFERROR(__xludf.DUMMYFUNCTION("""COMPUTED_VALUE"""),53.35)</f>
        <v>53.35</v>
      </c>
      <c r="BE475" s="3">
        <f ca="1">IFERROR(__xludf.DUMMYFUNCTION("""COMPUTED_VALUE"""),53.51)</f>
        <v>53.51</v>
      </c>
      <c r="BF475" s="3">
        <f ca="1">IFERROR(__xludf.DUMMYFUNCTION("""COMPUTED_VALUE"""),53.24)</f>
        <v>53.24</v>
      </c>
      <c r="BG475" s="3">
        <f ca="1">IFERROR(__xludf.DUMMYFUNCTION("""COMPUTED_VALUE"""),53.37)</f>
        <v>53.37</v>
      </c>
      <c r="BH475" s="3">
        <f ca="1">IFERROR(__xludf.DUMMYFUNCTION("""COMPUTED_VALUE"""),4541841)</f>
        <v>4541841</v>
      </c>
      <c r="BI475" s="4">
        <f ca="1">IFERROR(__xludf.DUMMYFUNCTION("""COMPUTED_VALUE"""),42814.6666666666)</f>
        <v>42814.666666666599</v>
      </c>
      <c r="BJ475" s="3">
        <f ca="1">IFERROR(__xludf.DUMMYFUNCTION("""COMPUTED_VALUE"""),51.35)</f>
        <v>51.35</v>
      </c>
      <c r="BK475" s="3">
        <f ca="1">IFERROR(__xludf.DUMMYFUNCTION("""COMPUTED_VALUE"""),51.45)</f>
        <v>51.45</v>
      </c>
      <c r="BL475" s="3">
        <f ca="1">IFERROR(__xludf.DUMMYFUNCTION("""COMPUTED_VALUE"""),50.75)</f>
        <v>50.75</v>
      </c>
      <c r="BM475" s="3">
        <f ca="1">IFERROR(__xludf.DUMMYFUNCTION("""COMPUTED_VALUE"""),50.9)</f>
        <v>50.9</v>
      </c>
      <c r="BN475" s="3">
        <f ca="1">IFERROR(__xludf.DUMMYFUNCTION("""COMPUTED_VALUE"""),7148024)</f>
        <v>7148024</v>
      </c>
    </row>
    <row r="476" spans="7:66" ht="13" x14ac:dyDescent="0.15">
      <c r="G476" s="4">
        <f ca="1">IFERROR(__xludf.DUMMYFUNCTION("""COMPUTED_VALUE"""),42815.6666666666)</f>
        <v>42815.666666666599</v>
      </c>
      <c r="H476" s="3">
        <f ca="1">IFERROR(__xludf.DUMMYFUNCTION("""COMPUTED_VALUE"""),87.36)</f>
        <v>87.36</v>
      </c>
      <c r="I476" s="3">
        <f ca="1">IFERROR(__xludf.DUMMYFUNCTION("""COMPUTED_VALUE"""),87.49)</f>
        <v>87.49</v>
      </c>
      <c r="J476" s="3">
        <f ca="1">IFERROR(__xludf.DUMMYFUNCTION("""COMPUTED_VALUE"""),85.99)</f>
        <v>85.99</v>
      </c>
      <c r="K476" s="3">
        <f ca="1">IFERROR(__xludf.DUMMYFUNCTION("""COMPUTED_VALUE"""),86.05)</f>
        <v>86.05</v>
      </c>
      <c r="L476" s="3">
        <f ca="1">IFERROR(__xludf.DUMMYFUNCTION("""COMPUTED_VALUE"""),4645729)</f>
        <v>4645729</v>
      </c>
      <c r="M476" s="4">
        <f ca="1">IFERROR(__xludf.DUMMYFUNCTION("""COMPUTED_VALUE"""),42815.6666666666)</f>
        <v>42815.666666666599</v>
      </c>
      <c r="N476" s="3">
        <f ca="1">IFERROR(__xludf.DUMMYFUNCTION("""COMPUTED_VALUE"""),55.11)</f>
        <v>55.11</v>
      </c>
      <c r="O476" s="3">
        <f ca="1">IFERROR(__xludf.DUMMYFUNCTION("""COMPUTED_VALUE"""),55.27)</f>
        <v>55.27</v>
      </c>
      <c r="P476" s="3">
        <f ca="1">IFERROR(__xludf.DUMMYFUNCTION("""COMPUTED_VALUE"""),54.97)</f>
        <v>54.97</v>
      </c>
      <c r="Q476" s="3">
        <f ca="1">IFERROR(__xludf.DUMMYFUNCTION("""COMPUTED_VALUE"""),55.04)</f>
        <v>55.04</v>
      </c>
      <c r="R476" s="3">
        <f ca="1">IFERROR(__xludf.DUMMYFUNCTION("""COMPUTED_VALUE"""),13135495)</f>
        <v>13135495</v>
      </c>
      <c r="S476" s="4">
        <f ca="1">IFERROR(__xludf.DUMMYFUNCTION("""COMPUTED_VALUE"""),42815.6666666666)</f>
        <v>42815.666666666599</v>
      </c>
      <c r="T476" s="3">
        <f ca="1">IFERROR(__xludf.DUMMYFUNCTION("""COMPUTED_VALUE"""),70.03)</f>
        <v>70.03</v>
      </c>
      <c r="U476" s="3">
        <f ca="1">IFERROR(__xludf.DUMMYFUNCTION("""COMPUTED_VALUE"""),70.08)</f>
        <v>70.08</v>
      </c>
      <c r="V476" s="3">
        <f ca="1">IFERROR(__xludf.DUMMYFUNCTION("""COMPUTED_VALUE"""),68.95)</f>
        <v>68.95</v>
      </c>
      <c r="W476" s="3">
        <f ca="1">IFERROR(__xludf.DUMMYFUNCTION("""COMPUTED_VALUE"""),69.21)</f>
        <v>69.209999999999994</v>
      </c>
      <c r="X476" s="3">
        <f ca="1">IFERROR(__xludf.DUMMYFUNCTION("""COMPUTED_VALUE"""),16717185)</f>
        <v>16717185</v>
      </c>
      <c r="Y476" s="4">
        <f ca="1">IFERROR(__xludf.DUMMYFUNCTION("""COMPUTED_VALUE"""),42815.6666666666)</f>
        <v>42815.666666666599</v>
      </c>
      <c r="Z476" s="3">
        <f ca="1">IFERROR(__xludf.DUMMYFUNCTION("""COMPUTED_VALUE"""),24.36)</f>
        <v>24.36</v>
      </c>
      <c r="AA476" s="3">
        <f ca="1">IFERROR(__xludf.DUMMYFUNCTION("""COMPUTED_VALUE"""),24.38)</f>
        <v>24.38</v>
      </c>
      <c r="AB476" s="3">
        <f ca="1">IFERROR(__xludf.DUMMYFUNCTION("""COMPUTED_VALUE"""),23.51)</f>
        <v>23.51</v>
      </c>
      <c r="AC476" s="3">
        <f ca="1">IFERROR(__xludf.DUMMYFUNCTION("""COMPUTED_VALUE"""),23.57)</f>
        <v>23.57</v>
      </c>
      <c r="AD476" s="3">
        <f ca="1">IFERROR(__xludf.DUMMYFUNCTION("""COMPUTED_VALUE"""),192257047)</f>
        <v>192257047</v>
      </c>
      <c r="AE476" s="4">
        <f ca="1">IFERROR(__xludf.DUMMYFUNCTION("""COMPUTED_VALUE"""),42815.6666666666)</f>
        <v>42815.666666666599</v>
      </c>
      <c r="AF476" s="3">
        <f ca="1">IFERROR(__xludf.DUMMYFUNCTION("""COMPUTED_VALUE"""),75.13)</f>
        <v>75.13</v>
      </c>
      <c r="AG476" s="3">
        <f ca="1">IFERROR(__xludf.DUMMYFUNCTION("""COMPUTED_VALUE"""),75.39)</f>
        <v>75.39</v>
      </c>
      <c r="AH476" s="3">
        <f ca="1">IFERROR(__xludf.DUMMYFUNCTION("""COMPUTED_VALUE"""),72.33)</f>
        <v>72.33</v>
      </c>
      <c r="AI476" s="3">
        <f ca="1">IFERROR(__xludf.DUMMYFUNCTION("""COMPUTED_VALUE"""),74.46)</f>
        <v>74.459999999999994</v>
      </c>
      <c r="AJ476" s="3">
        <f ca="1">IFERROR(__xludf.DUMMYFUNCTION("""COMPUTED_VALUE"""),16650419)</f>
        <v>16650419</v>
      </c>
      <c r="AK476" s="4">
        <f ca="1">IFERROR(__xludf.DUMMYFUNCTION("""COMPUTED_VALUE"""),42815.6666666666)</f>
        <v>42815.666666666599</v>
      </c>
      <c r="AL476" s="3">
        <f ca="1">IFERROR(__xludf.DUMMYFUNCTION("""COMPUTED_VALUE"""),65.74)</f>
        <v>65.739999999999995</v>
      </c>
      <c r="AM476" s="3">
        <f ca="1">IFERROR(__xludf.DUMMYFUNCTION("""COMPUTED_VALUE"""),65.79)</f>
        <v>65.790000000000006</v>
      </c>
      <c r="AN476" s="3">
        <f ca="1">IFERROR(__xludf.DUMMYFUNCTION("""COMPUTED_VALUE"""),64.47)</f>
        <v>64.47</v>
      </c>
      <c r="AO476" s="3">
        <f ca="1">IFERROR(__xludf.DUMMYFUNCTION("""COMPUTED_VALUE"""),64.56)</f>
        <v>64.56</v>
      </c>
      <c r="AP476" s="3">
        <f ca="1">IFERROR(__xludf.DUMMYFUNCTION("""COMPUTED_VALUE"""),12661009)</f>
        <v>12661009</v>
      </c>
      <c r="AQ476" s="4">
        <f ca="1">IFERROR(__xludf.DUMMYFUNCTION("""COMPUTED_VALUE"""),42815.6666666666)</f>
        <v>42815.666666666599</v>
      </c>
      <c r="AR476" s="3">
        <f ca="1">IFERROR(__xludf.DUMMYFUNCTION("""COMPUTED_VALUE"""),52.67)</f>
        <v>52.67</v>
      </c>
      <c r="AS476" s="3">
        <f ca="1">IFERROR(__xludf.DUMMYFUNCTION("""COMPUTED_VALUE"""),52.78)</f>
        <v>52.78</v>
      </c>
      <c r="AT476" s="3">
        <f ca="1">IFERROR(__xludf.DUMMYFUNCTION("""COMPUTED_VALUE"""),51.67)</f>
        <v>51.67</v>
      </c>
      <c r="AU476" s="3">
        <f ca="1">IFERROR(__xludf.DUMMYFUNCTION("""COMPUTED_VALUE"""),51.75)</f>
        <v>51.75</v>
      </c>
      <c r="AV476" s="3">
        <f ca="1">IFERROR(__xludf.DUMMYFUNCTION("""COMPUTED_VALUE"""),7339681)</f>
        <v>7339681</v>
      </c>
      <c r="AW476" s="4">
        <f ca="1">IFERROR(__xludf.DUMMYFUNCTION("""COMPUTED_VALUE"""),42978.6666666666)</f>
        <v>42978.666666666599</v>
      </c>
      <c r="AX476" s="3">
        <f ca="1">IFERROR(__xludf.DUMMYFUNCTION("""COMPUTED_VALUE"""),32.87)</f>
        <v>32.869999999999997</v>
      </c>
      <c r="AY476" s="3">
        <f ca="1">IFERROR(__xludf.DUMMYFUNCTION("""COMPUTED_VALUE"""),33.04)</f>
        <v>33.04</v>
      </c>
      <c r="AZ476" s="3">
        <f ca="1">IFERROR(__xludf.DUMMYFUNCTION("""COMPUTED_VALUE"""),32.8)</f>
        <v>32.799999999999997</v>
      </c>
      <c r="BA476" s="3">
        <f ca="1">IFERROR(__xludf.DUMMYFUNCTION("""COMPUTED_VALUE"""),32.92)</f>
        <v>32.92</v>
      </c>
      <c r="BB476" s="3">
        <f ca="1">IFERROR(__xludf.DUMMYFUNCTION("""COMPUTED_VALUE"""),1816228)</f>
        <v>1816228</v>
      </c>
      <c r="BC476" s="4">
        <f ca="1">IFERROR(__xludf.DUMMYFUNCTION("""COMPUTED_VALUE"""),42815.6666666666)</f>
        <v>42815.666666666599</v>
      </c>
      <c r="BD476" s="3">
        <f ca="1">IFERROR(__xludf.DUMMYFUNCTION("""COMPUTED_VALUE"""),53.53)</f>
        <v>53.53</v>
      </c>
      <c r="BE476" s="3">
        <f ca="1">IFERROR(__xludf.DUMMYFUNCTION("""COMPUTED_VALUE"""),53.66)</f>
        <v>53.66</v>
      </c>
      <c r="BF476" s="3">
        <f ca="1">IFERROR(__xludf.DUMMYFUNCTION("""COMPUTED_VALUE"""),52.59)</f>
        <v>52.59</v>
      </c>
      <c r="BG476" s="3">
        <f ca="1">IFERROR(__xludf.DUMMYFUNCTION("""COMPUTED_VALUE"""),52.61)</f>
        <v>52.61</v>
      </c>
      <c r="BH476" s="3">
        <f ca="1">IFERROR(__xludf.DUMMYFUNCTION("""COMPUTED_VALUE"""),14905546)</f>
        <v>14905546</v>
      </c>
      <c r="BI476" s="4">
        <f ca="1">IFERROR(__xludf.DUMMYFUNCTION("""COMPUTED_VALUE"""),42815.6666666666)</f>
        <v>42815.666666666599</v>
      </c>
      <c r="BJ476" s="3">
        <f ca="1">IFERROR(__xludf.DUMMYFUNCTION("""COMPUTED_VALUE"""),50.92)</f>
        <v>50.92</v>
      </c>
      <c r="BK476" s="3">
        <f ca="1">IFERROR(__xludf.DUMMYFUNCTION("""COMPUTED_VALUE"""),51.8)</f>
        <v>51.8</v>
      </c>
      <c r="BL476" s="3">
        <f ca="1">IFERROR(__xludf.DUMMYFUNCTION("""COMPUTED_VALUE"""),50.89)</f>
        <v>50.89</v>
      </c>
      <c r="BM476" s="3">
        <f ca="1">IFERROR(__xludf.DUMMYFUNCTION("""COMPUTED_VALUE"""),51.61)</f>
        <v>51.61</v>
      </c>
      <c r="BN476" s="3">
        <f ca="1">IFERROR(__xludf.DUMMYFUNCTION("""COMPUTED_VALUE"""),25417115)</f>
        <v>25417115</v>
      </c>
    </row>
    <row r="477" spans="7:66" ht="13" x14ac:dyDescent="0.15">
      <c r="G477" s="4">
        <f ca="1">IFERROR(__xludf.DUMMYFUNCTION("""COMPUTED_VALUE"""),42816.6666666666)</f>
        <v>42816.666666666599</v>
      </c>
      <c r="H477" s="3">
        <f ca="1">IFERROR(__xludf.DUMMYFUNCTION("""COMPUTED_VALUE"""),85.98)</f>
        <v>85.98</v>
      </c>
      <c r="I477" s="3">
        <f ca="1">IFERROR(__xludf.DUMMYFUNCTION("""COMPUTED_VALUE"""),86.27)</f>
        <v>86.27</v>
      </c>
      <c r="J477" s="3">
        <f ca="1">IFERROR(__xludf.DUMMYFUNCTION("""COMPUTED_VALUE"""),85.65)</f>
        <v>85.65</v>
      </c>
      <c r="K477" s="3">
        <f ca="1">IFERROR(__xludf.DUMMYFUNCTION("""COMPUTED_VALUE"""),86.15)</f>
        <v>86.15</v>
      </c>
      <c r="L477" s="3">
        <f ca="1">IFERROR(__xludf.DUMMYFUNCTION("""COMPUTED_VALUE"""),6101146)</f>
        <v>6101146</v>
      </c>
      <c r="M477" s="4">
        <f ca="1">IFERROR(__xludf.DUMMYFUNCTION("""COMPUTED_VALUE"""),42816.6666666666)</f>
        <v>42816.666666666599</v>
      </c>
      <c r="N477" s="3">
        <f ca="1">IFERROR(__xludf.DUMMYFUNCTION("""COMPUTED_VALUE"""),55.12)</f>
        <v>55.12</v>
      </c>
      <c r="O477" s="3">
        <f ca="1">IFERROR(__xludf.DUMMYFUNCTION("""COMPUTED_VALUE"""),55.21)</f>
        <v>55.21</v>
      </c>
      <c r="P477" s="3">
        <f ca="1">IFERROR(__xludf.DUMMYFUNCTION("""COMPUTED_VALUE"""),54.8)</f>
        <v>54.8</v>
      </c>
      <c r="Q477" s="3">
        <f ca="1">IFERROR(__xludf.DUMMYFUNCTION("""COMPUTED_VALUE"""),54.93)</f>
        <v>54.93</v>
      </c>
      <c r="R477" s="3">
        <f ca="1">IFERROR(__xludf.DUMMYFUNCTION("""COMPUTED_VALUE"""),7094715)</f>
        <v>7094715</v>
      </c>
      <c r="S477" s="4">
        <f ca="1">IFERROR(__xludf.DUMMYFUNCTION("""COMPUTED_VALUE"""),42816.6666666666)</f>
        <v>42816.666666666599</v>
      </c>
      <c r="T477" s="3">
        <f ca="1">IFERROR(__xludf.DUMMYFUNCTION("""COMPUTED_VALUE"""),69)</f>
        <v>69</v>
      </c>
      <c r="U477" s="3">
        <f ca="1">IFERROR(__xludf.DUMMYFUNCTION("""COMPUTED_VALUE"""),69.43)</f>
        <v>69.430000000000007</v>
      </c>
      <c r="V477" s="3">
        <f ca="1">IFERROR(__xludf.DUMMYFUNCTION("""COMPUTED_VALUE"""),68.72)</f>
        <v>68.72</v>
      </c>
      <c r="W477" s="3">
        <f ca="1">IFERROR(__xludf.DUMMYFUNCTION("""COMPUTED_VALUE"""),69.11)</f>
        <v>69.11</v>
      </c>
      <c r="X477" s="3">
        <f ca="1">IFERROR(__xludf.DUMMYFUNCTION("""COMPUTED_VALUE"""),12419612)</f>
        <v>12419612</v>
      </c>
      <c r="Y477" s="4">
        <f ca="1">IFERROR(__xludf.DUMMYFUNCTION("""COMPUTED_VALUE"""),42816.6666666666)</f>
        <v>42816.666666666599</v>
      </c>
      <c r="Z477" s="3">
        <f ca="1">IFERROR(__xludf.DUMMYFUNCTION("""COMPUTED_VALUE"""),23.4)</f>
        <v>23.4</v>
      </c>
      <c r="AA477" s="3">
        <f ca="1">IFERROR(__xludf.DUMMYFUNCTION("""COMPUTED_VALUE"""),23.63)</f>
        <v>23.63</v>
      </c>
      <c r="AB477" s="3">
        <f ca="1">IFERROR(__xludf.DUMMYFUNCTION("""COMPUTED_VALUE"""),23.23)</f>
        <v>23.23</v>
      </c>
      <c r="AC477" s="3">
        <f ca="1">IFERROR(__xludf.DUMMYFUNCTION("""COMPUTED_VALUE"""),23.52)</f>
        <v>23.52</v>
      </c>
      <c r="AD477" s="3">
        <f ca="1">IFERROR(__xludf.DUMMYFUNCTION("""COMPUTED_VALUE"""),133199544)</f>
        <v>133199544</v>
      </c>
      <c r="AE477" s="4">
        <f ca="1">IFERROR(__xludf.DUMMYFUNCTION("""COMPUTED_VALUE"""),42816.6666666666)</f>
        <v>42816.666666666599</v>
      </c>
      <c r="AF477" s="3">
        <f ca="1">IFERROR(__xludf.DUMMYFUNCTION("""COMPUTED_VALUE"""),74.57)</f>
        <v>74.569999999999993</v>
      </c>
      <c r="AG477" s="3">
        <f ca="1">IFERROR(__xludf.DUMMYFUNCTION("""COMPUTED_VALUE"""),74.67)</f>
        <v>74.67</v>
      </c>
      <c r="AH477" s="3">
        <f ca="1">IFERROR(__xludf.DUMMYFUNCTION("""COMPUTED_VALUE"""),74.11)</f>
        <v>74.11</v>
      </c>
      <c r="AI477" s="3">
        <f ca="1">IFERROR(__xludf.DUMMYFUNCTION("""COMPUTED_VALUE"""),74.48)</f>
        <v>74.48</v>
      </c>
      <c r="AJ477" s="3">
        <f ca="1">IFERROR(__xludf.DUMMYFUNCTION("""COMPUTED_VALUE"""),9954250)</f>
        <v>9954250</v>
      </c>
      <c r="AK477" s="4">
        <f ca="1">IFERROR(__xludf.DUMMYFUNCTION("""COMPUTED_VALUE"""),42816.6666666666)</f>
        <v>42816.666666666599</v>
      </c>
      <c r="AL477" s="3">
        <f ca="1">IFERROR(__xludf.DUMMYFUNCTION("""COMPUTED_VALUE"""),64.58)</f>
        <v>64.58</v>
      </c>
      <c r="AM477" s="3">
        <f ca="1">IFERROR(__xludf.DUMMYFUNCTION("""COMPUTED_VALUE"""),64.92)</f>
        <v>64.92</v>
      </c>
      <c r="AN477" s="3">
        <f ca="1">IFERROR(__xludf.DUMMYFUNCTION("""COMPUTED_VALUE"""),64.33)</f>
        <v>64.33</v>
      </c>
      <c r="AO477" s="3">
        <f ca="1">IFERROR(__xludf.DUMMYFUNCTION("""COMPUTED_VALUE"""),64.79)</f>
        <v>64.790000000000006</v>
      </c>
      <c r="AP477" s="3">
        <f ca="1">IFERROR(__xludf.DUMMYFUNCTION("""COMPUTED_VALUE"""),12266304)</f>
        <v>12266304</v>
      </c>
      <c r="AQ477" s="4">
        <f ca="1">IFERROR(__xludf.DUMMYFUNCTION("""COMPUTED_VALUE"""),42816.6666666666)</f>
        <v>42816.666666666599</v>
      </c>
      <c r="AR477" s="3">
        <f ca="1">IFERROR(__xludf.DUMMYFUNCTION("""COMPUTED_VALUE"""),51.71)</f>
        <v>51.71</v>
      </c>
      <c r="AS477" s="3">
        <f ca="1">IFERROR(__xludf.DUMMYFUNCTION("""COMPUTED_VALUE"""),51.94)</f>
        <v>51.94</v>
      </c>
      <c r="AT477" s="3">
        <f ca="1">IFERROR(__xludf.DUMMYFUNCTION("""COMPUTED_VALUE"""),51.37)</f>
        <v>51.37</v>
      </c>
      <c r="AU477" s="3">
        <f ca="1">IFERROR(__xludf.DUMMYFUNCTION("""COMPUTED_VALUE"""),51.9)</f>
        <v>51.9</v>
      </c>
      <c r="AV477" s="3">
        <f ca="1">IFERROR(__xludf.DUMMYFUNCTION("""COMPUTED_VALUE"""),5651396)</f>
        <v>5651396</v>
      </c>
      <c r="AW477" s="4">
        <f ca="1">IFERROR(__xludf.DUMMYFUNCTION("""COMPUTED_VALUE"""),42979.6666666666)</f>
        <v>42979.666666666599</v>
      </c>
      <c r="AX477" s="3">
        <f ca="1">IFERROR(__xludf.DUMMYFUNCTION("""COMPUTED_VALUE"""),32.96)</f>
        <v>32.96</v>
      </c>
      <c r="AY477" s="3">
        <f ca="1">IFERROR(__xludf.DUMMYFUNCTION("""COMPUTED_VALUE"""),33.05)</f>
        <v>33.049999999999997</v>
      </c>
      <c r="AZ477" s="3">
        <f ca="1">IFERROR(__xludf.DUMMYFUNCTION("""COMPUTED_VALUE"""),32.88)</f>
        <v>32.880000000000003</v>
      </c>
      <c r="BA477" s="3">
        <f ca="1">IFERROR(__xludf.DUMMYFUNCTION("""COMPUTED_VALUE"""),32.92)</f>
        <v>32.92</v>
      </c>
      <c r="BB477" s="3">
        <f ca="1">IFERROR(__xludf.DUMMYFUNCTION("""COMPUTED_VALUE"""),1656231)</f>
        <v>1656231</v>
      </c>
      <c r="BC477" s="4">
        <f ca="1">IFERROR(__xludf.DUMMYFUNCTION("""COMPUTED_VALUE"""),42816.6666666666)</f>
        <v>42816.666666666599</v>
      </c>
      <c r="BD477" s="3">
        <f ca="1">IFERROR(__xludf.DUMMYFUNCTION("""COMPUTED_VALUE"""),52.62)</f>
        <v>52.62</v>
      </c>
      <c r="BE477" s="3">
        <f ca="1">IFERROR(__xludf.DUMMYFUNCTION("""COMPUTED_VALUE"""),53.02)</f>
        <v>53.02</v>
      </c>
      <c r="BF477" s="3">
        <f ca="1">IFERROR(__xludf.DUMMYFUNCTION("""COMPUTED_VALUE"""),52.55)</f>
        <v>52.55</v>
      </c>
      <c r="BG477" s="3">
        <f ca="1">IFERROR(__xludf.DUMMYFUNCTION("""COMPUTED_VALUE"""),52.94)</f>
        <v>52.94</v>
      </c>
      <c r="BH477" s="3">
        <f ca="1">IFERROR(__xludf.DUMMYFUNCTION("""COMPUTED_VALUE"""),11383320)</f>
        <v>11383320</v>
      </c>
      <c r="BI477" s="4">
        <f ca="1">IFERROR(__xludf.DUMMYFUNCTION("""COMPUTED_VALUE"""),42816.6666666666)</f>
        <v>42816.666666666599</v>
      </c>
      <c r="BJ477" s="3">
        <f ca="1">IFERROR(__xludf.DUMMYFUNCTION("""COMPUTED_VALUE"""),51.82)</f>
        <v>51.82</v>
      </c>
      <c r="BK477" s="3">
        <f ca="1">IFERROR(__xludf.DUMMYFUNCTION("""COMPUTED_VALUE"""),52.23)</f>
        <v>52.23</v>
      </c>
      <c r="BL477" s="3">
        <f ca="1">IFERROR(__xludf.DUMMYFUNCTION("""COMPUTED_VALUE"""),51.65)</f>
        <v>51.65</v>
      </c>
      <c r="BM477" s="3">
        <f ca="1">IFERROR(__xludf.DUMMYFUNCTION("""COMPUTED_VALUE"""),51.86)</f>
        <v>51.86</v>
      </c>
      <c r="BN477" s="3">
        <f ca="1">IFERROR(__xludf.DUMMYFUNCTION("""COMPUTED_VALUE"""),25252761)</f>
        <v>25252761</v>
      </c>
    </row>
    <row r="478" spans="7:66" ht="13" x14ac:dyDescent="0.15">
      <c r="G478" s="4">
        <f ca="1">IFERROR(__xludf.DUMMYFUNCTION("""COMPUTED_VALUE"""),42817.6666666666)</f>
        <v>42817.666666666599</v>
      </c>
      <c r="H478" s="3">
        <f ca="1">IFERROR(__xludf.DUMMYFUNCTION("""COMPUTED_VALUE"""),86.3)</f>
        <v>86.3</v>
      </c>
      <c r="I478" s="3">
        <f ca="1">IFERROR(__xludf.DUMMYFUNCTION("""COMPUTED_VALUE"""),86.8)</f>
        <v>86.8</v>
      </c>
      <c r="J478" s="3">
        <f ca="1">IFERROR(__xludf.DUMMYFUNCTION("""COMPUTED_VALUE"""),86.1)</f>
        <v>86.1</v>
      </c>
      <c r="K478" s="3">
        <f ca="1">IFERROR(__xludf.DUMMYFUNCTION("""COMPUTED_VALUE"""),86.35)</f>
        <v>86.35</v>
      </c>
      <c r="L478" s="3">
        <f ca="1">IFERROR(__xludf.DUMMYFUNCTION("""COMPUTED_VALUE"""),3636969)</f>
        <v>3636969</v>
      </c>
      <c r="M478" s="4">
        <f ca="1">IFERROR(__xludf.DUMMYFUNCTION("""COMPUTED_VALUE"""),42817.6666666666)</f>
        <v>42817.666666666599</v>
      </c>
      <c r="N478" s="3">
        <f ca="1">IFERROR(__xludf.DUMMYFUNCTION("""COMPUTED_VALUE"""),54.88)</f>
        <v>54.88</v>
      </c>
      <c r="O478" s="3">
        <f ca="1">IFERROR(__xludf.DUMMYFUNCTION("""COMPUTED_VALUE"""),55.08)</f>
        <v>55.08</v>
      </c>
      <c r="P478" s="3">
        <f ca="1">IFERROR(__xludf.DUMMYFUNCTION("""COMPUTED_VALUE"""),54.72)</f>
        <v>54.72</v>
      </c>
      <c r="Q478" s="3">
        <f ca="1">IFERROR(__xludf.DUMMYFUNCTION("""COMPUTED_VALUE"""),54.81)</f>
        <v>54.81</v>
      </c>
      <c r="R478" s="3">
        <f ca="1">IFERROR(__xludf.DUMMYFUNCTION("""COMPUTED_VALUE"""),7474716)</f>
        <v>7474716</v>
      </c>
      <c r="S478" s="4">
        <f ca="1">IFERROR(__xludf.DUMMYFUNCTION("""COMPUTED_VALUE"""),42817.6666666666)</f>
        <v>42817.666666666599</v>
      </c>
      <c r="T478" s="3">
        <f ca="1">IFERROR(__xludf.DUMMYFUNCTION("""COMPUTED_VALUE"""),68.91)</f>
        <v>68.91</v>
      </c>
      <c r="U478" s="3">
        <f ca="1">IFERROR(__xludf.DUMMYFUNCTION("""COMPUTED_VALUE"""),69.42)</f>
        <v>69.42</v>
      </c>
      <c r="V478" s="3">
        <f ca="1">IFERROR(__xludf.DUMMYFUNCTION("""COMPUTED_VALUE"""),68.76)</f>
        <v>68.760000000000005</v>
      </c>
      <c r="W478" s="3">
        <f ca="1">IFERROR(__xludf.DUMMYFUNCTION("""COMPUTED_VALUE"""),68.83)</f>
        <v>68.83</v>
      </c>
      <c r="X478" s="3">
        <f ca="1">IFERROR(__xludf.DUMMYFUNCTION("""COMPUTED_VALUE"""),11800443)</f>
        <v>11800443</v>
      </c>
      <c r="Y478" s="4">
        <f ca="1">IFERROR(__xludf.DUMMYFUNCTION("""COMPUTED_VALUE"""),42817.6666666666)</f>
        <v>42817.666666666599</v>
      </c>
      <c r="Z478" s="3">
        <f ca="1">IFERROR(__xludf.DUMMYFUNCTION("""COMPUTED_VALUE"""),23.49)</f>
        <v>23.49</v>
      </c>
      <c r="AA478" s="3">
        <f ca="1">IFERROR(__xludf.DUMMYFUNCTION("""COMPUTED_VALUE"""),23.84)</f>
        <v>23.84</v>
      </c>
      <c r="AB478" s="3">
        <f ca="1">IFERROR(__xludf.DUMMYFUNCTION("""COMPUTED_VALUE"""),23.44)</f>
        <v>23.44</v>
      </c>
      <c r="AC478" s="3">
        <f ca="1">IFERROR(__xludf.DUMMYFUNCTION("""COMPUTED_VALUE"""),23.57)</f>
        <v>23.57</v>
      </c>
      <c r="AD478" s="3">
        <f ca="1">IFERROR(__xludf.DUMMYFUNCTION("""COMPUTED_VALUE"""),85238878)</f>
        <v>85238878</v>
      </c>
      <c r="AE478" s="4">
        <f ca="1">IFERROR(__xludf.DUMMYFUNCTION("""COMPUTED_VALUE"""),42817.6666666666)</f>
        <v>42817.666666666599</v>
      </c>
      <c r="AF478" s="3">
        <f ca="1">IFERROR(__xludf.DUMMYFUNCTION("""COMPUTED_VALUE"""),74.39)</f>
        <v>74.39</v>
      </c>
      <c r="AG478" s="3">
        <f ca="1">IFERROR(__xludf.DUMMYFUNCTION("""COMPUTED_VALUE"""),74.77)</f>
        <v>74.77</v>
      </c>
      <c r="AH478" s="3">
        <f ca="1">IFERROR(__xludf.DUMMYFUNCTION("""COMPUTED_VALUE"""),74.11)</f>
        <v>74.11</v>
      </c>
      <c r="AI478" s="3">
        <f ca="1">IFERROR(__xludf.DUMMYFUNCTION("""COMPUTED_VALUE"""),74.25)</f>
        <v>74.25</v>
      </c>
      <c r="AJ478" s="3">
        <f ca="1">IFERROR(__xludf.DUMMYFUNCTION("""COMPUTED_VALUE"""),13250456)</f>
        <v>13250456</v>
      </c>
      <c r="AK478" s="4">
        <f ca="1">IFERROR(__xludf.DUMMYFUNCTION("""COMPUTED_VALUE"""),42817.6666666666)</f>
        <v>42817.666666666599</v>
      </c>
      <c r="AL478" s="3">
        <f ca="1">IFERROR(__xludf.DUMMYFUNCTION("""COMPUTED_VALUE"""),64.86)</f>
        <v>64.86</v>
      </c>
      <c r="AM478" s="3">
        <f ca="1">IFERROR(__xludf.DUMMYFUNCTION("""COMPUTED_VALUE"""),65.13)</f>
        <v>65.13</v>
      </c>
      <c r="AN478" s="3">
        <f ca="1">IFERROR(__xludf.DUMMYFUNCTION("""COMPUTED_VALUE"""),64.57)</f>
        <v>64.569999999999993</v>
      </c>
      <c r="AO478" s="3">
        <f ca="1">IFERROR(__xludf.DUMMYFUNCTION("""COMPUTED_VALUE"""),64.7)</f>
        <v>64.7</v>
      </c>
      <c r="AP478" s="3">
        <f ca="1">IFERROR(__xludf.DUMMYFUNCTION("""COMPUTED_VALUE"""),10682508)</f>
        <v>10682508</v>
      </c>
      <c r="AQ478" s="4">
        <f ca="1">IFERROR(__xludf.DUMMYFUNCTION("""COMPUTED_VALUE"""),42817.6666666666)</f>
        <v>42817.666666666599</v>
      </c>
      <c r="AR478" s="3">
        <f ca="1">IFERROR(__xludf.DUMMYFUNCTION("""COMPUTED_VALUE"""),51.82)</f>
        <v>51.82</v>
      </c>
      <c r="AS478" s="3">
        <f ca="1">IFERROR(__xludf.DUMMYFUNCTION("""COMPUTED_VALUE"""),52.28)</f>
        <v>52.28</v>
      </c>
      <c r="AT478" s="3">
        <f ca="1">IFERROR(__xludf.DUMMYFUNCTION("""COMPUTED_VALUE"""),51.7)</f>
        <v>51.7</v>
      </c>
      <c r="AU478" s="3">
        <f ca="1">IFERROR(__xludf.DUMMYFUNCTION("""COMPUTED_VALUE"""),52.12)</f>
        <v>52.12</v>
      </c>
      <c r="AV478" s="3">
        <f ca="1">IFERROR(__xludf.DUMMYFUNCTION("""COMPUTED_VALUE"""),4766377)</f>
        <v>4766377</v>
      </c>
      <c r="AW478" s="4">
        <f ca="1">IFERROR(__xludf.DUMMYFUNCTION("""COMPUTED_VALUE"""),42983.6666666666)</f>
        <v>42983.666666666599</v>
      </c>
      <c r="AX478" s="3">
        <f ca="1">IFERROR(__xludf.DUMMYFUNCTION("""COMPUTED_VALUE"""),32.94)</f>
        <v>32.94</v>
      </c>
      <c r="AY478" s="3">
        <f ca="1">IFERROR(__xludf.DUMMYFUNCTION("""COMPUTED_VALUE"""),33.03)</f>
        <v>33.03</v>
      </c>
      <c r="AZ478" s="3">
        <f ca="1">IFERROR(__xludf.DUMMYFUNCTION("""COMPUTED_VALUE"""),32.69)</f>
        <v>32.69</v>
      </c>
      <c r="BA478" s="3">
        <f ca="1">IFERROR(__xludf.DUMMYFUNCTION("""COMPUTED_VALUE"""),32.89)</f>
        <v>32.89</v>
      </c>
      <c r="BB478" s="3">
        <f ca="1">IFERROR(__xludf.DUMMYFUNCTION("""COMPUTED_VALUE"""),2346245)</f>
        <v>2346245</v>
      </c>
      <c r="BC478" s="4">
        <f ca="1">IFERROR(__xludf.DUMMYFUNCTION("""COMPUTED_VALUE"""),42817.6666666666)</f>
        <v>42817.666666666599</v>
      </c>
      <c r="BD478" s="3">
        <f ca="1">IFERROR(__xludf.DUMMYFUNCTION("""COMPUTED_VALUE"""),52.86)</f>
        <v>52.86</v>
      </c>
      <c r="BE478" s="3">
        <f ca="1">IFERROR(__xludf.DUMMYFUNCTION("""COMPUTED_VALUE"""),53.02)</f>
        <v>53.02</v>
      </c>
      <c r="BF478" s="3">
        <f ca="1">IFERROR(__xludf.DUMMYFUNCTION("""COMPUTED_VALUE"""),52.72)</f>
        <v>52.72</v>
      </c>
      <c r="BG478" s="3">
        <f ca="1">IFERROR(__xludf.DUMMYFUNCTION("""COMPUTED_VALUE"""),52.8)</f>
        <v>52.8</v>
      </c>
      <c r="BH478" s="3">
        <f ca="1">IFERROR(__xludf.DUMMYFUNCTION("""COMPUTED_VALUE"""),11359352)</f>
        <v>11359352</v>
      </c>
      <c r="BI478" s="4">
        <f ca="1">IFERROR(__xludf.DUMMYFUNCTION("""COMPUTED_VALUE"""),42817.6666666666)</f>
        <v>42817.666666666599</v>
      </c>
      <c r="BJ478" s="3">
        <f ca="1">IFERROR(__xludf.DUMMYFUNCTION("""COMPUTED_VALUE"""),51.85)</f>
        <v>51.85</v>
      </c>
      <c r="BK478" s="3">
        <f ca="1">IFERROR(__xludf.DUMMYFUNCTION("""COMPUTED_VALUE"""),52.17)</f>
        <v>52.17</v>
      </c>
      <c r="BL478" s="3">
        <f ca="1">IFERROR(__xludf.DUMMYFUNCTION("""COMPUTED_VALUE"""),51.56)</f>
        <v>51.56</v>
      </c>
      <c r="BM478" s="3">
        <f ca="1">IFERROR(__xludf.DUMMYFUNCTION("""COMPUTED_VALUE"""),51.7)</f>
        <v>51.7</v>
      </c>
      <c r="BN478" s="3">
        <f ca="1">IFERROR(__xludf.DUMMYFUNCTION("""COMPUTED_VALUE"""),22565328)</f>
        <v>22565328</v>
      </c>
    </row>
    <row r="479" spans="7:66" ht="13" x14ac:dyDescent="0.15">
      <c r="G479" s="4">
        <f ca="1">IFERROR(__xludf.DUMMYFUNCTION("""COMPUTED_VALUE"""),42818.6666666666)</f>
        <v>42818.666666666599</v>
      </c>
      <c r="H479" s="3">
        <f ca="1">IFERROR(__xludf.DUMMYFUNCTION("""COMPUTED_VALUE"""),86.44)</f>
        <v>86.44</v>
      </c>
      <c r="I479" s="3">
        <f ca="1">IFERROR(__xludf.DUMMYFUNCTION("""COMPUTED_VALUE"""),86.84)</f>
        <v>86.84</v>
      </c>
      <c r="J479" s="3">
        <f ca="1">IFERROR(__xludf.DUMMYFUNCTION("""COMPUTED_VALUE"""),86.19)</f>
        <v>86.19</v>
      </c>
      <c r="K479" s="3">
        <f ca="1">IFERROR(__xludf.DUMMYFUNCTION("""COMPUTED_VALUE"""),86.56)</f>
        <v>86.56</v>
      </c>
      <c r="L479" s="3">
        <f ca="1">IFERROR(__xludf.DUMMYFUNCTION("""COMPUTED_VALUE"""),3311136)</f>
        <v>3311136</v>
      </c>
      <c r="M479" s="4">
        <f ca="1">IFERROR(__xludf.DUMMYFUNCTION("""COMPUTED_VALUE"""),42818.6666666666)</f>
        <v>42818.666666666599</v>
      </c>
      <c r="N479" s="3">
        <f ca="1">IFERROR(__xludf.DUMMYFUNCTION("""COMPUTED_VALUE"""),54.81)</f>
        <v>54.81</v>
      </c>
      <c r="O479" s="3">
        <f ca="1">IFERROR(__xludf.DUMMYFUNCTION("""COMPUTED_VALUE"""),54.89)</f>
        <v>54.89</v>
      </c>
      <c r="P479" s="3">
        <f ca="1">IFERROR(__xludf.DUMMYFUNCTION("""COMPUTED_VALUE"""),54.52)</f>
        <v>54.52</v>
      </c>
      <c r="Q479" s="3">
        <f ca="1">IFERROR(__xludf.DUMMYFUNCTION("""COMPUTED_VALUE"""),54.7)</f>
        <v>54.7</v>
      </c>
      <c r="R479" s="3">
        <f ca="1">IFERROR(__xludf.DUMMYFUNCTION("""COMPUTED_VALUE"""),8343294)</f>
        <v>8343294</v>
      </c>
      <c r="S479" s="4">
        <f ca="1">IFERROR(__xludf.DUMMYFUNCTION("""COMPUTED_VALUE"""),42818.6666666666)</f>
        <v>42818.666666666599</v>
      </c>
      <c r="T479" s="3">
        <f ca="1">IFERROR(__xludf.DUMMYFUNCTION("""COMPUTED_VALUE"""),68.93)</f>
        <v>68.930000000000007</v>
      </c>
      <c r="U479" s="3">
        <f ca="1">IFERROR(__xludf.DUMMYFUNCTION("""COMPUTED_VALUE"""),69.08)</f>
        <v>69.08</v>
      </c>
      <c r="V479" s="3">
        <f ca="1">IFERROR(__xludf.DUMMYFUNCTION("""COMPUTED_VALUE"""),68.43)</f>
        <v>68.430000000000007</v>
      </c>
      <c r="W479" s="3">
        <f ca="1">IFERROR(__xludf.DUMMYFUNCTION("""COMPUTED_VALUE"""),68.56)</f>
        <v>68.56</v>
      </c>
      <c r="X479" s="3">
        <f ca="1">IFERROR(__xludf.DUMMYFUNCTION("""COMPUTED_VALUE"""),10442476)</f>
        <v>10442476</v>
      </c>
      <c r="Y479" s="4">
        <f ca="1">IFERROR(__xludf.DUMMYFUNCTION("""COMPUTED_VALUE"""),42818.6666666666)</f>
        <v>42818.666666666599</v>
      </c>
      <c r="Z479" s="3">
        <f ca="1">IFERROR(__xludf.DUMMYFUNCTION("""COMPUTED_VALUE"""),23.61)</f>
        <v>23.61</v>
      </c>
      <c r="AA479" s="3">
        <f ca="1">IFERROR(__xludf.DUMMYFUNCTION("""COMPUTED_VALUE"""),23.73)</f>
        <v>23.73</v>
      </c>
      <c r="AB479" s="3">
        <f ca="1">IFERROR(__xludf.DUMMYFUNCTION("""COMPUTED_VALUE"""),23.38)</f>
        <v>23.38</v>
      </c>
      <c r="AC479" s="3">
        <f ca="1">IFERROR(__xludf.DUMMYFUNCTION("""COMPUTED_VALUE"""),23.54)</f>
        <v>23.54</v>
      </c>
      <c r="AD479" s="3">
        <f ca="1">IFERROR(__xludf.DUMMYFUNCTION("""COMPUTED_VALUE"""),97583434)</f>
        <v>97583434</v>
      </c>
      <c r="AE479" s="4">
        <f ca="1">IFERROR(__xludf.DUMMYFUNCTION("""COMPUTED_VALUE"""),42818.6666666666)</f>
        <v>42818.666666666599</v>
      </c>
      <c r="AF479" s="3">
        <f ca="1">IFERROR(__xludf.DUMMYFUNCTION("""COMPUTED_VALUE"""),74.29)</f>
        <v>74.290000000000006</v>
      </c>
      <c r="AG479" s="3">
        <f ca="1">IFERROR(__xludf.DUMMYFUNCTION("""COMPUTED_VALUE"""),74.62)</f>
        <v>74.62</v>
      </c>
      <c r="AH479" s="3">
        <f ca="1">IFERROR(__xludf.DUMMYFUNCTION("""COMPUTED_VALUE"""),73.98)</f>
        <v>73.98</v>
      </c>
      <c r="AI479" s="3">
        <f ca="1">IFERROR(__xludf.DUMMYFUNCTION("""COMPUTED_VALUE"""),74.29)</f>
        <v>74.290000000000006</v>
      </c>
      <c r="AJ479" s="3">
        <f ca="1">IFERROR(__xludf.DUMMYFUNCTION("""COMPUTED_VALUE"""),9229473)</f>
        <v>9229473</v>
      </c>
      <c r="AK479" s="4">
        <f ca="1">IFERROR(__xludf.DUMMYFUNCTION("""COMPUTED_VALUE"""),42818.6666666666)</f>
        <v>42818.666666666599</v>
      </c>
      <c r="AL479" s="3">
        <f ca="1">IFERROR(__xludf.DUMMYFUNCTION("""COMPUTED_VALUE"""),64.68)</f>
        <v>64.680000000000007</v>
      </c>
      <c r="AM479" s="3">
        <f ca="1">IFERROR(__xludf.DUMMYFUNCTION("""COMPUTED_VALUE"""),64.95)</f>
        <v>64.95</v>
      </c>
      <c r="AN479" s="3">
        <f ca="1">IFERROR(__xludf.DUMMYFUNCTION("""COMPUTED_VALUE"""),64.25)</f>
        <v>64.25</v>
      </c>
      <c r="AO479" s="3">
        <f ca="1">IFERROR(__xludf.DUMMYFUNCTION("""COMPUTED_VALUE"""),64.53)</f>
        <v>64.53</v>
      </c>
      <c r="AP479" s="3">
        <f ca="1">IFERROR(__xludf.DUMMYFUNCTION("""COMPUTED_VALUE"""),9924626)</f>
        <v>9924626</v>
      </c>
      <c r="AQ479" s="4">
        <f ca="1">IFERROR(__xludf.DUMMYFUNCTION("""COMPUTED_VALUE"""),42818.6666666666)</f>
        <v>42818.666666666599</v>
      </c>
      <c r="AR479" s="3">
        <f ca="1">IFERROR(__xludf.DUMMYFUNCTION("""COMPUTED_VALUE"""),52.09)</f>
        <v>52.09</v>
      </c>
      <c r="AS479" s="3">
        <f ca="1">IFERROR(__xludf.DUMMYFUNCTION("""COMPUTED_VALUE"""),52.23)</f>
        <v>52.23</v>
      </c>
      <c r="AT479" s="3">
        <f ca="1">IFERROR(__xludf.DUMMYFUNCTION("""COMPUTED_VALUE"""),51.44)</f>
        <v>51.44</v>
      </c>
      <c r="AU479" s="3">
        <f ca="1">IFERROR(__xludf.DUMMYFUNCTION("""COMPUTED_VALUE"""),51.66)</f>
        <v>51.66</v>
      </c>
      <c r="AV479" s="3">
        <f ca="1">IFERROR(__xludf.DUMMYFUNCTION("""COMPUTED_VALUE"""),6020295)</f>
        <v>6020295</v>
      </c>
      <c r="AW479" s="4">
        <f ca="1">IFERROR(__xludf.DUMMYFUNCTION("""COMPUTED_VALUE"""),42984.6666666666)</f>
        <v>42984.666666666599</v>
      </c>
      <c r="AX479" s="3">
        <f ca="1">IFERROR(__xludf.DUMMYFUNCTION("""COMPUTED_VALUE"""),32.99)</f>
        <v>32.99</v>
      </c>
      <c r="AY479" s="3">
        <f ca="1">IFERROR(__xludf.DUMMYFUNCTION("""COMPUTED_VALUE"""),33.1)</f>
        <v>33.1</v>
      </c>
      <c r="AZ479" s="3">
        <f ca="1">IFERROR(__xludf.DUMMYFUNCTION("""COMPUTED_VALUE"""),32.9)</f>
        <v>32.9</v>
      </c>
      <c r="BA479" s="3">
        <f ca="1">IFERROR(__xludf.DUMMYFUNCTION("""COMPUTED_VALUE"""),32.94)</f>
        <v>32.94</v>
      </c>
      <c r="BB479" s="3">
        <f ca="1">IFERROR(__xludf.DUMMYFUNCTION("""COMPUTED_VALUE"""),2529289)</f>
        <v>2529289</v>
      </c>
      <c r="BC479" s="4">
        <f ca="1">IFERROR(__xludf.DUMMYFUNCTION("""COMPUTED_VALUE"""),42818.6666666666)</f>
        <v>42818.666666666599</v>
      </c>
      <c r="BD479" s="3">
        <f ca="1">IFERROR(__xludf.DUMMYFUNCTION("""COMPUTED_VALUE"""),52.98)</f>
        <v>52.98</v>
      </c>
      <c r="BE479" s="3">
        <f ca="1">IFERROR(__xludf.DUMMYFUNCTION("""COMPUTED_VALUE"""),53.16)</f>
        <v>53.16</v>
      </c>
      <c r="BF479" s="3">
        <f ca="1">IFERROR(__xludf.DUMMYFUNCTION("""COMPUTED_VALUE"""),52.66)</f>
        <v>52.66</v>
      </c>
      <c r="BG479" s="3">
        <f ca="1">IFERROR(__xludf.DUMMYFUNCTION("""COMPUTED_VALUE"""),52.84)</f>
        <v>52.84</v>
      </c>
      <c r="BH479" s="3">
        <f ca="1">IFERROR(__xludf.DUMMYFUNCTION("""COMPUTED_VALUE"""),13140900)</f>
        <v>13140900</v>
      </c>
      <c r="BI479" s="4">
        <f ca="1">IFERROR(__xludf.DUMMYFUNCTION("""COMPUTED_VALUE"""),42818.6666666666)</f>
        <v>42818.666666666599</v>
      </c>
      <c r="BJ479" s="3">
        <f ca="1">IFERROR(__xludf.DUMMYFUNCTION("""COMPUTED_VALUE"""),51.73)</f>
        <v>51.73</v>
      </c>
      <c r="BK479" s="3">
        <f ca="1">IFERROR(__xludf.DUMMYFUNCTION("""COMPUTED_VALUE"""),52.08)</f>
        <v>52.08</v>
      </c>
      <c r="BL479" s="3">
        <f ca="1">IFERROR(__xludf.DUMMYFUNCTION("""COMPUTED_VALUE"""),51.6)</f>
        <v>51.6</v>
      </c>
      <c r="BM479" s="3">
        <f ca="1">IFERROR(__xludf.DUMMYFUNCTION("""COMPUTED_VALUE"""),51.89)</f>
        <v>51.89</v>
      </c>
      <c r="BN479" s="3">
        <f ca="1">IFERROR(__xludf.DUMMYFUNCTION("""COMPUTED_VALUE"""),12407130)</f>
        <v>12407130</v>
      </c>
    </row>
    <row r="480" spans="7:66" ht="13" x14ac:dyDescent="0.15">
      <c r="G480" s="4">
        <f ca="1">IFERROR(__xludf.DUMMYFUNCTION("""COMPUTED_VALUE"""),42821.6666666666)</f>
        <v>42821.666666666599</v>
      </c>
      <c r="H480" s="3">
        <f ca="1">IFERROR(__xludf.DUMMYFUNCTION("""COMPUTED_VALUE"""),86.04)</f>
        <v>86.04</v>
      </c>
      <c r="I480" s="3">
        <f ca="1">IFERROR(__xludf.DUMMYFUNCTION("""COMPUTED_VALUE"""),86.68)</f>
        <v>86.68</v>
      </c>
      <c r="J480" s="3">
        <f ca="1">IFERROR(__xludf.DUMMYFUNCTION("""COMPUTED_VALUE"""),85.71)</f>
        <v>85.71</v>
      </c>
      <c r="K480" s="3">
        <f ca="1">IFERROR(__xludf.DUMMYFUNCTION("""COMPUTED_VALUE"""),86.53)</f>
        <v>86.53</v>
      </c>
      <c r="L480" s="3">
        <f ca="1">IFERROR(__xludf.DUMMYFUNCTION("""COMPUTED_VALUE"""),4904103)</f>
        <v>4904103</v>
      </c>
      <c r="M480" s="4">
        <f ca="1">IFERROR(__xludf.DUMMYFUNCTION("""COMPUTED_VALUE"""),42821.6666666666)</f>
        <v>42821.666666666599</v>
      </c>
      <c r="N480" s="3">
        <f ca="1">IFERROR(__xludf.DUMMYFUNCTION("""COMPUTED_VALUE"""),54.5)</f>
        <v>54.5</v>
      </c>
      <c r="O480" s="3">
        <f ca="1">IFERROR(__xludf.DUMMYFUNCTION("""COMPUTED_VALUE"""),54.72)</f>
        <v>54.72</v>
      </c>
      <c r="P480" s="3">
        <f ca="1">IFERROR(__xludf.DUMMYFUNCTION("""COMPUTED_VALUE"""),54.41)</f>
        <v>54.41</v>
      </c>
      <c r="Q480" s="3">
        <f ca="1">IFERROR(__xludf.DUMMYFUNCTION("""COMPUTED_VALUE"""),54.65)</f>
        <v>54.65</v>
      </c>
      <c r="R480" s="3">
        <f ca="1">IFERROR(__xludf.DUMMYFUNCTION("""COMPUTED_VALUE"""),5739464)</f>
        <v>5739464</v>
      </c>
      <c r="S480" s="4">
        <f ca="1">IFERROR(__xludf.DUMMYFUNCTION("""COMPUTED_VALUE"""),42821.6666666666)</f>
        <v>42821.666666666599</v>
      </c>
      <c r="T480" s="3">
        <f ca="1">IFERROR(__xludf.DUMMYFUNCTION("""COMPUTED_VALUE"""),67.91)</f>
        <v>67.91</v>
      </c>
      <c r="U480" s="3">
        <f ca="1">IFERROR(__xludf.DUMMYFUNCTION("""COMPUTED_VALUE"""),68.43)</f>
        <v>68.430000000000007</v>
      </c>
      <c r="V480" s="3">
        <f ca="1">IFERROR(__xludf.DUMMYFUNCTION("""COMPUTED_VALUE"""),67.86)</f>
        <v>67.86</v>
      </c>
      <c r="W480" s="3">
        <f ca="1">IFERROR(__xludf.DUMMYFUNCTION("""COMPUTED_VALUE"""),68.24)</f>
        <v>68.239999999999995</v>
      </c>
      <c r="X480" s="3">
        <f ca="1">IFERROR(__xludf.DUMMYFUNCTION("""COMPUTED_VALUE"""),11491252)</f>
        <v>11491252</v>
      </c>
      <c r="Y480" s="4">
        <f ca="1">IFERROR(__xludf.DUMMYFUNCTION("""COMPUTED_VALUE"""),42821.6666666666)</f>
        <v>42821.666666666599</v>
      </c>
      <c r="Z480" s="3">
        <f ca="1">IFERROR(__xludf.DUMMYFUNCTION("""COMPUTED_VALUE"""),23.04)</f>
        <v>23.04</v>
      </c>
      <c r="AA480" s="3">
        <f ca="1">IFERROR(__xludf.DUMMYFUNCTION("""COMPUTED_VALUE"""),23.46)</f>
        <v>23.46</v>
      </c>
      <c r="AB480" s="3">
        <f ca="1">IFERROR(__xludf.DUMMYFUNCTION("""COMPUTED_VALUE"""),22.98)</f>
        <v>22.98</v>
      </c>
      <c r="AC480" s="3">
        <f ca="1">IFERROR(__xludf.DUMMYFUNCTION("""COMPUTED_VALUE"""),23.45)</f>
        <v>23.45</v>
      </c>
      <c r="AD480" s="3">
        <f ca="1">IFERROR(__xludf.DUMMYFUNCTION("""COMPUTED_VALUE"""),103962988)</f>
        <v>103962988</v>
      </c>
      <c r="AE480" s="4">
        <f ca="1">IFERROR(__xludf.DUMMYFUNCTION("""COMPUTED_VALUE"""),42821.6666666666)</f>
        <v>42821.666666666599</v>
      </c>
      <c r="AF480" s="3">
        <f ca="1">IFERROR(__xludf.DUMMYFUNCTION("""COMPUTED_VALUE"""),73.76)</f>
        <v>73.760000000000005</v>
      </c>
      <c r="AG480" s="3">
        <f ca="1">IFERROR(__xludf.DUMMYFUNCTION("""COMPUTED_VALUE"""),74.62)</f>
        <v>74.62</v>
      </c>
      <c r="AH480" s="3">
        <f ca="1">IFERROR(__xludf.DUMMYFUNCTION("""COMPUTED_VALUE"""),73.62)</f>
        <v>73.62</v>
      </c>
      <c r="AI480" s="3">
        <f ca="1">IFERROR(__xludf.DUMMYFUNCTION("""COMPUTED_VALUE"""),74.49)</f>
        <v>74.489999999999995</v>
      </c>
      <c r="AJ480" s="3">
        <f ca="1">IFERROR(__xludf.DUMMYFUNCTION("""COMPUTED_VALUE"""),6946344)</f>
        <v>6946344</v>
      </c>
      <c r="AK480" s="4">
        <f ca="1">IFERROR(__xludf.DUMMYFUNCTION("""COMPUTED_VALUE"""),42821.6666666666)</f>
        <v>42821.666666666599</v>
      </c>
      <c r="AL480" s="3">
        <f ca="1">IFERROR(__xludf.DUMMYFUNCTION("""COMPUTED_VALUE"""),63.91)</f>
        <v>63.91</v>
      </c>
      <c r="AM480" s="3">
        <f ca="1">IFERROR(__xludf.DUMMYFUNCTION("""COMPUTED_VALUE"""),64.42)</f>
        <v>64.42</v>
      </c>
      <c r="AN480" s="3">
        <f ca="1">IFERROR(__xludf.DUMMYFUNCTION("""COMPUTED_VALUE"""),63.55)</f>
        <v>63.55</v>
      </c>
      <c r="AO480" s="3">
        <f ca="1">IFERROR(__xludf.DUMMYFUNCTION("""COMPUTED_VALUE"""),64.3)</f>
        <v>64.3</v>
      </c>
      <c r="AP480" s="3">
        <f ca="1">IFERROR(__xludf.DUMMYFUNCTION("""COMPUTED_VALUE"""),11711951)</f>
        <v>11711951</v>
      </c>
      <c r="AQ480" s="4">
        <f ca="1">IFERROR(__xludf.DUMMYFUNCTION("""COMPUTED_VALUE"""),42821.6666666666)</f>
        <v>42821.666666666599</v>
      </c>
      <c r="AR480" s="3">
        <f ca="1">IFERROR(__xludf.DUMMYFUNCTION("""COMPUTED_VALUE"""),51.17)</f>
        <v>51.17</v>
      </c>
      <c r="AS480" s="3">
        <f ca="1">IFERROR(__xludf.DUMMYFUNCTION("""COMPUTED_VALUE"""),51.87)</f>
        <v>51.87</v>
      </c>
      <c r="AT480" s="3">
        <f ca="1">IFERROR(__xludf.DUMMYFUNCTION("""COMPUTED_VALUE"""),51.04)</f>
        <v>51.04</v>
      </c>
      <c r="AU480" s="3">
        <f ca="1">IFERROR(__xludf.DUMMYFUNCTION("""COMPUTED_VALUE"""),51.77)</f>
        <v>51.77</v>
      </c>
      <c r="AV480" s="3">
        <f ca="1">IFERROR(__xludf.DUMMYFUNCTION("""COMPUTED_VALUE"""),4288885)</f>
        <v>4288885</v>
      </c>
      <c r="AW480" s="4">
        <f ca="1">IFERROR(__xludf.DUMMYFUNCTION("""COMPUTED_VALUE"""),42985.6666666666)</f>
        <v>42985.666666666599</v>
      </c>
      <c r="AX480" s="3">
        <f ca="1">IFERROR(__xludf.DUMMYFUNCTION("""COMPUTED_VALUE"""),32.99)</f>
        <v>32.99</v>
      </c>
      <c r="AY480" s="3">
        <f ca="1">IFERROR(__xludf.DUMMYFUNCTION("""COMPUTED_VALUE"""),33.26)</f>
        <v>33.26</v>
      </c>
      <c r="AZ480" s="3">
        <f ca="1">IFERROR(__xludf.DUMMYFUNCTION("""COMPUTED_VALUE"""),32.94)</f>
        <v>32.94</v>
      </c>
      <c r="BA480" s="3">
        <f ca="1">IFERROR(__xludf.DUMMYFUNCTION("""COMPUTED_VALUE"""),33.19)</f>
        <v>33.19</v>
      </c>
      <c r="BB480" s="3">
        <f ca="1">IFERROR(__xludf.DUMMYFUNCTION("""COMPUTED_VALUE"""),1652728)</f>
        <v>1652728</v>
      </c>
      <c r="BC480" s="4">
        <f ca="1">IFERROR(__xludf.DUMMYFUNCTION("""COMPUTED_VALUE"""),42821.6666666666)</f>
        <v>42821.666666666599</v>
      </c>
      <c r="BD480" s="3">
        <f ca="1">IFERROR(__xludf.DUMMYFUNCTION("""COMPUTED_VALUE"""),52.4)</f>
        <v>52.4</v>
      </c>
      <c r="BE480" s="3">
        <f ca="1">IFERROR(__xludf.DUMMYFUNCTION("""COMPUTED_VALUE"""),52.95)</f>
        <v>52.95</v>
      </c>
      <c r="BF480" s="3">
        <f ca="1">IFERROR(__xludf.DUMMYFUNCTION("""COMPUTED_VALUE"""),52.33)</f>
        <v>52.33</v>
      </c>
      <c r="BG480" s="3">
        <f ca="1">IFERROR(__xludf.DUMMYFUNCTION("""COMPUTED_VALUE"""),52.84)</f>
        <v>52.84</v>
      </c>
      <c r="BH480" s="3">
        <f ca="1">IFERROR(__xludf.DUMMYFUNCTION("""COMPUTED_VALUE"""),6845008)</f>
        <v>6845008</v>
      </c>
      <c r="BI480" s="4">
        <f ca="1">IFERROR(__xludf.DUMMYFUNCTION("""COMPUTED_VALUE"""),42821.6666666666)</f>
        <v>42821.666666666599</v>
      </c>
      <c r="BJ480" s="3">
        <f ca="1">IFERROR(__xludf.DUMMYFUNCTION("""COMPUTED_VALUE"""),52.1)</f>
        <v>52.1</v>
      </c>
      <c r="BK480" s="3">
        <f ca="1">IFERROR(__xludf.DUMMYFUNCTION("""COMPUTED_VALUE"""),52.21)</f>
        <v>52.21</v>
      </c>
      <c r="BL480" s="3">
        <f ca="1">IFERROR(__xludf.DUMMYFUNCTION("""COMPUTED_VALUE"""),51.49)</f>
        <v>51.49</v>
      </c>
      <c r="BM480" s="3">
        <f ca="1">IFERROR(__xludf.DUMMYFUNCTION("""COMPUTED_VALUE"""),51.69)</f>
        <v>51.69</v>
      </c>
      <c r="BN480" s="3">
        <f ca="1">IFERROR(__xludf.DUMMYFUNCTION("""COMPUTED_VALUE"""),11821399)</f>
        <v>11821399</v>
      </c>
    </row>
    <row r="481" spans="7:66" ht="13" x14ac:dyDescent="0.15">
      <c r="G481" s="4">
        <f ca="1">IFERROR(__xludf.DUMMYFUNCTION("""COMPUTED_VALUE"""),42822.6666666666)</f>
        <v>42822.666666666599</v>
      </c>
      <c r="H481" s="3">
        <f ca="1">IFERROR(__xludf.DUMMYFUNCTION("""COMPUTED_VALUE"""),86.52)</f>
        <v>86.52</v>
      </c>
      <c r="I481" s="3">
        <f ca="1">IFERROR(__xludf.DUMMYFUNCTION("""COMPUTED_VALUE"""),87.38)</f>
        <v>87.38</v>
      </c>
      <c r="J481" s="3">
        <f ca="1">IFERROR(__xludf.DUMMYFUNCTION("""COMPUTED_VALUE"""),86.37)</f>
        <v>86.37</v>
      </c>
      <c r="K481" s="3">
        <f ca="1">IFERROR(__xludf.DUMMYFUNCTION("""COMPUTED_VALUE"""),87.19)</f>
        <v>87.19</v>
      </c>
      <c r="L481" s="3">
        <f ca="1">IFERROR(__xludf.DUMMYFUNCTION("""COMPUTED_VALUE"""),4155009)</f>
        <v>4155009</v>
      </c>
      <c r="M481" s="4">
        <f ca="1">IFERROR(__xludf.DUMMYFUNCTION("""COMPUTED_VALUE"""),42822.6666666666)</f>
        <v>42822.666666666599</v>
      </c>
      <c r="N481" s="3">
        <f ca="1">IFERROR(__xludf.DUMMYFUNCTION("""COMPUTED_VALUE"""),54.45)</f>
        <v>54.45</v>
      </c>
      <c r="O481" s="3">
        <f ca="1">IFERROR(__xludf.DUMMYFUNCTION("""COMPUTED_VALUE"""),54.89)</f>
        <v>54.89</v>
      </c>
      <c r="P481" s="3">
        <f ca="1">IFERROR(__xludf.DUMMYFUNCTION("""COMPUTED_VALUE"""),54.45)</f>
        <v>54.45</v>
      </c>
      <c r="Q481" s="3">
        <f ca="1">IFERROR(__xludf.DUMMYFUNCTION("""COMPUTED_VALUE"""),54.75)</f>
        <v>54.75</v>
      </c>
      <c r="R481" s="3">
        <f ca="1">IFERROR(__xludf.DUMMYFUNCTION("""COMPUTED_VALUE"""),8810225)</f>
        <v>8810225</v>
      </c>
      <c r="S481" s="4">
        <f ca="1">IFERROR(__xludf.DUMMYFUNCTION("""COMPUTED_VALUE"""),42822.6666666666)</f>
        <v>42822.666666666599</v>
      </c>
      <c r="T481" s="3">
        <f ca="1">IFERROR(__xludf.DUMMYFUNCTION("""COMPUTED_VALUE"""),68.34)</f>
        <v>68.34</v>
      </c>
      <c r="U481" s="3">
        <f ca="1">IFERROR(__xludf.DUMMYFUNCTION("""COMPUTED_VALUE"""),69.38)</f>
        <v>69.38</v>
      </c>
      <c r="V481" s="3">
        <f ca="1">IFERROR(__xludf.DUMMYFUNCTION("""COMPUTED_VALUE"""),68.18)</f>
        <v>68.180000000000007</v>
      </c>
      <c r="W481" s="3">
        <f ca="1">IFERROR(__xludf.DUMMYFUNCTION("""COMPUTED_VALUE"""),69.21)</f>
        <v>69.209999999999994</v>
      </c>
      <c r="X481" s="3">
        <f ca="1">IFERROR(__xludf.DUMMYFUNCTION("""COMPUTED_VALUE"""),27922593)</f>
        <v>27922593</v>
      </c>
      <c r="Y481" s="4">
        <f ca="1">IFERROR(__xludf.DUMMYFUNCTION("""COMPUTED_VALUE"""),42822.6666666666)</f>
        <v>42822.666666666599</v>
      </c>
      <c r="Z481" s="3">
        <f ca="1">IFERROR(__xludf.DUMMYFUNCTION("""COMPUTED_VALUE"""),23.37)</f>
        <v>23.37</v>
      </c>
      <c r="AA481" s="3">
        <f ca="1">IFERROR(__xludf.DUMMYFUNCTION("""COMPUTED_VALUE"""),23.86)</f>
        <v>23.86</v>
      </c>
      <c r="AB481" s="3">
        <f ca="1">IFERROR(__xludf.DUMMYFUNCTION("""COMPUTED_VALUE"""),23.37)</f>
        <v>23.37</v>
      </c>
      <c r="AC481" s="3">
        <f ca="1">IFERROR(__xludf.DUMMYFUNCTION("""COMPUTED_VALUE"""),23.77)</f>
        <v>23.77</v>
      </c>
      <c r="AD481" s="3">
        <f ca="1">IFERROR(__xludf.DUMMYFUNCTION("""COMPUTED_VALUE"""),82301069)</f>
        <v>82301069</v>
      </c>
      <c r="AE481" s="4">
        <f ca="1">IFERROR(__xludf.DUMMYFUNCTION("""COMPUTED_VALUE"""),42822.6666666666)</f>
        <v>42822.666666666599</v>
      </c>
      <c r="AF481" s="3">
        <f ca="1">IFERROR(__xludf.DUMMYFUNCTION("""COMPUTED_VALUE"""),74.34)</f>
        <v>74.34</v>
      </c>
      <c r="AG481" s="3">
        <f ca="1">IFERROR(__xludf.DUMMYFUNCTION("""COMPUTED_VALUE"""),74.64)</f>
        <v>74.64</v>
      </c>
      <c r="AH481" s="3">
        <f ca="1">IFERROR(__xludf.DUMMYFUNCTION("""COMPUTED_VALUE"""),74.11)</f>
        <v>74.11</v>
      </c>
      <c r="AI481" s="3">
        <f ca="1">IFERROR(__xludf.DUMMYFUNCTION("""COMPUTED_VALUE"""),74.54)</f>
        <v>74.540000000000006</v>
      </c>
      <c r="AJ481" s="3">
        <f ca="1">IFERROR(__xludf.DUMMYFUNCTION("""COMPUTED_VALUE"""),7392285)</f>
        <v>7392285</v>
      </c>
      <c r="AK481" s="4">
        <f ca="1">IFERROR(__xludf.DUMMYFUNCTION("""COMPUTED_VALUE"""),42822.6666666666)</f>
        <v>42822.666666666599</v>
      </c>
      <c r="AL481" s="3">
        <f ca="1">IFERROR(__xludf.DUMMYFUNCTION("""COMPUTED_VALUE"""),64.1)</f>
        <v>64.099999999999994</v>
      </c>
      <c r="AM481" s="3">
        <f ca="1">IFERROR(__xludf.DUMMYFUNCTION("""COMPUTED_VALUE"""),65.19)</f>
        <v>65.19</v>
      </c>
      <c r="AN481" s="3">
        <f ca="1">IFERROR(__xludf.DUMMYFUNCTION("""COMPUTED_VALUE"""),64.1)</f>
        <v>64.099999999999994</v>
      </c>
      <c r="AO481" s="3">
        <f ca="1">IFERROR(__xludf.DUMMYFUNCTION("""COMPUTED_VALUE"""),64.98)</f>
        <v>64.98</v>
      </c>
      <c r="AP481" s="3">
        <f ca="1">IFERROR(__xludf.DUMMYFUNCTION("""COMPUTED_VALUE"""),8972986)</f>
        <v>8972986</v>
      </c>
      <c r="AQ481" s="4">
        <f ca="1">IFERROR(__xludf.DUMMYFUNCTION("""COMPUTED_VALUE"""),42822.6666666666)</f>
        <v>42822.666666666599</v>
      </c>
      <c r="AR481" s="3">
        <f ca="1">IFERROR(__xludf.DUMMYFUNCTION("""COMPUTED_VALUE"""),51.84)</f>
        <v>51.84</v>
      </c>
      <c r="AS481" s="3">
        <f ca="1">IFERROR(__xludf.DUMMYFUNCTION("""COMPUTED_VALUE"""),52.55)</f>
        <v>52.55</v>
      </c>
      <c r="AT481" s="3">
        <f ca="1">IFERROR(__xludf.DUMMYFUNCTION("""COMPUTED_VALUE"""),51.71)</f>
        <v>51.71</v>
      </c>
      <c r="AU481" s="3">
        <f ca="1">IFERROR(__xludf.DUMMYFUNCTION("""COMPUTED_VALUE"""),52.37)</f>
        <v>52.37</v>
      </c>
      <c r="AV481" s="3">
        <f ca="1">IFERROR(__xludf.DUMMYFUNCTION("""COMPUTED_VALUE"""),3933585)</f>
        <v>3933585</v>
      </c>
      <c r="AW481" s="4">
        <f ca="1">IFERROR(__xludf.DUMMYFUNCTION("""COMPUTED_VALUE"""),42986.6666666666)</f>
        <v>42986.666666666599</v>
      </c>
      <c r="AX481" s="3">
        <f ca="1">IFERROR(__xludf.DUMMYFUNCTION("""COMPUTED_VALUE"""),33.15)</f>
        <v>33.15</v>
      </c>
      <c r="AY481" s="3">
        <f ca="1">IFERROR(__xludf.DUMMYFUNCTION("""COMPUTED_VALUE"""),33.32)</f>
        <v>33.32</v>
      </c>
      <c r="AZ481" s="3">
        <f ca="1">IFERROR(__xludf.DUMMYFUNCTION("""COMPUTED_VALUE"""),33.08)</f>
        <v>33.08</v>
      </c>
      <c r="BA481" s="3">
        <f ca="1">IFERROR(__xludf.DUMMYFUNCTION("""COMPUTED_VALUE"""),33.2)</f>
        <v>33.200000000000003</v>
      </c>
      <c r="BB481" s="3">
        <f ca="1">IFERROR(__xludf.DUMMYFUNCTION("""COMPUTED_VALUE"""),1102131)</f>
        <v>1102131</v>
      </c>
      <c r="BC481" s="4">
        <f ca="1">IFERROR(__xludf.DUMMYFUNCTION("""COMPUTED_VALUE"""),42822.6666666666)</f>
        <v>42822.666666666599</v>
      </c>
      <c r="BD481" s="3">
        <f ca="1">IFERROR(__xludf.DUMMYFUNCTION("""COMPUTED_VALUE"""),52.79)</f>
        <v>52.79</v>
      </c>
      <c r="BE481" s="3">
        <f ca="1">IFERROR(__xludf.DUMMYFUNCTION("""COMPUTED_VALUE"""),53.34)</f>
        <v>53.34</v>
      </c>
      <c r="BF481" s="3">
        <f ca="1">IFERROR(__xludf.DUMMYFUNCTION("""COMPUTED_VALUE"""),52.7)</f>
        <v>52.7</v>
      </c>
      <c r="BG481" s="3">
        <f ca="1">IFERROR(__xludf.DUMMYFUNCTION("""COMPUTED_VALUE"""),53.22)</f>
        <v>53.22</v>
      </c>
      <c r="BH481" s="3">
        <f ca="1">IFERROR(__xludf.DUMMYFUNCTION("""COMPUTED_VALUE"""),8453958)</f>
        <v>8453958</v>
      </c>
      <c r="BI481" s="4">
        <f ca="1">IFERROR(__xludf.DUMMYFUNCTION("""COMPUTED_VALUE"""),42822.6666666666)</f>
        <v>42822.666666666599</v>
      </c>
      <c r="BJ481" s="3">
        <f ca="1">IFERROR(__xludf.DUMMYFUNCTION("""COMPUTED_VALUE"""),51.68)</f>
        <v>51.68</v>
      </c>
      <c r="BK481" s="3">
        <f ca="1">IFERROR(__xludf.DUMMYFUNCTION("""COMPUTED_VALUE"""),51.74)</f>
        <v>51.74</v>
      </c>
      <c r="BL481" s="3">
        <f ca="1">IFERROR(__xludf.DUMMYFUNCTION("""COMPUTED_VALUE"""),51.42)</f>
        <v>51.42</v>
      </c>
      <c r="BM481" s="3">
        <f ca="1">IFERROR(__xludf.DUMMYFUNCTION("""COMPUTED_VALUE"""),51.65)</f>
        <v>51.65</v>
      </c>
      <c r="BN481" s="3">
        <f ca="1">IFERROR(__xludf.DUMMYFUNCTION("""COMPUTED_VALUE"""),8477840)</f>
        <v>8477840</v>
      </c>
    </row>
    <row r="482" spans="7:66" ht="13" x14ac:dyDescent="0.15">
      <c r="G482" s="4">
        <f ca="1">IFERROR(__xludf.DUMMYFUNCTION("""COMPUTED_VALUE"""),42823.6666666666)</f>
        <v>42823.666666666599</v>
      </c>
      <c r="H482" s="3">
        <f ca="1">IFERROR(__xludf.DUMMYFUNCTION("""COMPUTED_VALUE"""),87.19)</f>
        <v>87.19</v>
      </c>
      <c r="I482" s="3">
        <f ca="1">IFERROR(__xludf.DUMMYFUNCTION("""COMPUTED_VALUE"""),87.77)</f>
        <v>87.77</v>
      </c>
      <c r="J482" s="3">
        <f ca="1">IFERROR(__xludf.DUMMYFUNCTION("""COMPUTED_VALUE"""),87.1)</f>
        <v>87.1</v>
      </c>
      <c r="K482" s="3">
        <f ca="1">IFERROR(__xludf.DUMMYFUNCTION("""COMPUTED_VALUE"""),87.71)</f>
        <v>87.71</v>
      </c>
      <c r="L482" s="3">
        <f ca="1">IFERROR(__xludf.DUMMYFUNCTION("""COMPUTED_VALUE"""),4561723)</f>
        <v>4561723</v>
      </c>
      <c r="M482" s="4">
        <f ca="1">IFERROR(__xludf.DUMMYFUNCTION("""COMPUTED_VALUE"""),42823.6666666666)</f>
        <v>42823.666666666599</v>
      </c>
      <c r="N482" s="3">
        <f ca="1">IFERROR(__xludf.DUMMYFUNCTION("""COMPUTED_VALUE"""),54.7)</f>
        <v>54.7</v>
      </c>
      <c r="O482" s="3">
        <f ca="1">IFERROR(__xludf.DUMMYFUNCTION("""COMPUTED_VALUE"""),54.92)</f>
        <v>54.92</v>
      </c>
      <c r="P482" s="3">
        <f ca="1">IFERROR(__xludf.DUMMYFUNCTION("""COMPUTED_VALUE"""),54.66)</f>
        <v>54.66</v>
      </c>
      <c r="Q482" s="3">
        <f ca="1">IFERROR(__xludf.DUMMYFUNCTION("""COMPUTED_VALUE"""),54.85)</f>
        <v>54.85</v>
      </c>
      <c r="R482" s="3">
        <f ca="1">IFERROR(__xludf.DUMMYFUNCTION("""COMPUTED_VALUE"""),5558224)</f>
        <v>5558224</v>
      </c>
      <c r="S482" s="4">
        <f ca="1">IFERROR(__xludf.DUMMYFUNCTION("""COMPUTED_VALUE"""),42823.6666666666)</f>
        <v>42823.666666666599</v>
      </c>
      <c r="T482" s="3">
        <f ca="1">IFERROR(__xludf.DUMMYFUNCTION("""COMPUTED_VALUE"""),69.2)</f>
        <v>69.2</v>
      </c>
      <c r="U482" s="3">
        <f ca="1">IFERROR(__xludf.DUMMYFUNCTION("""COMPUTED_VALUE"""),70.28)</f>
        <v>70.28</v>
      </c>
      <c r="V482" s="3">
        <f ca="1">IFERROR(__xludf.DUMMYFUNCTION("""COMPUTED_VALUE"""),69.01)</f>
        <v>69.010000000000005</v>
      </c>
      <c r="W482" s="3">
        <f ca="1">IFERROR(__xludf.DUMMYFUNCTION("""COMPUTED_VALUE"""),70.16)</f>
        <v>70.16</v>
      </c>
      <c r="X482" s="3">
        <f ca="1">IFERROR(__xludf.DUMMYFUNCTION("""COMPUTED_VALUE"""),18575200)</f>
        <v>18575200</v>
      </c>
      <c r="Y482" s="4">
        <f ca="1">IFERROR(__xludf.DUMMYFUNCTION("""COMPUTED_VALUE"""),42823.6666666666)</f>
        <v>42823.666666666599</v>
      </c>
      <c r="Z482" s="3">
        <f ca="1">IFERROR(__xludf.DUMMYFUNCTION("""COMPUTED_VALUE"""),23.73)</f>
        <v>23.73</v>
      </c>
      <c r="AA482" s="3">
        <f ca="1">IFERROR(__xludf.DUMMYFUNCTION("""COMPUTED_VALUE"""),23.77)</f>
        <v>23.77</v>
      </c>
      <c r="AB482" s="3">
        <f ca="1">IFERROR(__xludf.DUMMYFUNCTION("""COMPUTED_VALUE"""),23.6)</f>
        <v>23.6</v>
      </c>
      <c r="AC482" s="3">
        <f ca="1">IFERROR(__xludf.DUMMYFUNCTION("""COMPUTED_VALUE"""),23.62)</f>
        <v>23.62</v>
      </c>
      <c r="AD482" s="3">
        <f ca="1">IFERROR(__xludf.DUMMYFUNCTION("""COMPUTED_VALUE"""),76524085)</f>
        <v>76524085</v>
      </c>
      <c r="AE482" s="4">
        <f ca="1">IFERROR(__xludf.DUMMYFUNCTION("""COMPUTED_VALUE"""),42823.6666666666)</f>
        <v>42823.666666666599</v>
      </c>
      <c r="AF482" s="3">
        <f ca="1">IFERROR(__xludf.DUMMYFUNCTION("""COMPUTED_VALUE"""),74.57)</f>
        <v>74.569999999999993</v>
      </c>
      <c r="AG482" s="3">
        <f ca="1">IFERROR(__xludf.DUMMYFUNCTION("""COMPUTED_VALUE"""),74.74)</f>
        <v>74.739999999999995</v>
      </c>
      <c r="AH482" s="3">
        <f ca="1">IFERROR(__xludf.DUMMYFUNCTION("""COMPUTED_VALUE"""),74.39)</f>
        <v>74.39</v>
      </c>
      <c r="AI482" s="3">
        <f ca="1">IFERROR(__xludf.DUMMYFUNCTION("""COMPUTED_VALUE"""),74.56)</f>
        <v>74.56</v>
      </c>
      <c r="AJ482" s="3">
        <f ca="1">IFERROR(__xludf.DUMMYFUNCTION("""COMPUTED_VALUE"""),4357827)</f>
        <v>4357827</v>
      </c>
      <c r="AK482" s="4">
        <f ca="1">IFERROR(__xludf.DUMMYFUNCTION("""COMPUTED_VALUE"""),42823.6666666666)</f>
        <v>42823.666666666599</v>
      </c>
      <c r="AL482" s="3">
        <f ca="1">IFERROR(__xludf.DUMMYFUNCTION("""COMPUTED_VALUE"""),64.91)</f>
        <v>64.91</v>
      </c>
      <c r="AM482" s="3">
        <f ca="1">IFERROR(__xludf.DUMMYFUNCTION("""COMPUTED_VALUE"""),65.03)</f>
        <v>65.03</v>
      </c>
      <c r="AN482" s="3">
        <f ca="1">IFERROR(__xludf.DUMMYFUNCTION("""COMPUTED_VALUE"""),64.74)</f>
        <v>64.739999999999995</v>
      </c>
      <c r="AO482" s="3">
        <f ca="1">IFERROR(__xludf.DUMMYFUNCTION("""COMPUTED_VALUE"""),64.97)</f>
        <v>64.97</v>
      </c>
      <c r="AP482" s="3">
        <f ca="1">IFERROR(__xludf.DUMMYFUNCTION("""COMPUTED_VALUE"""),8300971)</f>
        <v>8300971</v>
      </c>
      <c r="AQ482" s="4">
        <f ca="1">IFERROR(__xludf.DUMMYFUNCTION("""COMPUTED_VALUE"""),42823.6666666666)</f>
        <v>42823.666666666599</v>
      </c>
      <c r="AR482" s="3">
        <f ca="1">IFERROR(__xludf.DUMMYFUNCTION("""COMPUTED_VALUE"""),52.29)</f>
        <v>52.29</v>
      </c>
      <c r="AS482" s="3">
        <f ca="1">IFERROR(__xludf.DUMMYFUNCTION("""COMPUTED_VALUE"""),52.55)</f>
        <v>52.55</v>
      </c>
      <c r="AT482" s="3">
        <f ca="1">IFERROR(__xludf.DUMMYFUNCTION("""COMPUTED_VALUE"""),52.23)</f>
        <v>52.23</v>
      </c>
      <c r="AU482" s="3">
        <f ca="1">IFERROR(__xludf.DUMMYFUNCTION("""COMPUTED_VALUE"""),52.41)</f>
        <v>52.41</v>
      </c>
      <c r="AV482" s="3">
        <f ca="1">IFERROR(__xludf.DUMMYFUNCTION("""COMPUTED_VALUE"""),3011362)</f>
        <v>3011362</v>
      </c>
      <c r="AW482" s="4">
        <f ca="1">IFERROR(__xludf.DUMMYFUNCTION("""COMPUTED_VALUE"""),42989.6666666666)</f>
        <v>42989.666666666599</v>
      </c>
      <c r="AX482" s="3">
        <f ca="1">IFERROR(__xludf.DUMMYFUNCTION("""COMPUTED_VALUE"""),33.23)</f>
        <v>33.229999999999997</v>
      </c>
      <c r="AY482" s="3">
        <f ca="1">IFERROR(__xludf.DUMMYFUNCTION("""COMPUTED_VALUE"""),33.46)</f>
        <v>33.46</v>
      </c>
      <c r="AZ482" s="3">
        <f ca="1">IFERROR(__xludf.DUMMYFUNCTION("""COMPUTED_VALUE"""),33.23)</f>
        <v>33.229999999999997</v>
      </c>
      <c r="BA482" s="3">
        <f ca="1">IFERROR(__xludf.DUMMYFUNCTION("""COMPUTED_VALUE"""),33.44)</f>
        <v>33.44</v>
      </c>
      <c r="BB482" s="3">
        <f ca="1">IFERROR(__xludf.DUMMYFUNCTION("""COMPUTED_VALUE"""),1267457)</f>
        <v>1267457</v>
      </c>
      <c r="BC482" s="4">
        <f ca="1">IFERROR(__xludf.DUMMYFUNCTION("""COMPUTED_VALUE"""),42823.6666666666)</f>
        <v>42823.666666666599</v>
      </c>
      <c r="BD482" s="3">
        <f ca="1">IFERROR(__xludf.DUMMYFUNCTION("""COMPUTED_VALUE"""),53.2)</f>
        <v>53.2</v>
      </c>
      <c r="BE482" s="3">
        <f ca="1">IFERROR(__xludf.DUMMYFUNCTION("""COMPUTED_VALUE"""),53.34)</f>
        <v>53.34</v>
      </c>
      <c r="BF482" s="3">
        <f ca="1">IFERROR(__xludf.DUMMYFUNCTION("""COMPUTED_VALUE"""),53.08)</f>
        <v>53.08</v>
      </c>
      <c r="BG482" s="3">
        <f ca="1">IFERROR(__xludf.DUMMYFUNCTION("""COMPUTED_VALUE"""),53.31)</f>
        <v>53.31</v>
      </c>
      <c r="BH482" s="3">
        <f ca="1">IFERROR(__xludf.DUMMYFUNCTION("""COMPUTED_VALUE"""),5705132)</f>
        <v>5705132</v>
      </c>
      <c r="BI482" s="4">
        <f ca="1">IFERROR(__xludf.DUMMYFUNCTION("""COMPUTED_VALUE"""),42823.6666666666)</f>
        <v>42823.666666666599</v>
      </c>
      <c r="BJ482" s="3">
        <f ca="1">IFERROR(__xludf.DUMMYFUNCTION("""COMPUTED_VALUE"""),51.63)</f>
        <v>51.63</v>
      </c>
      <c r="BK482" s="3">
        <f ca="1">IFERROR(__xludf.DUMMYFUNCTION("""COMPUTED_VALUE"""),51.68)</f>
        <v>51.68</v>
      </c>
      <c r="BL482" s="3">
        <f ca="1">IFERROR(__xludf.DUMMYFUNCTION("""COMPUTED_VALUE"""),51.29)</f>
        <v>51.29</v>
      </c>
      <c r="BM482" s="3">
        <f ca="1">IFERROR(__xludf.DUMMYFUNCTION("""COMPUTED_VALUE"""),51.51)</f>
        <v>51.51</v>
      </c>
      <c r="BN482" s="3">
        <f ca="1">IFERROR(__xludf.DUMMYFUNCTION("""COMPUTED_VALUE"""),6955498)</f>
        <v>6955498</v>
      </c>
    </row>
    <row r="483" spans="7:66" ht="13" x14ac:dyDescent="0.15">
      <c r="G483" s="4">
        <f ca="1">IFERROR(__xludf.DUMMYFUNCTION("""COMPUTED_VALUE"""),42824.6666666666)</f>
        <v>42824.666666666599</v>
      </c>
      <c r="H483" s="3">
        <f ca="1">IFERROR(__xludf.DUMMYFUNCTION("""COMPUTED_VALUE"""),87.55)</f>
        <v>87.55</v>
      </c>
      <c r="I483" s="3">
        <f ca="1">IFERROR(__xludf.DUMMYFUNCTION("""COMPUTED_VALUE"""),87.95)</f>
        <v>87.95</v>
      </c>
      <c r="J483" s="3">
        <f ca="1">IFERROR(__xludf.DUMMYFUNCTION("""COMPUTED_VALUE"""),87.47)</f>
        <v>87.47</v>
      </c>
      <c r="K483" s="3">
        <f ca="1">IFERROR(__xludf.DUMMYFUNCTION("""COMPUTED_VALUE"""),87.94)</f>
        <v>87.94</v>
      </c>
      <c r="L483" s="3">
        <f ca="1">IFERROR(__xludf.DUMMYFUNCTION("""COMPUTED_VALUE"""),4682572)</f>
        <v>4682572</v>
      </c>
      <c r="M483" s="4">
        <f ca="1">IFERROR(__xludf.DUMMYFUNCTION("""COMPUTED_VALUE"""),42824.6666666666)</f>
        <v>42824.666666666599</v>
      </c>
      <c r="N483" s="3">
        <f ca="1">IFERROR(__xludf.DUMMYFUNCTION("""COMPUTED_VALUE"""),54.8)</f>
        <v>54.8</v>
      </c>
      <c r="O483" s="3">
        <f ca="1">IFERROR(__xludf.DUMMYFUNCTION("""COMPUTED_VALUE"""),54.9)</f>
        <v>54.9</v>
      </c>
      <c r="P483" s="3">
        <f ca="1">IFERROR(__xludf.DUMMYFUNCTION("""COMPUTED_VALUE"""),54.69)</f>
        <v>54.69</v>
      </c>
      <c r="Q483" s="3">
        <f ca="1">IFERROR(__xludf.DUMMYFUNCTION("""COMPUTED_VALUE"""),54.74)</f>
        <v>54.74</v>
      </c>
      <c r="R483" s="3">
        <f ca="1">IFERROR(__xludf.DUMMYFUNCTION("""COMPUTED_VALUE"""),5399136)</f>
        <v>5399136</v>
      </c>
      <c r="S483" s="4">
        <f ca="1">IFERROR(__xludf.DUMMYFUNCTION("""COMPUTED_VALUE"""),42824.6666666666)</f>
        <v>42824.666666666599</v>
      </c>
      <c r="T483" s="3">
        <f ca="1">IFERROR(__xludf.DUMMYFUNCTION("""COMPUTED_VALUE"""),70.6)</f>
        <v>70.599999999999994</v>
      </c>
      <c r="U483" s="3">
        <f ca="1">IFERROR(__xludf.DUMMYFUNCTION("""COMPUTED_VALUE"""),70.77)</f>
        <v>70.77</v>
      </c>
      <c r="V483" s="3">
        <f ca="1">IFERROR(__xludf.DUMMYFUNCTION("""COMPUTED_VALUE"""),69.96)</f>
        <v>69.959999999999994</v>
      </c>
      <c r="W483" s="3">
        <f ca="1">IFERROR(__xludf.DUMMYFUNCTION("""COMPUTED_VALUE"""),70.14)</f>
        <v>70.14</v>
      </c>
      <c r="X483" s="3">
        <f ca="1">IFERROR(__xludf.DUMMYFUNCTION("""COMPUTED_VALUE"""),15912323)</f>
        <v>15912323</v>
      </c>
      <c r="Y483" s="4">
        <f ca="1">IFERROR(__xludf.DUMMYFUNCTION("""COMPUTED_VALUE"""),42824.6666666666)</f>
        <v>42824.666666666599</v>
      </c>
      <c r="Z483" s="3">
        <f ca="1">IFERROR(__xludf.DUMMYFUNCTION("""COMPUTED_VALUE"""),23.64)</f>
        <v>23.64</v>
      </c>
      <c r="AA483" s="3">
        <f ca="1">IFERROR(__xludf.DUMMYFUNCTION("""COMPUTED_VALUE"""),23.99)</f>
        <v>23.99</v>
      </c>
      <c r="AB483" s="3">
        <f ca="1">IFERROR(__xludf.DUMMYFUNCTION("""COMPUTED_VALUE"""),23.61)</f>
        <v>23.61</v>
      </c>
      <c r="AC483" s="3">
        <f ca="1">IFERROR(__xludf.DUMMYFUNCTION("""COMPUTED_VALUE"""),23.93)</f>
        <v>23.93</v>
      </c>
      <c r="AD483" s="3">
        <f ca="1">IFERROR(__xludf.DUMMYFUNCTION("""COMPUTED_VALUE"""),92566017)</f>
        <v>92566017</v>
      </c>
      <c r="AE483" s="4">
        <f ca="1">IFERROR(__xludf.DUMMYFUNCTION("""COMPUTED_VALUE"""),42824.6666666666)</f>
        <v>42824.666666666599</v>
      </c>
      <c r="AF483" s="3">
        <f ca="1">IFERROR(__xludf.DUMMYFUNCTION("""COMPUTED_VALUE"""),74.47)</f>
        <v>74.47</v>
      </c>
      <c r="AG483" s="3">
        <f ca="1">IFERROR(__xludf.DUMMYFUNCTION("""COMPUTED_VALUE"""),74.72)</f>
        <v>74.72</v>
      </c>
      <c r="AH483" s="3">
        <f ca="1">IFERROR(__xludf.DUMMYFUNCTION("""COMPUTED_VALUE"""),74.27)</f>
        <v>74.27</v>
      </c>
      <c r="AI483" s="3">
        <f ca="1">IFERROR(__xludf.DUMMYFUNCTION("""COMPUTED_VALUE"""),74.57)</f>
        <v>74.569999999999993</v>
      </c>
      <c r="AJ483" s="3">
        <f ca="1">IFERROR(__xludf.DUMMYFUNCTION("""COMPUTED_VALUE"""),7137422)</f>
        <v>7137422</v>
      </c>
      <c r="AK483" s="4">
        <f ca="1">IFERROR(__xludf.DUMMYFUNCTION("""COMPUTED_VALUE"""),42824.6666666666)</f>
        <v>42824.666666666599</v>
      </c>
      <c r="AL483" s="3">
        <f ca="1">IFERROR(__xludf.DUMMYFUNCTION("""COMPUTED_VALUE"""),64.94)</f>
        <v>64.94</v>
      </c>
      <c r="AM483" s="3">
        <f ca="1">IFERROR(__xludf.DUMMYFUNCTION("""COMPUTED_VALUE"""),65.41)</f>
        <v>65.41</v>
      </c>
      <c r="AN483" s="3">
        <f ca="1">IFERROR(__xludf.DUMMYFUNCTION("""COMPUTED_VALUE"""),64.9)</f>
        <v>64.900000000000006</v>
      </c>
      <c r="AO483" s="3">
        <f ca="1">IFERROR(__xludf.DUMMYFUNCTION("""COMPUTED_VALUE"""),65.33)</f>
        <v>65.33</v>
      </c>
      <c r="AP483" s="3">
        <f ca="1">IFERROR(__xludf.DUMMYFUNCTION("""COMPUTED_VALUE"""),12838010)</f>
        <v>12838010</v>
      </c>
      <c r="AQ483" s="4">
        <f ca="1">IFERROR(__xludf.DUMMYFUNCTION("""COMPUTED_VALUE"""),42824.6666666666)</f>
        <v>42824.666666666599</v>
      </c>
      <c r="AR483" s="3">
        <f ca="1">IFERROR(__xludf.DUMMYFUNCTION("""COMPUTED_VALUE"""),52.38)</f>
        <v>52.38</v>
      </c>
      <c r="AS483" s="3">
        <f ca="1">IFERROR(__xludf.DUMMYFUNCTION("""COMPUTED_VALUE"""),52.7)</f>
        <v>52.7</v>
      </c>
      <c r="AT483" s="3">
        <f ca="1">IFERROR(__xludf.DUMMYFUNCTION("""COMPUTED_VALUE"""),52.36)</f>
        <v>52.36</v>
      </c>
      <c r="AU483" s="3">
        <f ca="1">IFERROR(__xludf.DUMMYFUNCTION("""COMPUTED_VALUE"""),52.42)</f>
        <v>52.42</v>
      </c>
      <c r="AV483" s="3">
        <f ca="1">IFERROR(__xludf.DUMMYFUNCTION("""COMPUTED_VALUE"""),2991586)</f>
        <v>2991586</v>
      </c>
      <c r="AW483" s="4">
        <f ca="1">IFERROR(__xludf.DUMMYFUNCTION("""COMPUTED_VALUE"""),42990.6666666666)</f>
        <v>42990.666666666599</v>
      </c>
      <c r="AX483" s="3">
        <f ca="1">IFERROR(__xludf.DUMMYFUNCTION("""COMPUTED_VALUE"""),33.41)</f>
        <v>33.409999999999997</v>
      </c>
      <c r="AY483" s="3">
        <f ca="1">IFERROR(__xludf.DUMMYFUNCTION("""COMPUTED_VALUE"""),33.44)</f>
        <v>33.44</v>
      </c>
      <c r="AZ483" s="3">
        <f ca="1">IFERROR(__xludf.DUMMYFUNCTION("""COMPUTED_VALUE"""),32.94)</f>
        <v>32.94</v>
      </c>
      <c r="BA483" s="3">
        <f ca="1">IFERROR(__xludf.DUMMYFUNCTION("""COMPUTED_VALUE"""),33.08)</f>
        <v>33.08</v>
      </c>
      <c r="BB483" s="3">
        <f ca="1">IFERROR(__xludf.DUMMYFUNCTION("""COMPUTED_VALUE"""),1335606)</f>
        <v>1335606</v>
      </c>
      <c r="BC483" s="4">
        <f ca="1">IFERROR(__xludf.DUMMYFUNCTION("""COMPUTED_VALUE"""),42824.6666666666)</f>
        <v>42824.666666666599</v>
      </c>
      <c r="BD483" s="3">
        <f ca="1">IFERROR(__xludf.DUMMYFUNCTION("""COMPUTED_VALUE"""),53.27)</f>
        <v>53.27</v>
      </c>
      <c r="BE483" s="3">
        <f ca="1">IFERROR(__xludf.DUMMYFUNCTION("""COMPUTED_VALUE"""),53.48)</f>
        <v>53.48</v>
      </c>
      <c r="BF483" s="3">
        <f ca="1">IFERROR(__xludf.DUMMYFUNCTION("""COMPUTED_VALUE"""),53.23)</f>
        <v>53.23</v>
      </c>
      <c r="BG483" s="3">
        <f ca="1">IFERROR(__xludf.DUMMYFUNCTION("""COMPUTED_VALUE"""),53.41)</f>
        <v>53.41</v>
      </c>
      <c r="BH483" s="3">
        <f ca="1">IFERROR(__xludf.DUMMYFUNCTION("""COMPUTED_VALUE"""),8754343)</f>
        <v>8754343</v>
      </c>
      <c r="BI483" s="4">
        <f ca="1">IFERROR(__xludf.DUMMYFUNCTION("""COMPUTED_VALUE"""),42824.6666666666)</f>
        <v>42824.666666666599</v>
      </c>
      <c r="BJ483" s="3">
        <f ca="1">IFERROR(__xludf.DUMMYFUNCTION("""COMPUTED_VALUE"""),51.43)</f>
        <v>51.43</v>
      </c>
      <c r="BK483" s="3">
        <f ca="1">IFERROR(__xludf.DUMMYFUNCTION("""COMPUTED_VALUE"""),51.43)</f>
        <v>51.43</v>
      </c>
      <c r="BL483" s="3">
        <f ca="1">IFERROR(__xludf.DUMMYFUNCTION("""COMPUTED_VALUE"""),50.97)</f>
        <v>50.97</v>
      </c>
      <c r="BM483" s="3">
        <f ca="1">IFERROR(__xludf.DUMMYFUNCTION("""COMPUTED_VALUE"""),51.11)</f>
        <v>51.11</v>
      </c>
      <c r="BN483" s="3">
        <f ca="1">IFERROR(__xludf.DUMMYFUNCTION("""COMPUTED_VALUE"""),19711220)</f>
        <v>19711220</v>
      </c>
    </row>
    <row r="484" spans="7:66" ht="13" x14ac:dyDescent="0.15">
      <c r="G484" s="4">
        <f ca="1">IFERROR(__xludf.DUMMYFUNCTION("""COMPUTED_VALUE"""),42825.6666666666)</f>
        <v>42825.666666666599</v>
      </c>
      <c r="H484" s="3">
        <f ca="1">IFERROR(__xludf.DUMMYFUNCTION("""COMPUTED_VALUE"""),87.8)</f>
        <v>87.8</v>
      </c>
      <c r="I484" s="3">
        <f ca="1">IFERROR(__xludf.DUMMYFUNCTION("""COMPUTED_VALUE"""),88.17)</f>
        <v>88.17</v>
      </c>
      <c r="J484" s="3">
        <f ca="1">IFERROR(__xludf.DUMMYFUNCTION("""COMPUTED_VALUE"""),87.77)</f>
        <v>87.77</v>
      </c>
      <c r="K484" s="3">
        <f ca="1">IFERROR(__xludf.DUMMYFUNCTION("""COMPUTED_VALUE"""),87.95)</f>
        <v>87.95</v>
      </c>
      <c r="L484" s="3">
        <f ca="1">IFERROR(__xludf.DUMMYFUNCTION("""COMPUTED_VALUE"""),2379291)</f>
        <v>2379291</v>
      </c>
      <c r="M484" s="4">
        <f ca="1">IFERROR(__xludf.DUMMYFUNCTION("""COMPUTED_VALUE"""),42825.6666666666)</f>
        <v>42825.666666666599</v>
      </c>
      <c r="N484" s="3">
        <f ca="1">IFERROR(__xludf.DUMMYFUNCTION("""COMPUTED_VALUE"""),54.67)</f>
        <v>54.67</v>
      </c>
      <c r="O484" s="3">
        <f ca="1">IFERROR(__xludf.DUMMYFUNCTION("""COMPUTED_VALUE"""),54.81)</f>
        <v>54.81</v>
      </c>
      <c r="P484" s="3">
        <f ca="1">IFERROR(__xludf.DUMMYFUNCTION("""COMPUTED_VALUE"""),54.58)</f>
        <v>54.58</v>
      </c>
      <c r="Q484" s="3">
        <f ca="1">IFERROR(__xludf.DUMMYFUNCTION("""COMPUTED_VALUE"""),54.58)</f>
        <v>54.58</v>
      </c>
      <c r="R484" s="3">
        <f ca="1">IFERROR(__xludf.DUMMYFUNCTION("""COMPUTED_VALUE"""),4762285)</f>
        <v>4762285</v>
      </c>
      <c r="S484" s="4">
        <f ca="1">IFERROR(__xludf.DUMMYFUNCTION("""COMPUTED_VALUE"""),42825.6666666666)</f>
        <v>42825.666666666599</v>
      </c>
      <c r="T484" s="3">
        <f ca="1">IFERROR(__xludf.DUMMYFUNCTION("""COMPUTED_VALUE"""),69.91)</f>
        <v>69.91</v>
      </c>
      <c r="U484" s="3">
        <f ca="1">IFERROR(__xludf.DUMMYFUNCTION("""COMPUTED_VALUE"""),70.34)</f>
        <v>70.34</v>
      </c>
      <c r="V484" s="3">
        <f ca="1">IFERROR(__xludf.DUMMYFUNCTION("""COMPUTED_VALUE"""),69.58)</f>
        <v>69.58</v>
      </c>
      <c r="W484" s="3">
        <f ca="1">IFERROR(__xludf.DUMMYFUNCTION("""COMPUTED_VALUE"""),69.9)</f>
        <v>69.900000000000006</v>
      </c>
      <c r="X484" s="3">
        <f ca="1">IFERROR(__xludf.DUMMYFUNCTION("""COMPUTED_VALUE"""),19861199)</f>
        <v>19861199</v>
      </c>
      <c r="Y484" s="4">
        <f ca="1">IFERROR(__xludf.DUMMYFUNCTION("""COMPUTED_VALUE"""),42825.6666666666)</f>
        <v>42825.666666666599</v>
      </c>
      <c r="Z484" s="3">
        <f ca="1">IFERROR(__xludf.DUMMYFUNCTION("""COMPUTED_VALUE"""),23.84)</f>
        <v>23.84</v>
      </c>
      <c r="AA484" s="3">
        <f ca="1">IFERROR(__xludf.DUMMYFUNCTION("""COMPUTED_VALUE"""),23.91)</f>
        <v>23.91</v>
      </c>
      <c r="AB484" s="3">
        <f ca="1">IFERROR(__xludf.DUMMYFUNCTION("""COMPUTED_VALUE"""),23.73)</f>
        <v>23.73</v>
      </c>
      <c r="AC484" s="3">
        <f ca="1">IFERROR(__xludf.DUMMYFUNCTION("""COMPUTED_VALUE"""),23.73)</f>
        <v>23.73</v>
      </c>
      <c r="AD484" s="3">
        <f ca="1">IFERROR(__xludf.DUMMYFUNCTION("""COMPUTED_VALUE"""),70540021)</f>
        <v>70540021</v>
      </c>
      <c r="AE484" s="4">
        <f ca="1">IFERROR(__xludf.DUMMYFUNCTION("""COMPUTED_VALUE"""),42825.6666666666)</f>
        <v>42825.666666666599</v>
      </c>
      <c r="AF484" s="3">
        <f ca="1">IFERROR(__xludf.DUMMYFUNCTION("""COMPUTED_VALUE"""),74.39)</f>
        <v>74.39</v>
      </c>
      <c r="AG484" s="3">
        <f ca="1">IFERROR(__xludf.DUMMYFUNCTION("""COMPUTED_VALUE"""),74.56)</f>
        <v>74.56</v>
      </c>
      <c r="AH484" s="3">
        <f ca="1">IFERROR(__xludf.DUMMYFUNCTION("""COMPUTED_VALUE"""),74.28)</f>
        <v>74.28</v>
      </c>
      <c r="AI484" s="3">
        <f ca="1">IFERROR(__xludf.DUMMYFUNCTION("""COMPUTED_VALUE"""),74.36)</f>
        <v>74.36</v>
      </c>
      <c r="AJ484" s="3">
        <f ca="1">IFERROR(__xludf.DUMMYFUNCTION("""COMPUTED_VALUE"""),5895356)</f>
        <v>5895356</v>
      </c>
      <c r="AK484" s="4">
        <f ca="1">IFERROR(__xludf.DUMMYFUNCTION("""COMPUTED_VALUE"""),42825.6666666666)</f>
        <v>42825.666666666599</v>
      </c>
      <c r="AL484" s="3">
        <f ca="1">IFERROR(__xludf.DUMMYFUNCTION("""COMPUTED_VALUE"""),65.16)</f>
        <v>65.16</v>
      </c>
      <c r="AM484" s="3">
        <f ca="1">IFERROR(__xludf.DUMMYFUNCTION("""COMPUTED_VALUE"""),65.38)</f>
        <v>65.38</v>
      </c>
      <c r="AN484" s="3">
        <f ca="1">IFERROR(__xludf.DUMMYFUNCTION("""COMPUTED_VALUE"""),65.06)</f>
        <v>65.06</v>
      </c>
      <c r="AO484" s="3">
        <f ca="1">IFERROR(__xludf.DUMMYFUNCTION("""COMPUTED_VALUE"""),65.06)</f>
        <v>65.06</v>
      </c>
      <c r="AP484" s="3">
        <f ca="1">IFERROR(__xludf.DUMMYFUNCTION("""COMPUTED_VALUE"""),7736081)</f>
        <v>7736081</v>
      </c>
      <c r="AQ484" s="4">
        <f ca="1">IFERROR(__xludf.DUMMYFUNCTION("""COMPUTED_VALUE"""),42825.6666666666)</f>
        <v>42825.666666666599</v>
      </c>
      <c r="AR484" s="3">
        <f ca="1">IFERROR(__xludf.DUMMYFUNCTION("""COMPUTED_VALUE"""),52.46)</f>
        <v>52.46</v>
      </c>
      <c r="AS484" s="3">
        <f ca="1">IFERROR(__xludf.DUMMYFUNCTION("""COMPUTED_VALUE"""),52.7)</f>
        <v>52.7</v>
      </c>
      <c r="AT484" s="3">
        <f ca="1">IFERROR(__xludf.DUMMYFUNCTION("""COMPUTED_VALUE"""),52.36)</f>
        <v>52.36</v>
      </c>
      <c r="AU484" s="3">
        <f ca="1">IFERROR(__xludf.DUMMYFUNCTION("""COMPUTED_VALUE"""),52.41)</f>
        <v>52.41</v>
      </c>
      <c r="AV484" s="3">
        <f ca="1">IFERROR(__xludf.DUMMYFUNCTION("""COMPUTED_VALUE"""),3712696)</f>
        <v>3712696</v>
      </c>
      <c r="AW484" s="4">
        <f ca="1">IFERROR(__xludf.DUMMYFUNCTION("""COMPUTED_VALUE"""),42991.6666666666)</f>
        <v>42991.666666666599</v>
      </c>
      <c r="AX484" s="3">
        <f ca="1">IFERROR(__xludf.DUMMYFUNCTION("""COMPUTED_VALUE"""),33.06)</f>
        <v>33.06</v>
      </c>
      <c r="AY484" s="3">
        <f ca="1">IFERROR(__xludf.DUMMYFUNCTION("""COMPUTED_VALUE"""),33.06)</f>
        <v>33.06</v>
      </c>
      <c r="AZ484" s="3">
        <f ca="1">IFERROR(__xludf.DUMMYFUNCTION("""COMPUTED_VALUE"""),32.82)</f>
        <v>32.82</v>
      </c>
      <c r="BA484" s="3">
        <f ca="1">IFERROR(__xludf.DUMMYFUNCTION("""COMPUTED_VALUE"""),32.94)</f>
        <v>32.94</v>
      </c>
      <c r="BB484" s="3">
        <f ca="1">IFERROR(__xludf.DUMMYFUNCTION("""COMPUTED_VALUE"""),1286694)</f>
        <v>1286694</v>
      </c>
      <c r="BC484" s="4">
        <f ca="1">IFERROR(__xludf.DUMMYFUNCTION("""COMPUTED_VALUE"""),42825.6666666666)</f>
        <v>42825.666666666599</v>
      </c>
      <c r="BD484" s="3">
        <f ca="1">IFERROR(__xludf.DUMMYFUNCTION("""COMPUTED_VALUE"""),53.36)</f>
        <v>53.36</v>
      </c>
      <c r="BE484" s="3">
        <f ca="1">IFERROR(__xludf.DUMMYFUNCTION("""COMPUTED_VALUE"""),53.49)</f>
        <v>53.49</v>
      </c>
      <c r="BF484" s="3">
        <f ca="1">IFERROR(__xludf.DUMMYFUNCTION("""COMPUTED_VALUE"""),53.25)</f>
        <v>53.25</v>
      </c>
      <c r="BG484" s="3">
        <f ca="1">IFERROR(__xludf.DUMMYFUNCTION("""COMPUTED_VALUE"""),53.31)</f>
        <v>53.31</v>
      </c>
      <c r="BH484" s="3">
        <f ca="1">IFERROR(__xludf.DUMMYFUNCTION("""COMPUTED_VALUE"""),6103498)</f>
        <v>6103498</v>
      </c>
      <c r="BI484" s="4">
        <f ca="1">IFERROR(__xludf.DUMMYFUNCTION("""COMPUTED_VALUE"""),42825.6666666666)</f>
        <v>42825.666666666599</v>
      </c>
      <c r="BJ484" s="3">
        <f ca="1">IFERROR(__xludf.DUMMYFUNCTION("""COMPUTED_VALUE"""),51.17)</f>
        <v>51.17</v>
      </c>
      <c r="BK484" s="3">
        <f ca="1">IFERROR(__xludf.DUMMYFUNCTION("""COMPUTED_VALUE"""),51.56)</f>
        <v>51.56</v>
      </c>
      <c r="BL484" s="3">
        <f ca="1">IFERROR(__xludf.DUMMYFUNCTION("""COMPUTED_VALUE"""),51.13)</f>
        <v>51.13</v>
      </c>
      <c r="BM484" s="3">
        <f ca="1">IFERROR(__xludf.DUMMYFUNCTION("""COMPUTED_VALUE"""),51.31)</f>
        <v>51.31</v>
      </c>
      <c r="BN484" s="3">
        <f ca="1">IFERROR(__xludf.DUMMYFUNCTION("""COMPUTED_VALUE"""),9991039)</f>
        <v>9991039</v>
      </c>
    </row>
    <row r="485" spans="7:66" ht="13" x14ac:dyDescent="0.15">
      <c r="G485" s="4">
        <f ca="1">IFERROR(__xludf.DUMMYFUNCTION("""COMPUTED_VALUE"""),42828.6666666666)</f>
        <v>42828.666666666599</v>
      </c>
      <c r="H485" s="3">
        <f ca="1">IFERROR(__xludf.DUMMYFUNCTION("""COMPUTED_VALUE"""),87.96)</f>
        <v>87.96</v>
      </c>
      <c r="I485" s="3">
        <f ca="1">IFERROR(__xludf.DUMMYFUNCTION("""COMPUTED_VALUE"""),88.01)</f>
        <v>88.01</v>
      </c>
      <c r="J485" s="3">
        <f ca="1">IFERROR(__xludf.DUMMYFUNCTION("""COMPUTED_VALUE"""),87.1)</f>
        <v>87.1</v>
      </c>
      <c r="K485" s="3">
        <f ca="1">IFERROR(__xludf.DUMMYFUNCTION("""COMPUTED_VALUE"""),87.6)</f>
        <v>87.6</v>
      </c>
      <c r="L485" s="3">
        <f ca="1">IFERROR(__xludf.DUMMYFUNCTION("""COMPUTED_VALUE"""),6155978)</f>
        <v>6155978</v>
      </c>
      <c r="M485" s="4">
        <f ca="1">IFERROR(__xludf.DUMMYFUNCTION("""COMPUTED_VALUE"""),42828.6666666666)</f>
        <v>42828.666666666599</v>
      </c>
      <c r="N485" s="3">
        <f ca="1">IFERROR(__xludf.DUMMYFUNCTION("""COMPUTED_VALUE"""),54.66)</f>
        <v>54.66</v>
      </c>
      <c r="O485" s="3">
        <f ca="1">IFERROR(__xludf.DUMMYFUNCTION("""COMPUTED_VALUE"""),54.72)</f>
        <v>54.72</v>
      </c>
      <c r="P485" s="3">
        <f ca="1">IFERROR(__xludf.DUMMYFUNCTION("""COMPUTED_VALUE"""),54.4)</f>
        <v>54.4</v>
      </c>
      <c r="Q485" s="3">
        <f ca="1">IFERROR(__xludf.DUMMYFUNCTION("""COMPUTED_VALUE"""),54.49)</f>
        <v>54.49</v>
      </c>
      <c r="R485" s="3">
        <f ca="1">IFERROR(__xludf.DUMMYFUNCTION("""COMPUTED_VALUE"""),10666615)</f>
        <v>10666615</v>
      </c>
      <c r="S485" s="4">
        <f ca="1">IFERROR(__xludf.DUMMYFUNCTION("""COMPUTED_VALUE"""),42828.6666666666)</f>
        <v>42828.666666666599</v>
      </c>
      <c r="T485" s="3">
        <f ca="1">IFERROR(__xludf.DUMMYFUNCTION("""COMPUTED_VALUE"""),70.01)</f>
        <v>70.010000000000005</v>
      </c>
      <c r="U485" s="3">
        <f ca="1">IFERROR(__xludf.DUMMYFUNCTION("""COMPUTED_VALUE"""),70.06)</f>
        <v>70.06</v>
      </c>
      <c r="V485" s="3">
        <f ca="1">IFERROR(__xludf.DUMMYFUNCTION("""COMPUTED_VALUE"""),69.08)</f>
        <v>69.08</v>
      </c>
      <c r="W485" s="3">
        <f ca="1">IFERROR(__xludf.DUMMYFUNCTION("""COMPUTED_VALUE"""),69.78)</f>
        <v>69.78</v>
      </c>
      <c r="X485" s="3">
        <f ca="1">IFERROR(__xludf.DUMMYFUNCTION("""COMPUTED_VALUE"""),13133305)</f>
        <v>13133305</v>
      </c>
      <c r="Y485" s="4">
        <f ca="1">IFERROR(__xludf.DUMMYFUNCTION("""COMPUTED_VALUE"""),42828.6666666666)</f>
        <v>42828.666666666599</v>
      </c>
      <c r="Z485" s="3">
        <f ca="1">IFERROR(__xludf.DUMMYFUNCTION("""COMPUTED_VALUE"""),23.77)</f>
        <v>23.77</v>
      </c>
      <c r="AA485" s="3">
        <f ca="1">IFERROR(__xludf.DUMMYFUNCTION("""COMPUTED_VALUE"""),23.83)</f>
        <v>23.83</v>
      </c>
      <c r="AB485" s="3">
        <f ca="1">IFERROR(__xludf.DUMMYFUNCTION("""COMPUTED_VALUE"""),23.4)</f>
        <v>23.4</v>
      </c>
      <c r="AC485" s="3">
        <f ca="1">IFERROR(__xludf.DUMMYFUNCTION("""COMPUTED_VALUE"""),23.68)</f>
        <v>23.68</v>
      </c>
      <c r="AD485" s="3">
        <f ca="1">IFERROR(__xludf.DUMMYFUNCTION("""COMPUTED_VALUE"""),93489066)</f>
        <v>93489066</v>
      </c>
      <c r="AE485" s="4">
        <f ca="1">IFERROR(__xludf.DUMMYFUNCTION("""COMPUTED_VALUE"""),42828.6666666666)</f>
        <v>42828.666666666599</v>
      </c>
      <c r="AF485" s="3">
        <f ca="1">IFERROR(__xludf.DUMMYFUNCTION("""COMPUTED_VALUE"""),74.44)</f>
        <v>74.44</v>
      </c>
      <c r="AG485" s="3">
        <f ca="1">IFERROR(__xludf.DUMMYFUNCTION("""COMPUTED_VALUE"""),74.79)</f>
        <v>74.790000000000006</v>
      </c>
      <c r="AH485" s="3">
        <f ca="1">IFERROR(__xludf.DUMMYFUNCTION("""COMPUTED_VALUE"""),74.13)</f>
        <v>74.13</v>
      </c>
      <c r="AI485" s="3">
        <f ca="1">IFERROR(__xludf.DUMMYFUNCTION("""COMPUTED_VALUE"""),74.42)</f>
        <v>74.42</v>
      </c>
      <c r="AJ485" s="3">
        <f ca="1">IFERROR(__xludf.DUMMYFUNCTION("""COMPUTED_VALUE"""),12354819)</f>
        <v>12354819</v>
      </c>
      <c r="AK485" s="4">
        <f ca="1">IFERROR(__xludf.DUMMYFUNCTION("""COMPUTED_VALUE"""),42828.6666666666)</f>
        <v>42828.666666666599</v>
      </c>
      <c r="AL485" s="3">
        <f ca="1">IFERROR(__xludf.DUMMYFUNCTION("""COMPUTED_VALUE"""),65.09)</f>
        <v>65.09</v>
      </c>
      <c r="AM485" s="3">
        <f ca="1">IFERROR(__xludf.DUMMYFUNCTION("""COMPUTED_VALUE"""),65.3)</f>
        <v>65.3</v>
      </c>
      <c r="AN485" s="3">
        <f ca="1">IFERROR(__xludf.DUMMYFUNCTION("""COMPUTED_VALUE"""),64.51)</f>
        <v>64.510000000000005</v>
      </c>
      <c r="AO485" s="3">
        <f ca="1">IFERROR(__xludf.DUMMYFUNCTION("""COMPUTED_VALUE"""),64.92)</f>
        <v>64.92</v>
      </c>
      <c r="AP485" s="3">
        <f ca="1">IFERROR(__xludf.DUMMYFUNCTION("""COMPUTED_VALUE"""),10474812)</f>
        <v>10474812</v>
      </c>
      <c r="AQ485" s="4">
        <f ca="1">IFERROR(__xludf.DUMMYFUNCTION("""COMPUTED_VALUE"""),42828.6666666666)</f>
        <v>42828.666666666599</v>
      </c>
      <c r="AR485" s="3">
        <f ca="1">IFERROR(__xludf.DUMMYFUNCTION("""COMPUTED_VALUE"""),52.43)</f>
        <v>52.43</v>
      </c>
      <c r="AS485" s="3">
        <f ca="1">IFERROR(__xludf.DUMMYFUNCTION("""COMPUTED_VALUE"""),52.64)</f>
        <v>52.64</v>
      </c>
      <c r="AT485" s="3">
        <f ca="1">IFERROR(__xludf.DUMMYFUNCTION("""COMPUTED_VALUE"""),51.79)</f>
        <v>51.79</v>
      </c>
      <c r="AU485" s="3">
        <f ca="1">IFERROR(__xludf.DUMMYFUNCTION("""COMPUTED_VALUE"""),52.21)</f>
        <v>52.21</v>
      </c>
      <c r="AV485" s="3">
        <f ca="1">IFERROR(__xludf.DUMMYFUNCTION("""COMPUTED_VALUE"""),4515467)</f>
        <v>4515467</v>
      </c>
      <c r="AW485" s="4">
        <f ca="1">IFERROR(__xludf.DUMMYFUNCTION("""COMPUTED_VALUE"""),42992.6666666666)</f>
        <v>42992.666666666599</v>
      </c>
      <c r="AX485" s="3">
        <f ca="1">IFERROR(__xludf.DUMMYFUNCTION("""COMPUTED_VALUE"""),32.89)</f>
        <v>32.89</v>
      </c>
      <c r="AY485" s="3">
        <f ca="1">IFERROR(__xludf.DUMMYFUNCTION("""COMPUTED_VALUE"""),33.18)</f>
        <v>33.18</v>
      </c>
      <c r="AZ485" s="3">
        <f ca="1">IFERROR(__xludf.DUMMYFUNCTION("""COMPUTED_VALUE"""),32.76)</f>
        <v>32.76</v>
      </c>
      <c r="BA485" s="3">
        <f ca="1">IFERROR(__xludf.DUMMYFUNCTION("""COMPUTED_VALUE"""),33.17)</f>
        <v>33.17</v>
      </c>
      <c r="BB485" s="3">
        <f ca="1">IFERROR(__xludf.DUMMYFUNCTION("""COMPUTED_VALUE"""),1492508)</f>
        <v>1492508</v>
      </c>
      <c r="BC485" s="4">
        <f ca="1">IFERROR(__xludf.DUMMYFUNCTION("""COMPUTED_VALUE"""),42828.6666666666)</f>
        <v>42828.666666666599</v>
      </c>
      <c r="BD485" s="3">
        <f ca="1">IFERROR(__xludf.DUMMYFUNCTION("""COMPUTED_VALUE"""),53.36)</f>
        <v>53.36</v>
      </c>
      <c r="BE485" s="3">
        <f ca="1">IFERROR(__xludf.DUMMYFUNCTION("""COMPUTED_VALUE"""),53.44)</f>
        <v>53.44</v>
      </c>
      <c r="BF485" s="3">
        <f ca="1">IFERROR(__xludf.DUMMYFUNCTION("""COMPUTED_VALUE"""),52.94)</f>
        <v>52.94</v>
      </c>
      <c r="BG485" s="3">
        <f ca="1">IFERROR(__xludf.DUMMYFUNCTION("""COMPUTED_VALUE"""),53.26)</f>
        <v>53.26</v>
      </c>
      <c r="BH485" s="3">
        <f ca="1">IFERROR(__xludf.DUMMYFUNCTION("""COMPUTED_VALUE"""),13017947)</f>
        <v>13017947</v>
      </c>
      <c r="BI485" s="4">
        <f ca="1">IFERROR(__xludf.DUMMYFUNCTION("""COMPUTED_VALUE"""),42828.6666666666)</f>
        <v>42828.666666666599</v>
      </c>
      <c r="BJ485" s="3">
        <f ca="1">IFERROR(__xludf.DUMMYFUNCTION("""COMPUTED_VALUE"""),51.31)</f>
        <v>51.31</v>
      </c>
      <c r="BK485" s="3">
        <f ca="1">IFERROR(__xludf.DUMMYFUNCTION("""COMPUTED_VALUE"""),51.31)</f>
        <v>51.31</v>
      </c>
      <c r="BL485" s="3">
        <f ca="1">IFERROR(__xludf.DUMMYFUNCTION("""COMPUTED_VALUE"""),50.83)</f>
        <v>50.83</v>
      </c>
      <c r="BM485" s="3">
        <f ca="1">IFERROR(__xludf.DUMMYFUNCTION("""COMPUTED_VALUE"""),51.3)</f>
        <v>51.3</v>
      </c>
      <c r="BN485" s="3">
        <f ca="1">IFERROR(__xludf.DUMMYFUNCTION("""COMPUTED_VALUE"""),15475829)</f>
        <v>15475829</v>
      </c>
    </row>
    <row r="486" spans="7:66" ht="13" x14ac:dyDescent="0.15">
      <c r="G486" s="4">
        <f ca="1">IFERROR(__xludf.DUMMYFUNCTION("""COMPUTED_VALUE"""),42829.6666666666)</f>
        <v>42829.666666666599</v>
      </c>
      <c r="H486" s="3">
        <f ca="1">IFERROR(__xludf.DUMMYFUNCTION("""COMPUTED_VALUE"""),87.35)</f>
        <v>87.35</v>
      </c>
      <c r="I486" s="3">
        <f ca="1">IFERROR(__xludf.DUMMYFUNCTION("""COMPUTED_VALUE"""),87.59)</f>
        <v>87.59</v>
      </c>
      <c r="J486" s="3">
        <f ca="1">IFERROR(__xludf.DUMMYFUNCTION("""COMPUTED_VALUE"""),87.27)</f>
        <v>87.27</v>
      </c>
      <c r="K486" s="3">
        <f ca="1">IFERROR(__xludf.DUMMYFUNCTION("""COMPUTED_VALUE"""),87.46)</f>
        <v>87.46</v>
      </c>
      <c r="L486" s="3">
        <f ca="1">IFERROR(__xludf.DUMMYFUNCTION("""COMPUTED_VALUE"""),4324377)</f>
        <v>4324377</v>
      </c>
      <c r="M486" s="4">
        <f ca="1">IFERROR(__xludf.DUMMYFUNCTION("""COMPUTED_VALUE"""),42829.6666666666)</f>
        <v>42829.666666666599</v>
      </c>
      <c r="N486" s="3">
        <f ca="1">IFERROR(__xludf.DUMMYFUNCTION("""COMPUTED_VALUE"""),54.53)</f>
        <v>54.53</v>
      </c>
      <c r="O486" s="3">
        <f ca="1">IFERROR(__xludf.DUMMYFUNCTION("""COMPUTED_VALUE"""),54.66)</f>
        <v>54.66</v>
      </c>
      <c r="P486" s="3">
        <f ca="1">IFERROR(__xludf.DUMMYFUNCTION("""COMPUTED_VALUE"""),54.43)</f>
        <v>54.43</v>
      </c>
      <c r="Q486" s="3">
        <f ca="1">IFERROR(__xludf.DUMMYFUNCTION("""COMPUTED_VALUE"""),54.65)</f>
        <v>54.65</v>
      </c>
      <c r="R486" s="3">
        <f ca="1">IFERROR(__xludf.DUMMYFUNCTION("""COMPUTED_VALUE"""),5283980)</f>
        <v>5283980</v>
      </c>
      <c r="S486" s="4">
        <f ca="1">IFERROR(__xludf.DUMMYFUNCTION("""COMPUTED_VALUE"""),42829.6666666666)</f>
        <v>42829.666666666599</v>
      </c>
      <c r="T486" s="3">
        <f ca="1">IFERROR(__xludf.DUMMYFUNCTION("""COMPUTED_VALUE"""),69.93)</f>
        <v>69.930000000000007</v>
      </c>
      <c r="U486" s="3">
        <f ca="1">IFERROR(__xludf.DUMMYFUNCTION("""COMPUTED_VALUE"""),70.35)</f>
        <v>70.349999999999994</v>
      </c>
      <c r="V486" s="3">
        <f ca="1">IFERROR(__xludf.DUMMYFUNCTION("""COMPUTED_VALUE"""),69.26)</f>
        <v>69.260000000000005</v>
      </c>
      <c r="W486" s="3">
        <f ca="1">IFERROR(__xludf.DUMMYFUNCTION("""COMPUTED_VALUE"""),70.29)</f>
        <v>70.290000000000006</v>
      </c>
      <c r="X486" s="3">
        <f ca="1">IFERROR(__xludf.DUMMYFUNCTION("""COMPUTED_VALUE"""),12973967)</f>
        <v>12973967</v>
      </c>
      <c r="Y486" s="4">
        <f ca="1">IFERROR(__xludf.DUMMYFUNCTION("""COMPUTED_VALUE"""),42829.6666666666)</f>
        <v>42829.666666666599</v>
      </c>
      <c r="Z486" s="3">
        <f ca="1">IFERROR(__xludf.DUMMYFUNCTION("""COMPUTED_VALUE"""),23.58)</f>
        <v>23.58</v>
      </c>
      <c r="AA486" s="3">
        <f ca="1">IFERROR(__xludf.DUMMYFUNCTION("""COMPUTED_VALUE"""),23.7)</f>
        <v>23.7</v>
      </c>
      <c r="AB486" s="3">
        <f ca="1">IFERROR(__xludf.DUMMYFUNCTION("""COMPUTED_VALUE"""),23.54)</f>
        <v>23.54</v>
      </c>
      <c r="AC486" s="3">
        <f ca="1">IFERROR(__xludf.DUMMYFUNCTION("""COMPUTED_VALUE"""),23.65)</f>
        <v>23.65</v>
      </c>
      <c r="AD486" s="3">
        <f ca="1">IFERROR(__xludf.DUMMYFUNCTION("""COMPUTED_VALUE"""),105795928)</f>
        <v>105795928</v>
      </c>
      <c r="AE486" s="4">
        <f ca="1">IFERROR(__xludf.DUMMYFUNCTION("""COMPUTED_VALUE"""),42829.6666666666)</f>
        <v>42829.666666666599</v>
      </c>
      <c r="AF486" s="3">
        <f ca="1">IFERROR(__xludf.DUMMYFUNCTION("""COMPUTED_VALUE"""),74.4)</f>
        <v>74.400000000000006</v>
      </c>
      <c r="AG486" s="3">
        <f ca="1">IFERROR(__xludf.DUMMYFUNCTION("""COMPUTED_VALUE"""),74.48)</f>
        <v>74.48</v>
      </c>
      <c r="AH486" s="3">
        <f ca="1">IFERROR(__xludf.DUMMYFUNCTION("""COMPUTED_VALUE"""),74.17)</f>
        <v>74.17</v>
      </c>
      <c r="AI486" s="3">
        <f ca="1">IFERROR(__xludf.DUMMYFUNCTION("""COMPUTED_VALUE"""),74.38)</f>
        <v>74.38</v>
      </c>
      <c r="AJ486" s="3">
        <f ca="1">IFERROR(__xludf.DUMMYFUNCTION("""COMPUTED_VALUE"""),5228588)</f>
        <v>5228588</v>
      </c>
      <c r="AK486" s="4">
        <f ca="1">IFERROR(__xludf.DUMMYFUNCTION("""COMPUTED_VALUE"""),42829.6666666666)</f>
        <v>42829.666666666599</v>
      </c>
      <c r="AL486" s="3">
        <f ca="1">IFERROR(__xludf.DUMMYFUNCTION("""COMPUTED_VALUE"""),64.91)</f>
        <v>64.91</v>
      </c>
      <c r="AM486" s="3">
        <f ca="1">IFERROR(__xludf.DUMMYFUNCTION("""COMPUTED_VALUE"""),65.09)</f>
        <v>65.09</v>
      </c>
      <c r="AN486" s="3">
        <f ca="1">IFERROR(__xludf.DUMMYFUNCTION("""COMPUTED_VALUE"""),64.77)</f>
        <v>64.77</v>
      </c>
      <c r="AO486" s="3">
        <f ca="1">IFERROR(__xludf.DUMMYFUNCTION("""COMPUTED_VALUE"""),65.09)</f>
        <v>65.09</v>
      </c>
      <c r="AP486" s="3">
        <f ca="1">IFERROR(__xludf.DUMMYFUNCTION("""COMPUTED_VALUE"""),9239723)</f>
        <v>9239723</v>
      </c>
      <c r="AQ486" s="4">
        <f ca="1">IFERROR(__xludf.DUMMYFUNCTION("""COMPUTED_VALUE"""),42829.6666666666)</f>
        <v>42829.666666666599</v>
      </c>
      <c r="AR486" s="3">
        <f ca="1">IFERROR(__xludf.DUMMYFUNCTION("""COMPUTED_VALUE"""),52.17)</f>
        <v>52.17</v>
      </c>
      <c r="AS486" s="3">
        <f ca="1">IFERROR(__xludf.DUMMYFUNCTION("""COMPUTED_VALUE"""),52.42)</f>
        <v>52.42</v>
      </c>
      <c r="AT486" s="3">
        <f ca="1">IFERROR(__xludf.DUMMYFUNCTION("""COMPUTED_VALUE"""),52.03)</f>
        <v>52.03</v>
      </c>
      <c r="AU486" s="3">
        <f ca="1">IFERROR(__xludf.DUMMYFUNCTION("""COMPUTED_VALUE"""),52.4)</f>
        <v>52.4</v>
      </c>
      <c r="AV486" s="3">
        <f ca="1">IFERROR(__xludf.DUMMYFUNCTION("""COMPUTED_VALUE"""),3263334)</f>
        <v>3263334</v>
      </c>
      <c r="AW486" s="4">
        <f ca="1">IFERROR(__xludf.DUMMYFUNCTION("""COMPUTED_VALUE"""),42993.6666666666)</f>
        <v>42993.666666666599</v>
      </c>
      <c r="AX486" s="3">
        <f ca="1">IFERROR(__xludf.DUMMYFUNCTION("""COMPUTED_VALUE"""),32.87)</f>
        <v>32.869999999999997</v>
      </c>
      <c r="AY486" s="3">
        <f ca="1">IFERROR(__xludf.DUMMYFUNCTION("""COMPUTED_VALUE"""),33.05)</f>
        <v>33.049999999999997</v>
      </c>
      <c r="AZ486" s="3">
        <f ca="1">IFERROR(__xludf.DUMMYFUNCTION("""COMPUTED_VALUE"""),32.79)</f>
        <v>32.79</v>
      </c>
      <c r="BA486" s="3">
        <f ca="1">IFERROR(__xludf.DUMMYFUNCTION("""COMPUTED_VALUE"""),33.05)</f>
        <v>33.049999999999997</v>
      </c>
      <c r="BB486" s="3">
        <f ca="1">IFERROR(__xludf.DUMMYFUNCTION("""COMPUTED_VALUE"""),3210556)</f>
        <v>3210556</v>
      </c>
      <c r="BC486" s="4">
        <f ca="1">IFERROR(__xludf.DUMMYFUNCTION("""COMPUTED_VALUE"""),42829.6666666666)</f>
        <v>42829.666666666599</v>
      </c>
      <c r="BD486" s="3">
        <f ca="1">IFERROR(__xludf.DUMMYFUNCTION("""COMPUTED_VALUE"""),53.04)</f>
        <v>53.04</v>
      </c>
      <c r="BE486" s="3">
        <f ca="1">IFERROR(__xludf.DUMMYFUNCTION("""COMPUTED_VALUE"""),53.3)</f>
        <v>53.3</v>
      </c>
      <c r="BF486" s="3">
        <f ca="1">IFERROR(__xludf.DUMMYFUNCTION("""COMPUTED_VALUE"""),53.02)</f>
        <v>53.02</v>
      </c>
      <c r="BG486" s="3">
        <f ca="1">IFERROR(__xludf.DUMMYFUNCTION("""COMPUTED_VALUE"""),53.3)</f>
        <v>53.3</v>
      </c>
      <c r="BH486" s="3">
        <f ca="1">IFERROR(__xludf.DUMMYFUNCTION("""COMPUTED_VALUE"""),7520797)</f>
        <v>7520797</v>
      </c>
      <c r="BI486" s="4">
        <f ca="1">IFERROR(__xludf.DUMMYFUNCTION("""COMPUTED_VALUE"""),42829.6666666666)</f>
        <v>42829.666666666599</v>
      </c>
      <c r="BJ486" s="3">
        <f ca="1">IFERROR(__xludf.DUMMYFUNCTION("""COMPUTED_VALUE"""),51.25)</f>
        <v>51.25</v>
      </c>
      <c r="BK486" s="3">
        <f ca="1">IFERROR(__xludf.DUMMYFUNCTION("""COMPUTED_VALUE"""),51.65)</f>
        <v>51.65</v>
      </c>
      <c r="BL486" s="3">
        <f ca="1">IFERROR(__xludf.DUMMYFUNCTION("""COMPUTED_VALUE"""),51.15)</f>
        <v>51.15</v>
      </c>
      <c r="BM486" s="3">
        <f ca="1">IFERROR(__xludf.DUMMYFUNCTION("""COMPUTED_VALUE"""),51.46)</f>
        <v>51.46</v>
      </c>
      <c r="BN486" s="3">
        <f ca="1">IFERROR(__xludf.DUMMYFUNCTION("""COMPUTED_VALUE"""),10134305)</f>
        <v>10134305</v>
      </c>
    </row>
    <row r="487" spans="7:66" ht="13" x14ac:dyDescent="0.15">
      <c r="G487" s="4">
        <f ca="1">IFERROR(__xludf.DUMMYFUNCTION("""COMPUTED_VALUE"""),42830.6666666666)</f>
        <v>42830.666666666599</v>
      </c>
      <c r="H487" s="3">
        <f ca="1">IFERROR(__xludf.DUMMYFUNCTION("""COMPUTED_VALUE"""),87.79)</f>
        <v>87.79</v>
      </c>
      <c r="I487" s="3">
        <f ca="1">IFERROR(__xludf.DUMMYFUNCTION("""COMPUTED_VALUE"""),88.26)</f>
        <v>88.26</v>
      </c>
      <c r="J487" s="3">
        <f ca="1">IFERROR(__xludf.DUMMYFUNCTION("""COMPUTED_VALUE"""),87.13)</f>
        <v>87.13</v>
      </c>
      <c r="K487" s="3">
        <f ca="1">IFERROR(__xludf.DUMMYFUNCTION("""COMPUTED_VALUE"""),87.25)</f>
        <v>87.25</v>
      </c>
      <c r="L487" s="3">
        <f ca="1">IFERROR(__xludf.DUMMYFUNCTION("""COMPUTED_VALUE"""),4350940)</f>
        <v>4350940</v>
      </c>
      <c r="M487" s="4">
        <f ca="1">IFERROR(__xludf.DUMMYFUNCTION("""COMPUTED_VALUE"""),42830.6666666666)</f>
        <v>42830.666666666599</v>
      </c>
      <c r="N487" s="3">
        <f ca="1">IFERROR(__xludf.DUMMYFUNCTION("""COMPUTED_VALUE"""),54.66)</f>
        <v>54.66</v>
      </c>
      <c r="O487" s="3">
        <f ca="1">IFERROR(__xludf.DUMMYFUNCTION("""COMPUTED_VALUE"""),54.9)</f>
        <v>54.9</v>
      </c>
      <c r="P487" s="3">
        <f ca="1">IFERROR(__xludf.DUMMYFUNCTION("""COMPUTED_VALUE"""),54.48)</f>
        <v>54.48</v>
      </c>
      <c r="Q487" s="3">
        <f ca="1">IFERROR(__xludf.DUMMYFUNCTION("""COMPUTED_VALUE"""),54.55)</f>
        <v>54.55</v>
      </c>
      <c r="R487" s="3">
        <f ca="1">IFERROR(__xludf.DUMMYFUNCTION("""COMPUTED_VALUE"""),7268060)</f>
        <v>7268060</v>
      </c>
      <c r="S487" s="4">
        <f ca="1">IFERROR(__xludf.DUMMYFUNCTION("""COMPUTED_VALUE"""),42830.6666666666)</f>
        <v>42830.666666666599</v>
      </c>
      <c r="T487" s="3">
        <f ca="1">IFERROR(__xludf.DUMMYFUNCTION("""COMPUTED_VALUE"""),70.88)</f>
        <v>70.88</v>
      </c>
      <c r="U487" s="3">
        <f ca="1">IFERROR(__xludf.DUMMYFUNCTION("""COMPUTED_VALUE"""),71.49)</f>
        <v>71.489999999999995</v>
      </c>
      <c r="V487" s="3">
        <f ca="1">IFERROR(__xludf.DUMMYFUNCTION("""COMPUTED_VALUE"""),69.97)</f>
        <v>69.97</v>
      </c>
      <c r="W487" s="3">
        <f ca="1">IFERROR(__xludf.DUMMYFUNCTION("""COMPUTED_VALUE"""),70.07)</f>
        <v>70.069999999999993</v>
      </c>
      <c r="X487" s="3">
        <f ca="1">IFERROR(__xludf.DUMMYFUNCTION("""COMPUTED_VALUE"""),22733722)</f>
        <v>22733722</v>
      </c>
      <c r="Y487" s="4">
        <f ca="1">IFERROR(__xludf.DUMMYFUNCTION("""COMPUTED_VALUE"""),42830.6666666666)</f>
        <v>42830.666666666599</v>
      </c>
      <c r="Z487" s="3">
        <f ca="1">IFERROR(__xludf.DUMMYFUNCTION("""COMPUTED_VALUE"""),23.87)</f>
        <v>23.87</v>
      </c>
      <c r="AA487" s="3">
        <f ca="1">IFERROR(__xludf.DUMMYFUNCTION("""COMPUTED_VALUE"""),23.96)</f>
        <v>23.96</v>
      </c>
      <c r="AB487" s="3">
        <f ca="1">IFERROR(__xludf.DUMMYFUNCTION("""COMPUTED_VALUE"""),23.47)</f>
        <v>23.47</v>
      </c>
      <c r="AC487" s="3">
        <f ca="1">IFERROR(__xludf.DUMMYFUNCTION("""COMPUTED_VALUE"""),23.47)</f>
        <v>23.47</v>
      </c>
      <c r="AD487" s="3">
        <f ca="1">IFERROR(__xludf.DUMMYFUNCTION("""COMPUTED_VALUE"""),104651195)</f>
        <v>104651195</v>
      </c>
      <c r="AE487" s="4">
        <f ca="1">IFERROR(__xludf.DUMMYFUNCTION("""COMPUTED_VALUE"""),42830.6666666666)</f>
        <v>42830.666666666599</v>
      </c>
      <c r="AF487" s="3">
        <f ca="1">IFERROR(__xludf.DUMMYFUNCTION("""COMPUTED_VALUE"""),74.48)</f>
        <v>74.48</v>
      </c>
      <c r="AG487" s="3">
        <f ca="1">IFERROR(__xludf.DUMMYFUNCTION("""COMPUTED_VALUE"""),74.92)</f>
        <v>74.92</v>
      </c>
      <c r="AH487" s="3">
        <f ca="1">IFERROR(__xludf.DUMMYFUNCTION("""COMPUTED_VALUE"""),74.1)</f>
        <v>74.099999999999994</v>
      </c>
      <c r="AI487" s="3">
        <f ca="1">IFERROR(__xludf.DUMMYFUNCTION("""COMPUTED_VALUE"""),74.15)</f>
        <v>74.150000000000006</v>
      </c>
      <c r="AJ487" s="3">
        <f ca="1">IFERROR(__xludf.DUMMYFUNCTION("""COMPUTED_VALUE"""),6470120)</f>
        <v>6470120</v>
      </c>
      <c r="AK487" s="4">
        <f ca="1">IFERROR(__xludf.DUMMYFUNCTION("""COMPUTED_VALUE"""),42830.6666666666)</f>
        <v>42830.666666666599</v>
      </c>
      <c r="AL487" s="3">
        <f ca="1">IFERROR(__xludf.DUMMYFUNCTION("""COMPUTED_VALUE"""),65.32)</f>
        <v>65.319999999999993</v>
      </c>
      <c r="AM487" s="3">
        <f ca="1">IFERROR(__xludf.DUMMYFUNCTION("""COMPUTED_VALUE"""),65.88)</f>
        <v>65.88</v>
      </c>
      <c r="AN487" s="3">
        <f ca="1">IFERROR(__xludf.DUMMYFUNCTION("""COMPUTED_VALUE"""),64.79)</f>
        <v>64.790000000000006</v>
      </c>
      <c r="AO487" s="3">
        <f ca="1">IFERROR(__xludf.DUMMYFUNCTION("""COMPUTED_VALUE"""),64.88)</f>
        <v>64.88</v>
      </c>
      <c r="AP487" s="3">
        <f ca="1">IFERROR(__xludf.DUMMYFUNCTION("""COMPUTED_VALUE"""),11422628)</f>
        <v>11422628</v>
      </c>
      <c r="AQ487" s="4">
        <f ca="1">IFERROR(__xludf.DUMMYFUNCTION("""COMPUTED_VALUE"""),42830.6666666666)</f>
        <v>42830.666666666599</v>
      </c>
      <c r="AR487" s="3">
        <f ca="1">IFERROR(__xludf.DUMMYFUNCTION("""COMPUTED_VALUE"""),52.56)</f>
        <v>52.56</v>
      </c>
      <c r="AS487" s="3">
        <f ca="1">IFERROR(__xludf.DUMMYFUNCTION("""COMPUTED_VALUE"""),52.99)</f>
        <v>52.99</v>
      </c>
      <c r="AT487" s="3">
        <f ca="1">IFERROR(__xludf.DUMMYFUNCTION("""COMPUTED_VALUE"""),52.31)</f>
        <v>52.31</v>
      </c>
      <c r="AU487" s="3">
        <f ca="1">IFERROR(__xludf.DUMMYFUNCTION("""COMPUTED_VALUE"""),52.36)</f>
        <v>52.36</v>
      </c>
      <c r="AV487" s="3">
        <f ca="1">IFERROR(__xludf.DUMMYFUNCTION("""COMPUTED_VALUE"""),5004881)</f>
        <v>5004881</v>
      </c>
      <c r="AW487" s="4">
        <f ca="1">IFERROR(__xludf.DUMMYFUNCTION("""COMPUTED_VALUE"""),42996.6666666666)</f>
        <v>42996.666666666599</v>
      </c>
      <c r="AX487" s="3">
        <f ca="1">IFERROR(__xludf.DUMMYFUNCTION("""COMPUTED_VALUE"""),33)</f>
        <v>33</v>
      </c>
      <c r="AY487" s="3">
        <f ca="1">IFERROR(__xludf.DUMMYFUNCTION("""COMPUTED_VALUE"""),33.1)</f>
        <v>33.1</v>
      </c>
      <c r="AZ487" s="3">
        <f ca="1">IFERROR(__xludf.DUMMYFUNCTION("""COMPUTED_VALUE"""),32.78)</f>
        <v>32.78</v>
      </c>
      <c r="BA487" s="3">
        <f ca="1">IFERROR(__xludf.DUMMYFUNCTION("""COMPUTED_VALUE"""),32.86)</f>
        <v>32.86</v>
      </c>
      <c r="BB487" s="3">
        <f ca="1">IFERROR(__xludf.DUMMYFUNCTION("""COMPUTED_VALUE"""),1012304)</f>
        <v>1012304</v>
      </c>
      <c r="BC487" s="4">
        <f ca="1">IFERROR(__xludf.DUMMYFUNCTION("""COMPUTED_VALUE"""),42830.6666666666)</f>
        <v>42830.666666666599</v>
      </c>
      <c r="BD487" s="3">
        <f ca="1">IFERROR(__xludf.DUMMYFUNCTION("""COMPUTED_VALUE"""),53.35)</f>
        <v>53.35</v>
      </c>
      <c r="BE487" s="3">
        <f ca="1">IFERROR(__xludf.DUMMYFUNCTION("""COMPUTED_VALUE"""),53.71)</f>
        <v>53.71</v>
      </c>
      <c r="BF487" s="3">
        <f ca="1">IFERROR(__xludf.DUMMYFUNCTION("""COMPUTED_VALUE"""),53.03)</f>
        <v>53.03</v>
      </c>
      <c r="BG487" s="3">
        <f ca="1">IFERROR(__xludf.DUMMYFUNCTION("""COMPUTED_VALUE"""),53.08)</f>
        <v>53.08</v>
      </c>
      <c r="BH487" s="3">
        <f ca="1">IFERROR(__xludf.DUMMYFUNCTION("""COMPUTED_VALUE"""),10477873)</f>
        <v>10477873</v>
      </c>
      <c r="BI487" s="4">
        <f ca="1">IFERROR(__xludf.DUMMYFUNCTION("""COMPUTED_VALUE"""),42830.6666666666)</f>
        <v>42830.666666666599</v>
      </c>
      <c r="BJ487" s="3">
        <f ca="1">IFERROR(__xludf.DUMMYFUNCTION("""COMPUTED_VALUE"""),51.4)</f>
        <v>51.4</v>
      </c>
      <c r="BK487" s="3">
        <f ca="1">IFERROR(__xludf.DUMMYFUNCTION("""COMPUTED_VALUE"""),51.8)</f>
        <v>51.8</v>
      </c>
      <c r="BL487" s="3">
        <f ca="1">IFERROR(__xludf.DUMMYFUNCTION("""COMPUTED_VALUE"""),51.29)</f>
        <v>51.29</v>
      </c>
      <c r="BM487" s="3">
        <f ca="1">IFERROR(__xludf.DUMMYFUNCTION("""COMPUTED_VALUE"""),51.75)</f>
        <v>51.75</v>
      </c>
      <c r="BN487" s="3">
        <f ca="1">IFERROR(__xludf.DUMMYFUNCTION("""COMPUTED_VALUE"""),12649545)</f>
        <v>12649545</v>
      </c>
    </row>
    <row r="488" spans="7:66" ht="13" x14ac:dyDescent="0.15">
      <c r="G488" s="4">
        <f ca="1">IFERROR(__xludf.DUMMYFUNCTION("""COMPUTED_VALUE"""),42831.6666666666)</f>
        <v>42831.666666666599</v>
      </c>
      <c r="H488" s="3">
        <f ca="1">IFERROR(__xludf.DUMMYFUNCTION("""COMPUTED_VALUE"""),87.3)</f>
        <v>87.3</v>
      </c>
      <c r="I488" s="3">
        <f ca="1">IFERROR(__xludf.DUMMYFUNCTION("""COMPUTED_VALUE"""),87.8)</f>
        <v>87.8</v>
      </c>
      <c r="J488" s="3">
        <f ca="1">IFERROR(__xludf.DUMMYFUNCTION("""COMPUTED_VALUE"""),87.27)</f>
        <v>87.27</v>
      </c>
      <c r="K488" s="3">
        <f ca="1">IFERROR(__xludf.DUMMYFUNCTION("""COMPUTED_VALUE"""),87.52)</f>
        <v>87.52</v>
      </c>
      <c r="L488" s="3">
        <f ca="1">IFERROR(__xludf.DUMMYFUNCTION("""COMPUTED_VALUE"""),2913884)</f>
        <v>2913884</v>
      </c>
      <c r="M488" s="4">
        <f ca="1">IFERROR(__xludf.DUMMYFUNCTION("""COMPUTED_VALUE"""),42831.6666666666)</f>
        <v>42831.666666666599</v>
      </c>
      <c r="N488" s="3">
        <f ca="1">IFERROR(__xludf.DUMMYFUNCTION("""COMPUTED_VALUE"""),54.6)</f>
        <v>54.6</v>
      </c>
      <c r="O488" s="3">
        <f ca="1">IFERROR(__xludf.DUMMYFUNCTION("""COMPUTED_VALUE"""),54.77)</f>
        <v>54.77</v>
      </c>
      <c r="P488" s="3">
        <f ca="1">IFERROR(__xludf.DUMMYFUNCTION("""COMPUTED_VALUE"""),54.51)</f>
        <v>54.51</v>
      </c>
      <c r="Q488" s="3">
        <f ca="1">IFERROR(__xludf.DUMMYFUNCTION("""COMPUTED_VALUE"""),54.55)</f>
        <v>54.55</v>
      </c>
      <c r="R488" s="3">
        <f ca="1">IFERROR(__xludf.DUMMYFUNCTION("""COMPUTED_VALUE"""),5061030)</f>
        <v>5061030</v>
      </c>
      <c r="S488" s="4">
        <f ca="1">IFERROR(__xludf.DUMMYFUNCTION("""COMPUTED_VALUE"""),42831.6666666666)</f>
        <v>42831.666666666599</v>
      </c>
      <c r="T488" s="3">
        <f ca="1">IFERROR(__xludf.DUMMYFUNCTION("""COMPUTED_VALUE"""),70.35)</f>
        <v>70.349999999999994</v>
      </c>
      <c r="U488" s="3">
        <f ca="1">IFERROR(__xludf.DUMMYFUNCTION("""COMPUTED_VALUE"""),70.83)</f>
        <v>70.83</v>
      </c>
      <c r="V488" s="3">
        <f ca="1">IFERROR(__xludf.DUMMYFUNCTION("""COMPUTED_VALUE"""),70.16)</f>
        <v>70.16</v>
      </c>
      <c r="W488" s="3">
        <f ca="1">IFERROR(__xludf.DUMMYFUNCTION("""COMPUTED_VALUE"""),70.63)</f>
        <v>70.63</v>
      </c>
      <c r="X488" s="3">
        <f ca="1">IFERROR(__xludf.DUMMYFUNCTION("""COMPUTED_VALUE"""),13124705)</f>
        <v>13124705</v>
      </c>
      <c r="Y488" s="4">
        <f ca="1">IFERROR(__xludf.DUMMYFUNCTION("""COMPUTED_VALUE"""),42831.6666666666)</f>
        <v>42831.666666666599</v>
      </c>
      <c r="Z488" s="3">
        <f ca="1">IFERROR(__xludf.DUMMYFUNCTION("""COMPUTED_VALUE"""),23.45)</f>
        <v>23.45</v>
      </c>
      <c r="AA488" s="3">
        <f ca="1">IFERROR(__xludf.DUMMYFUNCTION("""COMPUTED_VALUE"""),23.72)</f>
        <v>23.72</v>
      </c>
      <c r="AB488" s="3">
        <f ca="1">IFERROR(__xludf.DUMMYFUNCTION("""COMPUTED_VALUE"""),23.33)</f>
        <v>23.33</v>
      </c>
      <c r="AC488" s="3">
        <f ca="1">IFERROR(__xludf.DUMMYFUNCTION("""COMPUTED_VALUE"""),23.62)</f>
        <v>23.62</v>
      </c>
      <c r="AD488" s="3">
        <f ca="1">IFERROR(__xludf.DUMMYFUNCTION("""COMPUTED_VALUE"""),80802117)</f>
        <v>80802117</v>
      </c>
      <c r="AE488" s="4">
        <f ca="1">IFERROR(__xludf.DUMMYFUNCTION("""COMPUTED_VALUE"""),42831.6666666666)</f>
        <v>42831.666666666599</v>
      </c>
      <c r="AF488" s="3">
        <f ca="1">IFERROR(__xludf.DUMMYFUNCTION("""COMPUTED_VALUE"""),74.17)</f>
        <v>74.17</v>
      </c>
      <c r="AG488" s="3">
        <f ca="1">IFERROR(__xludf.DUMMYFUNCTION("""COMPUTED_VALUE"""),74.42)</f>
        <v>74.42</v>
      </c>
      <c r="AH488" s="3">
        <f ca="1">IFERROR(__xludf.DUMMYFUNCTION("""COMPUTED_VALUE"""),73.95)</f>
        <v>73.95</v>
      </c>
      <c r="AI488" s="3">
        <f ca="1">IFERROR(__xludf.DUMMYFUNCTION("""COMPUTED_VALUE"""),74.28)</f>
        <v>74.28</v>
      </c>
      <c r="AJ488" s="3">
        <f ca="1">IFERROR(__xludf.DUMMYFUNCTION("""COMPUTED_VALUE"""),5253261)</f>
        <v>5253261</v>
      </c>
      <c r="AK488" s="4">
        <f ca="1">IFERROR(__xludf.DUMMYFUNCTION("""COMPUTED_VALUE"""),42831.6666666666)</f>
        <v>42831.666666666599</v>
      </c>
      <c r="AL488" s="3">
        <f ca="1">IFERROR(__xludf.DUMMYFUNCTION("""COMPUTED_VALUE"""),64.92)</f>
        <v>64.92</v>
      </c>
      <c r="AM488" s="3">
        <f ca="1">IFERROR(__xludf.DUMMYFUNCTION("""COMPUTED_VALUE"""),65.36)</f>
        <v>65.36</v>
      </c>
      <c r="AN488" s="3">
        <f ca="1">IFERROR(__xludf.DUMMYFUNCTION("""COMPUTED_VALUE"""),64.8)</f>
        <v>64.8</v>
      </c>
      <c r="AO488" s="3">
        <f ca="1">IFERROR(__xludf.DUMMYFUNCTION("""COMPUTED_VALUE"""),65.06)</f>
        <v>65.06</v>
      </c>
      <c r="AP488" s="3">
        <f ca="1">IFERROR(__xludf.DUMMYFUNCTION("""COMPUTED_VALUE"""),7633721)</f>
        <v>7633721</v>
      </c>
      <c r="AQ488" s="4">
        <f ca="1">IFERROR(__xludf.DUMMYFUNCTION("""COMPUTED_VALUE"""),42831.6666666666)</f>
        <v>42831.666666666599</v>
      </c>
      <c r="AR488" s="3">
        <f ca="1">IFERROR(__xludf.DUMMYFUNCTION("""COMPUTED_VALUE"""),52.41)</f>
        <v>52.41</v>
      </c>
      <c r="AS488" s="3">
        <f ca="1">IFERROR(__xludf.DUMMYFUNCTION("""COMPUTED_VALUE"""),52.84)</f>
        <v>52.84</v>
      </c>
      <c r="AT488" s="3">
        <f ca="1">IFERROR(__xludf.DUMMYFUNCTION("""COMPUTED_VALUE"""),52.24)</f>
        <v>52.24</v>
      </c>
      <c r="AU488" s="3">
        <f ca="1">IFERROR(__xludf.DUMMYFUNCTION("""COMPUTED_VALUE"""),52.64)</f>
        <v>52.64</v>
      </c>
      <c r="AV488" s="3">
        <f ca="1">IFERROR(__xludf.DUMMYFUNCTION("""COMPUTED_VALUE"""),3081999)</f>
        <v>3081999</v>
      </c>
      <c r="AW488" s="4">
        <f ca="1">IFERROR(__xludf.DUMMYFUNCTION("""COMPUTED_VALUE"""),42997.6666666666)</f>
        <v>42997.666666666599</v>
      </c>
      <c r="AX488" s="3">
        <f ca="1">IFERROR(__xludf.DUMMYFUNCTION("""COMPUTED_VALUE"""),32.86)</f>
        <v>32.86</v>
      </c>
      <c r="AY488" s="3">
        <f ca="1">IFERROR(__xludf.DUMMYFUNCTION("""COMPUTED_VALUE"""),32.89)</f>
        <v>32.89</v>
      </c>
      <c r="AZ488" s="3">
        <f ca="1">IFERROR(__xludf.DUMMYFUNCTION("""COMPUTED_VALUE"""),32.44)</f>
        <v>32.44</v>
      </c>
      <c r="BA488" s="3">
        <f ca="1">IFERROR(__xludf.DUMMYFUNCTION("""COMPUTED_VALUE"""),32.53)</f>
        <v>32.53</v>
      </c>
      <c r="BB488" s="3">
        <f ca="1">IFERROR(__xludf.DUMMYFUNCTION("""COMPUTED_VALUE"""),1990963)</f>
        <v>1990963</v>
      </c>
      <c r="BC488" s="4">
        <f ca="1">IFERROR(__xludf.DUMMYFUNCTION("""COMPUTED_VALUE"""),42831.6666666666)</f>
        <v>42831.666666666599</v>
      </c>
      <c r="BD488" s="3">
        <f ca="1">IFERROR(__xludf.DUMMYFUNCTION("""COMPUTED_VALUE"""),53.14)</f>
        <v>53.14</v>
      </c>
      <c r="BE488" s="3">
        <f ca="1">IFERROR(__xludf.DUMMYFUNCTION("""COMPUTED_VALUE"""),53.25)</f>
        <v>53.25</v>
      </c>
      <c r="BF488" s="3">
        <f ca="1">IFERROR(__xludf.DUMMYFUNCTION("""COMPUTED_VALUE"""),52.96)</f>
        <v>52.96</v>
      </c>
      <c r="BG488" s="3">
        <f ca="1">IFERROR(__xludf.DUMMYFUNCTION("""COMPUTED_VALUE"""),53.09)</f>
        <v>53.09</v>
      </c>
      <c r="BH488" s="3">
        <f ca="1">IFERROR(__xludf.DUMMYFUNCTION("""COMPUTED_VALUE"""),6935088)</f>
        <v>6935088</v>
      </c>
      <c r="BI488" s="4">
        <f ca="1">IFERROR(__xludf.DUMMYFUNCTION("""COMPUTED_VALUE"""),42831.6666666666)</f>
        <v>42831.666666666599</v>
      </c>
      <c r="BJ488" s="3">
        <f ca="1">IFERROR(__xludf.DUMMYFUNCTION("""COMPUTED_VALUE"""),51.69)</f>
        <v>51.69</v>
      </c>
      <c r="BK488" s="3">
        <f ca="1">IFERROR(__xludf.DUMMYFUNCTION("""COMPUTED_VALUE"""),51.71)</f>
        <v>51.71</v>
      </c>
      <c r="BL488" s="3">
        <f ca="1">IFERROR(__xludf.DUMMYFUNCTION("""COMPUTED_VALUE"""),51.42)</f>
        <v>51.42</v>
      </c>
      <c r="BM488" s="3">
        <f ca="1">IFERROR(__xludf.DUMMYFUNCTION("""COMPUTED_VALUE"""),51.62)</f>
        <v>51.62</v>
      </c>
      <c r="BN488" s="3">
        <f ca="1">IFERROR(__xludf.DUMMYFUNCTION("""COMPUTED_VALUE"""),9388774)</f>
        <v>9388774</v>
      </c>
    </row>
    <row r="489" spans="7:66" ht="13" x14ac:dyDescent="0.15">
      <c r="G489" s="4">
        <f ca="1">IFERROR(__xludf.DUMMYFUNCTION("""COMPUTED_VALUE"""),42832.6666666666)</f>
        <v>42832.666666666599</v>
      </c>
      <c r="H489" s="3">
        <f ca="1">IFERROR(__xludf.DUMMYFUNCTION("""COMPUTED_VALUE"""),87.3)</f>
        <v>87.3</v>
      </c>
      <c r="I489" s="3">
        <f ca="1">IFERROR(__xludf.DUMMYFUNCTION("""COMPUTED_VALUE"""),87.56)</f>
        <v>87.56</v>
      </c>
      <c r="J489" s="3">
        <f ca="1">IFERROR(__xludf.DUMMYFUNCTION("""COMPUTED_VALUE"""),87.14)</f>
        <v>87.14</v>
      </c>
      <c r="K489" s="3">
        <f ca="1">IFERROR(__xludf.DUMMYFUNCTION("""COMPUTED_VALUE"""),87.26)</f>
        <v>87.26</v>
      </c>
      <c r="L489" s="3">
        <f ca="1">IFERROR(__xludf.DUMMYFUNCTION("""COMPUTED_VALUE"""),3908262)</f>
        <v>3908262</v>
      </c>
      <c r="M489" s="4">
        <f ca="1">IFERROR(__xludf.DUMMYFUNCTION("""COMPUTED_VALUE"""),42832.6666666666)</f>
        <v>42832.666666666599</v>
      </c>
      <c r="N489" s="3">
        <f ca="1">IFERROR(__xludf.DUMMYFUNCTION("""COMPUTED_VALUE"""),54.6)</f>
        <v>54.6</v>
      </c>
      <c r="O489" s="3">
        <f ca="1">IFERROR(__xludf.DUMMYFUNCTION("""COMPUTED_VALUE"""),54.85)</f>
        <v>54.85</v>
      </c>
      <c r="P489" s="3">
        <f ca="1">IFERROR(__xludf.DUMMYFUNCTION("""COMPUTED_VALUE"""),54.58)</f>
        <v>54.58</v>
      </c>
      <c r="Q489" s="3">
        <f ca="1">IFERROR(__xludf.DUMMYFUNCTION("""COMPUTED_VALUE"""),54.7)</f>
        <v>54.7</v>
      </c>
      <c r="R489" s="3">
        <f ca="1">IFERROR(__xludf.DUMMYFUNCTION("""COMPUTED_VALUE"""),7629874)</f>
        <v>7629874</v>
      </c>
      <c r="S489" s="4">
        <f ca="1">IFERROR(__xludf.DUMMYFUNCTION("""COMPUTED_VALUE"""),42832.6666666666)</f>
        <v>42832.666666666599</v>
      </c>
      <c r="T489" s="3">
        <f ca="1">IFERROR(__xludf.DUMMYFUNCTION("""COMPUTED_VALUE"""),70.67)</f>
        <v>70.67</v>
      </c>
      <c r="U489" s="3">
        <f ca="1">IFERROR(__xludf.DUMMYFUNCTION("""COMPUTED_VALUE"""),70.86)</f>
        <v>70.86</v>
      </c>
      <c r="V489" s="3">
        <f ca="1">IFERROR(__xludf.DUMMYFUNCTION("""COMPUTED_VALUE"""),70.25)</f>
        <v>70.25</v>
      </c>
      <c r="W489" s="3">
        <f ca="1">IFERROR(__xludf.DUMMYFUNCTION("""COMPUTED_VALUE"""),70.36)</f>
        <v>70.36</v>
      </c>
      <c r="X489" s="3">
        <f ca="1">IFERROR(__xludf.DUMMYFUNCTION("""COMPUTED_VALUE"""),12580298)</f>
        <v>12580298</v>
      </c>
      <c r="Y489" s="4">
        <f ca="1">IFERROR(__xludf.DUMMYFUNCTION("""COMPUTED_VALUE"""),42832.6666666666)</f>
        <v>42832.666666666599</v>
      </c>
      <c r="Z489" s="3">
        <f ca="1">IFERROR(__xludf.DUMMYFUNCTION("""COMPUTED_VALUE"""),23.44)</f>
        <v>23.44</v>
      </c>
      <c r="AA489" s="3">
        <f ca="1">IFERROR(__xludf.DUMMYFUNCTION("""COMPUTED_VALUE"""),23.68)</f>
        <v>23.68</v>
      </c>
      <c r="AB489" s="3">
        <f ca="1">IFERROR(__xludf.DUMMYFUNCTION("""COMPUTED_VALUE"""),23.4)</f>
        <v>23.4</v>
      </c>
      <c r="AC489" s="3">
        <f ca="1">IFERROR(__xludf.DUMMYFUNCTION("""COMPUTED_VALUE"""),23.52)</f>
        <v>23.52</v>
      </c>
      <c r="AD489" s="3">
        <f ca="1">IFERROR(__xludf.DUMMYFUNCTION("""COMPUTED_VALUE"""),61525690)</f>
        <v>61525690</v>
      </c>
      <c r="AE489" s="4">
        <f ca="1">IFERROR(__xludf.DUMMYFUNCTION("""COMPUTED_VALUE"""),42832.6666666666)</f>
        <v>42832.666666666599</v>
      </c>
      <c r="AF489" s="3">
        <f ca="1">IFERROR(__xludf.DUMMYFUNCTION("""COMPUTED_VALUE"""),74.33)</f>
        <v>74.33</v>
      </c>
      <c r="AG489" s="3">
        <f ca="1">IFERROR(__xludf.DUMMYFUNCTION("""COMPUTED_VALUE"""),74.6)</f>
        <v>74.599999999999994</v>
      </c>
      <c r="AH489" s="3">
        <f ca="1">IFERROR(__xludf.DUMMYFUNCTION("""COMPUTED_VALUE"""),74.13)</f>
        <v>74.13</v>
      </c>
      <c r="AI489" s="3">
        <f ca="1">IFERROR(__xludf.DUMMYFUNCTION("""COMPUTED_VALUE"""),74.41)</f>
        <v>74.41</v>
      </c>
      <c r="AJ489" s="3">
        <f ca="1">IFERROR(__xludf.DUMMYFUNCTION("""COMPUTED_VALUE"""),5638152)</f>
        <v>5638152</v>
      </c>
      <c r="AK489" s="4">
        <f ca="1">IFERROR(__xludf.DUMMYFUNCTION("""COMPUTED_VALUE"""),42832.6666666666)</f>
        <v>42832.666666666599</v>
      </c>
      <c r="AL489" s="3">
        <f ca="1">IFERROR(__xludf.DUMMYFUNCTION("""COMPUTED_VALUE"""),65.09)</f>
        <v>65.09</v>
      </c>
      <c r="AM489" s="3">
        <f ca="1">IFERROR(__xludf.DUMMYFUNCTION("""COMPUTED_VALUE"""),65.4)</f>
        <v>65.400000000000006</v>
      </c>
      <c r="AN489" s="3">
        <f ca="1">IFERROR(__xludf.DUMMYFUNCTION("""COMPUTED_VALUE"""),65)</f>
        <v>65</v>
      </c>
      <c r="AO489" s="3">
        <f ca="1">IFERROR(__xludf.DUMMYFUNCTION("""COMPUTED_VALUE"""),65.13)</f>
        <v>65.13</v>
      </c>
      <c r="AP489" s="3">
        <f ca="1">IFERROR(__xludf.DUMMYFUNCTION("""COMPUTED_VALUE"""),7522655)</f>
        <v>7522655</v>
      </c>
      <c r="AQ489" s="4">
        <f ca="1">IFERROR(__xludf.DUMMYFUNCTION("""COMPUTED_VALUE"""),42832.6666666666)</f>
        <v>42832.666666666599</v>
      </c>
      <c r="AR489" s="3">
        <f ca="1">IFERROR(__xludf.DUMMYFUNCTION("""COMPUTED_VALUE"""),52.49)</f>
        <v>52.49</v>
      </c>
      <c r="AS489" s="3">
        <f ca="1">IFERROR(__xludf.DUMMYFUNCTION("""COMPUTED_VALUE"""),52.77)</f>
        <v>52.77</v>
      </c>
      <c r="AT489" s="3">
        <f ca="1">IFERROR(__xludf.DUMMYFUNCTION("""COMPUTED_VALUE"""),52.43)</f>
        <v>52.43</v>
      </c>
      <c r="AU489" s="3">
        <f ca="1">IFERROR(__xludf.DUMMYFUNCTION("""COMPUTED_VALUE"""),52.59)</f>
        <v>52.59</v>
      </c>
      <c r="AV489" s="3">
        <f ca="1">IFERROR(__xludf.DUMMYFUNCTION("""COMPUTED_VALUE"""),2530906)</f>
        <v>2530906</v>
      </c>
      <c r="AW489" s="4">
        <f ca="1">IFERROR(__xludf.DUMMYFUNCTION("""COMPUTED_VALUE"""),42998.6666666666)</f>
        <v>42998.666666666599</v>
      </c>
      <c r="AX489" s="3">
        <f ca="1">IFERROR(__xludf.DUMMYFUNCTION("""COMPUTED_VALUE"""),32.58)</f>
        <v>32.58</v>
      </c>
      <c r="AY489" s="3">
        <f ca="1">IFERROR(__xludf.DUMMYFUNCTION("""COMPUTED_VALUE"""),32.65)</f>
        <v>32.65</v>
      </c>
      <c r="AZ489" s="3">
        <f ca="1">IFERROR(__xludf.DUMMYFUNCTION("""COMPUTED_VALUE"""),32.29)</f>
        <v>32.29</v>
      </c>
      <c r="BA489" s="3">
        <f ca="1">IFERROR(__xludf.DUMMYFUNCTION("""COMPUTED_VALUE"""),32.44)</f>
        <v>32.44</v>
      </c>
      <c r="BB489" s="3">
        <f ca="1">IFERROR(__xludf.DUMMYFUNCTION("""COMPUTED_VALUE"""),1283776)</f>
        <v>1283776</v>
      </c>
      <c r="BC489" s="4">
        <f ca="1">IFERROR(__xludf.DUMMYFUNCTION("""COMPUTED_VALUE"""),42832.6666666666)</f>
        <v>42832.666666666599</v>
      </c>
      <c r="BD489" s="3">
        <f ca="1">IFERROR(__xludf.DUMMYFUNCTION("""COMPUTED_VALUE"""),53.01)</f>
        <v>53.01</v>
      </c>
      <c r="BE489" s="3">
        <f ca="1">IFERROR(__xludf.DUMMYFUNCTION("""COMPUTED_VALUE"""),53.2)</f>
        <v>53.2</v>
      </c>
      <c r="BF489" s="3">
        <f ca="1">IFERROR(__xludf.DUMMYFUNCTION("""COMPUTED_VALUE"""),52.87)</f>
        <v>52.87</v>
      </c>
      <c r="BG489" s="3">
        <f ca="1">IFERROR(__xludf.DUMMYFUNCTION("""COMPUTED_VALUE"""),53.06)</f>
        <v>53.06</v>
      </c>
      <c r="BH489" s="3">
        <f ca="1">IFERROR(__xludf.DUMMYFUNCTION("""COMPUTED_VALUE"""),6469388)</f>
        <v>6469388</v>
      </c>
      <c r="BI489" s="4">
        <f ca="1">IFERROR(__xludf.DUMMYFUNCTION("""COMPUTED_VALUE"""),42832.6666666666)</f>
        <v>42832.666666666599</v>
      </c>
      <c r="BJ489" s="3">
        <f ca="1">IFERROR(__xludf.DUMMYFUNCTION("""COMPUTED_VALUE"""),51.82)</f>
        <v>51.82</v>
      </c>
      <c r="BK489" s="3">
        <f ca="1">IFERROR(__xludf.DUMMYFUNCTION("""COMPUTED_VALUE"""),51.89)</f>
        <v>51.89</v>
      </c>
      <c r="BL489" s="3">
        <f ca="1">IFERROR(__xludf.DUMMYFUNCTION("""COMPUTED_VALUE"""),51.36)</f>
        <v>51.36</v>
      </c>
      <c r="BM489" s="3">
        <f ca="1">IFERROR(__xludf.DUMMYFUNCTION("""COMPUTED_VALUE"""),51.4)</f>
        <v>51.4</v>
      </c>
      <c r="BN489" s="3">
        <f ca="1">IFERROR(__xludf.DUMMYFUNCTION("""COMPUTED_VALUE"""),19917957)</f>
        <v>19917957</v>
      </c>
    </row>
    <row r="490" spans="7:66" ht="13" x14ac:dyDescent="0.15">
      <c r="G490" s="4">
        <f ca="1">IFERROR(__xludf.DUMMYFUNCTION("""COMPUTED_VALUE"""),42835.6666666666)</f>
        <v>42835.666666666599</v>
      </c>
      <c r="H490" s="3">
        <f ca="1">IFERROR(__xludf.DUMMYFUNCTION("""COMPUTED_VALUE"""),87.29)</f>
        <v>87.29</v>
      </c>
      <c r="I490" s="3">
        <f ca="1">IFERROR(__xludf.DUMMYFUNCTION("""COMPUTED_VALUE"""),87.88)</f>
        <v>87.88</v>
      </c>
      <c r="J490" s="3">
        <f ca="1">IFERROR(__xludf.DUMMYFUNCTION("""COMPUTED_VALUE"""),87.26)</f>
        <v>87.26</v>
      </c>
      <c r="K490" s="3">
        <f ca="1">IFERROR(__xludf.DUMMYFUNCTION("""COMPUTED_VALUE"""),87.58)</f>
        <v>87.58</v>
      </c>
      <c r="L490" s="3">
        <f ca="1">IFERROR(__xludf.DUMMYFUNCTION("""COMPUTED_VALUE"""),2398145)</f>
        <v>2398145</v>
      </c>
      <c r="M490" s="4">
        <f ca="1">IFERROR(__xludf.DUMMYFUNCTION("""COMPUTED_VALUE"""),42835.6666666666)</f>
        <v>42835.666666666599</v>
      </c>
      <c r="N490" s="3">
        <f ca="1">IFERROR(__xludf.DUMMYFUNCTION("""COMPUTED_VALUE"""),54.72)</f>
        <v>54.72</v>
      </c>
      <c r="O490" s="3">
        <f ca="1">IFERROR(__xludf.DUMMYFUNCTION("""COMPUTED_VALUE"""),54.95)</f>
        <v>54.95</v>
      </c>
      <c r="P490" s="3">
        <f ca="1">IFERROR(__xludf.DUMMYFUNCTION("""COMPUTED_VALUE"""),54.62)</f>
        <v>54.62</v>
      </c>
      <c r="Q490" s="3">
        <f ca="1">IFERROR(__xludf.DUMMYFUNCTION("""COMPUTED_VALUE"""),54.86)</f>
        <v>54.86</v>
      </c>
      <c r="R490" s="3">
        <f ca="1">IFERROR(__xludf.DUMMYFUNCTION("""COMPUTED_VALUE"""),5260614)</f>
        <v>5260614</v>
      </c>
      <c r="S490" s="4">
        <f ca="1">IFERROR(__xludf.DUMMYFUNCTION("""COMPUTED_VALUE"""),42835.6666666666)</f>
        <v>42835.666666666599</v>
      </c>
      <c r="T490" s="3">
        <f ca="1">IFERROR(__xludf.DUMMYFUNCTION("""COMPUTED_VALUE"""),70.75)</f>
        <v>70.75</v>
      </c>
      <c r="U490" s="3">
        <f ca="1">IFERROR(__xludf.DUMMYFUNCTION("""COMPUTED_VALUE"""),71.21)</f>
        <v>71.209999999999994</v>
      </c>
      <c r="V490" s="3">
        <f ca="1">IFERROR(__xludf.DUMMYFUNCTION("""COMPUTED_VALUE"""),70.6)</f>
        <v>70.599999999999994</v>
      </c>
      <c r="W490" s="3">
        <f ca="1">IFERROR(__xludf.DUMMYFUNCTION("""COMPUTED_VALUE"""),70.89)</f>
        <v>70.89</v>
      </c>
      <c r="X490" s="3">
        <f ca="1">IFERROR(__xludf.DUMMYFUNCTION("""COMPUTED_VALUE"""),10820941)</f>
        <v>10820941</v>
      </c>
      <c r="Y490" s="4">
        <f ca="1">IFERROR(__xludf.DUMMYFUNCTION("""COMPUTED_VALUE"""),42835.6666666666)</f>
        <v>42835.666666666599</v>
      </c>
      <c r="Z490" s="3">
        <f ca="1">IFERROR(__xludf.DUMMYFUNCTION("""COMPUTED_VALUE"""),23.52)</f>
        <v>23.52</v>
      </c>
      <c r="AA490" s="3">
        <f ca="1">IFERROR(__xludf.DUMMYFUNCTION("""COMPUTED_VALUE"""),23.67)</f>
        <v>23.67</v>
      </c>
      <c r="AB490" s="3">
        <f ca="1">IFERROR(__xludf.DUMMYFUNCTION("""COMPUTED_VALUE"""),23.38)</f>
        <v>23.38</v>
      </c>
      <c r="AC490" s="3">
        <f ca="1">IFERROR(__xludf.DUMMYFUNCTION("""COMPUTED_VALUE"""),23.46)</f>
        <v>23.46</v>
      </c>
      <c r="AD490" s="3">
        <f ca="1">IFERROR(__xludf.DUMMYFUNCTION("""COMPUTED_VALUE"""),60428984)</f>
        <v>60428984</v>
      </c>
      <c r="AE490" s="4">
        <f ca="1">IFERROR(__xludf.DUMMYFUNCTION("""COMPUTED_VALUE"""),42835.6666666666)</f>
        <v>42835.666666666599</v>
      </c>
      <c r="AF490" s="3">
        <f ca="1">IFERROR(__xludf.DUMMYFUNCTION("""COMPUTED_VALUE"""),74.39)</f>
        <v>74.39</v>
      </c>
      <c r="AG490" s="3">
        <f ca="1">IFERROR(__xludf.DUMMYFUNCTION("""COMPUTED_VALUE"""),74.64)</f>
        <v>74.64</v>
      </c>
      <c r="AH490" s="3">
        <f ca="1">IFERROR(__xludf.DUMMYFUNCTION("""COMPUTED_VALUE"""),74.2)</f>
        <v>74.2</v>
      </c>
      <c r="AI490" s="3">
        <f ca="1">IFERROR(__xludf.DUMMYFUNCTION("""COMPUTED_VALUE"""),74.27)</f>
        <v>74.27</v>
      </c>
      <c r="AJ490" s="3">
        <f ca="1">IFERROR(__xludf.DUMMYFUNCTION("""COMPUTED_VALUE"""),4529953)</f>
        <v>4529953</v>
      </c>
      <c r="AK490" s="4">
        <f ca="1">IFERROR(__xludf.DUMMYFUNCTION("""COMPUTED_VALUE"""),42835.6666666666)</f>
        <v>42835.666666666599</v>
      </c>
      <c r="AL490" s="3">
        <f ca="1">IFERROR(__xludf.DUMMYFUNCTION("""COMPUTED_VALUE"""),65.17)</f>
        <v>65.17</v>
      </c>
      <c r="AM490" s="3">
        <f ca="1">IFERROR(__xludf.DUMMYFUNCTION("""COMPUTED_VALUE"""),65.67)</f>
        <v>65.67</v>
      </c>
      <c r="AN490" s="3">
        <f ca="1">IFERROR(__xludf.DUMMYFUNCTION("""COMPUTED_VALUE"""),65.15)</f>
        <v>65.150000000000006</v>
      </c>
      <c r="AO490" s="3">
        <f ca="1">IFERROR(__xludf.DUMMYFUNCTION("""COMPUTED_VALUE"""),65.29)</f>
        <v>65.290000000000006</v>
      </c>
      <c r="AP490" s="3">
        <f ca="1">IFERROR(__xludf.DUMMYFUNCTION("""COMPUTED_VALUE"""),6330948)</f>
        <v>6330948</v>
      </c>
      <c r="AQ490" s="4">
        <f ca="1">IFERROR(__xludf.DUMMYFUNCTION("""COMPUTED_VALUE"""),42835.6666666666)</f>
        <v>42835.666666666599</v>
      </c>
      <c r="AR490" s="3">
        <f ca="1">IFERROR(__xludf.DUMMYFUNCTION("""COMPUTED_VALUE"""),52.59)</f>
        <v>52.59</v>
      </c>
      <c r="AS490" s="3">
        <f ca="1">IFERROR(__xludf.DUMMYFUNCTION("""COMPUTED_VALUE"""),52.75)</f>
        <v>52.75</v>
      </c>
      <c r="AT490" s="3">
        <f ca="1">IFERROR(__xludf.DUMMYFUNCTION("""COMPUTED_VALUE"""),52.4)</f>
        <v>52.4</v>
      </c>
      <c r="AU490" s="3">
        <f ca="1">IFERROR(__xludf.DUMMYFUNCTION("""COMPUTED_VALUE"""),52.6)</f>
        <v>52.6</v>
      </c>
      <c r="AV490" s="3">
        <f ca="1">IFERROR(__xludf.DUMMYFUNCTION("""COMPUTED_VALUE"""),3461507)</f>
        <v>3461507</v>
      </c>
      <c r="AW490" s="4">
        <f ca="1">IFERROR(__xludf.DUMMYFUNCTION("""COMPUTED_VALUE"""),42999.6666666666)</f>
        <v>42999.666666666599</v>
      </c>
      <c r="AX490" s="3">
        <f ca="1">IFERROR(__xludf.DUMMYFUNCTION("""COMPUTED_VALUE"""),32.42)</f>
        <v>32.42</v>
      </c>
      <c r="AY490" s="3">
        <f ca="1">IFERROR(__xludf.DUMMYFUNCTION("""COMPUTED_VALUE"""),32.6)</f>
        <v>32.6</v>
      </c>
      <c r="AZ490" s="3">
        <f ca="1">IFERROR(__xludf.DUMMYFUNCTION("""COMPUTED_VALUE"""),32.38)</f>
        <v>32.380000000000003</v>
      </c>
      <c r="BA490" s="3">
        <f ca="1">IFERROR(__xludf.DUMMYFUNCTION("""COMPUTED_VALUE"""),32.39)</f>
        <v>32.39</v>
      </c>
      <c r="BB490" s="3">
        <f ca="1">IFERROR(__xludf.DUMMYFUNCTION("""COMPUTED_VALUE"""),2548103)</f>
        <v>2548103</v>
      </c>
      <c r="BC490" s="4">
        <f ca="1">IFERROR(__xludf.DUMMYFUNCTION("""COMPUTED_VALUE"""),42835.6666666666)</f>
        <v>42835.666666666599</v>
      </c>
      <c r="BD490" s="3">
        <f ca="1">IFERROR(__xludf.DUMMYFUNCTION("""COMPUTED_VALUE"""),53.09)</f>
        <v>53.09</v>
      </c>
      <c r="BE490" s="3">
        <f ca="1">IFERROR(__xludf.DUMMYFUNCTION("""COMPUTED_VALUE"""),53.22)</f>
        <v>53.22</v>
      </c>
      <c r="BF490" s="3">
        <f ca="1">IFERROR(__xludf.DUMMYFUNCTION("""COMPUTED_VALUE"""),52.85)</f>
        <v>52.85</v>
      </c>
      <c r="BG490" s="3">
        <f ca="1">IFERROR(__xludf.DUMMYFUNCTION("""COMPUTED_VALUE"""),52.96)</f>
        <v>52.96</v>
      </c>
      <c r="BH490" s="3">
        <f ca="1">IFERROR(__xludf.DUMMYFUNCTION("""COMPUTED_VALUE"""),4843637)</f>
        <v>4843637</v>
      </c>
      <c r="BI490" s="4">
        <f ca="1">IFERROR(__xludf.DUMMYFUNCTION("""COMPUTED_VALUE"""),42835.6666666666)</f>
        <v>42835.666666666599</v>
      </c>
      <c r="BJ490" s="3">
        <f ca="1">IFERROR(__xludf.DUMMYFUNCTION("""COMPUTED_VALUE"""),51.43)</f>
        <v>51.43</v>
      </c>
      <c r="BK490" s="3">
        <f ca="1">IFERROR(__xludf.DUMMYFUNCTION("""COMPUTED_VALUE"""),51.55)</f>
        <v>51.55</v>
      </c>
      <c r="BL490" s="3">
        <f ca="1">IFERROR(__xludf.DUMMYFUNCTION("""COMPUTED_VALUE"""),51.14)</f>
        <v>51.14</v>
      </c>
      <c r="BM490" s="3">
        <f ca="1">IFERROR(__xludf.DUMMYFUNCTION("""COMPUTED_VALUE"""),51.49)</f>
        <v>51.49</v>
      </c>
      <c r="BN490" s="3">
        <f ca="1">IFERROR(__xludf.DUMMYFUNCTION("""COMPUTED_VALUE"""),8484887)</f>
        <v>8484887</v>
      </c>
    </row>
    <row r="491" spans="7:66" ht="13" x14ac:dyDescent="0.15">
      <c r="G491" s="4">
        <f ca="1">IFERROR(__xludf.DUMMYFUNCTION("""COMPUTED_VALUE"""),42836.6666666666)</f>
        <v>42836.666666666599</v>
      </c>
      <c r="H491" s="3">
        <f ca="1">IFERROR(__xludf.DUMMYFUNCTION("""COMPUTED_VALUE"""),87.55)</f>
        <v>87.55</v>
      </c>
      <c r="I491" s="3">
        <f ca="1">IFERROR(__xludf.DUMMYFUNCTION("""COMPUTED_VALUE"""),87.69)</f>
        <v>87.69</v>
      </c>
      <c r="J491" s="3">
        <f ca="1">IFERROR(__xludf.DUMMYFUNCTION("""COMPUTED_VALUE"""),86.88)</f>
        <v>86.88</v>
      </c>
      <c r="K491" s="3">
        <f ca="1">IFERROR(__xludf.DUMMYFUNCTION("""COMPUTED_VALUE"""),87.51)</f>
        <v>87.51</v>
      </c>
      <c r="L491" s="3">
        <f ca="1">IFERROR(__xludf.DUMMYFUNCTION("""COMPUTED_VALUE"""),5469075)</f>
        <v>5469075</v>
      </c>
      <c r="M491" s="4">
        <f ca="1">IFERROR(__xludf.DUMMYFUNCTION("""COMPUTED_VALUE"""),42836.6666666666)</f>
        <v>42836.666666666599</v>
      </c>
      <c r="N491" s="3">
        <f ca="1">IFERROR(__xludf.DUMMYFUNCTION("""COMPUTED_VALUE"""),54.87)</f>
        <v>54.87</v>
      </c>
      <c r="O491" s="3">
        <f ca="1">IFERROR(__xludf.DUMMYFUNCTION("""COMPUTED_VALUE"""),54.93)</f>
        <v>54.93</v>
      </c>
      <c r="P491" s="3">
        <f ca="1">IFERROR(__xludf.DUMMYFUNCTION("""COMPUTED_VALUE"""),54.69)</f>
        <v>54.69</v>
      </c>
      <c r="Q491" s="3">
        <f ca="1">IFERROR(__xludf.DUMMYFUNCTION("""COMPUTED_VALUE"""),54.88)</f>
        <v>54.88</v>
      </c>
      <c r="R491" s="3">
        <f ca="1">IFERROR(__xludf.DUMMYFUNCTION("""COMPUTED_VALUE"""),6325114)</f>
        <v>6325114</v>
      </c>
      <c r="S491" s="4">
        <f ca="1">IFERROR(__xludf.DUMMYFUNCTION("""COMPUTED_VALUE"""),42836.6666666666)</f>
        <v>42836.666666666599</v>
      </c>
      <c r="T491" s="3">
        <f ca="1">IFERROR(__xludf.DUMMYFUNCTION("""COMPUTED_VALUE"""),71)</f>
        <v>71</v>
      </c>
      <c r="U491" s="3">
        <f ca="1">IFERROR(__xludf.DUMMYFUNCTION("""COMPUTED_VALUE"""),71.03)</f>
        <v>71.03</v>
      </c>
      <c r="V491" s="3">
        <f ca="1">IFERROR(__xludf.DUMMYFUNCTION("""COMPUTED_VALUE"""),70.14)</f>
        <v>70.14</v>
      </c>
      <c r="W491" s="3">
        <f ca="1">IFERROR(__xludf.DUMMYFUNCTION("""COMPUTED_VALUE"""),70.9)</f>
        <v>70.900000000000006</v>
      </c>
      <c r="X491" s="3">
        <f ca="1">IFERROR(__xludf.DUMMYFUNCTION("""COMPUTED_VALUE"""),13891468)</f>
        <v>13891468</v>
      </c>
      <c r="Y491" s="4">
        <f ca="1">IFERROR(__xludf.DUMMYFUNCTION("""COMPUTED_VALUE"""),42836.6666666666)</f>
        <v>42836.666666666599</v>
      </c>
      <c r="Z491" s="3">
        <f ca="1">IFERROR(__xludf.DUMMYFUNCTION("""COMPUTED_VALUE"""),23.34)</f>
        <v>23.34</v>
      </c>
      <c r="AA491" s="3">
        <f ca="1">IFERROR(__xludf.DUMMYFUNCTION("""COMPUTED_VALUE"""),23.43)</f>
        <v>23.43</v>
      </c>
      <c r="AB491" s="3">
        <f ca="1">IFERROR(__xludf.DUMMYFUNCTION("""COMPUTED_VALUE"""),23.15)</f>
        <v>23.15</v>
      </c>
      <c r="AC491" s="3">
        <f ca="1">IFERROR(__xludf.DUMMYFUNCTION("""COMPUTED_VALUE"""),23.39)</f>
        <v>23.39</v>
      </c>
      <c r="AD491" s="3">
        <f ca="1">IFERROR(__xludf.DUMMYFUNCTION("""COMPUTED_VALUE"""),83801181)</f>
        <v>83801181</v>
      </c>
      <c r="AE491" s="4">
        <f ca="1">IFERROR(__xludf.DUMMYFUNCTION("""COMPUTED_VALUE"""),42836.6666666666)</f>
        <v>42836.666666666599</v>
      </c>
      <c r="AF491" s="3">
        <f ca="1">IFERROR(__xludf.DUMMYFUNCTION("""COMPUTED_VALUE"""),74.15)</f>
        <v>74.150000000000006</v>
      </c>
      <c r="AG491" s="3">
        <f ca="1">IFERROR(__xludf.DUMMYFUNCTION("""COMPUTED_VALUE"""),74.34)</f>
        <v>74.34</v>
      </c>
      <c r="AH491" s="3">
        <f ca="1">IFERROR(__xludf.DUMMYFUNCTION("""COMPUTED_VALUE"""),73.76)</f>
        <v>73.760000000000005</v>
      </c>
      <c r="AI491" s="3">
        <f ca="1">IFERROR(__xludf.DUMMYFUNCTION("""COMPUTED_VALUE"""),74.17)</f>
        <v>74.17</v>
      </c>
      <c r="AJ491" s="3">
        <f ca="1">IFERROR(__xludf.DUMMYFUNCTION("""COMPUTED_VALUE"""),5472621)</f>
        <v>5472621</v>
      </c>
      <c r="AK491" s="4">
        <f ca="1">IFERROR(__xludf.DUMMYFUNCTION("""COMPUTED_VALUE"""),42836.6666666666)</f>
        <v>42836.666666666599</v>
      </c>
      <c r="AL491" s="3">
        <f ca="1">IFERROR(__xludf.DUMMYFUNCTION("""COMPUTED_VALUE"""),65.18)</f>
        <v>65.180000000000007</v>
      </c>
      <c r="AM491" s="3">
        <f ca="1">IFERROR(__xludf.DUMMYFUNCTION("""COMPUTED_VALUE"""),65.4)</f>
        <v>65.400000000000006</v>
      </c>
      <c r="AN491" s="3">
        <f ca="1">IFERROR(__xludf.DUMMYFUNCTION("""COMPUTED_VALUE"""),64.77)</f>
        <v>64.77</v>
      </c>
      <c r="AO491" s="3">
        <f ca="1">IFERROR(__xludf.DUMMYFUNCTION("""COMPUTED_VALUE"""),65.38)</f>
        <v>65.38</v>
      </c>
      <c r="AP491" s="3">
        <f ca="1">IFERROR(__xludf.DUMMYFUNCTION("""COMPUTED_VALUE"""),10172904)</f>
        <v>10172904</v>
      </c>
      <c r="AQ491" s="4">
        <f ca="1">IFERROR(__xludf.DUMMYFUNCTION("""COMPUTED_VALUE"""),42836.6666666666)</f>
        <v>42836.666666666599</v>
      </c>
      <c r="AR491" s="3">
        <f ca="1">IFERROR(__xludf.DUMMYFUNCTION("""COMPUTED_VALUE"""),52.44)</f>
        <v>52.44</v>
      </c>
      <c r="AS491" s="3">
        <f ca="1">IFERROR(__xludf.DUMMYFUNCTION("""COMPUTED_VALUE"""),52.56)</f>
        <v>52.56</v>
      </c>
      <c r="AT491" s="3">
        <f ca="1">IFERROR(__xludf.DUMMYFUNCTION("""COMPUTED_VALUE"""),52.16)</f>
        <v>52.16</v>
      </c>
      <c r="AU491" s="3">
        <f ca="1">IFERROR(__xludf.DUMMYFUNCTION("""COMPUTED_VALUE"""),52.46)</f>
        <v>52.46</v>
      </c>
      <c r="AV491" s="3">
        <f ca="1">IFERROR(__xludf.DUMMYFUNCTION("""COMPUTED_VALUE"""),3915723)</f>
        <v>3915723</v>
      </c>
      <c r="AW491" s="4">
        <f ca="1">IFERROR(__xludf.DUMMYFUNCTION("""COMPUTED_VALUE"""),43000.6666666666)</f>
        <v>43000.666666666599</v>
      </c>
      <c r="AX491" s="3">
        <f ca="1">IFERROR(__xludf.DUMMYFUNCTION("""COMPUTED_VALUE"""),32.36)</f>
        <v>32.36</v>
      </c>
      <c r="AY491" s="3">
        <f ca="1">IFERROR(__xludf.DUMMYFUNCTION("""COMPUTED_VALUE"""),32.46)</f>
        <v>32.46</v>
      </c>
      <c r="AZ491" s="3">
        <f ca="1">IFERROR(__xludf.DUMMYFUNCTION("""COMPUTED_VALUE"""),32.08)</f>
        <v>32.08</v>
      </c>
      <c r="BA491" s="3">
        <f ca="1">IFERROR(__xludf.DUMMYFUNCTION("""COMPUTED_VALUE"""),32.11)</f>
        <v>32.11</v>
      </c>
      <c r="BB491" s="3">
        <f ca="1">IFERROR(__xludf.DUMMYFUNCTION("""COMPUTED_VALUE"""),1542277)</f>
        <v>1542277</v>
      </c>
      <c r="BC491" s="4">
        <f ca="1">IFERROR(__xludf.DUMMYFUNCTION("""COMPUTED_VALUE"""),42836.6666666666)</f>
        <v>42836.666666666599</v>
      </c>
      <c r="BD491" s="3">
        <f ca="1">IFERROR(__xludf.DUMMYFUNCTION("""COMPUTED_VALUE"""),52.87)</f>
        <v>52.87</v>
      </c>
      <c r="BE491" s="3">
        <f ca="1">IFERROR(__xludf.DUMMYFUNCTION("""COMPUTED_VALUE"""),52.95)</f>
        <v>52.95</v>
      </c>
      <c r="BF491" s="3">
        <f ca="1">IFERROR(__xludf.DUMMYFUNCTION("""COMPUTED_VALUE"""),52.33)</f>
        <v>52.33</v>
      </c>
      <c r="BG491" s="3">
        <f ca="1">IFERROR(__xludf.DUMMYFUNCTION("""COMPUTED_VALUE"""),52.76)</f>
        <v>52.76</v>
      </c>
      <c r="BH491" s="3">
        <f ca="1">IFERROR(__xludf.DUMMYFUNCTION("""COMPUTED_VALUE"""),8457135)</f>
        <v>8457135</v>
      </c>
      <c r="BI491" s="4">
        <f ca="1">IFERROR(__xludf.DUMMYFUNCTION("""COMPUTED_VALUE"""),42836.6666666666)</f>
        <v>42836.666666666599</v>
      </c>
      <c r="BJ491" s="3">
        <f ca="1">IFERROR(__xludf.DUMMYFUNCTION("""COMPUTED_VALUE"""),51.52)</f>
        <v>51.52</v>
      </c>
      <c r="BK491" s="3">
        <f ca="1">IFERROR(__xludf.DUMMYFUNCTION("""COMPUTED_VALUE"""),51.57)</f>
        <v>51.57</v>
      </c>
      <c r="BL491" s="3">
        <f ca="1">IFERROR(__xludf.DUMMYFUNCTION("""COMPUTED_VALUE"""),51.13)</f>
        <v>51.13</v>
      </c>
      <c r="BM491" s="3">
        <f ca="1">IFERROR(__xludf.DUMMYFUNCTION("""COMPUTED_VALUE"""),51.47)</f>
        <v>51.47</v>
      </c>
      <c r="BN491" s="3">
        <f ca="1">IFERROR(__xludf.DUMMYFUNCTION("""COMPUTED_VALUE"""),9844223)</f>
        <v>9844223</v>
      </c>
    </row>
    <row r="492" spans="7:66" ht="13" x14ac:dyDescent="0.15">
      <c r="G492" s="4">
        <f ca="1">IFERROR(__xludf.DUMMYFUNCTION("""COMPUTED_VALUE"""),42837.6666666666)</f>
        <v>42837.666666666599</v>
      </c>
      <c r="H492" s="3">
        <f ca="1">IFERROR(__xludf.DUMMYFUNCTION("""COMPUTED_VALUE"""),87.44)</f>
        <v>87.44</v>
      </c>
      <c r="I492" s="3">
        <f ca="1">IFERROR(__xludf.DUMMYFUNCTION("""COMPUTED_VALUE"""),87.55)</f>
        <v>87.55</v>
      </c>
      <c r="J492" s="3">
        <f ca="1">IFERROR(__xludf.DUMMYFUNCTION("""COMPUTED_VALUE"""),87.09)</f>
        <v>87.09</v>
      </c>
      <c r="K492" s="3">
        <f ca="1">IFERROR(__xludf.DUMMYFUNCTION("""COMPUTED_VALUE"""),87.16)</f>
        <v>87.16</v>
      </c>
      <c r="L492" s="3">
        <f ca="1">IFERROR(__xludf.DUMMYFUNCTION("""COMPUTED_VALUE"""),2461603)</f>
        <v>2461603</v>
      </c>
      <c r="M492" s="4">
        <f ca="1">IFERROR(__xludf.DUMMYFUNCTION("""COMPUTED_VALUE"""),42837.6666666666)</f>
        <v>42837.666666666599</v>
      </c>
      <c r="N492" s="3">
        <f ca="1">IFERROR(__xludf.DUMMYFUNCTION("""COMPUTED_VALUE"""),54.84)</f>
        <v>54.84</v>
      </c>
      <c r="O492" s="3">
        <f ca="1">IFERROR(__xludf.DUMMYFUNCTION("""COMPUTED_VALUE"""),55.12)</f>
        <v>55.12</v>
      </c>
      <c r="P492" s="3">
        <f ca="1">IFERROR(__xludf.DUMMYFUNCTION("""COMPUTED_VALUE"""),54.81)</f>
        <v>54.81</v>
      </c>
      <c r="Q492" s="3">
        <f ca="1">IFERROR(__xludf.DUMMYFUNCTION("""COMPUTED_VALUE"""),55.09)</f>
        <v>55.09</v>
      </c>
      <c r="R492" s="3">
        <f ca="1">IFERROR(__xludf.DUMMYFUNCTION("""COMPUTED_VALUE"""),7377375)</f>
        <v>7377375</v>
      </c>
      <c r="S492" s="4">
        <f ca="1">IFERROR(__xludf.DUMMYFUNCTION("""COMPUTED_VALUE"""),42837.6666666666)</f>
        <v>42837.666666666599</v>
      </c>
      <c r="T492" s="3">
        <f ca="1">IFERROR(__xludf.DUMMYFUNCTION("""COMPUTED_VALUE"""),70.97)</f>
        <v>70.97</v>
      </c>
      <c r="U492" s="3">
        <f ca="1">IFERROR(__xludf.DUMMYFUNCTION("""COMPUTED_VALUE"""),71.42)</f>
        <v>71.42</v>
      </c>
      <c r="V492" s="3">
        <f ca="1">IFERROR(__xludf.DUMMYFUNCTION("""COMPUTED_VALUE"""),70.38)</f>
        <v>70.38</v>
      </c>
      <c r="W492" s="3">
        <f ca="1">IFERROR(__xludf.DUMMYFUNCTION("""COMPUTED_VALUE"""),70.6)</f>
        <v>70.599999999999994</v>
      </c>
      <c r="X492" s="3">
        <f ca="1">IFERROR(__xludf.DUMMYFUNCTION("""COMPUTED_VALUE"""),11453569)</f>
        <v>11453569</v>
      </c>
      <c r="Y492" s="4">
        <f ca="1">IFERROR(__xludf.DUMMYFUNCTION("""COMPUTED_VALUE"""),42837.6666666666)</f>
        <v>42837.666666666599</v>
      </c>
      <c r="Z492" s="3">
        <f ca="1">IFERROR(__xludf.DUMMYFUNCTION("""COMPUTED_VALUE"""),23.36)</f>
        <v>23.36</v>
      </c>
      <c r="AA492" s="3">
        <f ca="1">IFERROR(__xludf.DUMMYFUNCTION("""COMPUTED_VALUE"""),23.38)</f>
        <v>23.38</v>
      </c>
      <c r="AB492" s="3">
        <f ca="1">IFERROR(__xludf.DUMMYFUNCTION("""COMPUTED_VALUE"""),23.14)</f>
        <v>23.14</v>
      </c>
      <c r="AC492" s="3">
        <f ca="1">IFERROR(__xludf.DUMMYFUNCTION("""COMPUTED_VALUE"""),23.2)</f>
        <v>23.2</v>
      </c>
      <c r="AD492" s="3">
        <f ca="1">IFERROR(__xludf.DUMMYFUNCTION("""COMPUTED_VALUE"""),74023032)</f>
        <v>74023032</v>
      </c>
      <c r="AE492" s="4">
        <f ca="1">IFERROR(__xludf.DUMMYFUNCTION("""COMPUTED_VALUE"""),42837.6666666666)</f>
        <v>42837.666666666599</v>
      </c>
      <c r="AF492" s="3">
        <f ca="1">IFERROR(__xludf.DUMMYFUNCTION("""COMPUTED_VALUE"""),74.09)</f>
        <v>74.09</v>
      </c>
      <c r="AG492" s="3">
        <f ca="1">IFERROR(__xludf.DUMMYFUNCTION("""COMPUTED_VALUE"""),74.29)</f>
        <v>74.290000000000006</v>
      </c>
      <c r="AH492" s="3">
        <f ca="1">IFERROR(__xludf.DUMMYFUNCTION("""COMPUTED_VALUE"""),73.87)</f>
        <v>73.87</v>
      </c>
      <c r="AI492" s="3">
        <f ca="1">IFERROR(__xludf.DUMMYFUNCTION("""COMPUTED_VALUE"""),74.17)</f>
        <v>74.17</v>
      </c>
      <c r="AJ492" s="3">
        <f ca="1">IFERROR(__xludf.DUMMYFUNCTION("""COMPUTED_VALUE"""),3782186)</f>
        <v>3782186</v>
      </c>
      <c r="AK492" s="4">
        <f ca="1">IFERROR(__xludf.DUMMYFUNCTION("""COMPUTED_VALUE"""),42837.6666666666)</f>
        <v>42837.666666666599</v>
      </c>
      <c r="AL492" s="3">
        <f ca="1">IFERROR(__xludf.DUMMYFUNCTION("""COMPUTED_VALUE"""),65.32)</f>
        <v>65.319999999999993</v>
      </c>
      <c r="AM492" s="3">
        <f ca="1">IFERROR(__xludf.DUMMYFUNCTION("""COMPUTED_VALUE"""),65.44)</f>
        <v>65.44</v>
      </c>
      <c r="AN492" s="3">
        <f ca="1">IFERROR(__xludf.DUMMYFUNCTION("""COMPUTED_VALUE"""),64.44)</f>
        <v>64.44</v>
      </c>
      <c r="AO492" s="3">
        <f ca="1">IFERROR(__xludf.DUMMYFUNCTION("""COMPUTED_VALUE"""),64.48)</f>
        <v>64.48</v>
      </c>
      <c r="AP492" s="3">
        <f ca="1">IFERROR(__xludf.DUMMYFUNCTION("""COMPUTED_VALUE"""),11281502)</f>
        <v>11281502</v>
      </c>
      <c r="AQ492" s="4">
        <f ca="1">IFERROR(__xludf.DUMMYFUNCTION("""COMPUTED_VALUE"""),42837.6666666666)</f>
        <v>42837.666666666599</v>
      </c>
      <c r="AR492" s="3">
        <f ca="1">IFERROR(__xludf.DUMMYFUNCTION("""COMPUTED_VALUE"""),52.39)</f>
        <v>52.39</v>
      </c>
      <c r="AS492" s="3">
        <f ca="1">IFERROR(__xludf.DUMMYFUNCTION("""COMPUTED_VALUE"""),52.48)</f>
        <v>52.48</v>
      </c>
      <c r="AT492" s="3">
        <f ca="1">IFERROR(__xludf.DUMMYFUNCTION("""COMPUTED_VALUE"""),51.78)</f>
        <v>51.78</v>
      </c>
      <c r="AU492" s="3">
        <f ca="1">IFERROR(__xludf.DUMMYFUNCTION("""COMPUTED_VALUE"""),51.81)</f>
        <v>51.81</v>
      </c>
      <c r="AV492" s="3">
        <f ca="1">IFERROR(__xludf.DUMMYFUNCTION("""COMPUTED_VALUE"""),3889809)</f>
        <v>3889809</v>
      </c>
      <c r="AW492" s="4">
        <f ca="1">IFERROR(__xludf.DUMMYFUNCTION("""COMPUTED_VALUE"""),43003.6666666666)</f>
        <v>43003.666666666599</v>
      </c>
      <c r="AX492" s="3">
        <f ca="1">IFERROR(__xludf.DUMMYFUNCTION("""COMPUTED_VALUE"""),32.12)</f>
        <v>32.119999999999997</v>
      </c>
      <c r="AY492" s="3">
        <f ca="1">IFERROR(__xludf.DUMMYFUNCTION("""COMPUTED_VALUE"""),32.32)</f>
        <v>32.32</v>
      </c>
      <c r="AZ492" s="3">
        <f ca="1">IFERROR(__xludf.DUMMYFUNCTION("""COMPUTED_VALUE"""),32.1)</f>
        <v>32.1</v>
      </c>
      <c r="BA492" s="3">
        <f ca="1">IFERROR(__xludf.DUMMYFUNCTION("""COMPUTED_VALUE"""),32.23)</f>
        <v>32.229999999999997</v>
      </c>
      <c r="BB492" s="3">
        <f ca="1">IFERROR(__xludf.DUMMYFUNCTION("""COMPUTED_VALUE"""),1180631)</f>
        <v>1180631</v>
      </c>
      <c r="BC492" s="4">
        <f ca="1">IFERROR(__xludf.DUMMYFUNCTION("""COMPUTED_VALUE"""),42837.6666666666)</f>
        <v>42837.666666666599</v>
      </c>
      <c r="BD492" s="3">
        <f ca="1">IFERROR(__xludf.DUMMYFUNCTION("""COMPUTED_VALUE"""),52.71)</f>
        <v>52.71</v>
      </c>
      <c r="BE492" s="3">
        <f ca="1">IFERROR(__xludf.DUMMYFUNCTION("""COMPUTED_VALUE"""),52.77)</f>
        <v>52.77</v>
      </c>
      <c r="BF492" s="3">
        <f ca="1">IFERROR(__xludf.DUMMYFUNCTION("""COMPUTED_VALUE"""),52.48)</f>
        <v>52.48</v>
      </c>
      <c r="BG492" s="3">
        <f ca="1">IFERROR(__xludf.DUMMYFUNCTION("""COMPUTED_VALUE"""),52.58)</f>
        <v>52.58</v>
      </c>
      <c r="BH492" s="3">
        <f ca="1">IFERROR(__xludf.DUMMYFUNCTION("""COMPUTED_VALUE"""),8684215)</f>
        <v>8684215</v>
      </c>
      <c r="BI492" s="4">
        <f ca="1">IFERROR(__xludf.DUMMYFUNCTION("""COMPUTED_VALUE"""),42837.6666666666)</f>
        <v>42837.666666666599</v>
      </c>
      <c r="BJ492" s="3">
        <f ca="1">IFERROR(__xludf.DUMMYFUNCTION("""COMPUTED_VALUE"""),51.4)</f>
        <v>51.4</v>
      </c>
      <c r="BK492" s="3">
        <f ca="1">IFERROR(__xludf.DUMMYFUNCTION("""COMPUTED_VALUE"""),51.88)</f>
        <v>51.88</v>
      </c>
      <c r="BL492" s="3">
        <f ca="1">IFERROR(__xludf.DUMMYFUNCTION("""COMPUTED_VALUE"""),51.24)</f>
        <v>51.24</v>
      </c>
      <c r="BM492" s="3">
        <f ca="1">IFERROR(__xludf.DUMMYFUNCTION("""COMPUTED_VALUE"""),51.85)</f>
        <v>51.85</v>
      </c>
      <c r="BN492" s="3">
        <f ca="1">IFERROR(__xludf.DUMMYFUNCTION("""COMPUTED_VALUE"""),10520961)</f>
        <v>10520961</v>
      </c>
    </row>
    <row r="493" spans="7:66" ht="13" x14ac:dyDescent="0.15">
      <c r="G493" s="4">
        <f ca="1">IFERROR(__xludf.DUMMYFUNCTION("""COMPUTED_VALUE"""),42838.6666666666)</f>
        <v>42838.666666666599</v>
      </c>
      <c r="H493" s="3">
        <f ca="1">IFERROR(__xludf.DUMMYFUNCTION("""COMPUTED_VALUE"""),87.03)</f>
        <v>87.03</v>
      </c>
      <c r="I493" s="3">
        <f ca="1">IFERROR(__xludf.DUMMYFUNCTION("""COMPUTED_VALUE"""),87.33)</f>
        <v>87.33</v>
      </c>
      <c r="J493" s="3">
        <f ca="1">IFERROR(__xludf.DUMMYFUNCTION("""COMPUTED_VALUE"""),86.55)</f>
        <v>86.55</v>
      </c>
      <c r="K493" s="3">
        <f ca="1">IFERROR(__xludf.DUMMYFUNCTION("""COMPUTED_VALUE"""),86.55)</f>
        <v>86.55</v>
      </c>
      <c r="L493" s="3">
        <f ca="1">IFERROR(__xludf.DUMMYFUNCTION("""COMPUTED_VALUE"""),4688801)</f>
        <v>4688801</v>
      </c>
      <c r="M493" s="4">
        <f ca="1">IFERROR(__xludf.DUMMYFUNCTION("""COMPUTED_VALUE"""),42838.6666666666)</f>
        <v>42838.666666666599</v>
      </c>
      <c r="N493" s="3">
        <f ca="1">IFERROR(__xludf.DUMMYFUNCTION("""COMPUTED_VALUE"""),55.05)</f>
        <v>55.05</v>
      </c>
      <c r="O493" s="3">
        <f ca="1">IFERROR(__xludf.DUMMYFUNCTION("""COMPUTED_VALUE"""),55.1)</f>
        <v>55.1</v>
      </c>
      <c r="P493" s="3">
        <f ca="1">IFERROR(__xludf.DUMMYFUNCTION("""COMPUTED_VALUE"""),54.82)</f>
        <v>54.82</v>
      </c>
      <c r="Q493" s="3">
        <f ca="1">IFERROR(__xludf.DUMMYFUNCTION("""COMPUTED_VALUE"""),54.84)</f>
        <v>54.84</v>
      </c>
      <c r="R493" s="3">
        <f ca="1">IFERROR(__xludf.DUMMYFUNCTION("""COMPUTED_VALUE"""),6719143)</f>
        <v>6719143</v>
      </c>
      <c r="S493" s="4">
        <f ca="1">IFERROR(__xludf.DUMMYFUNCTION("""COMPUTED_VALUE"""),42838.6666666666)</f>
        <v>42838.666666666599</v>
      </c>
      <c r="T493" s="3">
        <f ca="1">IFERROR(__xludf.DUMMYFUNCTION("""COMPUTED_VALUE"""),70.54)</f>
        <v>70.540000000000006</v>
      </c>
      <c r="U493" s="3">
        <f ca="1">IFERROR(__xludf.DUMMYFUNCTION("""COMPUTED_VALUE"""),70.59)</f>
        <v>70.59</v>
      </c>
      <c r="V493" s="3">
        <f ca="1">IFERROR(__xludf.DUMMYFUNCTION("""COMPUTED_VALUE"""),69.15)</f>
        <v>69.150000000000006</v>
      </c>
      <c r="W493" s="3">
        <f ca="1">IFERROR(__xludf.DUMMYFUNCTION("""COMPUTED_VALUE"""),69.31)</f>
        <v>69.31</v>
      </c>
      <c r="X493" s="3">
        <f ca="1">IFERROR(__xludf.DUMMYFUNCTION("""COMPUTED_VALUE"""),17655959)</f>
        <v>17655959</v>
      </c>
      <c r="Y493" s="4">
        <f ca="1">IFERROR(__xludf.DUMMYFUNCTION("""COMPUTED_VALUE"""),42838.6666666666)</f>
        <v>42838.666666666599</v>
      </c>
      <c r="Z493" s="3">
        <f ca="1">IFERROR(__xludf.DUMMYFUNCTION("""COMPUTED_VALUE"""),23.11)</f>
        <v>23.11</v>
      </c>
      <c r="AA493" s="3">
        <f ca="1">IFERROR(__xludf.DUMMYFUNCTION("""COMPUTED_VALUE"""),23.37)</f>
        <v>23.37</v>
      </c>
      <c r="AB493" s="3">
        <f ca="1">IFERROR(__xludf.DUMMYFUNCTION("""COMPUTED_VALUE"""),22.9)</f>
        <v>22.9</v>
      </c>
      <c r="AC493" s="3">
        <f ca="1">IFERROR(__xludf.DUMMYFUNCTION("""COMPUTED_VALUE"""),22.9)</f>
        <v>22.9</v>
      </c>
      <c r="AD493" s="3">
        <f ca="1">IFERROR(__xludf.DUMMYFUNCTION("""COMPUTED_VALUE"""),120159316)</f>
        <v>120159316</v>
      </c>
      <c r="AE493" s="4">
        <f ca="1">IFERROR(__xludf.DUMMYFUNCTION("""COMPUTED_VALUE"""),42838.6666666666)</f>
        <v>42838.666666666599</v>
      </c>
      <c r="AF493" s="3">
        <f ca="1">IFERROR(__xludf.DUMMYFUNCTION("""COMPUTED_VALUE"""),74.08)</f>
        <v>74.08</v>
      </c>
      <c r="AG493" s="3">
        <f ca="1">IFERROR(__xludf.DUMMYFUNCTION("""COMPUTED_VALUE"""),74.33)</f>
        <v>74.33</v>
      </c>
      <c r="AH493" s="3">
        <f ca="1">IFERROR(__xludf.DUMMYFUNCTION("""COMPUTED_VALUE"""),73.98)</f>
        <v>73.98</v>
      </c>
      <c r="AI493" s="3">
        <f ca="1">IFERROR(__xludf.DUMMYFUNCTION("""COMPUTED_VALUE"""),73.98)</f>
        <v>73.98</v>
      </c>
      <c r="AJ493" s="3">
        <f ca="1">IFERROR(__xludf.DUMMYFUNCTION("""COMPUTED_VALUE"""),6671107)</f>
        <v>6671107</v>
      </c>
      <c r="AK493" s="4">
        <f ca="1">IFERROR(__xludf.DUMMYFUNCTION("""COMPUTED_VALUE"""),42838.6666666666)</f>
        <v>42838.666666666599</v>
      </c>
      <c r="AL493" s="3">
        <f ca="1">IFERROR(__xludf.DUMMYFUNCTION("""COMPUTED_VALUE"""),64.43)</f>
        <v>64.430000000000007</v>
      </c>
      <c r="AM493" s="3">
        <f ca="1">IFERROR(__xludf.DUMMYFUNCTION("""COMPUTED_VALUE"""),64.64)</f>
        <v>64.64</v>
      </c>
      <c r="AN493" s="3">
        <f ca="1">IFERROR(__xludf.DUMMYFUNCTION("""COMPUTED_VALUE"""),64.02)</f>
        <v>64.02</v>
      </c>
      <c r="AO493" s="3">
        <f ca="1">IFERROR(__xludf.DUMMYFUNCTION("""COMPUTED_VALUE"""),64.02)</f>
        <v>64.02</v>
      </c>
      <c r="AP493" s="3">
        <f ca="1">IFERROR(__xludf.DUMMYFUNCTION("""COMPUTED_VALUE"""),10118274)</f>
        <v>10118274</v>
      </c>
      <c r="AQ493" s="4">
        <f ca="1">IFERROR(__xludf.DUMMYFUNCTION("""COMPUTED_VALUE"""),42838.6666666666)</f>
        <v>42838.666666666599</v>
      </c>
      <c r="AR493" s="3">
        <f ca="1">IFERROR(__xludf.DUMMYFUNCTION("""COMPUTED_VALUE"""),51.71)</f>
        <v>51.71</v>
      </c>
      <c r="AS493" s="3">
        <f ca="1">IFERROR(__xludf.DUMMYFUNCTION("""COMPUTED_VALUE"""),51.81)</f>
        <v>51.81</v>
      </c>
      <c r="AT493" s="3">
        <f ca="1">IFERROR(__xludf.DUMMYFUNCTION("""COMPUTED_VALUE"""),51.27)</f>
        <v>51.27</v>
      </c>
      <c r="AU493" s="3">
        <f ca="1">IFERROR(__xludf.DUMMYFUNCTION("""COMPUTED_VALUE"""),51.31)</f>
        <v>51.31</v>
      </c>
      <c r="AV493" s="3">
        <f ca="1">IFERROR(__xludf.DUMMYFUNCTION("""COMPUTED_VALUE"""),4193478)</f>
        <v>4193478</v>
      </c>
      <c r="AW493" s="4">
        <f ca="1">IFERROR(__xludf.DUMMYFUNCTION("""COMPUTED_VALUE"""),43004.6666666666)</f>
        <v>43004.666666666599</v>
      </c>
      <c r="AX493" s="3">
        <f ca="1">IFERROR(__xludf.DUMMYFUNCTION("""COMPUTED_VALUE"""),32.27)</f>
        <v>32.270000000000003</v>
      </c>
      <c r="AY493" s="3">
        <f ca="1">IFERROR(__xludf.DUMMYFUNCTION("""COMPUTED_VALUE"""),32.35)</f>
        <v>32.35</v>
      </c>
      <c r="AZ493" s="3">
        <f ca="1">IFERROR(__xludf.DUMMYFUNCTION("""COMPUTED_VALUE"""),32.2)</f>
        <v>32.200000000000003</v>
      </c>
      <c r="BA493" s="3">
        <f ca="1">IFERROR(__xludf.DUMMYFUNCTION("""COMPUTED_VALUE"""),32.26)</f>
        <v>32.26</v>
      </c>
      <c r="BB493" s="3">
        <f ca="1">IFERROR(__xludf.DUMMYFUNCTION("""COMPUTED_VALUE"""),1360464)</f>
        <v>1360464</v>
      </c>
      <c r="BC493" s="4">
        <f ca="1">IFERROR(__xludf.DUMMYFUNCTION("""COMPUTED_VALUE"""),42838.6666666666)</f>
        <v>42838.666666666599</v>
      </c>
      <c r="BD493" s="3">
        <f ca="1">IFERROR(__xludf.DUMMYFUNCTION("""COMPUTED_VALUE"""),52.52)</f>
        <v>52.52</v>
      </c>
      <c r="BE493" s="3">
        <f ca="1">IFERROR(__xludf.DUMMYFUNCTION("""COMPUTED_VALUE"""),52.87)</f>
        <v>52.87</v>
      </c>
      <c r="BF493" s="3">
        <f ca="1">IFERROR(__xludf.DUMMYFUNCTION("""COMPUTED_VALUE"""),52.37)</f>
        <v>52.37</v>
      </c>
      <c r="BG493" s="3">
        <f ca="1">IFERROR(__xludf.DUMMYFUNCTION("""COMPUTED_VALUE"""),52.37)</f>
        <v>52.37</v>
      </c>
      <c r="BH493" s="3">
        <f ca="1">IFERROR(__xludf.DUMMYFUNCTION("""COMPUTED_VALUE"""),9766588)</f>
        <v>9766588</v>
      </c>
      <c r="BI493" s="4">
        <f ca="1">IFERROR(__xludf.DUMMYFUNCTION("""COMPUTED_VALUE"""),42838.6666666666)</f>
        <v>42838.666666666599</v>
      </c>
      <c r="BJ493" s="3">
        <f ca="1">IFERROR(__xludf.DUMMYFUNCTION("""COMPUTED_VALUE"""),51.91)</f>
        <v>51.91</v>
      </c>
      <c r="BK493" s="3">
        <f ca="1">IFERROR(__xludf.DUMMYFUNCTION("""COMPUTED_VALUE"""),51.92)</f>
        <v>51.92</v>
      </c>
      <c r="BL493" s="3">
        <f ca="1">IFERROR(__xludf.DUMMYFUNCTION("""COMPUTED_VALUE"""),51.45)</f>
        <v>51.45</v>
      </c>
      <c r="BM493" s="3">
        <f ca="1">IFERROR(__xludf.DUMMYFUNCTION("""COMPUTED_VALUE"""),51.68)</f>
        <v>51.68</v>
      </c>
      <c r="BN493" s="3">
        <f ca="1">IFERROR(__xludf.DUMMYFUNCTION("""COMPUTED_VALUE"""),10856111)</f>
        <v>10856111</v>
      </c>
    </row>
    <row r="494" spans="7:66" ht="13" x14ac:dyDescent="0.15">
      <c r="G494" s="4">
        <f ca="1">IFERROR(__xludf.DUMMYFUNCTION("""COMPUTED_VALUE"""),42842.6666666666)</f>
        <v>42842.666666666599</v>
      </c>
      <c r="H494" s="3">
        <f ca="1">IFERROR(__xludf.DUMMYFUNCTION("""COMPUTED_VALUE"""),86.77)</f>
        <v>86.77</v>
      </c>
      <c r="I494" s="3">
        <f ca="1">IFERROR(__xludf.DUMMYFUNCTION("""COMPUTED_VALUE"""),87.44)</f>
        <v>87.44</v>
      </c>
      <c r="J494" s="3">
        <f ca="1">IFERROR(__xludf.DUMMYFUNCTION("""COMPUTED_VALUE"""),86.77)</f>
        <v>86.77</v>
      </c>
      <c r="K494" s="3">
        <f ca="1">IFERROR(__xludf.DUMMYFUNCTION("""COMPUTED_VALUE"""),87.44)</f>
        <v>87.44</v>
      </c>
      <c r="L494" s="3">
        <f ca="1">IFERROR(__xludf.DUMMYFUNCTION("""COMPUTED_VALUE"""),3477605)</f>
        <v>3477605</v>
      </c>
      <c r="M494" s="4">
        <f ca="1">IFERROR(__xludf.DUMMYFUNCTION("""COMPUTED_VALUE"""),42842.6666666666)</f>
        <v>42842.666666666599</v>
      </c>
      <c r="N494" s="3">
        <f ca="1">IFERROR(__xludf.DUMMYFUNCTION("""COMPUTED_VALUE"""),54.93)</f>
        <v>54.93</v>
      </c>
      <c r="O494" s="3">
        <f ca="1">IFERROR(__xludf.DUMMYFUNCTION("""COMPUTED_VALUE"""),55.23)</f>
        <v>55.23</v>
      </c>
      <c r="P494" s="3">
        <f ca="1">IFERROR(__xludf.DUMMYFUNCTION("""COMPUTED_VALUE"""),54.92)</f>
        <v>54.92</v>
      </c>
      <c r="Q494" s="3">
        <f ca="1">IFERROR(__xludf.DUMMYFUNCTION("""COMPUTED_VALUE"""),55.23)</f>
        <v>55.23</v>
      </c>
      <c r="R494" s="3">
        <f ca="1">IFERROR(__xludf.DUMMYFUNCTION("""COMPUTED_VALUE"""),10585810)</f>
        <v>10585810</v>
      </c>
      <c r="S494" s="4">
        <f ca="1">IFERROR(__xludf.DUMMYFUNCTION("""COMPUTED_VALUE"""),42842.6666666666)</f>
        <v>42842.666666666599</v>
      </c>
      <c r="T494" s="3">
        <f ca="1">IFERROR(__xludf.DUMMYFUNCTION("""COMPUTED_VALUE"""),69.29)</f>
        <v>69.290000000000006</v>
      </c>
      <c r="U494" s="3">
        <f ca="1">IFERROR(__xludf.DUMMYFUNCTION("""COMPUTED_VALUE"""),69.53)</f>
        <v>69.53</v>
      </c>
      <c r="V494" s="3">
        <f ca="1">IFERROR(__xludf.DUMMYFUNCTION("""COMPUTED_VALUE"""),69.12)</f>
        <v>69.12</v>
      </c>
      <c r="W494" s="3">
        <f ca="1">IFERROR(__xludf.DUMMYFUNCTION("""COMPUTED_VALUE"""),69.46)</f>
        <v>69.459999999999994</v>
      </c>
      <c r="X494" s="3">
        <f ca="1">IFERROR(__xludf.DUMMYFUNCTION("""COMPUTED_VALUE"""),8012191)</f>
        <v>8012191</v>
      </c>
      <c r="Y494" s="4">
        <f ca="1">IFERROR(__xludf.DUMMYFUNCTION("""COMPUTED_VALUE"""),42842.6666666666)</f>
        <v>42842.666666666599</v>
      </c>
      <c r="Z494" s="3">
        <f ca="1">IFERROR(__xludf.DUMMYFUNCTION("""COMPUTED_VALUE"""),22.96)</f>
        <v>22.96</v>
      </c>
      <c r="AA494" s="3">
        <f ca="1">IFERROR(__xludf.DUMMYFUNCTION("""COMPUTED_VALUE"""),23.31)</f>
        <v>23.31</v>
      </c>
      <c r="AB494" s="3">
        <f ca="1">IFERROR(__xludf.DUMMYFUNCTION("""COMPUTED_VALUE"""),22.89)</f>
        <v>22.89</v>
      </c>
      <c r="AC494" s="3">
        <f ca="1">IFERROR(__xludf.DUMMYFUNCTION("""COMPUTED_VALUE"""),23.3)</f>
        <v>23.3</v>
      </c>
      <c r="AD494" s="3">
        <f ca="1">IFERROR(__xludf.DUMMYFUNCTION("""COMPUTED_VALUE"""),86681175)</f>
        <v>86681175</v>
      </c>
      <c r="AE494" s="4">
        <f ca="1">IFERROR(__xludf.DUMMYFUNCTION("""COMPUTED_VALUE"""),42842.6666666666)</f>
        <v>42842.666666666599</v>
      </c>
      <c r="AF494" s="3">
        <f ca="1">IFERROR(__xludf.DUMMYFUNCTION("""COMPUTED_VALUE"""),73.89)</f>
        <v>73.89</v>
      </c>
      <c r="AG494" s="3">
        <f ca="1">IFERROR(__xludf.DUMMYFUNCTION("""COMPUTED_VALUE"""),74.27)</f>
        <v>74.27</v>
      </c>
      <c r="AH494" s="3">
        <f ca="1">IFERROR(__xludf.DUMMYFUNCTION("""COMPUTED_VALUE"""),73.83)</f>
        <v>73.83</v>
      </c>
      <c r="AI494" s="3">
        <f ca="1">IFERROR(__xludf.DUMMYFUNCTION("""COMPUTED_VALUE"""),74.25)</f>
        <v>74.25</v>
      </c>
      <c r="AJ494" s="3">
        <f ca="1">IFERROR(__xludf.DUMMYFUNCTION("""COMPUTED_VALUE"""),6149877)</f>
        <v>6149877</v>
      </c>
      <c r="AK494" s="4">
        <f ca="1">IFERROR(__xludf.DUMMYFUNCTION("""COMPUTED_VALUE"""),42842.6666666666)</f>
        <v>42842.666666666599</v>
      </c>
      <c r="AL494" s="3">
        <f ca="1">IFERROR(__xludf.DUMMYFUNCTION("""COMPUTED_VALUE"""),64.22)</f>
        <v>64.22</v>
      </c>
      <c r="AM494" s="3">
        <f ca="1">IFERROR(__xludf.DUMMYFUNCTION("""COMPUTED_VALUE"""),64.75)</f>
        <v>64.75</v>
      </c>
      <c r="AN494" s="3">
        <f ca="1">IFERROR(__xludf.DUMMYFUNCTION("""COMPUTED_VALUE"""),64.14)</f>
        <v>64.14</v>
      </c>
      <c r="AO494" s="3">
        <f ca="1">IFERROR(__xludf.DUMMYFUNCTION("""COMPUTED_VALUE"""),64.72)</f>
        <v>64.72</v>
      </c>
      <c r="AP494" s="3">
        <f ca="1">IFERROR(__xludf.DUMMYFUNCTION("""COMPUTED_VALUE"""),8852403)</f>
        <v>8852403</v>
      </c>
      <c r="AQ494" s="4">
        <f ca="1">IFERROR(__xludf.DUMMYFUNCTION("""COMPUTED_VALUE"""),42842.6666666666)</f>
        <v>42842.666666666599</v>
      </c>
      <c r="AR494" s="3">
        <f ca="1">IFERROR(__xludf.DUMMYFUNCTION("""COMPUTED_VALUE"""),51.45)</f>
        <v>51.45</v>
      </c>
      <c r="AS494" s="3">
        <f ca="1">IFERROR(__xludf.DUMMYFUNCTION("""COMPUTED_VALUE"""),51.7)</f>
        <v>51.7</v>
      </c>
      <c r="AT494" s="3">
        <f ca="1">IFERROR(__xludf.DUMMYFUNCTION("""COMPUTED_VALUE"""),51.35)</f>
        <v>51.35</v>
      </c>
      <c r="AU494" s="3">
        <f ca="1">IFERROR(__xludf.DUMMYFUNCTION("""COMPUTED_VALUE"""),51.68)</f>
        <v>51.68</v>
      </c>
      <c r="AV494" s="3">
        <f ca="1">IFERROR(__xludf.DUMMYFUNCTION("""COMPUTED_VALUE"""),3850971)</f>
        <v>3850971</v>
      </c>
      <c r="AW494" s="4">
        <f ca="1">IFERROR(__xludf.DUMMYFUNCTION("""COMPUTED_VALUE"""),43005.6666666666)</f>
        <v>43005.666666666599</v>
      </c>
      <c r="AX494" s="3">
        <f ca="1">IFERROR(__xludf.DUMMYFUNCTION("""COMPUTED_VALUE"""),32.15)</f>
        <v>32.15</v>
      </c>
      <c r="AY494" s="3">
        <f ca="1">IFERROR(__xludf.DUMMYFUNCTION("""COMPUTED_VALUE"""),32.22)</f>
        <v>32.22</v>
      </c>
      <c r="AZ494" s="3">
        <f ca="1">IFERROR(__xludf.DUMMYFUNCTION("""COMPUTED_VALUE"""),31.88)</f>
        <v>31.88</v>
      </c>
      <c r="BA494" s="3">
        <f ca="1">IFERROR(__xludf.DUMMYFUNCTION("""COMPUTED_VALUE"""),31.99)</f>
        <v>31.99</v>
      </c>
      <c r="BB494" s="3">
        <f ca="1">IFERROR(__xludf.DUMMYFUNCTION("""COMPUTED_VALUE"""),1612366)</f>
        <v>1612366</v>
      </c>
      <c r="BC494" s="4">
        <f ca="1">IFERROR(__xludf.DUMMYFUNCTION("""COMPUTED_VALUE"""),42842.6666666666)</f>
        <v>42842.666666666599</v>
      </c>
      <c r="BD494" s="3">
        <f ca="1">IFERROR(__xludf.DUMMYFUNCTION("""COMPUTED_VALUE"""),52.53)</f>
        <v>52.53</v>
      </c>
      <c r="BE494" s="3">
        <f ca="1">IFERROR(__xludf.DUMMYFUNCTION("""COMPUTED_VALUE"""),52.87)</f>
        <v>52.87</v>
      </c>
      <c r="BF494" s="3">
        <f ca="1">IFERROR(__xludf.DUMMYFUNCTION("""COMPUTED_VALUE"""),52.53)</f>
        <v>52.53</v>
      </c>
      <c r="BG494" s="3">
        <f ca="1">IFERROR(__xludf.DUMMYFUNCTION("""COMPUTED_VALUE"""),52.85)</f>
        <v>52.85</v>
      </c>
      <c r="BH494" s="3">
        <f ca="1">IFERROR(__xludf.DUMMYFUNCTION("""COMPUTED_VALUE"""),7066033)</f>
        <v>7066033</v>
      </c>
      <c r="BI494" s="4">
        <f ca="1">IFERROR(__xludf.DUMMYFUNCTION("""COMPUTED_VALUE"""),42842.6666666666)</f>
        <v>42842.666666666599</v>
      </c>
      <c r="BJ494" s="3">
        <f ca="1">IFERROR(__xludf.DUMMYFUNCTION("""COMPUTED_VALUE"""),51.8)</f>
        <v>51.8</v>
      </c>
      <c r="BK494" s="3">
        <f ca="1">IFERROR(__xludf.DUMMYFUNCTION("""COMPUTED_VALUE"""),51.93)</f>
        <v>51.93</v>
      </c>
      <c r="BL494" s="3">
        <f ca="1">IFERROR(__xludf.DUMMYFUNCTION("""COMPUTED_VALUE"""),51.66)</f>
        <v>51.66</v>
      </c>
      <c r="BM494" s="3">
        <f ca="1">IFERROR(__xludf.DUMMYFUNCTION("""COMPUTED_VALUE"""),51.91)</f>
        <v>51.91</v>
      </c>
      <c r="BN494" s="3">
        <f ca="1">IFERROR(__xludf.DUMMYFUNCTION("""COMPUTED_VALUE"""),7272573)</f>
        <v>7272573</v>
      </c>
    </row>
    <row r="495" spans="7:66" ht="13" x14ac:dyDescent="0.15">
      <c r="G495" s="4">
        <f ca="1">IFERROR(__xludf.DUMMYFUNCTION("""COMPUTED_VALUE"""),42843.6666666666)</f>
        <v>42843.666666666599</v>
      </c>
      <c r="H495" s="3">
        <f ca="1">IFERROR(__xludf.DUMMYFUNCTION("""COMPUTED_VALUE"""),87.23)</f>
        <v>87.23</v>
      </c>
      <c r="I495" s="3">
        <f ca="1">IFERROR(__xludf.DUMMYFUNCTION("""COMPUTED_VALUE"""),87.59)</f>
        <v>87.59</v>
      </c>
      <c r="J495" s="3">
        <f ca="1">IFERROR(__xludf.DUMMYFUNCTION("""COMPUTED_VALUE"""),87.01)</f>
        <v>87.01</v>
      </c>
      <c r="K495" s="3">
        <f ca="1">IFERROR(__xludf.DUMMYFUNCTION("""COMPUTED_VALUE"""),87.45)</f>
        <v>87.45</v>
      </c>
      <c r="L495" s="3">
        <f ca="1">IFERROR(__xludf.DUMMYFUNCTION("""COMPUTED_VALUE"""),2554196)</f>
        <v>2554196</v>
      </c>
      <c r="M495" s="4">
        <f ca="1">IFERROR(__xludf.DUMMYFUNCTION("""COMPUTED_VALUE"""),42843.6666666666)</f>
        <v>42843.666666666599</v>
      </c>
      <c r="N495" s="3">
        <f ca="1">IFERROR(__xludf.DUMMYFUNCTION("""COMPUTED_VALUE"""),55.16)</f>
        <v>55.16</v>
      </c>
      <c r="O495" s="3">
        <f ca="1">IFERROR(__xludf.DUMMYFUNCTION("""COMPUTED_VALUE"""),55.64)</f>
        <v>55.64</v>
      </c>
      <c r="P495" s="3">
        <f ca="1">IFERROR(__xludf.DUMMYFUNCTION("""COMPUTED_VALUE"""),55.06)</f>
        <v>55.06</v>
      </c>
      <c r="Q495" s="3">
        <f ca="1">IFERROR(__xludf.DUMMYFUNCTION("""COMPUTED_VALUE"""),55.48)</f>
        <v>55.48</v>
      </c>
      <c r="R495" s="3">
        <f ca="1">IFERROR(__xludf.DUMMYFUNCTION("""COMPUTED_VALUE"""),11085516)</f>
        <v>11085516</v>
      </c>
      <c r="S495" s="4">
        <f ca="1">IFERROR(__xludf.DUMMYFUNCTION("""COMPUTED_VALUE"""),42843.6666666666)</f>
        <v>42843.666666666599</v>
      </c>
      <c r="T495" s="3">
        <f ca="1">IFERROR(__xludf.DUMMYFUNCTION("""COMPUTED_VALUE"""),69.15)</f>
        <v>69.150000000000006</v>
      </c>
      <c r="U495" s="3">
        <f ca="1">IFERROR(__xludf.DUMMYFUNCTION("""COMPUTED_VALUE"""),69.61)</f>
        <v>69.61</v>
      </c>
      <c r="V495" s="3">
        <f ca="1">IFERROR(__xludf.DUMMYFUNCTION("""COMPUTED_VALUE"""),68.67)</f>
        <v>68.67</v>
      </c>
      <c r="W495" s="3">
        <f ca="1">IFERROR(__xludf.DUMMYFUNCTION("""COMPUTED_VALUE"""),68.81)</f>
        <v>68.81</v>
      </c>
      <c r="X495" s="3">
        <f ca="1">IFERROR(__xludf.DUMMYFUNCTION("""COMPUTED_VALUE"""),14750282)</f>
        <v>14750282</v>
      </c>
      <c r="Y495" s="4">
        <f ca="1">IFERROR(__xludf.DUMMYFUNCTION("""COMPUTED_VALUE"""),42843.6666666666)</f>
        <v>42843.666666666599</v>
      </c>
      <c r="Z495" s="3">
        <f ca="1">IFERROR(__xludf.DUMMYFUNCTION("""COMPUTED_VALUE"""),23.14)</f>
        <v>23.14</v>
      </c>
      <c r="AA495" s="3">
        <f ca="1">IFERROR(__xludf.DUMMYFUNCTION("""COMPUTED_VALUE"""),23.25)</f>
        <v>23.25</v>
      </c>
      <c r="AB495" s="3">
        <f ca="1">IFERROR(__xludf.DUMMYFUNCTION("""COMPUTED_VALUE"""),22.94)</f>
        <v>22.94</v>
      </c>
      <c r="AC495" s="3">
        <f ca="1">IFERROR(__xludf.DUMMYFUNCTION("""COMPUTED_VALUE"""),23.08)</f>
        <v>23.08</v>
      </c>
      <c r="AD495" s="3">
        <f ca="1">IFERROR(__xludf.DUMMYFUNCTION("""COMPUTED_VALUE"""),74890353)</f>
        <v>74890353</v>
      </c>
      <c r="AE495" s="4">
        <f ca="1">IFERROR(__xludf.DUMMYFUNCTION("""COMPUTED_VALUE"""),42843.6666666666)</f>
        <v>42843.666666666599</v>
      </c>
      <c r="AF495" s="3">
        <f ca="1">IFERROR(__xludf.DUMMYFUNCTION("""COMPUTED_VALUE"""),73.84)</f>
        <v>73.84</v>
      </c>
      <c r="AG495" s="3">
        <f ca="1">IFERROR(__xludf.DUMMYFUNCTION("""COMPUTED_VALUE"""),73.84)</f>
        <v>73.84</v>
      </c>
      <c r="AH495" s="3">
        <f ca="1">IFERROR(__xludf.DUMMYFUNCTION("""COMPUTED_VALUE"""),73.16)</f>
        <v>73.16</v>
      </c>
      <c r="AI495" s="3">
        <f ca="1">IFERROR(__xludf.DUMMYFUNCTION("""COMPUTED_VALUE"""),73.44)</f>
        <v>73.44</v>
      </c>
      <c r="AJ495" s="3">
        <f ca="1">IFERROR(__xludf.DUMMYFUNCTION("""COMPUTED_VALUE"""),7519486)</f>
        <v>7519486</v>
      </c>
      <c r="AK495" s="4">
        <f ca="1">IFERROR(__xludf.DUMMYFUNCTION("""COMPUTED_VALUE"""),42843.6666666666)</f>
        <v>42843.666666666599</v>
      </c>
      <c r="AL495" s="3">
        <f ca="1">IFERROR(__xludf.DUMMYFUNCTION("""COMPUTED_VALUE"""),64.4)</f>
        <v>64.400000000000006</v>
      </c>
      <c r="AM495" s="3">
        <f ca="1">IFERROR(__xludf.DUMMYFUNCTION("""COMPUTED_VALUE"""),64.77)</f>
        <v>64.77</v>
      </c>
      <c r="AN495" s="3">
        <f ca="1">IFERROR(__xludf.DUMMYFUNCTION("""COMPUTED_VALUE"""),64.24)</f>
        <v>64.239999999999995</v>
      </c>
      <c r="AO495" s="3">
        <f ca="1">IFERROR(__xludf.DUMMYFUNCTION("""COMPUTED_VALUE"""),64.51)</f>
        <v>64.510000000000005</v>
      </c>
      <c r="AP495" s="3">
        <f ca="1">IFERROR(__xludf.DUMMYFUNCTION("""COMPUTED_VALUE"""),7502841)</f>
        <v>7502841</v>
      </c>
      <c r="AQ495" s="4">
        <f ca="1">IFERROR(__xludf.DUMMYFUNCTION("""COMPUTED_VALUE"""),42843.6666666666)</f>
        <v>42843.666666666599</v>
      </c>
      <c r="AR495" s="3">
        <f ca="1">IFERROR(__xludf.DUMMYFUNCTION("""COMPUTED_VALUE"""),51.45)</f>
        <v>51.45</v>
      </c>
      <c r="AS495" s="3">
        <f ca="1">IFERROR(__xludf.DUMMYFUNCTION("""COMPUTED_VALUE"""),51.78)</f>
        <v>51.78</v>
      </c>
      <c r="AT495" s="3">
        <f ca="1">IFERROR(__xludf.DUMMYFUNCTION("""COMPUTED_VALUE"""),51.39)</f>
        <v>51.39</v>
      </c>
      <c r="AU495" s="3">
        <f ca="1">IFERROR(__xludf.DUMMYFUNCTION("""COMPUTED_VALUE"""),51.62)</f>
        <v>51.62</v>
      </c>
      <c r="AV495" s="3">
        <f ca="1">IFERROR(__xludf.DUMMYFUNCTION("""COMPUTED_VALUE"""),2536904)</f>
        <v>2536904</v>
      </c>
      <c r="AW495" s="4">
        <f ca="1">IFERROR(__xludf.DUMMYFUNCTION("""COMPUTED_VALUE"""),43006.6666666666)</f>
        <v>43006.666666666599</v>
      </c>
      <c r="AX495" s="3">
        <f ca="1">IFERROR(__xludf.DUMMYFUNCTION("""COMPUTED_VALUE"""),31.96)</f>
        <v>31.96</v>
      </c>
      <c r="AY495" s="3">
        <f ca="1">IFERROR(__xludf.DUMMYFUNCTION("""COMPUTED_VALUE"""),32.24)</f>
        <v>32.24</v>
      </c>
      <c r="AZ495" s="3">
        <f ca="1">IFERROR(__xludf.DUMMYFUNCTION("""COMPUTED_VALUE"""),31.94)</f>
        <v>31.94</v>
      </c>
      <c r="BA495" s="3">
        <f ca="1">IFERROR(__xludf.DUMMYFUNCTION("""COMPUTED_VALUE"""),32.22)</f>
        <v>32.22</v>
      </c>
      <c r="BB495" s="3">
        <f ca="1">IFERROR(__xludf.DUMMYFUNCTION("""COMPUTED_VALUE"""),1318878)</f>
        <v>1318878</v>
      </c>
      <c r="BC495" s="4">
        <f ca="1">IFERROR(__xludf.DUMMYFUNCTION("""COMPUTED_VALUE"""),42843.6666666666)</f>
        <v>42843.666666666599</v>
      </c>
      <c r="BD495" s="3">
        <f ca="1">IFERROR(__xludf.DUMMYFUNCTION("""COMPUTED_VALUE"""),52.71)</f>
        <v>52.71</v>
      </c>
      <c r="BE495" s="3">
        <f ca="1">IFERROR(__xludf.DUMMYFUNCTION("""COMPUTED_VALUE"""),52.94)</f>
        <v>52.94</v>
      </c>
      <c r="BF495" s="3">
        <f ca="1">IFERROR(__xludf.DUMMYFUNCTION("""COMPUTED_VALUE"""),52.63)</f>
        <v>52.63</v>
      </c>
      <c r="BG495" s="3">
        <f ca="1">IFERROR(__xludf.DUMMYFUNCTION("""COMPUTED_VALUE"""),52.84)</f>
        <v>52.84</v>
      </c>
      <c r="BH495" s="3">
        <f ca="1">IFERROR(__xludf.DUMMYFUNCTION("""COMPUTED_VALUE"""),6243585)</f>
        <v>6243585</v>
      </c>
      <c r="BI495" s="4">
        <f ca="1">IFERROR(__xludf.DUMMYFUNCTION("""COMPUTED_VALUE"""),42843.6666666666)</f>
        <v>42843.666666666599</v>
      </c>
      <c r="BJ495" s="3">
        <f ca="1">IFERROR(__xludf.DUMMYFUNCTION("""COMPUTED_VALUE"""),51.99)</f>
        <v>51.99</v>
      </c>
      <c r="BK495" s="3">
        <f ca="1">IFERROR(__xludf.DUMMYFUNCTION("""COMPUTED_VALUE"""),52.14)</f>
        <v>52.14</v>
      </c>
      <c r="BL495" s="3">
        <f ca="1">IFERROR(__xludf.DUMMYFUNCTION("""COMPUTED_VALUE"""),51.83)</f>
        <v>51.83</v>
      </c>
      <c r="BM495" s="3">
        <f ca="1">IFERROR(__xludf.DUMMYFUNCTION("""COMPUTED_VALUE"""),52.03)</f>
        <v>52.03</v>
      </c>
      <c r="BN495" s="3">
        <f ca="1">IFERROR(__xludf.DUMMYFUNCTION("""COMPUTED_VALUE"""),14707362)</f>
        <v>14707362</v>
      </c>
    </row>
    <row r="496" spans="7:66" ht="13" x14ac:dyDescent="0.15">
      <c r="G496" s="4">
        <f ca="1">IFERROR(__xludf.DUMMYFUNCTION("""COMPUTED_VALUE"""),42844.6666666666)</f>
        <v>42844.666666666599</v>
      </c>
      <c r="H496" s="3">
        <f ca="1">IFERROR(__xludf.DUMMYFUNCTION("""COMPUTED_VALUE"""),87.74)</f>
        <v>87.74</v>
      </c>
      <c r="I496" s="3">
        <f ca="1">IFERROR(__xludf.DUMMYFUNCTION("""COMPUTED_VALUE"""),88.09)</f>
        <v>88.09</v>
      </c>
      <c r="J496" s="3">
        <f ca="1">IFERROR(__xludf.DUMMYFUNCTION("""COMPUTED_VALUE"""),87.46)</f>
        <v>87.46</v>
      </c>
      <c r="K496" s="3">
        <f ca="1">IFERROR(__xludf.DUMMYFUNCTION("""COMPUTED_VALUE"""),87.53)</f>
        <v>87.53</v>
      </c>
      <c r="L496" s="3">
        <f ca="1">IFERROR(__xludf.DUMMYFUNCTION("""COMPUTED_VALUE"""),3736547)</f>
        <v>3736547</v>
      </c>
      <c r="M496" s="4">
        <f ca="1">IFERROR(__xludf.DUMMYFUNCTION("""COMPUTED_VALUE"""),42844.6666666666)</f>
        <v>42844.666666666599</v>
      </c>
      <c r="N496" s="3">
        <f ca="1">IFERROR(__xludf.DUMMYFUNCTION("""COMPUTED_VALUE"""),55.55)</f>
        <v>55.55</v>
      </c>
      <c r="O496" s="3">
        <f ca="1">IFERROR(__xludf.DUMMYFUNCTION("""COMPUTED_VALUE"""),55.59)</f>
        <v>55.59</v>
      </c>
      <c r="P496" s="3">
        <f ca="1">IFERROR(__xludf.DUMMYFUNCTION("""COMPUTED_VALUE"""),55.19)</f>
        <v>55.19</v>
      </c>
      <c r="Q496" s="3">
        <f ca="1">IFERROR(__xludf.DUMMYFUNCTION("""COMPUTED_VALUE"""),55.27)</f>
        <v>55.27</v>
      </c>
      <c r="R496" s="3">
        <f ca="1">IFERROR(__xludf.DUMMYFUNCTION("""COMPUTED_VALUE"""),7254574)</f>
        <v>7254574</v>
      </c>
      <c r="S496" s="4">
        <f ca="1">IFERROR(__xludf.DUMMYFUNCTION("""COMPUTED_VALUE"""),42844.6666666666)</f>
        <v>42844.666666666599</v>
      </c>
      <c r="T496" s="3">
        <f ca="1">IFERROR(__xludf.DUMMYFUNCTION("""COMPUTED_VALUE"""),68.98)</f>
        <v>68.98</v>
      </c>
      <c r="U496" s="3">
        <f ca="1">IFERROR(__xludf.DUMMYFUNCTION("""COMPUTED_VALUE"""),69.11)</f>
        <v>69.11</v>
      </c>
      <c r="V496" s="3">
        <f ca="1">IFERROR(__xludf.DUMMYFUNCTION("""COMPUTED_VALUE"""),67.62)</f>
        <v>67.62</v>
      </c>
      <c r="W496" s="3">
        <f ca="1">IFERROR(__xludf.DUMMYFUNCTION("""COMPUTED_VALUE"""),67.8)</f>
        <v>67.8</v>
      </c>
      <c r="X496" s="3">
        <f ca="1">IFERROR(__xludf.DUMMYFUNCTION("""COMPUTED_VALUE"""),18125404)</f>
        <v>18125404</v>
      </c>
      <c r="Y496" s="4">
        <f ca="1">IFERROR(__xludf.DUMMYFUNCTION("""COMPUTED_VALUE"""),42844.6666666666)</f>
        <v>42844.666666666599</v>
      </c>
      <c r="Z496" s="3">
        <f ca="1">IFERROR(__xludf.DUMMYFUNCTION("""COMPUTED_VALUE"""),23.23)</f>
        <v>23.23</v>
      </c>
      <c r="AA496" s="3">
        <f ca="1">IFERROR(__xludf.DUMMYFUNCTION("""COMPUTED_VALUE"""),23.32)</f>
        <v>23.32</v>
      </c>
      <c r="AB496" s="3">
        <f ca="1">IFERROR(__xludf.DUMMYFUNCTION("""COMPUTED_VALUE"""),22.98)</f>
        <v>22.98</v>
      </c>
      <c r="AC496" s="3">
        <f ca="1">IFERROR(__xludf.DUMMYFUNCTION("""COMPUTED_VALUE"""),23.01)</f>
        <v>23.01</v>
      </c>
      <c r="AD496" s="3">
        <f ca="1">IFERROR(__xludf.DUMMYFUNCTION("""COMPUTED_VALUE"""),55583806)</f>
        <v>55583806</v>
      </c>
      <c r="AE496" s="4">
        <f ca="1">IFERROR(__xludf.DUMMYFUNCTION("""COMPUTED_VALUE"""),42844.6666666666)</f>
        <v>42844.666666666599</v>
      </c>
      <c r="AF496" s="3">
        <f ca="1">IFERROR(__xludf.DUMMYFUNCTION("""COMPUTED_VALUE"""),73.68)</f>
        <v>73.680000000000007</v>
      </c>
      <c r="AG496" s="3">
        <f ca="1">IFERROR(__xludf.DUMMYFUNCTION("""COMPUTED_VALUE"""),73.87)</f>
        <v>73.87</v>
      </c>
      <c r="AH496" s="3">
        <f ca="1">IFERROR(__xludf.DUMMYFUNCTION("""COMPUTED_VALUE"""),73.53)</f>
        <v>73.53</v>
      </c>
      <c r="AI496" s="3">
        <f ca="1">IFERROR(__xludf.DUMMYFUNCTION("""COMPUTED_VALUE"""),73.66)</f>
        <v>73.66</v>
      </c>
      <c r="AJ496" s="3">
        <f ca="1">IFERROR(__xludf.DUMMYFUNCTION("""COMPUTED_VALUE"""),5023119)</f>
        <v>5023119</v>
      </c>
      <c r="AK496" s="4">
        <f ca="1">IFERROR(__xludf.DUMMYFUNCTION("""COMPUTED_VALUE"""),42844.6666666666)</f>
        <v>42844.666666666599</v>
      </c>
      <c r="AL496" s="3">
        <f ca="1">IFERROR(__xludf.DUMMYFUNCTION("""COMPUTED_VALUE"""),64.74)</f>
        <v>64.739999999999995</v>
      </c>
      <c r="AM496" s="3">
        <f ca="1">IFERROR(__xludf.DUMMYFUNCTION("""COMPUTED_VALUE"""),64.97)</f>
        <v>64.97</v>
      </c>
      <c r="AN496" s="3">
        <f ca="1">IFERROR(__xludf.DUMMYFUNCTION("""COMPUTED_VALUE"""),64.45)</f>
        <v>64.45</v>
      </c>
      <c r="AO496" s="3">
        <f ca="1">IFERROR(__xludf.DUMMYFUNCTION("""COMPUTED_VALUE"""),64.57)</f>
        <v>64.569999999999993</v>
      </c>
      <c r="AP496" s="3">
        <f ca="1">IFERROR(__xludf.DUMMYFUNCTION("""COMPUTED_VALUE"""),9455266)</f>
        <v>9455266</v>
      </c>
      <c r="AQ496" s="4">
        <f ca="1">IFERROR(__xludf.DUMMYFUNCTION("""COMPUTED_VALUE"""),42844.6666666666)</f>
        <v>42844.666666666599</v>
      </c>
      <c r="AR496" s="3">
        <f ca="1">IFERROR(__xludf.DUMMYFUNCTION("""COMPUTED_VALUE"""),51.8)</f>
        <v>51.8</v>
      </c>
      <c r="AS496" s="3">
        <f ca="1">IFERROR(__xludf.DUMMYFUNCTION("""COMPUTED_VALUE"""),51.95)</f>
        <v>51.95</v>
      </c>
      <c r="AT496" s="3">
        <f ca="1">IFERROR(__xludf.DUMMYFUNCTION("""COMPUTED_VALUE"""),51.6)</f>
        <v>51.6</v>
      </c>
      <c r="AU496" s="3">
        <f ca="1">IFERROR(__xludf.DUMMYFUNCTION("""COMPUTED_VALUE"""),51.69)</f>
        <v>51.69</v>
      </c>
      <c r="AV496" s="3">
        <f ca="1">IFERROR(__xludf.DUMMYFUNCTION("""COMPUTED_VALUE"""),3130224)</f>
        <v>3130224</v>
      </c>
      <c r="AW496" s="4">
        <f ca="1">IFERROR(__xludf.DUMMYFUNCTION("""COMPUTED_VALUE"""),43007.6666666666)</f>
        <v>43007.666666666599</v>
      </c>
      <c r="AX496" s="3">
        <f ca="1">IFERROR(__xludf.DUMMYFUNCTION("""COMPUTED_VALUE"""),32.17)</f>
        <v>32.17</v>
      </c>
      <c r="AY496" s="3">
        <f ca="1">IFERROR(__xludf.DUMMYFUNCTION("""COMPUTED_VALUE"""),32.27)</f>
        <v>32.270000000000003</v>
      </c>
      <c r="AZ496" s="3">
        <f ca="1">IFERROR(__xludf.DUMMYFUNCTION("""COMPUTED_VALUE"""),32.07)</f>
        <v>32.07</v>
      </c>
      <c r="BA496" s="3">
        <f ca="1">IFERROR(__xludf.DUMMYFUNCTION("""COMPUTED_VALUE"""),32.24)</f>
        <v>32.24</v>
      </c>
      <c r="BB496" s="3">
        <f ca="1">IFERROR(__xludf.DUMMYFUNCTION("""COMPUTED_VALUE"""),2488525)</f>
        <v>2488525</v>
      </c>
      <c r="BC496" s="4">
        <f ca="1">IFERROR(__xludf.DUMMYFUNCTION("""COMPUTED_VALUE"""),42844.6666666666)</f>
        <v>42844.666666666599</v>
      </c>
      <c r="BD496" s="3">
        <f ca="1">IFERROR(__xludf.DUMMYFUNCTION("""COMPUTED_VALUE"""),52.92)</f>
        <v>52.92</v>
      </c>
      <c r="BE496" s="3">
        <f ca="1">IFERROR(__xludf.DUMMYFUNCTION("""COMPUTED_VALUE"""),53.11)</f>
        <v>53.11</v>
      </c>
      <c r="BF496" s="3">
        <f ca="1">IFERROR(__xludf.DUMMYFUNCTION("""COMPUTED_VALUE"""),52.7)</f>
        <v>52.7</v>
      </c>
      <c r="BG496" s="3">
        <f ca="1">IFERROR(__xludf.DUMMYFUNCTION("""COMPUTED_VALUE"""),52.8)</f>
        <v>52.8</v>
      </c>
      <c r="BH496" s="3">
        <f ca="1">IFERROR(__xludf.DUMMYFUNCTION("""COMPUTED_VALUE"""),7260503)</f>
        <v>7260503</v>
      </c>
      <c r="BI496" s="4">
        <f ca="1">IFERROR(__xludf.DUMMYFUNCTION("""COMPUTED_VALUE"""),42844.6666666666)</f>
        <v>42844.666666666599</v>
      </c>
      <c r="BJ496" s="3">
        <f ca="1">IFERROR(__xludf.DUMMYFUNCTION("""COMPUTED_VALUE"""),51.97)</f>
        <v>51.97</v>
      </c>
      <c r="BK496" s="3">
        <f ca="1">IFERROR(__xludf.DUMMYFUNCTION("""COMPUTED_VALUE"""),51.99)</f>
        <v>51.99</v>
      </c>
      <c r="BL496" s="3">
        <f ca="1">IFERROR(__xludf.DUMMYFUNCTION("""COMPUTED_VALUE"""),51.49)</f>
        <v>51.49</v>
      </c>
      <c r="BM496" s="3">
        <f ca="1">IFERROR(__xludf.DUMMYFUNCTION("""COMPUTED_VALUE"""),51.67)</f>
        <v>51.67</v>
      </c>
      <c r="BN496" s="3">
        <f ca="1">IFERROR(__xludf.DUMMYFUNCTION("""COMPUTED_VALUE"""),12517048)</f>
        <v>12517048</v>
      </c>
    </row>
    <row r="497" spans="7:66" ht="13" x14ac:dyDescent="0.15">
      <c r="G497" s="4">
        <f ca="1">IFERROR(__xludf.DUMMYFUNCTION("""COMPUTED_VALUE"""),42845.6666666666)</f>
        <v>42845.666666666599</v>
      </c>
      <c r="H497" s="3">
        <f ca="1">IFERROR(__xludf.DUMMYFUNCTION("""COMPUTED_VALUE"""),87.9)</f>
        <v>87.9</v>
      </c>
      <c r="I497" s="3">
        <f ca="1">IFERROR(__xludf.DUMMYFUNCTION("""COMPUTED_VALUE"""),88.62)</f>
        <v>88.62</v>
      </c>
      <c r="J497" s="3">
        <f ca="1">IFERROR(__xludf.DUMMYFUNCTION("""COMPUTED_VALUE"""),87.87)</f>
        <v>87.87</v>
      </c>
      <c r="K497" s="3">
        <f ca="1">IFERROR(__xludf.DUMMYFUNCTION("""COMPUTED_VALUE"""),88.45)</f>
        <v>88.45</v>
      </c>
      <c r="L497" s="3">
        <f ca="1">IFERROR(__xludf.DUMMYFUNCTION("""COMPUTED_VALUE"""),4386207)</f>
        <v>4386207</v>
      </c>
      <c r="M497" s="4">
        <f ca="1">IFERROR(__xludf.DUMMYFUNCTION("""COMPUTED_VALUE"""),42845.6666666666)</f>
        <v>42845.666666666599</v>
      </c>
      <c r="N497" s="3">
        <f ca="1">IFERROR(__xludf.DUMMYFUNCTION("""COMPUTED_VALUE"""),55.08)</f>
        <v>55.08</v>
      </c>
      <c r="O497" s="3">
        <f ca="1">IFERROR(__xludf.DUMMYFUNCTION("""COMPUTED_VALUE"""),55.25)</f>
        <v>55.25</v>
      </c>
      <c r="P497" s="3">
        <f ca="1">IFERROR(__xludf.DUMMYFUNCTION("""COMPUTED_VALUE"""),54.97)</f>
        <v>54.97</v>
      </c>
      <c r="Q497" s="3">
        <f ca="1">IFERROR(__xludf.DUMMYFUNCTION("""COMPUTED_VALUE"""),55.16)</f>
        <v>55.16</v>
      </c>
      <c r="R497" s="3">
        <f ca="1">IFERROR(__xludf.DUMMYFUNCTION("""COMPUTED_VALUE"""),9738220)</f>
        <v>9738220</v>
      </c>
      <c r="S497" s="4">
        <f ca="1">IFERROR(__xludf.DUMMYFUNCTION("""COMPUTED_VALUE"""),42845.6666666666)</f>
        <v>42845.666666666599</v>
      </c>
      <c r="T497" s="3">
        <f ca="1">IFERROR(__xludf.DUMMYFUNCTION("""COMPUTED_VALUE"""),68)</f>
        <v>68</v>
      </c>
      <c r="U497" s="3">
        <f ca="1">IFERROR(__xludf.DUMMYFUNCTION("""COMPUTED_VALUE"""),68.63)</f>
        <v>68.63</v>
      </c>
      <c r="V497" s="3">
        <f ca="1">IFERROR(__xludf.DUMMYFUNCTION("""COMPUTED_VALUE"""),67.93)</f>
        <v>67.930000000000007</v>
      </c>
      <c r="W497" s="3">
        <f ca="1">IFERROR(__xludf.DUMMYFUNCTION("""COMPUTED_VALUE"""),68.13)</f>
        <v>68.13</v>
      </c>
      <c r="X497" s="3">
        <f ca="1">IFERROR(__xludf.DUMMYFUNCTION("""COMPUTED_VALUE"""),16235421)</f>
        <v>16235421</v>
      </c>
      <c r="Y497" s="4">
        <f ca="1">IFERROR(__xludf.DUMMYFUNCTION("""COMPUTED_VALUE"""),42845.6666666666)</f>
        <v>42845.666666666599</v>
      </c>
      <c r="Z497" s="3">
        <f ca="1">IFERROR(__xludf.DUMMYFUNCTION("""COMPUTED_VALUE"""),23.18)</f>
        <v>23.18</v>
      </c>
      <c r="AA497" s="3">
        <f ca="1">IFERROR(__xludf.DUMMYFUNCTION("""COMPUTED_VALUE"""),23.45)</f>
        <v>23.45</v>
      </c>
      <c r="AB497" s="3">
        <f ca="1">IFERROR(__xludf.DUMMYFUNCTION("""COMPUTED_VALUE"""),23.09)</f>
        <v>23.09</v>
      </c>
      <c r="AC497" s="3">
        <f ca="1">IFERROR(__xludf.DUMMYFUNCTION("""COMPUTED_VALUE"""),23.4)</f>
        <v>23.4</v>
      </c>
      <c r="AD497" s="3">
        <f ca="1">IFERROR(__xludf.DUMMYFUNCTION("""COMPUTED_VALUE"""),85720393)</f>
        <v>85720393</v>
      </c>
      <c r="AE497" s="4">
        <f ca="1">IFERROR(__xludf.DUMMYFUNCTION("""COMPUTED_VALUE"""),42845.6666666666)</f>
        <v>42845.666666666599</v>
      </c>
      <c r="AF497" s="3">
        <f ca="1">IFERROR(__xludf.DUMMYFUNCTION("""COMPUTED_VALUE"""),73.81)</f>
        <v>73.81</v>
      </c>
      <c r="AG497" s="3">
        <f ca="1">IFERROR(__xludf.DUMMYFUNCTION("""COMPUTED_VALUE"""),74.27)</f>
        <v>74.27</v>
      </c>
      <c r="AH497" s="3">
        <f ca="1">IFERROR(__xludf.DUMMYFUNCTION("""COMPUTED_VALUE"""),73.47)</f>
        <v>73.47</v>
      </c>
      <c r="AI497" s="3">
        <f ca="1">IFERROR(__xludf.DUMMYFUNCTION("""COMPUTED_VALUE"""),74.12)</f>
        <v>74.12</v>
      </c>
      <c r="AJ497" s="3">
        <f ca="1">IFERROR(__xludf.DUMMYFUNCTION("""COMPUTED_VALUE"""),7307251)</f>
        <v>7307251</v>
      </c>
      <c r="AK497" s="4">
        <f ca="1">IFERROR(__xludf.DUMMYFUNCTION("""COMPUTED_VALUE"""),42845.6666666666)</f>
        <v>42845.666666666599</v>
      </c>
      <c r="AL497" s="3">
        <f ca="1">IFERROR(__xludf.DUMMYFUNCTION("""COMPUTED_VALUE"""),64.91)</f>
        <v>64.91</v>
      </c>
      <c r="AM497" s="3">
        <f ca="1">IFERROR(__xludf.DUMMYFUNCTION("""COMPUTED_VALUE"""),65.57)</f>
        <v>65.569999999999993</v>
      </c>
      <c r="AN497" s="3">
        <f ca="1">IFERROR(__xludf.DUMMYFUNCTION("""COMPUTED_VALUE"""),64.88)</f>
        <v>64.88</v>
      </c>
      <c r="AO497" s="3">
        <f ca="1">IFERROR(__xludf.DUMMYFUNCTION("""COMPUTED_VALUE"""),65.35)</f>
        <v>65.349999999999994</v>
      </c>
      <c r="AP497" s="3">
        <f ca="1">IFERROR(__xludf.DUMMYFUNCTION("""COMPUTED_VALUE"""),9492503)</f>
        <v>9492503</v>
      </c>
      <c r="AQ497" s="4">
        <f ca="1">IFERROR(__xludf.DUMMYFUNCTION("""COMPUTED_VALUE"""),42845.6666666666)</f>
        <v>42845.666666666599</v>
      </c>
      <c r="AR497" s="3">
        <f ca="1">IFERROR(__xludf.DUMMYFUNCTION("""COMPUTED_VALUE"""),51.92)</f>
        <v>51.92</v>
      </c>
      <c r="AS497" s="3">
        <f ca="1">IFERROR(__xludf.DUMMYFUNCTION("""COMPUTED_VALUE"""),52.47)</f>
        <v>52.47</v>
      </c>
      <c r="AT497" s="3">
        <f ca="1">IFERROR(__xludf.DUMMYFUNCTION("""COMPUTED_VALUE"""),51.88)</f>
        <v>51.88</v>
      </c>
      <c r="AU497" s="3">
        <f ca="1">IFERROR(__xludf.DUMMYFUNCTION("""COMPUTED_VALUE"""),52.26)</f>
        <v>52.26</v>
      </c>
      <c r="AV497" s="3">
        <f ca="1">IFERROR(__xludf.DUMMYFUNCTION("""COMPUTED_VALUE"""),4069392)</f>
        <v>4069392</v>
      </c>
      <c r="BC497" s="4">
        <f ca="1">IFERROR(__xludf.DUMMYFUNCTION("""COMPUTED_VALUE"""),42845.6666666666)</f>
        <v>42845.666666666599</v>
      </c>
      <c r="BD497" s="3">
        <f ca="1">IFERROR(__xludf.DUMMYFUNCTION("""COMPUTED_VALUE"""),52.94)</f>
        <v>52.94</v>
      </c>
      <c r="BE497" s="3">
        <f ca="1">IFERROR(__xludf.DUMMYFUNCTION("""COMPUTED_VALUE"""),53.37)</f>
        <v>53.37</v>
      </c>
      <c r="BF497" s="3">
        <f ca="1">IFERROR(__xludf.DUMMYFUNCTION("""COMPUTED_VALUE"""),52.86)</f>
        <v>52.86</v>
      </c>
      <c r="BG497" s="3">
        <f ca="1">IFERROR(__xludf.DUMMYFUNCTION("""COMPUTED_VALUE"""),53.28)</f>
        <v>53.28</v>
      </c>
      <c r="BH497" s="3">
        <f ca="1">IFERROR(__xludf.DUMMYFUNCTION("""COMPUTED_VALUE"""),7581852)</f>
        <v>7581852</v>
      </c>
      <c r="BI497" s="4">
        <f ca="1">IFERROR(__xludf.DUMMYFUNCTION("""COMPUTED_VALUE"""),42845.6666666666)</f>
        <v>42845.666666666599</v>
      </c>
      <c r="BJ497" s="3">
        <f ca="1">IFERROR(__xludf.DUMMYFUNCTION("""COMPUTED_VALUE"""),51.61)</f>
        <v>51.61</v>
      </c>
      <c r="BK497" s="3">
        <f ca="1">IFERROR(__xludf.DUMMYFUNCTION("""COMPUTED_VALUE"""),51.61)</f>
        <v>51.61</v>
      </c>
      <c r="BL497" s="3">
        <f ca="1">IFERROR(__xludf.DUMMYFUNCTION("""COMPUTED_VALUE"""),51.1)</f>
        <v>51.1</v>
      </c>
      <c r="BM497" s="3">
        <f ca="1">IFERROR(__xludf.DUMMYFUNCTION("""COMPUTED_VALUE"""),51.47)</f>
        <v>51.47</v>
      </c>
      <c r="BN497" s="3">
        <f ca="1">IFERROR(__xludf.DUMMYFUNCTION("""COMPUTED_VALUE"""),13482336)</f>
        <v>13482336</v>
      </c>
    </row>
    <row r="498" spans="7:66" ht="13" x14ac:dyDescent="0.15">
      <c r="G498" s="4">
        <f ca="1">IFERROR(__xludf.DUMMYFUNCTION("""COMPUTED_VALUE"""),42846.6666666666)</f>
        <v>42846.666666666599</v>
      </c>
      <c r="H498" s="3">
        <f ca="1">IFERROR(__xludf.DUMMYFUNCTION("""COMPUTED_VALUE"""),88.33)</f>
        <v>88.33</v>
      </c>
      <c r="I498" s="3">
        <f ca="1">IFERROR(__xludf.DUMMYFUNCTION("""COMPUTED_VALUE"""),88.42)</f>
        <v>88.42</v>
      </c>
      <c r="J498" s="3">
        <f ca="1">IFERROR(__xludf.DUMMYFUNCTION("""COMPUTED_VALUE"""),88.03)</f>
        <v>88.03</v>
      </c>
      <c r="K498" s="3">
        <f ca="1">IFERROR(__xludf.DUMMYFUNCTION("""COMPUTED_VALUE"""),88.25)</f>
        <v>88.25</v>
      </c>
      <c r="L498" s="3">
        <f ca="1">IFERROR(__xludf.DUMMYFUNCTION("""COMPUTED_VALUE"""),3852436)</f>
        <v>3852436</v>
      </c>
      <c r="M498" s="4">
        <f ca="1">IFERROR(__xludf.DUMMYFUNCTION("""COMPUTED_VALUE"""),42846.6666666666)</f>
        <v>42846.666666666599</v>
      </c>
      <c r="N498" s="3">
        <f ca="1">IFERROR(__xludf.DUMMYFUNCTION("""COMPUTED_VALUE"""),55.13)</f>
        <v>55.13</v>
      </c>
      <c r="O498" s="3">
        <f ca="1">IFERROR(__xludf.DUMMYFUNCTION("""COMPUTED_VALUE"""),55.17)</f>
        <v>55.17</v>
      </c>
      <c r="P498" s="3">
        <f ca="1">IFERROR(__xludf.DUMMYFUNCTION("""COMPUTED_VALUE"""),54.97)</f>
        <v>54.97</v>
      </c>
      <c r="Q498" s="3">
        <f ca="1">IFERROR(__xludf.DUMMYFUNCTION("""COMPUTED_VALUE"""),55)</f>
        <v>55</v>
      </c>
      <c r="R498" s="3">
        <f ca="1">IFERROR(__xludf.DUMMYFUNCTION("""COMPUTED_VALUE"""),8435717)</f>
        <v>8435717</v>
      </c>
      <c r="S498" s="4">
        <f ca="1">IFERROR(__xludf.DUMMYFUNCTION("""COMPUTED_VALUE"""),42846.6666666666)</f>
        <v>42846.666666666599</v>
      </c>
      <c r="T498" s="3">
        <f ca="1">IFERROR(__xludf.DUMMYFUNCTION("""COMPUTED_VALUE"""),67.84)</f>
        <v>67.84</v>
      </c>
      <c r="U498" s="3">
        <f ca="1">IFERROR(__xludf.DUMMYFUNCTION("""COMPUTED_VALUE"""),68.13)</f>
        <v>68.13</v>
      </c>
      <c r="V498" s="3">
        <f ca="1">IFERROR(__xludf.DUMMYFUNCTION("""COMPUTED_VALUE"""),67.45)</f>
        <v>67.45</v>
      </c>
      <c r="W498" s="3">
        <f ca="1">IFERROR(__xludf.DUMMYFUNCTION("""COMPUTED_VALUE"""),67.79)</f>
        <v>67.790000000000006</v>
      </c>
      <c r="X498" s="3">
        <f ca="1">IFERROR(__xludf.DUMMYFUNCTION("""COMPUTED_VALUE"""),14116058)</f>
        <v>14116058</v>
      </c>
      <c r="Y498" s="4">
        <f ca="1">IFERROR(__xludf.DUMMYFUNCTION("""COMPUTED_VALUE"""),42846.6666666666)</f>
        <v>42846.666666666599</v>
      </c>
      <c r="Z498" s="3">
        <f ca="1">IFERROR(__xludf.DUMMYFUNCTION("""COMPUTED_VALUE"""),23.34)</f>
        <v>23.34</v>
      </c>
      <c r="AA498" s="3">
        <f ca="1">IFERROR(__xludf.DUMMYFUNCTION("""COMPUTED_VALUE"""),23.43)</f>
        <v>23.43</v>
      </c>
      <c r="AB498" s="3">
        <f ca="1">IFERROR(__xludf.DUMMYFUNCTION("""COMPUTED_VALUE"""),23.15)</f>
        <v>23.15</v>
      </c>
      <c r="AC498" s="3">
        <f ca="1">IFERROR(__xludf.DUMMYFUNCTION("""COMPUTED_VALUE"""),23.16)</f>
        <v>23.16</v>
      </c>
      <c r="AD498" s="3">
        <f ca="1">IFERROR(__xludf.DUMMYFUNCTION("""COMPUTED_VALUE"""),94675256)</f>
        <v>94675256</v>
      </c>
      <c r="AE498" s="4">
        <f ca="1">IFERROR(__xludf.DUMMYFUNCTION("""COMPUTED_VALUE"""),42846.6666666666)</f>
        <v>42846.666666666599</v>
      </c>
      <c r="AF498" s="3">
        <f ca="1">IFERROR(__xludf.DUMMYFUNCTION("""COMPUTED_VALUE"""),73.99)</f>
        <v>73.989999999999995</v>
      </c>
      <c r="AG498" s="3">
        <f ca="1">IFERROR(__xludf.DUMMYFUNCTION("""COMPUTED_VALUE"""),74.06)</f>
        <v>74.06</v>
      </c>
      <c r="AH498" s="3">
        <f ca="1">IFERROR(__xludf.DUMMYFUNCTION("""COMPUTED_VALUE"""),73.51)</f>
        <v>73.510000000000005</v>
      </c>
      <c r="AI498" s="3">
        <f ca="1">IFERROR(__xludf.DUMMYFUNCTION("""COMPUTED_VALUE"""),73.68)</f>
        <v>73.680000000000007</v>
      </c>
      <c r="AJ498" s="3">
        <f ca="1">IFERROR(__xludf.DUMMYFUNCTION("""COMPUTED_VALUE"""),6762958)</f>
        <v>6762958</v>
      </c>
      <c r="AK498" s="4">
        <f ca="1">IFERROR(__xludf.DUMMYFUNCTION("""COMPUTED_VALUE"""),42846.6666666666)</f>
        <v>42846.666666666599</v>
      </c>
      <c r="AL498" s="3">
        <f ca="1">IFERROR(__xludf.DUMMYFUNCTION("""COMPUTED_VALUE"""),65.37)</f>
        <v>65.37</v>
      </c>
      <c r="AM498" s="3">
        <f ca="1">IFERROR(__xludf.DUMMYFUNCTION("""COMPUTED_VALUE"""),65.61)</f>
        <v>65.61</v>
      </c>
      <c r="AN498" s="3">
        <f ca="1">IFERROR(__xludf.DUMMYFUNCTION("""COMPUTED_VALUE"""),65.22)</f>
        <v>65.22</v>
      </c>
      <c r="AO498" s="3">
        <f ca="1">IFERROR(__xludf.DUMMYFUNCTION("""COMPUTED_VALUE"""),65.41)</f>
        <v>65.41</v>
      </c>
      <c r="AP498" s="3">
        <f ca="1">IFERROR(__xludf.DUMMYFUNCTION("""COMPUTED_VALUE"""),10211435)</f>
        <v>10211435</v>
      </c>
      <c r="AQ498" s="4">
        <f ca="1">IFERROR(__xludf.DUMMYFUNCTION("""COMPUTED_VALUE"""),42846.6666666666)</f>
        <v>42846.666666666599</v>
      </c>
      <c r="AR498" s="3">
        <f ca="1">IFERROR(__xludf.DUMMYFUNCTION("""COMPUTED_VALUE"""),52.22)</f>
        <v>52.22</v>
      </c>
      <c r="AS498" s="3">
        <f ca="1">IFERROR(__xludf.DUMMYFUNCTION("""COMPUTED_VALUE"""),52.34)</f>
        <v>52.34</v>
      </c>
      <c r="AT498" s="3">
        <f ca="1">IFERROR(__xludf.DUMMYFUNCTION("""COMPUTED_VALUE"""),52.06)</f>
        <v>52.06</v>
      </c>
      <c r="AU498" s="3">
        <f ca="1">IFERROR(__xludf.DUMMYFUNCTION("""COMPUTED_VALUE"""),52.2)</f>
        <v>52.2</v>
      </c>
      <c r="AV498" s="3">
        <f ca="1">IFERROR(__xludf.DUMMYFUNCTION("""COMPUTED_VALUE"""),3591645)</f>
        <v>3591645</v>
      </c>
      <c r="BC498" s="4">
        <f ca="1">IFERROR(__xludf.DUMMYFUNCTION("""COMPUTED_VALUE"""),42846.6666666666)</f>
        <v>42846.666666666599</v>
      </c>
      <c r="BD498" s="3">
        <f ca="1">IFERROR(__xludf.DUMMYFUNCTION("""COMPUTED_VALUE"""),53.3)</f>
        <v>53.3</v>
      </c>
      <c r="BE498" s="3">
        <f ca="1">IFERROR(__xludf.DUMMYFUNCTION("""COMPUTED_VALUE"""),53.31)</f>
        <v>53.31</v>
      </c>
      <c r="BF498" s="3">
        <f ca="1">IFERROR(__xludf.DUMMYFUNCTION("""COMPUTED_VALUE"""),53.07)</f>
        <v>53.07</v>
      </c>
      <c r="BG498" s="3">
        <f ca="1">IFERROR(__xludf.DUMMYFUNCTION("""COMPUTED_VALUE"""),53.17)</f>
        <v>53.17</v>
      </c>
      <c r="BH498" s="3">
        <f ca="1">IFERROR(__xludf.DUMMYFUNCTION("""COMPUTED_VALUE"""),7616549)</f>
        <v>7616549</v>
      </c>
      <c r="BI498" s="4">
        <f ca="1">IFERROR(__xludf.DUMMYFUNCTION("""COMPUTED_VALUE"""),42846.6666666666)</f>
        <v>42846.666666666599</v>
      </c>
      <c r="BJ498" s="3">
        <f ca="1">IFERROR(__xludf.DUMMYFUNCTION("""COMPUTED_VALUE"""),51.4)</f>
        <v>51.4</v>
      </c>
      <c r="BK498" s="3">
        <f ca="1">IFERROR(__xludf.DUMMYFUNCTION("""COMPUTED_VALUE"""),51.95)</f>
        <v>51.95</v>
      </c>
      <c r="BL498" s="3">
        <f ca="1">IFERROR(__xludf.DUMMYFUNCTION("""COMPUTED_VALUE"""),51.4)</f>
        <v>51.4</v>
      </c>
      <c r="BM498" s="3">
        <f ca="1">IFERROR(__xludf.DUMMYFUNCTION("""COMPUTED_VALUE"""),51.73)</f>
        <v>51.73</v>
      </c>
      <c r="BN498" s="3">
        <f ca="1">IFERROR(__xludf.DUMMYFUNCTION("""COMPUTED_VALUE"""),13259067)</f>
        <v>13259067</v>
      </c>
    </row>
    <row r="499" spans="7:66" ht="13" x14ac:dyDescent="0.15">
      <c r="G499" s="4">
        <f ca="1">IFERROR(__xludf.DUMMYFUNCTION("""COMPUTED_VALUE"""),42849.6666666666)</f>
        <v>42849.666666666599</v>
      </c>
      <c r="H499" s="3">
        <f ca="1">IFERROR(__xludf.DUMMYFUNCTION("""COMPUTED_VALUE"""),89.18)</f>
        <v>89.18</v>
      </c>
      <c r="I499" s="3">
        <f ca="1">IFERROR(__xludf.DUMMYFUNCTION("""COMPUTED_VALUE"""),89.21)</f>
        <v>89.21</v>
      </c>
      <c r="J499" s="3">
        <f ca="1">IFERROR(__xludf.DUMMYFUNCTION("""COMPUTED_VALUE"""),88.72)</f>
        <v>88.72</v>
      </c>
      <c r="K499" s="3">
        <f ca="1">IFERROR(__xludf.DUMMYFUNCTION("""COMPUTED_VALUE"""),88.82)</f>
        <v>88.82</v>
      </c>
      <c r="L499" s="3">
        <f ca="1">IFERROR(__xludf.DUMMYFUNCTION("""COMPUTED_VALUE"""),4243034)</f>
        <v>4243034</v>
      </c>
      <c r="M499" s="4">
        <f ca="1">IFERROR(__xludf.DUMMYFUNCTION("""COMPUTED_VALUE"""),42849.6666666666)</f>
        <v>42849.666666666599</v>
      </c>
      <c r="N499" s="3">
        <f ca="1">IFERROR(__xludf.DUMMYFUNCTION("""COMPUTED_VALUE"""),55.16)</f>
        <v>55.16</v>
      </c>
      <c r="O499" s="3">
        <f ca="1">IFERROR(__xludf.DUMMYFUNCTION("""COMPUTED_VALUE"""),55.59)</f>
        <v>55.59</v>
      </c>
      <c r="P499" s="3">
        <f ca="1">IFERROR(__xludf.DUMMYFUNCTION("""COMPUTED_VALUE"""),55.16)</f>
        <v>55.16</v>
      </c>
      <c r="Q499" s="3">
        <f ca="1">IFERROR(__xludf.DUMMYFUNCTION("""COMPUTED_VALUE"""),55.5)</f>
        <v>55.5</v>
      </c>
      <c r="R499" s="3">
        <f ca="1">IFERROR(__xludf.DUMMYFUNCTION("""COMPUTED_VALUE"""),9831677)</f>
        <v>9831677</v>
      </c>
      <c r="S499" s="4">
        <f ca="1">IFERROR(__xludf.DUMMYFUNCTION("""COMPUTED_VALUE"""),42849.6666666666)</f>
        <v>42849.666666666599</v>
      </c>
      <c r="T499" s="3">
        <f ca="1">IFERROR(__xludf.DUMMYFUNCTION("""COMPUTED_VALUE"""),68.29)</f>
        <v>68.290000000000006</v>
      </c>
      <c r="U499" s="3">
        <f ca="1">IFERROR(__xludf.DUMMYFUNCTION("""COMPUTED_VALUE"""),68.47)</f>
        <v>68.47</v>
      </c>
      <c r="V499" s="3">
        <f ca="1">IFERROR(__xludf.DUMMYFUNCTION("""COMPUTED_VALUE"""),67.98)</f>
        <v>67.98</v>
      </c>
      <c r="W499" s="3">
        <f ca="1">IFERROR(__xludf.DUMMYFUNCTION("""COMPUTED_VALUE"""),68.19)</f>
        <v>68.19</v>
      </c>
      <c r="X499" s="3">
        <f ca="1">IFERROR(__xludf.DUMMYFUNCTION("""COMPUTED_VALUE"""),13350678)</f>
        <v>13350678</v>
      </c>
      <c r="Y499" s="4">
        <f ca="1">IFERROR(__xludf.DUMMYFUNCTION("""COMPUTED_VALUE"""),42849.6666666666)</f>
        <v>42849.666666666599</v>
      </c>
      <c r="Z499" s="3">
        <f ca="1">IFERROR(__xludf.DUMMYFUNCTION("""COMPUTED_VALUE"""),23.69)</f>
        <v>23.69</v>
      </c>
      <c r="AA499" s="3">
        <f ca="1">IFERROR(__xludf.DUMMYFUNCTION("""COMPUTED_VALUE"""),23.81)</f>
        <v>23.81</v>
      </c>
      <c r="AB499" s="3">
        <f ca="1">IFERROR(__xludf.DUMMYFUNCTION("""COMPUTED_VALUE"""),23.59)</f>
        <v>23.59</v>
      </c>
      <c r="AC499" s="3">
        <f ca="1">IFERROR(__xludf.DUMMYFUNCTION("""COMPUTED_VALUE"""),23.68)</f>
        <v>23.68</v>
      </c>
      <c r="AD499" s="3">
        <f ca="1">IFERROR(__xludf.DUMMYFUNCTION("""COMPUTED_VALUE"""),98770606)</f>
        <v>98770606</v>
      </c>
      <c r="AE499" s="4">
        <f ca="1">IFERROR(__xludf.DUMMYFUNCTION("""COMPUTED_VALUE"""),42849.6666666666)</f>
        <v>42849.666666666599</v>
      </c>
      <c r="AF499" s="3">
        <f ca="1">IFERROR(__xludf.DUMMYFUNCTION("""COMPUTED_VALUE"""),74.39)</f>
        <v>74.39</v>
      </c>
      <c r="AG499" s="3">
        <f ca="1">IFERROR(__xludf.DUMMYFUNCTION("""COMPUTED_VALUE"""),74.59)</f>
        <v>74.59</v>
      </c>
      <c r="AH499" s="3">
        <f ca="1">IFERROR(__xludf.DUMMYFUNCTION("""COMPUTED_VALUE"""),74.31)</f>
        <v>74.31</v>
      </c>
      <c r="AI499" s="3">
        <f ca="1">IFERROR(__xludf.DUMMYFUNCTION("""COMPUTED_VALUE"""),74.41)</f>
        <v>74.41</v>
      </c>
      <c r="AJ499" s="3">
        <f ca="1">IFERROR(__xludf.DUMMYFUNCTION("""COMPUTED_VALUE"""),5450018)</f>
        <v>5450018</v>
      </c>
      <c r="AK499" s="4">
        <f ca="1">IFERROR(__xludf.DUMMYFUNCTION("""COMPUTED_VALUE"""),42849.6666666666)</f>
        <v>42849.666666666599</v>
      </c>
      <c r="AL499" s="3">
        <f ca="1">IFERROR(__xludf.DUMMYFUNCTION("""COMPUTED_VALUE"""),66.31)</f>
        <v>66.31</v>
      </c>
      <c r="AM499" s="3">
        <f ca="1">IFERROR(__xludf.DUMMYFUNCTION("""COMPUTED_VALUE"""),66.43)</f>
        <v>66.430000000000007</v>
      </c>
      <c r="AN499" s="3">
        <f ca="1">IFERROR(__xludf.DUMMYFUNCTION("""COMPUTED_VALUE"""),66.1)</f>
        <v>66.099999999999994</v>
      </c>
      <c r="AO499" s="3">
        <f ca="1">IFERROR(__xludf.DUMMYFUNCTION("""COMPUTED_VALUE"""),66.34)</f>
        <v>66.34</v>
      </c>
      <c r="AP499" s="3">
        <f ca="1">IFERROR(__xludf.DUMMYFUNCTION("""COMPUTED_VALUE"""),10498252)</f>
        <v>10498252</v>
      </c>
      <c r="AQ499" s="4">
        <f ca="1">IFERROR(__xludf.DUMMYFUNCTION("""COMPUTED_VALUE"""),42849.6666666666)</f>
        <v>42849.666666666599</v>
      </c>
      <c r="AR499" s="3">
        <f ca="1">IFERROR(__xludf.DUMMYFUNCTION("""COMPUTED_VALUE"""),52.77)</f>
        <v>52.77</v>
      </c>
      <c r="AS499" s="3">
        <f ca="1">IFERROR(__xludf.DUMMYFUNCTION("""COMPUTED_VALUE"""),52.94)</f>
        <v>52.94</v>
      </c>
      <c r="AT499" s="3">
        <f ca="1">IFERROR(__xludf.DUMMYFUNCTION("""COMPUTED_VALUE"""),52.68)</f>
        <v>52.68</v>
      </c>
      <c r="AU499" s="3">
        <f ca="1">IFERROR(__xludf.DUMMYFUNCTION("""COMPUTED_VALUE"""),52.8)</f>
        <v>52.8</v>
      </c>
      <c r="AV499" s="3">
        <f ca="1">IFERROR(__xludf.DUMMYFUNCTION("""COMPUTED_VALUE"""),5566796)</f>
        <v>5566796</v>
      </c>
      <c r="BC499" s="4">
        <f ca="1">IFERROR(__xludf.DUMMYFUNCTION("""COMPUTED_VALUE"""),42849.6666666666)</f>
        <v>42849.666666666599</v>
      </c>
      <c r="BD499" s="3">
        <f ca="1">IFERROR(__xludf.DUMMYFUNCTION("""COMPUTED_VALUE"""),53.75)</f>
        <v>53.75</v>
      </c>
      <c r="BE499" s="3">
        <f ca="1">IFERROR(__xludf.DUMMYFUNCTION("""COMPUTED_VALUE"""),53.84)</f>
        <v>53.84</v>
      </c>
      <c r="BF499" s="3">
        <f ca="1">IFERROR(__xludf.DUMMYFUNCTION("""COMPUTED_VALUE"""),53.63)</f>
        <v>53.63</v>
      </c>
      <c r="BG499" s="3">
        <f ca="1">IFERROR(__xludf.DUMMYFUNCTION("""COMPUTED_VALUE"""),53.8)</f>
        <v>53.8</v>
      </c>
      <c r="BH499" s="3">
        <f ca="1">IFERROR(__xludf.DUMMYFUNCTION("""COMPUTED_VALUE"""),8104989)</f>
        <v>8104989</v>
      </c>
      <c r="BI499" s="4">
        <f ca="1">IFERROR(__xludf.DUMMYFUNCTION("""COMPUTED_VALUE"""),42849.6666666666)</f>
        <v>42849.666666666599</v>
      </c>
      <c r="BJ499" s="3">
        <f ca="1">IFERROR(__xludf.DUMMYFUNCTION("""COMPUTED_VALUE"""),51.78)</f>
        <v>51.78</v>
      </c>
      <c r="BK499" s="3">
        <f ca="1">IFERROR(__xludf.DUMMYFUNCTION("""COMPUTED_VALUE"""),52.06)</f>
        <v>52.06</v>
      </c>
      <c r="BL499" s="3">
        <f ca="1">IFERROR(__xludf.DUMMYFUNCTION("""COMPUTED_VALUE"""),51.43)</f>
        <v>51.43</v>
      </c>
      <c r="BM499" s="3">
        <f ca="1">IFERROR(__xludf.DUMMYFUNCTION("""COMPUTED_VALUE"""),52)</f>
        <v>52</v>
      </c>
      <c r="BN499" s="3">
        <f ca="1">IFERROR(__xludf.DUMMYFUNCTION("""COMPUTED_VALUE"""),18106693)</f>
        <v>18106693</v>
      </c>
    </row>
    <row r="500" spans="7:66" ht="13" x14ac:dyDescent="0.15">
      <c r="G500" s="4">
        <f ca="1">IFERROR(__xludf.DUMMYFUNCTION("""COMPUTED_VALUE"""),42850.6666666666)</f>
        <v>42850.666666666599</v>
      </c>
      <c r="H500" s="3">
        <f ca="1">IFERROR(__xludf.DUMMYFUNCTION("""COMPUTED_VALUE"""),89.12)</f>
        <v>89.12</v>
      </c>
      <c r="I500" s="3">
        <f ca="1">IFERROR(__xludf.DUMMYFUNCTION("""COMPUTED_VALUE"""),89.65)</f>
        <v>89.65</v>
      </c>
      <c r="J500" s="3">
        <f ca="1">IFERROR(__xludf.DUMMYFUNCTION("""COMPUTED_VALUE"""),89.12)</f>
        <v>89.12</v>
      </c>
      <c r="K500" s="3">
        <f ca="1">IFERROR(__xludf.DUMMYFUNCTION("""COMPUTED_VALUE"""),89.52)</f>
        <v>89.52</v>
      </c>
      <c r="L500" s="3">
        <f ca="1">IFERROR(__xludf.DUMMYFUNCTION("""COMPUTED_VALUE"""),5404552)</f>
        <v>5404552</v>
      </c>
      <c r="M500" s="4">
        <f ca="1">IFERROR(__xludf.DUMMYFUNCTION("""COMPUTED_VALUE"""),42850.6666666666)</f>
        <v>42850.666666666599</v>
      </c>
      <c r="N500" s="3">
        <f ca="1">IFERROR(__xludf.DUMMYFUNCTION("""COMPUTED_VALUE"""),55.53)</f>
        <v>55.53</v>
      </c>
      <c r="O500" s="3">
        <f ca="1">IFERROR(__xludf.DUMMYFUNCTION("""COMPUTED_VALUE"""),55.8)</f>
        <v>55.8</v>
      </c>
      <c r="P500" s="3">
        <f ca="1">IFERROR(__xludf.DUMMYFUNCTION("""COMPUTED_VALUE"""),55.51)</f>
        <v>55.51</v>
      </c>
      <c r="Q500" s="3">
        <f ca="1">IFERROR(__xludf.DUMMYFUNCTION("""COMPUTED_VALUE"""),55.72)</f>
        <v>55.72</v>
      </c>
      <c r="R500" s="3">
        <f ca="1">IFERROR(__xludf.DUMMYFUNCTION("""COMPUTED_VALUE"""),7292892)</f>
        <v>7292892</v>
      </c>
      <c r="S500" s="4">
        <f ca="1">IFERROR(__xludf.DUMMYFUNCTION("""COMPUTED_VALUE"""),42850.6666666666)</f>
        <v>42850.666666666599</v>
      </c>
      <c r="T500" s="3">
        <f ca="1">IFERROR(__xludf.DUMMYFUNCTION("""COMPUTED_VALUE"""),68.36)</f>
        <v>68.36</v>
      </c>
      <c r="U500" s="3">
        <f ca="1">IFERROR(__xludf.DUMMYFUNCTION("""COMPUTED_VALUE"""),68.93)</f>
        <v>68.930000000000007</v>
      </c>
      <c r="V500" s="3">
        <f ca="1">IFERROR(__xludf.DUMMYFUNCTION("""COMPUTED_VALUE"""),68.15)</f>
        <v>68.150000000000006</v>
      </c>
      <c r="W500" s="3">
        <f ca="1">IFERROR(__xludf.DUMMYFUNCTION("""COMPUTED_VALUE"""),68.77)</f>
        <v>68.77</v>
      </c>
      <c r="X500" s="3">
        <f ca="1">IFERROR(__xludf.DUMMYFUNCTION("""COMPUTED_VALUE"""),15590964)</f>
        <v>15590964</v>
      </c>
      <c r="Y500" s="4">
        <f ca="1">IFERROR(__xludf.DUMMYFUNCTION("""COMPUTED_VALUE"""),42850.6666666666)</f>
        <v>42850.666666666599</v>
      </c>
      <c r="Z500" s="3">
        <f ca="1">IFERROR(__xludf.DUMMYFUNCTION("""COMPUTED_VALUE"""),23.89)</f>
        <v>23.89</v>
      </c>
      <c r="AA500" s="3">
        <f ca="1">IFERROR(__xludf.DUMMYFUNCTION("""COMPUTED_VALUE"""),24.01)</f>
        <v>24.01</v>
      </c>
      <c r="AB500" s="3">
        <f ca="1">IFERROR(__xludf.DUMMYFUNCTION("""COMPUTED_VALUE"""),23.86)</f>
        <v>23.86</v>
      </c>
      <c r="AC500" s="3">
        <f ca="1">IFERROR(__xludf.DUMMYFUNCTION("""COMPUTED_VALUE"""),23.89)</f>
        <v>23.89</v>
      </c>
      <c r="AD500" s="3">
        <f ca="1">IFERROR(__xludf.DUMMYFUNCTION("""COMPUTED_VALUE"""),71026149)</f>
        <v>71026149</v>
      </c>
      <c r="AE500" s="4">
        <f ca="1">IFERROR(__xludf.DUMMYFUNCTION("""COMPUTED_VALUE"""),42850.6666666666)</f>
        <v>42850.666666666599</v>
      </c>
      <c r="AF500" s="3">
        <f ca="1">IFERROR(__xludf.DUMMYFUNCTION("""COMPUTED_VALUE"""),74.71)</f>
        <v>74.709999999999994</v>
      </c>
      <c r="AG500" s="3">
        <f ca="1">IFERROR(__xludf.DUMMYFUNCTION("""COMPUTED_VALUE"""),74.94)</f>
        <v>74.94</v>
      </c>
      <c r="AH500" s="3">
        <f ca="1">IFERROR(__xludf.DUMMYFUNCTION("""COMPUTED_VALUE"""),74.5)</f>
        <v>74.5</v>
      </c>
      <c r="AI500" s="3">
        <f ca="1">IFERROR(__xludf.DUMMYFUNCTION("""COMPUTED_VALUE"""),74.73)</f>
        <v>74.73</v>
      </c>
      <c r="AJ500" s="3">
        <f ca="1">IFERROR(__xludf.DUMMYFUNCTION("""COMPUTED_VALUE"""),9035698)</f>
        <v>9035698</v>
      </c>
      <c r="AK500" s="4">
        <f ca="1">IFERROR(__xludf.DUMMYFUNCTION("""COMPUTED_VALUE"""),42850.6666666666)</f>
        <v>42850.666666666599</v>
      </c>
      <c r="AL500" s="3">
        <f ca="1">IFERROR(__xludf.DUMMYFUNCTION("""COMPUTED_VALUE"""),66.62)</f>
        <v>66.62</v>
      </c>
      <c r="AM500" s="3">
        <f ca="1">IFERROR(__xludf.DUMMYFUNCTION("""COMPUTED_VALUE"""),66.84)</f>
        <v>66.84</v>
      </c>
      <c r="AN500" s="3">
        <f ca="1">IFERROR(__xludf.DUMMYFUNCTION("""COMPUTED_VALUE"""),66.44)</f>
        <v>66.44</v>
      </c>
      <c r="AO500" s="3">
        <f ca="1">IFERROR(__xludf.DUMMYFUNCTION("""COMPUTED_VALUE"""),66.66)</f>
        <v>66.66</v>
      </c>
      <c r="AP500" s="3">
        <f ca="1">IFERROR(__xludf.DUMMYFUNCTION("""COMPUTED_VALUE"""),12385030)</f>
        <v>12385030</v>
      </c>
      <c r="AQ500" s="4">
        <f ca="1">IFERROR(__xludf.DUMMYFUNCTION("""COMPUTED_VALUE"""),42850.6666666666)</f>
        <v>42850.666666666599</v>
      </c>
      <c r="AR500" s="3">
        <f ca="1">IFERROR(__xludf.DUMMYFUNCTION("""COMPUTED_VALUE"""),53.26)</f>
        <v>53.26</v>
      </c>
      <c r="AS500" s="3">
        <f ca="1">IFERROR(__xludf.DUMMYFUNCTION("""COMPUTED_VALUE"""),53.72)</f>
        <v>53.72</v>
      </c>
      <c r="AT500" s="3">
        <f ca="1">IFERROR(__xludf.DUMMYFUNCTION("""COMPUTED_VALUE"""),53.23)</f>
        <v>53.23</v>
      </c>
      <c r="AU500" s="3">
        <f ca="1">IFERROR(__xludf.DUMMYFUNCTION("""COMPUTED_VALUE"""),53.65)</f>
        <v>53.65</v>
      </c>
      <c r="AV500" s="3">
        <f ca="1">IFERROR(__xludf.DUMMYFUNCTION("""COMPUTED_VALUE"""),7942257)</f>
        <v>7942257</v>
      </c>
      <c r="BC500" s="4">
        <f ca="1">IFERROR(__xludf.DUMMYFUNCTION("""COMPUTED_VALUE"""),42850.6666666666)</f>
        <v>42850.666666666599</v>
      </c>
      <c r="BD500" s="3">
        <f ca="1">IFERROR(__xludf.DUMMYFUNCTION("""COMPUTED_VALUE"""),54.02)</f>
        <v>54.02</v>
      </c>
      <c r="BE500" s="3">
        <f ca="1">IFERROR(__xludf.DUMMYFUNCTION("""COMPUTED_VALUE"""),54.19)</f>
        <v>54.19</v>
      </c>
      <c r="BF500" s="3">
        <f ca="1">IFERROR(__xludf.DUMMYFUNCTION("""COMPUTED_VALUE"""),53.93)</f>
        <v>53.93</v>
      </c>
      <c r="BG500" s="3">
        <f ca="1">IFERROR(__xludf.DUMMYFUNCTION("""COMPUTED_VALUE"""),54.08)</f>
        <v>54.08</v>
      </c>
      <c r="BH500" s="3">
        <f ca="1">IFERROR(__xludf.DUMMYFUNCTION("""COMPUTED_VALUE"""),10044772)</f>
        <v>10044772</v>
      </c>
      <c r="BI500" s="4">
        <f ca="1">IFERROR(__xludf.DUMMYFUNCTION("""COMPUTED_VALUE"""),42850.6666666666)</f>
        <v>42850.666666666599</v>
      </c>
      <c r="BJ500" s="3">
        <f ca="1">IFERROR(__xludf.DUMMYFUNCTION("""COMPUTED_VALUE"""),51.85)</f>
        <v>51.85</v>
      </c>
      <c r="BK500" s="3">
        <f ca="1">IFERROR(__xludf.DUMMYFUNCTION("""COMPUTED_VALUE"""),52.01)</f>
        <v>52.01</v>
      </c>
      <c r="BL500" s="3">
        <f ca="1">IFERROR(__xludf.DUMMYFUNCTION("""COMPUTED_VALUE"""),51.64)</f>
        <v>51.64</v>
      </c>
      <c r="BM500" s="3">
        <f ca="1">IFERROR(__xludf.DUMMYFUNCTION("""COMPUTED_VALUE"""),51.93)</f>
        <v>51.93</v>
      </c>
      <c r="BN500" s="3">
        <f ca="1">IFERROR(__xludf.DUMMYFUNCTION("""COMPUTED_VALUE"""),10891641)</f>
        <v>10891641</v>
      </c>
    </row>
    <row r="501" spans="7:66" ht="13" x14ac:dyDescent="0.15">
      <c r="G501" s="4">
        <f ca="1">IFERROR(__xludf.DUMMYFUNCTION("""COMPUTED_VALUE"""),42851.6666666666)</f>
        <v>42851.666666666599</v>
      </c>
      <c r="H501" s="3">
        <f ca="1">IFERROR(__xludf.DUMMYFUNCTION("""COMPUTED_VALUE"""),89.75)</f>
        <v>89.75</v>
      </c>
      <c r="I501" s="3">
        <f ca="1">IFERROR(__xludf.DUMMYFUNCTION("""COMPUTED_VALUE"""),90.32)</f>
        <v>90.32</v>
      </c>
      <c r="J501" s="3">
        <f ca="1">IFERROR(__xludf.DUMMYFUNCTION("""COMPUTED_VALUE"""),89.63)</f>
        <v>89.63</v>
      </c>
      <c r="K501" s="3">
        <f ca="1">IFERROR(__xludf.DUMMYFUNCTION("""COMPUTED_VALUE"""),89.94)</f>
        <v>89.94</v>
      </c>
      <c r="L501" s="3">
        <f ca="1">IFERROR(__xludf.DUMMYFUNCTION("""COMPUTED_VALUE"""),4082207)</f>
        <v>4082207</v>
      </c>
      <c r="M501" s="4">
        <f ca="1">IFERROR(__xludf.DUMMYFUNCTION("""COMPUTED_VALUE"""),42851.6666666666)</f>
        <v>42851.666666666599</v>
      </c>
      <c r="N501" s="3">
        <f ca="1">IFERROR(__xludf.DUMMYFUNCTION("""COMPUTED_VALUE"""),55.74)</f>
        <v>55.74</v>
      </c>
      <c r="O501" s="3">
        <f ca="1">IFERROR(__xludf.DUMMYFUNCTION("""COMPUTED_VALUE"""),55.74)</f>
        <v>55.74</v>
      </c>
      <c r="P501" s="3">
        <f ca="1">IFERROR(__xludf.DUMMYFUNCTION("""COMPUTED_VALUE"""),55.24)</f>
        <v>55.24</v>
      </c>
      <c r="Q501" s="3">
        <f ca="1">IFERROR(__xludf.DUMMYFUNCTION("""COMPUTED_VALUE"""),55.27)</f>
        <v>55.27</v>
      </c>
      <c r="R501" s="3">
        <f ca="1">IFERROR(__xludf.DUMMYFUNCTION("""COMPUTED_VALUE"""),7930815)</f>
        <v>7930815</v>
      </c>
      <c r="S501" s="4">
        <f ca="1">IFERROR(__xludf.DUMMYFUNCTION("""COMPUTED_VALUE"""),42851.6666666666)</f>
        <v>42851.666666666599</v>
      </c>
      <c r="T501" s="3">
        <f ca="1">IFERROR(__xludf.DUMMYFUNCTION("""COMPUTED_VALUE"""),68.45)</f>
        <v>68.45</v>
      </c>
      <c r="U501" s="3">
        <f ca="1">IFERROR(__xludf.DUMMYFUNCTION("""COMPUTED_VALUE"""),69.47)</f>
        <v>69.47</v>
      </c>
      <c r="V501" s="3">
        <f ca="1">IFERROR(__xludf.DUMMYFUNCTION("""COMPUTED_VALUE"""),68.42)</f>
        <v>68.42</v>
      </c>
      <c r="W501" s="3">
        <f ca="1">IFERROR(__xludf.DUMMYFUNCTION("""COMPUTED_VALUE"""),68.54)</f>
        <v>68.540000000000006</v>
      </c>
      <c r="X501" s="3">
        <f ca="1">IFERROR(__xludf.DUMMYFUNCTION("""COMPUTED_VALUE"""),18737578)</f>
        <v>18737578</v>
      </c>
      <c r="Y501" s="4">
        <f ca="1">IFERROR(__xludf.DUMMYFUNCTION("""COMPUTED_VALUE"""),42851.6666666666)</f>
        <v>42851.666666666599</v>
      </c>
      <c r="Z501" s="3">
        <f ca="1">IFERROR(__xludf.DUMMYFUNCTION("""COMPUTED_VALUE"""),23.86)</f>
        <v>23.86</v>
      </c>
      <c r="AA501" s="3">
        <f ca="1">IFERROR(__xludf.DUMMYFUNCTION("""COMPUTED_VALUE"""),24.09)</f>
        <v>24.09</v>
      </c>
      <c r="AB501" s="3">
        <f ca="1">IFERROR(__xludf.DUMMYFUNCTION("""COMPUTED_VALUE"""),23.82)</f>
        <v>23.82</v>
      </c>
      <c r="AC501" s="3">
        <f ca="1">IFERROR(__xludf.DUMMYFUNCTION("""COMPUTED_VALUE"""),23.87)</f>
        <v>23.87</v>
      </c>
      <c r="AD501" s="3">
        <f ca="1">IFERROR(__xludf.DUMMYFUNCTION("""COMPUTED_VALUE"""),71691249)</f>
        <v>71691249</v>
      </c>
      <c r="AE501" s="4">
        <f ca="1">IFERROR(__xludf.DUMMYFUNCTION("""COMPUTED_VALUE"""),42851.6666666666)</f>
        <v>42851.666666666599</v>
      </c>
      <c r="AF501" s="3">
        <f ca="1">IFERROR(__xludf.DUMMYFUNCTION("""COMPUTED_VALUE"""),75)</f>
        <v>75</v>
      </c>
      <c r="AG501" s="3">
        <f ca="1">IFERROR(__xludf.DUMMYFUNCTION("""COMPUTED_VALUE"""),75.44)</f>
        <v>75.44</v>
      </c>
      <c r="AH501" s="3">
        <f ca="1">IFERROR(__xludf.DUMMYFUNCTION("""COMPUTED_VALUE"""),74.94)</f>
        <v>74.94</v>
      </c>
      <c r="AI501" s="3">
        <f ca="1">IFERROR(__xludf.DUMMYFUNCTION("""COMPUTED_VALUE"""),75.14)</f>
        <v>75.14</v>
      </c>
      <c r="AJ501" s="3">
        <f ca="1">IFERROR(__xludf.DUMMYFUNCTION("""COMPUTED_VALUE"""),6240415)</f>
        <v>6240415</v>
      </c>
      <c r="AK501" s="4">
        <f ca="1">IFERROR(__xludf.DUMMYFUNCTION("""COMPUTED_VALUE"""),42851.6666666666)</f>
        <v>42851.666666666599</v>
      </c>
      <c r="AL501" s="3">
        <f ca="1">IFERROR(__xludf.DUMMYFUNCTION("""COMPUTED_VALUE"""),66.77)</f>
        <v>66.77</v>
      </c>
      <c r="AM501" s="3">
        <f ca="1">IFERROR(__xludf.DUMMYFUNCTION("""COMPUTED_VALUE"""),67.04)</f>
        <v>67.040000000000006</v>
      </c>
      <c r="AN501" s="3">
        <f ca="1">IFERROR(__xludf.DUMMYFUNCTION("""COMPUTED_VALUE"""),66.61)</f>
        <v>66.61</v>
      </c>
      <c r="AO501" s="3">
        <f ca="1">IFERROR(__xludf.DUMMYFUNCTION("""COMPUTED_VALUE"""),66.67)</f>
        <v>66.67</v>
      </c>
      <c r="AP501" s="3">
        <f ca="1">IFERROR(__xludf.DUMMYFUNCTION("""COMPUTED_VALUE"""),12033107)</f>
        <v>12033107</v>
      </c>
      <c r="AQ501" s="4">
        <f ca="1">IFERROR(__xludf.DUMMYFUNCTION("""COMPUTED_VALUE"""),42851.6666666666)</f>
        <v>42851.666666666599</v>
      </c>
      <c r="AR501" s="3">
        <f ca="1">IFERROR(__xludf.DUMMYFUNCTION("""COMPUTED_VALUE"""),53.57)</f>
        <v>53.57</v>
      </c>
      <c r="AS501" s="3">
        <f ca="1">IFERROR(__xludf.DUMMYFUNCTION("""COMPUTED_VALUE"""),53.82)</f>
        <v>53.82</v>
      </c>
      <c r="AT501" s="3">
        <f ca="1">IFERROR(__xludf.DUMMYFUNCTION("""COMPUTED_VALUE"""),53.44)</f>
        <v>53.44</v>
      </c>
      <c r="AU501" s="3">
        <f ca="1">IFERROR(__xludf.DUMMYFUNCTION("""COMPUTED_VALUE"""),53.64)</f>
        <v>53.64</v>
      </c>
      <c r="AV501" s="3">
        <f ca="1">IFERROR(__xludf.DUMMYFUNCTION("""COMPUTED_VALUE"""),3166945)</f>
        <v>3166945</v>
      </c>
      <c r="BC501" s="4">
        <f ca="1">IFERROR(__xludf.DUMMYFUNCTION("""COMPUTED_VALUE"""),42851.6666666666)</f>
        <v>42851.666666666599</v>
      </c>
      <c r="BD501" s="3">
        <f ca="1">IFERROR(__xludf.DUMMYFUNCTION("""COMPUTED_VALUE"""),54.12)</f>
        <v>54.12</v>
      </c>
      <c r="BE501" s="3">
        <f ca="1">IFERROR(__xludf.DUMMYFUNCTION("""COMPUTED_VALUE"""),54.21)</f>
        <v>54.21</v>
      </c>
      <c r="BF501" s="3">
        <f ca="1">IFERROR(__xludf.DUMMYFUNCTION("""COMPUTED_VALUE"""),53.97)</f>
        <v>53.97</v>
      </c>
      <c r="BG501" s="3">
        <f ca="1">IFERROR(__xludf.DUMMYFUNCTION("""COMPUTED_VALUE"""),54.02)</f>
        <v>54.02</v>
      </c>
      <c r="BH501" s="3">
        <f ca="1">IFERROR(__xludf.DUMMYFUNCTION("""COMPUTED_VALUE"""),8147176)</f>
        <v>8147176</v>
      </c>
      <c r="BI501" s="4">
        <f ca="1">IFERROR(__xludf.DUMMYFUNCTION("""COMPUTED_VALUE"""),42851.6666666666)</f>
        <v>42851.666666666599</v>
      </c>
      <c r="BJ501" s="3">
        <f ca="1">IFERROR(__xludf.DUMMYFUNCTION("""COMPUTED_VALUE"""),51.92)</f>
        <v>51.92</v>
      </c>
      <c r="BK501" s="3">
        <f ca="1">IFERROR(__xludf.DUMMYFUNCTION("""COMPUTED_VALUE"""),52.16)</f>
        <v>52.16</v>
      </c>
      <c r="BL501" s="3">
        <f ca="1">IFERROR(__xludf.DUMMYFUNCTION("""COMPUTED_VALUE"""),51.72)</f>
        <v>51.72</v>
      </c>
      <c r="BM501" s="3">
        <f ca="1">IFERROR(__xludf.DUMMYFUNCTION("""COMPUTED_VALUE"""),51.77)</f>
        <v>51.77</v>
      </c>
      <c r="BN501" s="3">
        <f ca="1">IFERROR(__xludf.DUMMYFUNCTION("""COMPUTED_VALUE"""),9597402)</f>
        <v>9597402</v>
      </c>
    </row>
    <row r="502" spans="7:66" ht="13" x14ac:dyDescent="0.15">
      <c r="G502" s="4">
        <f ca="1">IFERROR(__xludf.DUMMYFUNCTION("""COMPUTED_VALUE"""),42852.6666666666)</f>
        <v>42852.666666666599</v>
      </c>
      <c r="H502" s="3">
        <f ca="1">IFERROR(__xludf.DUMMYFUNCTION("""COMPUTED_VALUE"""),90.4)</f>
        <v>90.4</v>
      </c>
      <c r="I502" s="3">
        <f ca="1">IFERROR(__xludf.DUMMYFUNCTION("""COMPUTED_VALUE"""),90.55)</f>
        <v>90.55</v>
      </c>
      <c r="J502" s="3">
        <f ca="1">IFERROR(__xludf.DUMMYFUNCTION("""COMPUTED_VALUE"""),90.17)</f>
        <v>90.17</v>
      </c>
      <c r="K502" s="3">
        <f ca="1">IFERROR(__xludf.DUMMYFUNCTION("""COMPUTED_VALUE"""),90.42)</f>
        <v>90.42</v>
      </c>
      <c r="L502" s="3">
        <f ca="1">IFERROR(__xludf.DUMMYFUNCTION("""COMPUTED_VALUE"""),3663998)</f>
        <v>3663998</v>
      </c>
      <c r="M502" s="4">
        <f ca="1">IFERROR(__xludf.DUMMYFUNCTION("""COMPUTED_VALUE"""),42852.6666666666)</f>
        <v>42852.666666666599</v>
      </c>
      <c r="N502" s="3">
        <f ca="1">IFERROR(__xludf.DUMMYFUNCTION("""COMPUTED_VALUE"""),55.35)</f>
        <v>55.35</v>
      </c>
      <c r="O502" s="3">
        <f ca="1">IFERROR(__xludf.DUMMYFUNCTION("""COMPUTED_VALUE"""),55.38)</f>
        <v>55.38</v>
      </c>
      <c r="P502" s="3">
        <f ca="1">IFERROR(__xludf.DUMMYFUNCTION("""COMPUTED_VALUE"""),55.11)</f>
        <v>55.11</v>
      </c>
      <c r="Q502" s="3">
        <f ca="1">IFERROR(__xludf.DUMMYFUNCTION("""COMPUTED_VALUE"""),55.2)</f>
        <v>55.2</v>
      </c>
      <c r="R502" s="3">
        <f ca="1">IFERROR(__xludf.DUMMYFUNCTION("""COMPUTED_VALUE"""),5861399)</f>
        <v>5861399</v>
      </c>
      <c r="S502" s="4">
        <f ca="1">IFERROR(__xludf.DUMMYFUNCTION("""COMPUTED_VALUE"""),42852.6666666666)</f>
        <v>42852.666666666599</v>
      </c>
      <c r="T502" s="3">
        <f ca="1">IFERROR(__xludf.DUMMYFUNCTION("""COMPUTED_VALUE"""),68.01)</f>
        <v>68.010000000000005</v>
      </c>
      <c r="U502" s="3">
        <f ca="1">IFERROR(__xludf.DUMMYFUNCTION("""COMPUTED_VALUE"""),68.08)</f>
        <v>68.08</v>
      </c>
      <c r="V502" s="3">
        <f ca="1">IFERROR(__xludf.DUMMYFUNCTION("""COMPUTED_VALUE"""),67.11)</f>
        <v>67.11</v>
      </c>
      <c r="W502" s="3">
        <f ca="1">IFERROR(__xludf.DUMMYFUNCTION("""COMPUTED_VALUE"""),67.79)</f>
        <v>67.790000000000006</v>
      </c>
      <c r="X502" s="3">
        <f ca="1">IFERROR(__xludf.DUMMYFUNCTION("""COMPUTED_VALUE"""),20547721)</f>
        <v>20547721</v>
      </c>
      <c r="Y502" s="4">
        <f ca="1">IFERROR(__xludf.DUMMYFUNCTION("""COMPUTED_VALUE"""),42852.6666666666)</f>
        <v>42852.666666666599</v>
      </c>
      <c r="Z502" s="3">
        <f ca="1">IFERROR(__xludf.DUMMYFUNCTION("""COMPUTED_VALUE"""),23.92)</f>
        <v>23.92</v>
      </c>
      <c r="AA502" s="3">
        <f ca="1">IFERROR(__xludf.DUMMYFUNCTION("""COMPUTED_VALUE"""),23.92)</f>
        <v>23.92</v>
      </c>
      <c r="AB502" s="3">
        <f ca="1">IFERROR(__xludf.DUMMYFUNCTION("""COMPUTED_VALUE"""),23.62)</f>
        <v>23.62</v>
      </c>
      <c r="AC502" s="3">
        <f ca="1">IFERROR(__xludf.DUMMYFUNCTION("""COMPUTED_VALUE"""),23.76)</f>
        <v>23.76</v>
      </c>
      <c r="AD502" s="3">
        <f ca="1">IFERROR(__xludf.DUMMYFUNCTION("""COMPUTED_VALUE"""),68871770)</f>
        <v>68871770</v>
      </c>
      <c r="AE502" s="4">
        <f ca="1">IFERROR(__xludf.DUMMYFUNCTION("""COMPUTED_VALUE"""),42852.6666666666)</f>
        <v>42852.666666666599</v>
      </c>
      <c r="AF502" s="3">
        <f ca="1">IFERROR(__xludf.DUMMYFUNCTION("""COMPUTED_VALUE"""),75.16)</f>
        <v>75.16</v>
      </c>
      <c r="AG502" s="3">
        <f ca="1">IFERROR(__xludf.DUMMYFUNCTION("""COMPUTED_VALUE"""),75.65)</f>
        <v>75.650000000000006</v>
      </c>
      <c r="AH502" s="3">
        <f ca="1">IFERROR(__xludf.DUMMYFUNCTION("""COMPUTED_VALUE"""),75.01)</f>
        <v>75.010000000000005</v>
      </c>
      <c r="AI502" s="3">
        <f ca="1">IFERROR(__xludf.DUMMYFUNCTION("""COMPUTED_VALUE"""),75.3)</f>
        <v>75.3</v>
      </c>
      <c r="AJ502" s="3">
        <f ca="1">IFERROR(__xludf.DUMMYFUNCTION("""COMPUTED_VALUE"""),6962756)</f>
        <v>6962756</v>
      </c>
      <c r="AK502" s="4">
        <f ca="1">IFERROR(__xludf.DUMMYFUNCTION("""COMPUTED_VALUE"""),42852.6666666666)</f>
        <v>42852.666666666599</v>
      </c>
      <c r="AL502" s="3">
        <f ca="1">IFERROR(__xludf.DUMMYFUNCTION("""COMPUTED_VALUE"""),66.62)</f>
        <v>66.62</v>
      </c>
      <c r="AM502" s="3">
        <f ca="1">IFERROR(__xludf.DUMMYFUNCTION("""COMPUTED_VALUE"""),66.87)</f>
        <v>66.87</v>
      </c>
      <c r="AN502" s="3">
        <f ca="1">IFERROR(__xludf.DUMMYFUNCTION("""COMPUTED_VALUE"""),66.39)</f>
        <v>66.39</v>
      </c>
      <c r="AO502" s="3">
        <f ca="1">IFERROR(__xludf.DUMMYFUNCTION("""COMPUTED_VALUE"""),66.65)</f>
        <v>66.650000000000006</v>
      </c>
      <c r="AP502" s="3">
        <f ca="1">IFERROR(__xludf.DUMMYFUNCTION("""COMPUTED_VALUE"""),8111444)</f>
        <v>8111444</v>
      </c>
      <c r="AQ502" s="4">
        <f ca="1">IFERROR(__xludf.DUMMYFUNCTION("""COMPUTED_VALUE"""),42852.6666666666)</f>
        <v>42852.666666666599</v>
      </c>
      <c r="AR502" s="3">
        <f ca="1">IFERROR(__xludf.DUMMYFUNCTION("""COMPUTED_VALUE"""),53.57)</f>
        <v>53.57</v>
      </c>
      <c r="AS502" s="3">
        <f ca="1">IFERROR(__xludf.DUMMYFUNCTION("""COMPUTED_VALUE"""),53.68)</f>
        <v>53.68</v>
      </c>
      <c r="AT502" s="3">
        <f ca="1">IFERROR(__xludf.DUMMYFUNCTION("""COMPUTED_VALUE"""),53.17)</f>
        <v>53.17</v>
      </c>
      <c r="AU502" s="3">
        <f ca="1">IFERROR(__xludf.DUMMYFUNCTION("""COMPUTED_VALUE"""),53.52)</f>
        <v>53.52</v>
      </c>
      <c r="AV502" s="3">
        <f ca="1">IFERROR(__xludf.DUMMYFUNCTION("""COMPUTED_VALUE"""),4604985)</f>
        <v>4604985</v>
      </c>
      <c r="BC502" s="4">
        <f ca="1">IFERROR(__xludf.DUMMYFUNCTION("""COMPUTED_VALUE"""),42852.6666666666)</f>
        <v>42852.666666666599</v>
      </c>
      <c r="BD502" s="3">
        <f ca="1">IFERROR(__xludf.DUMMYFUNCTION("""COMPUTED_VALUE"""),54.16)</f>
        <v>54.16</v>
      </c>
      <c r="BE502" s="3">
        <f ca="1">IFERROR(__xludf.DUMMYFUNCTION("""COMPUTED_VALUE"""),54.28)</f>
        <v>54.28</v>
      </c>
      <c r="BF502" s="3">
        <f ca="1">IFERROR(__xludf.DUMMYFUNCTION("""COMPUTED_VALUE"""),54.11)</f>
        <v>54.11</v>
      </c>
      <c r="BG502" s="3">
        <f ca="1">IFERROR(__xludf.DUMMYFUNCTION("""COMPUTED_VALUE"""),54.24)</f>
        <v>54.24</v>
      </c>
      <c r="BH502" s="3">
        <f ca="1">IFERROR(__xludf.DUMMYFUNCTION("""COMPUTED_VALUE"""),8591719)</f>
        <v>8591719</v>
      </c>
      <c r="BI502" s="4">
        <f ca="1">IFERROR(__xludf.DUMMYFUNCTION("""COMPUTED_VALUE"""),42852.6666666666)</f>
        <v>42852.666666666599</v>
      </c>
      <c r="BJ502" s="3">
        <f ca="1">IFERROR(__xludf.DUMMYFUNCTION("""COMPUTED_VALUE"""),51.75)</f>
        <v>51.75</v>
      </c>
      <c r="BK502" s="3">
        <f ca="1">IFERROR(__xludf.DUMMYFUNCTION("""COMPUTED_VALUE"""),52.2)</f>
        <v>52.2</v>
      </c>
      <c r="BL502" s="3">
        <f ca="1">IFERROR(__xludf.DUMMYFUNCTION("""COMPUTED_VALUE"""),51.71)</f>
        <v>51.71</v>
      </c>
      <c r="BM502" s="3">
        <f ca="1">IFERROR(__xludf.DUMMYFUNCTION("""COMPUTED_VALUE"""),51.95)</f>
        <v>51.95</v>
      </c>
      <c r="BN502" s="3">
        <f ca="1">IFERROR(__xludf.DUMMYFUNCTION("""COMPUTED_VALUE"""),9466542)</f>
        <v>9466542</v>
      </c>
    </row>
    <row r="503" spans="7:66" ht="13" x14ac:dyDescent="0.15">
      <c r="G503" s="4">
        <f ca="1">IFERROR(__xludf.DUMMYFUNCTION("""COMPUTED_VALUE"""),42853.6666666666)</f>
        <v>42853.666666666599</v>
      </c>
      <c r="H503" s="3">
        <f ca="1">IFERROR(__xludf.DUMMYFUNCTION("""COMPUTED_VALUE"""),90.61)</f>
        <v>90.61</v>
      </c>
      <c r="I503" s="3">
        <f ca="1">IFERROR(__xludf.DUMMYFUNCTION("""COMPUTED_VALUE"""),90.78)</f>
        <v>90.78</v>
      </c>
      <c r="J503" s="3">
        <f ca="1">IFERROR(__xludf.DUMMYFUNCTION("""COMPUTED_VALUE"""),89.95)</f>
        <v>89.95</v>
      </c>
      <c r="K503" s="3">
        <f ca="1">IFERROR(__xludf.DUMMYFUNCTION("""COMPUTED_VALUE"""),90.06)</f>
        <v>90.06</v>
      </c>
      <c r="L503" s="3">
        <f ca="1">IFERROR(__xludf.DUMMYFUNCTION("""COMPUTED_VALUE"""),5059755)</f>
        <v>5059755</v>
      </c>
      <c r="M503" s="4">
        <f ca="1">IFERROR(__xludf.DUMMYFUNCTION("""COMPUTED_VALUE"""),42853.6666666666)</f>
        <v>42853.666666666599</v>
      </c>
      <c r="N503" s="3">
        <f ca="1">IFERROR(__xludf.DUMMYFUNCTION("""COMPUTED_VALUE"""),55.04)</f>
        <v>55.04</v>
      </c>
      <c r="O503" s="3">
        <f ca="1">IFERROR(__xludf.DUMMYFUNCTION("""COMPUTED_VALUE"""),55.2)</f>
        <v>55.2</v>
      </c>
      <c r="P503" s="3">
        <f ca="1">IFERROR(__xludf.DUMMYFUNCTION("""COMPUTED_VALUE"""),54.89)</f>
        <v>54.89</v>
      </c>
      <c r="Q503" s="3">
        <f ca="1">IFERROR(__xludf.DUMMYFUNCTION("""COMPUTED_VALUE"""),55.18)</f>
        <v>55.18</v>
      </c>
      <c r="R503" s="3">
        <f ca="1">IFERROR(__xludf.DUMMYFUNCTION("""COMPUTED_VALUE"""),7034843)</f>
        <v>7034843</v>
      </c>
      <c r="S503" s="4">
        <f ca="1">IFERROR(__xludf.DUMMYFUNCTION("""COMPUTED_VALUE"""),42853.6666666666)</f>
        <v>42853.666666666599</v>
      </c>
      <c r="T503" s="3">
        <f ca="1">IFERROR(__xludf.DUMMYFUNCTION("""COMPUTED_VALUE"""),68.37)</f>
        <v>68.37</v>
      </c>
      <c r="U503" s="3">
        <f ca="1">IFERROR(__xludf.DUMMYFUNCTION("""COMPUTED_VALUE"""),68.49)</f>
        <v>68.489999999999995</v>
      </c>
      <c r="V503" s="3">
        <f ca="1">IFERROR(__xludf.DUMMYFUNCTION("""COMPUTED_VALUE"""),67.74)</f>
        <v>67.739999999999995</v>
      </c>
      <c r="W503" s="3">
        <f ca="1">IFERROR(__xludf.DUMMYFUNCTION("""COMPUTED_VALUE"""),67.84)</f>
        <v>67.84</v>
      </c>
      <c r="X503" s="3">
        <f ca="1">IFERROR(__xludf.DUMMYFUNCTION("""COMPUTED_VALUE"""),14425964)</f>
        <v>14425964</v>
      </c>
      <c r="Y503" s="4">
        <f ca="1">IFERROR(__xludf.DUMMYFUNCTION("""COMPUTED_VALUE"""),42853.6666666666)</f>
        <v>42853.666666666599</v>
      </c>
      <c r="Z503" s="3">
        <f ca="1">IFERROR(__xludf.DUMMYFUNCTION("""COMPUTED_VALUE"""),23.77)</f>
        <v>23.77</v>
      </c>
      <c r="AA503" s="3">
        <f ca="1">IFERROR(__xludf.DUMMYFUNCTION("""COMPUTED_VALUE"""),23.79)</f>
        <v>23.79</v>
      </c>
      <c r="AB503" s="3">
        <f ca="1">IFERROR(__xludf.DUMMYFUNCTION("""COMPUTED_VALUE"""),23.53)</f>
        <v>23.53</v>
      </c>
      <c r="AC503" s="3">
        <f ca="1">IFERROR(__xludf.DUMMYFUNCTION("""COMPUTED_VALUE"""),23.53)</f>
        <v>23.53</v>
      </c>
      <c r="AD503" s="3">
        <f ca="1">IFERROR(__xludf.DUMMYFUNCTION("""COMPUTED_VALUE"""),64091925)</f>
        <v>64091925</v>
      </c>
      <c r="AE503" s="4">
        <f ca="1">IFERROR(__xludf.DUMMYFUNCTION("""COMPUTED_VALUE"""),42853.6666666666)</f>
        <v>42853.666666666599</v>
      </c>
      <c r="AF503" s="3">
        <f ca="1">IFERROR(__xludf.DUMMYFUNCTION("""COMPUTED_VALUE"""),75.36)</f>
        <v>75.36</v>
      </c>
      <c r="AG503" s="3">
        <f ca="1">IFERROR(__xludf.DUMMYFUNCTION("""COMPUTED_VALUE"""),75.54)</f>
        <v>75.540000000000006</v>
      </c>
      <c r="AH503" s="3">
        <f ca="1">IFERROR(__xludf.DUMMYFUNCTION("""COMPUTED_VALUE"""),75.24)</f>
        <v>75.239999999999995</v>
      </c>
      <c r="AI503" s="3">
        <f ca="1">IFERROR(__xludf.DUMMYFUNCTION("""COMPUTED_VALUE"""),75.5)</f>
        <v>75.5</v>
      </c>
      <c r="AJ503" s="3">
        <f ca="1">IFERROR(__xludf.DUMMYFUNCTION("""COMPUTED_VALUE"""),5781071)</f>
        <v>5781071</v>
      </c>
      <c r="AK503" s="4">
        <f ca="1">IFERROR(__xludf.DUMMYFUNCTION("""COMPUTED_VALUE"""),42853.6666666666)</f>
        <v>42853.666666666599</v>
      </c>
      <c r="AL503" s="3">
        <f ca="1">IFERROR(__xludf.DUMMYFUNCTION("""COMPUTED_VALUE"""),66.75)</f>
        <v>66.75</v>
      </c>
      <c r="AM503" s="3">
        <f ca="1">IFERROR(__xludf.DUMMYFUNCTION("""COMPUTED_VALUE"""),66.89)</f>
        <v>66.89</v>
      </c>
      <c r="AN503" s="3">
        <f ca="1">IFERROR(__xludf.DUMMYFUNCTION("""COMPUTED_VALUE"""),66.26)</f>
        <v>66.260000000000005</v>
      </c>
      <c r="AO503" s="3">
        <f ca="1">IFERROR(__xludf.DUMMYFUNCTION("""COMPUTED_VALUE"""),66.34)</f>
        <v>66.34</v>
      </c>
      <c r="AP503" s="3">
        <f ca="1">IFERROR(__xludf.DUMMYFUNCTION("""COMPUTED_VALUE"""),10386329)</f>
        <v>10386329</v>
      </c>
      <c r="AQ503" s="4">
        <f ca="1">IFERROR(__xludf.DUMMYFUNCTION("""COMPUTED_VALUE"""),42853.6666666666)</f>
        <v>42853.666666666599</v>
      </c>
      <c r="AR503" s="3">
        <f ca="1">IFERROR(__xludf.DUMMYFUNCTION("""COMPUTED_VALUE"""),53.41)</f>
        <v>53.41</v>
      </c>
      <c r="AS503" s="3">
        <f ca="1">IFERROR(__xludf.DUMMYFUNCTION("""COMPUTED_VALUE"""),53.57)</f>
        <v>53.57</v>
      </c>
      <c r="AT503" s="3">
        <f ca="1">IFERROR(__xludf.DUMMYFUNCTION("""COMPUTED_VALUE"""),53.07)</f>
        <v>53.07</v>
      </c>
      <c r="AU503" s="3">
        <f ca="1">IFERROR(__xludf.DUMMYFUNCTION("""COMPUTED_VALUE"""),53.07)</f>
        <v>53.07</v>
      </c>
      <c r="AV503" s="3">
        <f ca="1">IFERROR(__xludf.DUMMYFUNCTION("""COMPUTED_VALUE"""),4040002)</f>
        <v>4040002</v>
      </c>
      <c r="BC503" s="4">
        <f ca="1">IFERROR(__xludf.DUMMYFUNCTION("""COMPUTED_VALUE"""),42853.6666666666)</f>
        <v>42853.666666666599</v>
      </c>
      <c r="BD503" s="3">
        <f ca="1">IFERROR(__xludf.DUMMYFUNCTION("""COMPUTED_VALUE"""),54.41)</f>
        <v>54.41</v>
      </c>
      <c r="BE503" s="3">
        <f ca="1">IFERROR(__xludf.DUMMYFUNCTION("""COMPUTED_VALUE"""),54.49)</f>
        <v>54.49</v>
      </c>
      <c r="BF503" s="3">
        <f ca="1">IFERROR(__xludf.DUMMYFUNCTION("""COMPUTED_VALUE"""),54.25)</f>
        <v>54.25</v>
      </c>
      <c r="BG503" s="3">
        <f ca="1">IFERROR(__xludf.DUMMYFUNCTION("""COMPUTED_VALUE"""),54.38)</f>
        <v>54.38</v>
      </c>
      <c r="BH503" s="3">
        <f ca="1">IFERROR(__xludf.DUMMYFUNCTION("""COMPUTED_VALUE"""),11418367)</f>
        <v>11418367</v>
      </c>
      <c r="BI503" s="4">
        <f ca="1">IFERROR(__xludf.DUMMYFUNCTION("""COMPUTED_VALUE"""),42853.6666666666)</f>
        <v>42853.666666666599</v>
      </c>
      <c r="BJ503" s="3">
        <f ca="1">IFERROR(__xludf.DUMMYFUNCTION("""COMPUTED_VALUE"""),51.88)</f>
        <v>51.88</v>
      </c>
      <c r="BK503" s="3">
        <f ca="1">IFERROR(__xludf.DUMMYFUNCTION("""COMPUTED_VALUE"""),51.95)</f>
        <v>51.95</v>
      </c>
      <c r="BL503" s="3">
        <f ca="1">IFERROR(__xludf.DUMMYFUNCTION("""COMPUTED_VALUE"""),51.54)</f>
        <v>51.54</v>
      </c>
      <c r="BM503" s="3">
        <f ca="1">IFERROR(__xludf.DUMMYFUNCTION("""COMPUTED_VALUE"""),51.7)</f>
        <v>51.7</v>
      </c>
      <c r="BN503" s="3">
        <f ca="1">IFERROR(__xludf.DUMMYFUNCTION("""COMPUTED_VALUE"""),9405749)</f>
        <v>9405749</v>
      </c>
    </row>
    <row r="504" spans="7:66" ht="13" x14ac:dyDescent="0.15">
      <c r="G504" s="4">
        <f ca="1">IFERROR(__xludf.DUMMYFUNCTION("""COMPUTED_VALUE"""),42856.6666666666)</f>
        <v>42856.666666666599</v>
      </c>
      <c r="H504" s="3">
        <f ca="1">IFERROR(__xludf.DUMMYFUNCTION("""COMPUTED_VALUE"""),90.26)</f>
        <v>90.26</v>
      </c>
      <c r="I504" s="3">
        <f ca="1">IFERROR(__xludf.DUMMYFUNCTION("""COMPUTED_VALUE"""),90.52)</f>
        <v>90.52</v>
      </c>
      <c r="J504" s="3">
        <f ca="1">IFERROR(__xludf.DUMMYFUNCTION("""COMPUTED_VALUE"""),90.07)</f>
        <v>90.07</v>
      </c>
      <c r="K504" s="3">
        <f ca="1">IFERROR(__xludf.DUMMYFUNCTION("""COMPUTED_VALUE"""),90.18)</f>
        <v>90.18</v>
      </c>
      <c r="L504" s="3">
        <f ca="1">IFERROR(__xludf.DUMMYFUNCTION("""COMPUTED_VALUE"""),5913870)</f>
        <v>5913870</v>
      </c>
      <c r="M504" s="4">
        <f ca="1">IFERROR(__xludf.DUMMYFUNCTION("""COMPUTED_VALUE"""),42856.6666666666)</f>
        <v>42856.666666666599</v>
      </c>
      <c r="N504" s="3">
        <f ca="1">IFERROR(__xludf.DUMMYFUNCTION("""COMPUTED_VALUE"""),55.26)</f>
        <v>55.26</v>
      </c>
      <c r="O504" s="3">
        <f ca="1">IFERROR(__xludf.DUMMYFUNCTION("""COMPUTED_VALUE"""),55.26)</f>
        <v>55.26</v>
      </c>
      <c r="P504" s="3">
        <f ca="1">IFERROR(__xludf.DUMMYFUNCTION("""COMPUTED_VALUE"""),54.92)</f>
        <v>54.92</v>
      </c>
      <c r="Q504" s="3">
        <f ca="1">IFERROR(__xludf.DUMMYFUNCTION("""COMPUTED_VALUE"""),54.97)</f>
        <v>54.97</v>
      </c>
      <c r="R504" s="3">
        <f ca="1">IFERROR(__xludf.DUMMYFUNCTION("""COMPUTED_VALUE"""),8353940)</f>
        <v>8353940</v>
      </c>
      <c r="S504" s="4">
        <f ca="1">IFERROR(__xludf.DUMMYFUNCTION("""COMPUTED_VALUE"""),42856.6666666666)</f>
        <v>42856.666666666599</v>
      </c>
      <c r="T504" s="3">
        <f ca="1">IFERROR(__xludf.DUMMYFUNCTION("""COMPUTED_VALUE"""),67.82)</f>
        <v>67.819999999999993</v>
      </c>
      <c r="U504" s="3">
        <f ca="1">IFERROR(__xludf.DUMMYFUNCTION("""COMPUTED_VALUE"""),68.01)</f>
        <v>68.010000000000005</v>
      </c>
      <c r="V504" s="3">
        <f ca="1">IFERROR(__xludf.DUMMYFUNCTION("""COMPUTED_VALUE"""),67.5)</f>
        <v>67.5</v>
      </c>
      <c r="W504" s="3">
        <f ca="1">IFERROR(__xludf.DUMMYFUNCTION("""COMPUTED_VALUE"""),67.65)</f>
        <v>67.650000000000006</v>
      </c>
      <c r="X504" s="3">
        <f ca="1">IFERROR(__xludf.DUMMYFUNCTION("""COMPUTED_VALUE"""),9419426)</f>
        <v>9419426</v>
      </c>
      <c r="Y504" s="4">
        <f ca="1">IFERROR(__xludf.DUMMYFUNCTION("""COMPUTED_VALUE"""),42856.6666666666)</f>
        <v>42856.666666666599</v>
      </c>
      <c r="Z504" s="3">
        <f ca="1">IFERROR(__xludf.DUMMYFUNCTION("""COMPUTED_VALUE"""),23.65)</f>
        <v>23.65</v>
      </c>
      <c r="AA504" s="3">
        <f ca="1">IFERROR(__xludf.DUMMYFUNCTION("""COMPUTED_VALUE"""),23.8)</f>
        <v>23.8</v>
      </c>
      <c r="AB504" s="3">
        <f ca="1">IFERROR(__xludf.DUMMYFUNCTION("""COMPUTED_VALUE"""),23.55)</f>
        <v>23.55</v>
      </c>
      <c r="AC504" s="3">
        <f ca="1">IFERROR(__xludf.DUMMYFUNCTION("""COMPUTED_VALUE"""),23.68)</f>
        <v>23.68</v>
      </c>
      <c r="AD504" s="3">
        <f ca="1">IFERROR(__xludf.DUMMYFUNCTION("""COMPUTED_VALUE"""),69086646)</f>
        <v>69086646</v>
      </c>
      <c r="AE504" s="4">
        <f ca="1">IFERROR(__xludf.DUMMYFUNCTION("""COMPUTED_VALUE"""),42856.6666666666)</f>
        <v>42856.666666666599</v>
      </c>
      <c r="AF504" s="3">
        <f ca="1">IFERROR(__xludf.DUMMYFUNCTION("""COMPUTED_VALUE"""),75.63)</f>
        <v>75.63</v>
      </c>
      <c r="AG504" s="3">
        <f ca="1">IFERROR(__xludf.DUMMYFUNCTION("""COMPUTED_VALUE"""),75.82)</f>
        <v>75.819999999999993</v>
      </c>
      <c r="AH504" s="3">
        <f ca="1">IFERROR(__xludf.DUMMYFUNCTION("""COMPUTED_VALUE"""),75.5)</f>
        <v>75.5</v>
      </c>
      <c r="AI504" s="3">
        <f ca="1">IFERROR(__xludf.DUMMYFUNCTION("""COMPUTED_VALUE"""),75.67)</f>
        <v>75.67</v>
      </c>
      <c r="AJ504" s="3">
        <f ca="1">IFERROR(__xludf.DUMMYFUNCTION("""COMPUTED_VALUE"""),7182033)</f>
        <v>7182033</v>
      </c>
      <c r="AK504" s="4">
        <f ca="1">IFERROR(__xludf.DUMMYFUNCTION("""COMPUTED_VALUE"""),42856.6666666666)</f>
        <v>42856.666666666599</v>
      </c>
      <c r="AL504" s="3">
        <f ca="1">IFERROR(__xludf.DUMMYFUNCTION("""COMPUTED_VALUE"""),66.48)</f>
        <v>66.48</v>
      </c>
      <c r="AM504" s="3">
        <f ca="1">IFERROR(__xludf.DUMMYFUNCTION("""COMPUTED_VALUE"""),66.48)</f>
        <v>66.48</v>
      </c>
      <c r="AN504" s="3">
        <f ca="1">IFERROR(__xludf.DUMMYFUNCTION("""COMPUTED_VALUE"""),65.99)</f>
        <v>65.989999999999995</v>
      </c>
      <c r="AO504" s="3">
        <f ca="1">IFERROR(__xludf.DUMMYFUNCTION("""COMPUTED_VALUE"""),66.14)</f>
        <v>66.14</v>
      </c>
      <c r="AP504" s="3">
        <f ca="1">IFERROR(__xludf.DUMMYFUNCTION("""COMPUTED_VALUE"""),11234074)</f>
        <v>11234074</v>
      </c>
      <c r="AQ504" s="4">
        <f ca="1">IFERROR(__xludf.DUMMYFUNCTION("""COMPUTED_VALUE"""),42856.6666666666)</f>
        <v>42856.666666666599</v>
      </c>
      <c r="AR504" s="3">
        <f ca="1">IFERROR(__xludf.DUMMYFUNCTION("""COMPUTED_VALUE"""),53.32)</f>
        <v>53.32</v>
      </c>
      <c r="AS504" s="3">
        <f ca="1">IFERROR(__xludf.DUMMYFUNCTION("""COMPUTED_VALUE"""),53.32)</f>
        <v>53.32</v>
      </c>
      <c r="AT504" s="3">
        <f ca="1">IFERROR(__xludf.DUMMYFUNCTION("""COMPUTED_VALUE"""),52.95)</f>
        <v>52.95</v>
      </c>
      <c r="AU504" s="3">
        <f ca="1">IFERROR(__xludf.DUMMYFUNCTION("""COMPUTED_VALUE"""),53.1)</f>
        <v>53.1</v>
      </c>
      <c r="AV504" s="3">
        <f ca="1">IFERROR(__xludf.DUMMYFUNCTION("""COMPUTED_VALUE"""),3974782)</f>
        <v>3974782</v>
      </c>
      <c r="BC504" s="4">
        <f ca="1">IFERROR(__xludf.DUMMYFUNCTION("""COMPUTED_VALUE"""),42856.6666666666)</f>
        <v>42856.666666666599</v>
      </c>
      <c r="BD504" s="3">
        <f ca="1">IFERROR(__xludf.DUMMYFUNCTION("""COMPUTED_VALUE"""),54.58)</f>
        <v>54.58</v>
      </c>
      <c r="BE504" s="3">
        <f ca="1">IFERROR(__xludf.DUMMYFUNCTION("""COMPUTED_VALUE"""),54.86)</f>
        <v>54.86</v>
      </c>
      <c r="BF504" s="3">
        <f ca="1">IFERROR(__xludf.DUMMYFUNCTION("""COMPUTED_VALUE"""),54.48)</f>
        <v>54.48</v>
      </c>
      <c r="BG504" s="3">
        <f ca="1">IFERROR(__xludf.DUMMYFUNCTION("""COMPUTED_VALUE"""),54.79)</f>
        <v>54.79</v>
      </c>
      <c r="BH504" s="3">
        <f ca="1">IFERROR(__xludf.DUMMYFUNCTION("""COMPUTED_VALUE"""),7562960)</f>
        <v>7562960</v>
      </c>
      <c r="BI504" s="4">
        <f ca="1">IFERROR(__xludf.DUMMYFUNCTION("""COMPUTED_VALUE"""),42856.6666666666)</f>
        <v>42856.666666666599</v>
      </c>
      <c r="BJ504" s="3">
        <f ca="1">IFERROR(__xludf.DUMMYFUNCTION("""COMPUTED_VALUE"""),51.82)</f>
        <v>51.82</v>
      </c>
      <c r="BK504" s="3">
        <f ca="1">IFERROR(__xludf.DUMMYFUNCTION("""COMPUTED_VALUE"""),51.82)</f>
        <v>51.82</v>
      </c>
      <c r="BL504" s="3">
        <f ca="1">IFERROR(__xludf.DUMMYFUNCTION("""COMPUTED_VALUE"""),51.26)</f>
        <v>51.26</v>
      </c>
      <c r="BM504" s="3">
        <f ca="1">IFERROR(__xludf.DUMMYFUNCTION("""COMPUTED_VALUE"""),51.39)</f>
        <v>51.39</v>
      </c>
      <c r="BN504" s="3">
        <f ca="1">IFERROR(__xludf.DUMMYFUNCTION("""COMPUTED_VALUE"""),10692520)</f>
        <v>10692520</v>
      </c>
    </row>
    <row r="505" spans="7:66" ht="13" x14ac:dyDescent="0.15">
      <c r="G505" s="4">
        <f ca="1">IFERROR(__xludf.DUMMYFUNCTION("""COMPUTED_VALUE"""),42857.6666666666)</f>
        <v>42857.666666666599</v>
      </c>
      <c r="H505" s="3">
        <f ca="1">IFERROR(__xludf.DUMMYFUNCTION("""COMPUTED_VALUE"""),90.23)</f>
        <v>90.23</v>
      </c>
      <c r="I505" s="3">
        <f ca="1">IFERROR(__xludf.DUMMYFUNCTION("""COMPUTED_VALUE"""),90.28)</f>
        <v>90.28</v>
      </c>
      <c r="J505" s="3">
        <f ca="1">IFERROR(__xludf.DUMMYFUNCTION("""COMPUTED_VALUE"""),89.75)</f>
        <v>89.75</v>
      </c>
      <c r="K505" s="3">
        <f ca="1">IFERROR(__xludf.DUMMYFUNCTION("""COMPUTED_VALUE"""),90.28)</f>
        <v>90.28</v>
      </c>
      <c r="L505" s="3">
        <f ca="1">IFERROR(__xludf.DUMMYFUNCTION("""COMPUTED_VALUE"""),3960601)</f>
        <v>3960601</v>
      </c>
      <c r="M505" s="4">
        <f ca="1">IFERROR(__xludf.DUMMYFUNCTION("""COMPUTED_VALUE"""),42857.6666666666)</f>
        <v>42857.666666666599</v>
      </c>
      <c r="N505" s="3">
        <f ca="1">IFERROR(__xludf.DUMMYFUNCTION("""COMPUTED_VALUE"""),54.85)</f>
        <v>54.85</v>
      </c>
      <c r="O505" s="3">
        <f ca="1">IFERROR(__xludf.DUMMYFUNCTION("""COMPUTED_VALUE"""),54.96)</f>
        <v>54.96</v>
      </c>
      <c r="P505" s="3">
        <f ca="1">IFERROR(__xludf.DUMMYFUNCTION("""COMPUTED_VALUE"""),54.55)</f>
        <v>54.55</v>
      </c>
      <c r="Q505" s="3">
        <f ca="1">IFERROR(__xludf.DUMMYFUNCTION("""COMPUTED_VALUE"""),54.6)</f>
        <v>54.6</v>
      </c>
      <c r="R505" s="3">
        <f ca="1">IFERROR(__xludf.DUMMYFUNCTION("""COMPUTED_VALUE"""),7672102)</f>
        <v>7672102</v>
      </c>
      <c r="S505" s="4">
        <f ca="1">IFERROR(__xludf.DUMMYFUNCTION("""COMPUTED_VALUE"""),42857.6666666666)</f>
        <v>42857.666666666599</v>
      </c>
      <c r="T505" s="3">
        <f ca="1">IFERROR(__xludf.DUMMYFUNCTION("""COMPUTED_VALUE"""),67.79)</f>
        <v>67.790000000000006</v>
      </c>
      <c r="U505" s="3">
        <f ca="1">IFERROR(__xludf.DUMMYFUNCTION("""COMPUTED_VALUE"""),68.01)</f>
        <v>68.010000000000005</v>
      </c>
      <c r="V505" s="3">
        <f ca="1">IFERROR(__xludf.DUMMYFUNCTION("""COMPUTED_VALUE"""),67.03)</f>
        <v>67.03</v>
      </c>
      <c r="W505" s="3">
        <f ca="1">IFERROR(__xludf.DUMMYFUNCTION("""COMPUTED_VALUE"""),67.31)</f>
        <v>67.31</v>
      </c>
      <c r="X505" s="3">
        <f ca="1">IFERROR(__xludf.DUMMYFUNCTION("""COMPUTED_VALUE"""),16435642)</f>
        <v>16435642</v>
      </c>
      <c r="Y505" s="4">
        <f ca="1">IFERROR(__xludf.DUMMYFUNCTION("""COMPUTED_VALUE"""),42857.6666666666)</f>
        <v>42857.666666666599</v>
      </c>
      <c r="Z505" s="3">
        <f ca="1">IFERROR(__xludf.DUMMYFUNCTION("""COMPUTED_VALUE"""),23.68)</f>
        <v>23.68</v>
      </c>
      <c r="AA505" s="3">
        <f ca="1">IFERROR(__xludf.DUMMYFUNCTION("""COMPUTED_VALUE"""),23.71)</f>
        <v>23.71</v>
      </c>
      <c r="AB505" s="3">
        <f ca="1">IFERROR(__xludf.DUMMYFUNCTION("""COMPUTED_VALUE"""),23.52)</f>
        <v>23.52</v>
      </c>
      <c r="AC505" s="3">
        <f ca="1">IFERROR(__xludf.DUMMYFUNCTION("""COMPUTED_VALUE"""),23.65)</f>
        <v>23.65</v>
      </c>
      <c r="AD505" s="3">
        <f ca="1">IFERROR(__xludf.DUMMYFUNCTION("""COMPUTED_VALUE"""),76511460)</f>
        <v>76511460</v>
      </c>
      <c r="AE505" s="4">
        <f ca="1">IFERROR(__xludf.DUMMYFUNCTION("""COMPUTED_VALUE"""),42857.6666666666)</f>
        <v>42857.666666666599</v>
      </c>
      <c r="AF505" s="3">
        <f ca="1">IFERROR(__xludf.DUMMYFUNCTION("""COMPUTED_VALUE"""),75.74)</f>
        <v>75.739999999999995</v>
      </c>
      <c r="AG505" s="3">
        <f ca="1">IFERROR(__xludf.DUMMYFUNCTION("""COMPUTED_VALUE"""),75.9)</f>
        <v>75.900000000000006</v>
      </c>
      <c r="AH505" s="3">
        <f ca="1">IFERROR(__xludf.DUMMYFUNCTION("""COMPUTED_VALUE"""),75.3)</f>
        <v>75.3</v>
      </c>
      <c r="AI505" s="3">
        <f ca="1">IFERROR(__xludf.DUMMYFUNCTION("""COMPUTED_VALUE"""),75.88)</f>
        <v>75.88</v>
      </c>
      <c r="AJ505" s="3">
        <f ca="1">IFERROR(__xludf.DUMMYFUNCTION("""COMPUTED_VALUE"""),5243780)</f>
        <v>5243780</v>
      </c>
      <c r="AK505" s="4">
        <f ca="1">IFERROR(__xludf.DUMMYFUNCTION("""COMPUTED_VALUE"""),42857.6666666666)</f>
        <v>42857.666666666599</v>
      </c>
      <c r="AL505" s="3">
        <f ca="1">IFERROR(__xludf.DUMMYFUNCTION("""COMPUTED_VALUE"""),66.32)</f>
        <v>66.319999999999993</v>
      </c>
      <c r="AM505" s="3">
        <f ca="1">IFERROR(__xludf.DUMMYFUNCTION("""COMPUTED_VALUE"""),66.5)</f>
        <v>66.5</v>
      </c>
      <c r="AN505" s="3">
        <f ca="1">IFERROR(__xludf.DUMMYFUNCTION("""COMPUTED_VALUE"""),66.18)</f>
        <v>66.180000000000007</v>
      </c>
      <c r="AO505" s="3">
        <f ca="1">IFERROR(__xludf.DUMMYFUNCTION("""COMPUTED_VALUE"""),66.46)</f>
        <v>66.459999999999994</v>
      </c>
      <c r="AP505" s="3">
        <f ca="1">IFERROR(__xludf.DUMMYFUNCTION("""COMPUTED_VALUE"""),9450916)</f>
        <v>9450916</v>
      </c>
      <c r="AQ505" s="4">
        <f ca="1">IFERROR(__xludf.DUMMYFUNCTION("""COMPUTED_VALUE"""),42857.6666666666)</f>
        <v>42857.666666666599</v>
      </c>
      <c r="AR505" s="3">
        <f ca="1">IFERROR(__xludf.DUMMYFUNCTION("""COMPUTED_VALUE"""),53.12)</f>
        <v>53.12</v>
      </c>
      <c r="AS505" s="3">
        <f ca="1">IFERROR(__xludf.DUMMYFUNCTION("""COMPUTED_VALUE"""),53.27)</f>
        <v>53.27</v>
      </c>
      <c r="AT505" s="3">
        <f ca="1">IFERROR(__xludf.DUMMYFUNCTION("""COMPUTED_VALUE"""),52.95)</f>
        <v>52.95</v>
      </c>
      <c r="AU505" s="3">
        <f ca="1">IFERROR(__xludf.DUMMYFUNCTION("""COMPUTED_VALUE"""),53.19)</f>
        <v>53.19</v>
      </c>
      <c r="AV505" s="3">
        <f ca="1">IFERROR(__xludf.DUMMYFUNCTION("""COMPUTED_VALUE"""),3465819)</f>
        <v>3465819</v>
      </c>
      <c r="BC505" s="4">
        <f ca="1">IFERROR(__xludf.DUMMYFUNCTION("""COMPUTED_VALUE"""),42857.6666666666)</f>
        <v>42857.666666666599</v>
      </c>
      <c r="BD505" s="3">
        <f ca="1">IFERROR(__xludf.DUMMYFUNCTION("""COMPUTED_VALUE"""),54.9)</f>
        <v>54.9</v>
      </c>
      <c r="BE505" s="3">
        <f ca="1">IFERROR(__xludf.DUMMYFUNCTION("""COMPUTED_VALUE"""),54.99)</f>
        <v>54.99</v>
      </c>
      <c r="BF505" s="3">
        <f ca="1">IFERROR(__xludf.DUMMYFUNCTION("""COMPUTED_VALUE"""),54.71)</f>
        <v>54.71</v>
      </c>
      <c r="BG505" s="3">
        <f ca="1">IFERROR(__xludf.DUMMYFUNCTION("""COMPUTED_VALUE"""),54.91)</f>
        <v>54.91</v>
      </c>
      <c r="BH505" s="3">
        <f ca="1">IFERROR(__xludf.DUMMYFUNCTION("""COMPUTED_VALUE"""),7535068)</f>
        <v>7535068</v>
      </c>
      <c r="BI505" s="4">
        <f ca="1">IFERROR(__xludf.DUMMYFUNCTION("""COMPUTED_VALUE"""),42857.6666666666)</f>
        <v>42857.666666666599</v>
      </c>
      <c r="BJ505" s="3">
        <f ca="1">IFERROR(__xludf.DUMMYFUNCTION("""COMPUTED_VALUE"""),51.45)</f>
        <v>51.45</v>
      </c>
      <c r="BK505" s="3">
        <f ca="1">IFERROR(__xludf.DUMMYFUNCTION("""COMPUTED_VALUE"""),51.64)</f>
        <v>51.64</v>
      </c>
      <c r="BL505" s="3">
        <f ca="1">IFERROR(__xludf.DUMMYFUNCTION("""COMPUTED_VALUE"""),51.24)</f>
        <v>51.24</v>
      </c>
      <c r="BM505" s="3">
        <f ca="1">IFERROR(__xludf.DUMMYFUNCTION("""COMPUTED_VALUE"""),51.45)</f>
        <v>51.45</v>
      </c>
      <c r="BN505" s="3">
        <f ca="1">IFERROR(__xludf.DUMMYFUNCTION("""COMPUTED_VALUE"""),9438626)</f>
        <v>9438626</v>
      </c>
    </row>
    <row r="506" spans="7:66" ht="13" x14ac:dyDescent="0.15">
      <c r="G506" s="4">
        <f ca="1">IFERROR(__xludf.DUMMYFUNCTION("""COMPUTED_VALUE"""),42858.6666666666)</f>
        <v>42858.666666666599</v>
      </c>
      <c r="H506" s="3">
        <f ca="1">IFERROR(__xludf.DUMMYFUNCTION("""COMPUTED_VALUE"""),90.21)</f>
        <v>90.21</v>
      </c>
      <c r="I506" s="3">
        <f ca="1">IFERROR(__xludf.DUMMYFUNCTION("""COMPUTED_VALUE"""),90.45)</f>
        <v>90.45</v>
      </c>
      <c r="J506" s="3">
        <f ca="1">IFERROR(__xludf.DUMMYFUNCTION("""COMPUTED_VALUE"""),89.49)</f>
        <v>89.49</v>
      </c>
      <c r="K506" s="3">
        <f ca="1">IFERROR(__xludf.DUMMYFUNCTION("""COMPUTED_VALUE"""),89.75)</f>
        <v>89.75</v>
      </c>
      <c r="L506" s="3">
        <f ca="1">IFERROR(__xludf.DUMMYFUNCTION("""COMPUTED_VALUE"""),2816743)</f>
        <v>2816743</v>
      </c>
      <c r="M506" s="4">
        <f ca="1">IFERROR(__xludf.DUMMYFUNCTION("""COMPUTED_VALUE"""),42858.6666666666)</f>
        <v>42858.666666666599</v>
      </c>
      <c r="N506" s="3">
        <f ca="1">IFERROR(__xludf.DUMMYFUNCTION("""COMPUTED_VALUE"""),54.65)</f>
        <v>54.65</v>
      </c>
      <c r="O506" s="3">
        <f ca="1">IFERROR(__xludf.DUMMYFUNCTION("""COMPUTED_VALUE"""),54.74)</f>
        <v>54.74</v>
      </c>
      <c r="P506" s="3">
        <f ca="1">IFERROR(__xludf.DUMMYFUNCTION("""COMPUTED_VALUE"""),54.48)</f>
        <v>54.48</v>
      </c>
      <c r="Q506" s="3">
        <f ca="1">IFERROR(__xludf.DUMMYFUNCTION("""COMPUTED_VALUE"""),54.65)</f>
        <v>54.65</v>
      </c>
      <c r="R506" s="3">
        <f ca="1">IFERROR(__xludf.DUMMYFUNCTION("""COMPUTED_VALUE"""),10973846)</f>
        <v>10973846</v>
      </c>
      <c r="S506" s="4">
        <f ca="1">IFERROR(__xludf.DUMMYFUNCTION("""COMPUTED_VALUE"""),42858.6666666666)</f>
        <v>42858.666666666599</v>
      </c>
      <c r="T506" s="3">
        <f ca="1">IFERROR(__xludf.DUMMYFUNCTION("""COMPUTED_VALUE"""),67.16)</f>
        <v>67.16</v>
      </c>
      <c r="U506" s="3">
        <f ca="1">IFERROR(__xludf.DUMMYFUNCTION("""COMPUTED_VALUE"""),67.82)</f>
        <v>67.819999999999993</v>
      </c>
      <c r="V506" s="3">
        <f ca="1">IFERROR(__xludf.DUMMYFUNCTION("""COMPUTED_VALUE"""),66.97)</f>
        <v>66.97</v>
      </c>
      <c r="W506" s="3">
        <f ca="1">IFERROR(__xludf.DUMMYFUNCTION("""COMPUTED_VALUE"""),67.5)</f>
        <v>67.5</v>
      </c>
      <c r="X506" s="3">
        <f ca="1">IFERROR(__xludf.DUMMYFUNCTION("""COMPUTED_VALUE"""),16934781)</f>
        <v>16934781</v>
      </c>
      <c r="Y506" s="4">
        <f ca="1">IFERROR(__xludf.DUMMYFUNCTION("""COMPUTED_VALUE"""),42858.6666666666)</f>
        <v>42858.666666666599</v>
      </c>
      <c r="Z506" s="3">
        <f ca="1">IFERROR(__xludf.DUMMYFUNCTION("""COMPUTED_VALUE"""),23.57)</f>
        <v>23.57</v>
      </c>
      <c r="AA506" s="3">
        <f ca="1">IFERROR(__xludf.DUMMYFUNCTION("""COMPUTED_VALUE"""),23.84)</f>
        <v>23.84</v>
      </c>
      <c r="AB506" s="3">
        <f ca="1">IFERROR(__xludf.DUMMYFUNCTION("""COMPUTED_VALUE"""),23.55)</f>
        <v>23.55</v>
      </c>
      <c r="AC506" s="3">
        <f ca="1">IFERROR(__xludf.DUMMYFUNCTION("""COMPUTED_VALUE"""),23.84)</f>
        <v>23.84</v>
      </c>
      <c r="AD506" s="3">
        <f ca="1">IFERROR(__xludf.DUMMYFUNCTION("""COMPUTED_VALUE"""),78115437)</f>
        <v>78115437</v>
      </c>
      <c r="AE506" s="4">
        <f ca="1">IFERROR(__xludf.DUMMYFUNCTION("""COMPUTED_VALUE"""),42858.6666666666)</f>
        <v>42858.666666666599</v>
      </c>
      <c r="AF506" s="3">
        <f ca="1">IFERROR(__xludf.DUMMYFUNCTION("""COMPUTED_VALUE"""),75.65)</f>
        <v>75.650000000000006</v>
      </c>
      <c r="AG506" s="3">
        <f ca="1">IFERROR(__xludf.DUMMYFUNCTION("""COMPUTED_VALUE"""),75.71)</f>
        <v>75.709999999999994</v>
      </c>
      <c r="AH506" s="3">
        <f ca="1">IFERROR(__xludf.DUMMYFUNCTION("""COMPUTED_VALUE"""),75.34)</f>
        <v>75.34</v>
      </c>
      <c r="AI506" s="3">
        <f ca="1">IFERROR(__xludf.DUMMYFUNCTION("""COMPUTED_VALUE"""),75.51)</f>
        <v>75.510000000000005</v>
      </c>
      <c r="AJ506" s="3">
        <f ca="1">IFERROR(__xludf.DUMMYFUNCTION("""COMPUTED_VALUE"""),8094141)</f>
        <v>8094141</v>
      </c>
      <c r="AK506" s="4">
        <f ca="1">IFERROR(__xludf.DUMMYFUNCTION("""COMPUTED_VALUE"""),42858.6666666666)</f>
        <v>42858.666666666599</v>
      </c>
      <c r="AL506" s="3">
        <f ca="1">IFERROR(__xludf.DUMMYFUNCTION("""COMPUTED_VALUE"""),66.27)</f>
        <v>66.27</v>
      </c>
      <c r="AM506" s="3">
        <f ca="1">IFERROR(__xludf.DUMMYFUNCTION("""COMPUTED_VALUE"""),66.61)</f>
        <v>66.61</v>
      </c>
      <c r="AN506" s="3">
        <f ca="1">IFERROR(__xludf.DUMMYFUNCTION("""COMPUTED_VALUE"""),66.14)</f>
        <v>66.14</v>
      </c>
      <c r="AO506" s="3">
        <f ca="1">IFERROR(__xludf.DUMMYFUNCTION("""COMPUTED_VALUE"""),66.51)</f>
        <v>66.510000000000005</v>
      </c>
      <c r="AP506" s="3">
        <f ca="1">IFERROR(__xludf.DUMMYFUNCTION("""COMPUTED_VALUE"""),8729178)</f>
        <v>8729178</v>
      </c>
      <c r="AQ506" s="4">
        <f ca="1">IFERROR(__xludf.DUMMYFUNCTION("""COMPUTED_VALUE"""),42858.6666666666)</f>
        <v>42858.666666666599</v>
      </c>
      <c r="AR506" s="3">
        <f ca="1">IFERROR(__xludf.DUMMYFUNCTION("""COMPUTED_VALUE"""),52.97)</f>
        <v>52.97</v>
      </c>
      <c r="AS506" s="3">
        <f ca="1">IFERROR(__xludf.DUMMYFUNCTION("""COMPUTED_VALUE"""),53.09)</f>
        <v>53.09</v>
      </c>
      <c r="AT506" s="3">
        <f ca="1">IFERROR(__xludf.DUMMYFUNCTION("""COMPUTED_VALUE"""),52.52)</f>
        <v>52.52</v>
      </c>
      <c r="AU506" s="3">
        <f ca="1">IFERROR(__xludf.DUMMYFUNCTION("""COMPUTED_VALUE"""),52.67)</f>
        <v>52.67</v>
      </c>
      <c r="AV506" s="3">
        <f ca="1">IFERROR(__xludf.DUMMYFUNCTION("""COMPUTED_VALUE"""),6598859)</f>
        <v>6598859</v>
      </c>
      <c r="BC506" s="4">
        <f ca="1">IFERROR(__xludf.DUMMYFUNCTION("""COMPUTED_VALUE"""),42858.6666666666)</f>
        <v>42858.666666666599</v>
      </c>
      <c r="BD506" s="3">
        <f ca="1">IFERROR(__xludf.DUMMYFUNCTION("""COMPUTED_VALUE"""),54.73)</f>
        <v>54.73</v>
      </c>
      <c r="BE506" s="3">
        <f ca="1">IFERROR(__xludf.DUMMYFUNCTION("""COMPUTED_VALUE"""),54.85)</f>
        <v>54.85</v>
      </c>
      <c r="BF506" s="3">
        <f ca="1">IFERROR(__xludf.DUMMYFUNCTION("""COMPUTED_VALUE"""),54.56)</f>
        <v>54.56</v>
      </c>
      <c r="BG506" s="3">
        <f ca="1">IFERROR(__xludf.DUMMYFUNCTION("""COMPUTED_VALUE"""),54.81)</f>
        <v>54.81</v>
      </c>
      <c r="BH506" s="3">
        <f ca="1">IFERROR(__xludf.DUMMYFUNCTION("""COMPUTED_VALUE"""),7154453)</f>
        <v>7154453</v>
      </c>
      <c r="BI506" s="4">
        <f ca="1">IFERROR(__xludf.DUMMYFUNCTION("""COMPUTED_VALUE"""),42858.6666666666)</f>
        <v>42858.666666666599</v>
      </c>
      <c r="BJ506" s="3">
        <f ca="1">IFERROR(__xludf.DUMMYFUNCTION("""COMPUTED_VALUE"""),51.52)</f>
        <v>51.52</v>
      </c>
      <c r="BK506" s="3">
        <f ca="1">IFERROR(__xludf.DUMMYFUNCTION("""COMPUTED_VALUE"""),51.58)</f>
        <v>51.58</v>
      </c>
      <c r="BL506" s="3">
        <f ca="1">IFERROR(__xludf.DUMMYFUNCTION("""COMPUTED_VALUE"""),51.24)</f>
        <v>51.24</v>
      </c>
      <c r="BM506" s="3">
        <f ca="1">IFERROR(__xludf.DUMMYFUNCTION("""COMPUTED_VALUE"""),51.27)</f>
        <v>51.27</v>
      </c>
      <c r="BN506" s="3">
        <f ca="1">IFERROR(__xludf.DUMMYFUNCTION("""COMPUTED_VALUE"""),10507208)</f>
        <v>10507208</v>
      </c>
    </row>
    <row r="507" spans="7:66" ht="13" x14ac:dyDescent="0.15">
      <c r="G507" s="4">
        <f ca="1">IFERROR(__xludf.DUMMYFUNCTION("""COMPUTED_VALUE"""),42859.6666666666)</f>
        <v>42859.666666666599</v>
      </c>
      <c r="H507" s="3">
        <f ca="1">IFERROR(__xludf.DUMMYFUNCTION("""COMPUTED_VALUE"""),89.82)</f>
        <v>89.82</v>
      </c>
      <c r="I507" s="3">
        <f ca="1">IFERROR(__xludf.DUMMYFUNCTION("""COMPUTED_VALUE"""),89.82)</f>
        <v>89.82</v>
      </c>
      <c r="J507" s="3">
        <f ca="1">IFERROR(__xludf.DUMMYFUNCTION("""COMPUTED_VALUE"""),89.27)</f>
        <v>89.27</v>
      </c>
      <c r="K507" s="3">
        <f ca="1">IFERROR(__xludf.DUMMYFUNCTION("""COMPUTED_VALUE"""),89.61)</f>
        <v>89.61</v>
      </c>
      <c r="L507" s="3">
        <f ca="1">IFERROR(__xludf.DUMMYFUNCTION("""COMPUTED_VALUE"""),5339638)</f>
        <v>5339638</v>
      </c>
      <c r="M507" s="4">
        <f ca="1">IFERROR(__xludf.DUMMYFUNCTION("""COMPUTED_VALUE"""),42859.6666666666)</f>
        <v>42859.666666666599</v>
      </c>
      <c r="N507" s="3">
        <f ca="1">IFERROR(__xludf.DUMMYFUNCTION("""COMPUTED_VALUE"""),54.79)</f>
        <v>54.79</v>
      </c>
      <c r="O507" s="3">
        <f ca="1">IFERROR(__xludf.DUMMYFUNCTION("""COMPUTED_VALUE"""),55.36)</f>
        <v>55.36</v>
      </c>
      <c r="P507" s="3">
        <f ca="1">IFERROR(__xludf.DUMMYFUNCTION("""COMPUTED_VALUE"""),54.74)</f>
        <v>54.74</v>
      </c>
      <c r="Q507" s="3">
        <f ca="1">IFERROR(__xludf.DUMMYFUNCTION("""COMPUTED_VALUE"""),55.07)</f>
        <v>55.07</v>
      </c>
      <c r="R507" s="3">
        <f ca="1">IFERROR(__xludf.DUMMYFUNCTION("""COMPUTED_VALUE"""),11587680)</f>
        <v>11587680</v>
      </c>
      <c r="S507" s="4">
        <f ca="1">IFERROR(__xludf.DUMMYFUNCTION("""COMPUTED_VALUE"""),42859.6666666666)</f>
        <v>42859.666666666599</v>
      </c>
      <c r="T507" s="3">
        <f ca="1">IFERROR(__xludf.DUMMYFUNCTION("""COMPUTED_VALUE"""),67.03)</f>
        <v>67.03</v>
      </c>
      <c r="U507" s="3">
        <f ca="1">IFERROR(__xludf.DUMMYFUNCTION("""COMPUTED_VALUE"""),67.11)</f>
        <v>67.11</v>
      </c>
      <c r="V507" s="3">
        <f ca="1">IFERROR(__xludf.DUMMYFUNCTION("""COMPUTED_VALUE"""),65.83)</f>
        <v>65.83</v>
      </c>
      <c r="W507" s="3">
        <f ca="1">IFERROR(__xludf.DUMMYFUNCTION("""COMPUTED_VALUE"""),66.26)</f>
        <v>66.260000000000005</v>
      </c>
      <c r="X507" s="3">
        <f ca="1">IFERROR(__xludf.DUMMYFUNCTION("""COMPUTED_VALUE"""),33944538)</f>
        <v>33944538</v>
      </c>
      <c r="Y507" s="4">
        <f ca="1">IFERROR(__xludf.DUMMYFUNCTION("""COMPUTED_VALUE"""),42859.6666666666)</f>
        <v>42859.666666666599</v>
      </c>
      <c r="Z507" s="3">
        <f ca="1">IFERROR(__xludf.DUMMYFUNCTION("""COMPUTED_VALUE"""),23.99)</f>
        <v>23.99</v>
      </c>
      <c r="AA507" s="3">
        <f ca="1">IFERROR(__xludf.DUMMYFUNCTION("""COMPUTED_VALUE"""),24.07)</f>
        <v>24.07</v>
      </c>
      <c r="AB507" s="3">
        <f ca="1">IFERROR(__xludf.DUMMYFUNCTION("""COMPUTED_VALUE"""),23.78)</f>
        <v>23.78</v>
      </c>
      <c r="AC507" s="3">
        <f ca="1">IFERROR(__xludf.DUMMYFUNCTION("""COMPUTED_VALUE"""),23.88)</f>
        <v>23.88</v>
      </c>
      <c r="AD507" s="3">
        <f ca="1">IFERROR(__xludf.DUMMYFUNCTION("""COMPUTED_VALUE"""),64482819)</f>
        <v>64482819</v>
      </c>
      <c r="AE507" s="4">
        <f ca="1">IFERROR(__xludf.DUMMYFUNCTION("""COMPUTED_VALUE"""),42859.6666666666)</f>
        <v>42859.666666666599</v>
      </c>
      <c r="AF507" s="3">
        <f ca="1">IFERROR(__xludf.DUMMYFUNCTION("""COMPUTED_VALUE"""),75.77)</f>
        <v>75.77</v>
      </c>
      <c r="AG507" s="3">
        <f ca="1">IFERROR(__xludf.DUMMYFUNCTION("""COMPUTED_VALUE"""),76.01)</f>
        <v>76.010000000000005</v>
      </c>
      <c r="AH507" s="3">
        <f ca="1">IFERROR(__xludf.DUMMYFUNCTION("""COMPUTED_VALUE"""),75.66)</f>
        <v>75.66</v>
      </c>
      <c r="AI507" s="3">
        <f ca="1">IFERROR(__xludf.DUMMYFUNCTION("""COMPUTED_VALUE"""),76.01)</f>
        <v>76.010000000000005</v>
      </c>
      <c r="AJ507" s="3">
        <f ca="1">IFERROR(__xludf.DUMMYFUNCTION("""COMPUTED_VALUE"""),4275352)</f>
        <v>4275352</v>
      </c>
      <c r="AK507" s="4">
        <f ca="1">IFERROR(__xludf.DUMMYFUNCTION("""COMPUTED_VALUE"""),42859.6666666666)</f>
        <v>42859.666666666599</v>
      </c>
      <c r="AL507" s="3">
        <f ca="1">IFERROR(__xludf.DUMMYFUNCTION("""COMPUTED_VALUE"""),66.69)</f>
        <v>66.69</v>
      </c>
      <c r="AM507" s="3">
        <f ca="1">IFERROR(__xludf.DUMMYFUNCTION("""COMPUTED_VALUE"""),66.76)</f>
        <v>66.760000000000005</v>
      </c>
      <c r="AN507" s="3">
        <f ca="1">IFERROR(__xludf.DUMMYFUNCTION("""COMPUTED_VALUE"""),66.2)</f>
        <v>66.2</v>
      </c>
      <c r="AO507" s="3">
        <f ca="1">IFERROR(__xludf.DUMMYFUNCTION("""COMPUTED_VALUE"""),66.58)</f>
        <v>66.58</v>
      </c>
      <c r="AP507" s="3">
        <f ca="1">IFERROR(__xludf.DUMMYFUNCTION("""COMPUTED_VALUE"""),8143571)</f>
        <v>8143571</v>
      </c>
      <c r="AQ507" s="4">
        <f ca="1">IFERROR(__xludf.DUMMYFUNCTION("""COMPUTED_VALUE"""),42859.6666666666)</f>
        <v>42859.666666666599</v>
      </c>
      <c r="AR507" s="3">
        <f ca="1">IFERROR(__xludf.DUMMYFUNCTION("""COMPUTED_VALUE"""),52.82)</f>
        <v>52.82</v>
      </c>
      <c r="AS507" s="3">
        <f ca="1">IFERROR(__xludf.DUMMYFUNCTION("""COMPUTED_VALUE"""),52.86)</f>
        <v>52.86</v>
      </c>
      <c r="AT507" s="3">
        <f ca="1">IFERROR(__xludf.DUMMYFUNCTION("""COMPUTED_VALUE"""),52.56)</f>
        <v>52.56</v>
      </c>
      <c r="AU507" s="3">
        <f ca="1">IFERROR(__xludf.DUMMYFUNCTION("""COMPUTED_VALUE"""),52.73)</f>
        <v>52.73</v>
      </c>
      <c r="AV507" s="3">
        <f ca="1">IFERROR(__xludf.DUMMYFUNCTION("""COMPUTED_VALUE"""),3743801)</f>
        <v>3743801</v>
      </c>
      <c r="BC507" s="4">
        <f ca="1">IFERROR(__xludf.DUMMYFUNCTION("""COMPUTED_VALUE"""),42859.6666666666)</f>
        <v>42859.666666666599</v>
      </c>
      <c r="BD507" s="3">
        <f ca="1">IFERROR(__xludf.DUMMYFUNCTION("""COMPUTED_VALUE"""),54.83)</f>
        <v>54.83</v>
      </c>
      <c r="BE507" s="3">
        <f ca="1">IFERROR(__xludf.DUMMYFUNCTION("""COMPUTED_VALUE"""),54.86)</f>
        <v>54.86</v>
      </c>
      <c r="BF507" s="3">
        <f ca="1">IFERROR(__xludf.DUMMYFUNCTION("""COMPUTED_VALUE"""),54.59)</f>
        <v>54.59</v>
      </c>
      <c r="BG507" s="3">
        <f ca="1">IFERROR(__xludf.DUMMYFUNCTION("""COMPUTED_VALUE"""),54.77)</f>
        <v>54.77</v>
      </c>
      <c r="BH507" s="3">
        <f ca="1">IFERROR(__xludf.DUMMYFUNCTION("""COMPUTED_VALUE"""),7579850)</f>
        <v>7579850</v>
      </c>
      <c r="BI507" s="4">
        <f ca="1">IFERROR(__xludf.DUMMYFUNCTION("""COMPUTED_VALUE"""),42859.6666666666)</f>
        <v>42859.666666666599</v>
      </c>
      <c r="BJ507" s="3">
        <f ca="1">IFERROR(__xludf.DUMMYFUNCTION("""COMPUTED_VALUE"""),51.12)</f>
        <v>51.12</v>
      </c>
      <c r="BK507" s="3">
        <f ca="1">IFERROR(__xludf.DUMMYFUNCTION("""COMPUTED_VALUE"""),51.51)</f>
        <v>51.51</v>
      </c>
      <c r="BL507" s="3">
        <f ca="1">IFERROR(__xludf.DUMMYFUNCTION("""COMPUTED_VALUE"""),51.11)</f>
        <v>51.11</v>
      </c>
      <c r="BM507" s="3">
        <f ca="1">IFERROR(__xludf.DUMMYFUNCTION("""COMPUTED_VALUE"""),51.45)</f>
        <v>51.45</v>
      </c>
      <c r="BN507" s="3">
        <f ca="1">IFERROR(__xludf.DUMMYFUNCTION("""COMPUTED_VALUE"""),14039080)</f>
        <v>14039080</v>
      </c>
    </row>
    <row r="508" spans="7:66" ht="13" x14ac:dyDescent="0.15">
      <c r="G508" s="4">
        <f ca="1">IFERROR(__xludf.DUMMYFUNCTION("""COMPUTED_VALUE"""),42860.6666666666)</f>
        <v>42860.666666666599</v>
      </c>
      <c r="H508" s="3">
        <f ca="1">IFERROR(__xludf.DUMMYFUNCTION("""COMPUTED_VALUE"""),89.97)</f>
        <v>89.97</v>
      </c>
      <c r="I508" s="3">
        <f ca="1">IFERROR(__xludf.DUMMYFUNCTION("""COMPUTED_VALUE"""),90.17)</f>
        <v>90.17</v>
      </c>
      <c r="J508" s="3">
        <f ca="1">IFERROR(__xludf.DUMMYFUNCTION("""COMPUTED_VALUE"""),89.53)</f>
        <v>89.53</v>
      </c>
      <c r="K508" s="3">
        <f ca="1">IFERROR(__xludf.DUMMYFUNCTION("""COMPUTED_VALUE"""),90.17)</f>
        <v>90.17</v>
      </c>
      <c r="L508" s="3">
        <f ca="1">IFERROR(__xludf.DUMMYFUNCTION("""COMPUTED_VALUE"""),3219275)</f>
        <v>3219275</v>
      </c>
      <c r="M508" s="4">
        <f ca="1">IFERROR(__xludf.DUMMYFUNCTION("""COMPUTED_VALUE"""),42860.6666666666)</f>
        <v>42860.666666666599</v>
      </c>
      <c r="N508" s="3">
        <f ca="1">IFERROR(__xludf.DUMMYFUNCTION("""COMPUTED_VALUE"""),55.22)</f>
        <v>55.22</v>
      </c>
      <c r="O508" s="3">
        <f ca="1">IFERROR(__xludf.DUMMYFUNCTION("""COMPUTED_VALUE"""),55.28)</f>
        <v>55.28</v>
      </c>
      <c r="P508" s="3">
        <f ca="1">IFERROR(__xludf.DUMMYFUNCTION("""COMPUTED_VALUE"""),55.05)</f>
        <v>55.05</v>
      </c>
      <c r="Q508" s="3">
        <f ca="1">IFERROR(__xludf.DUMMYFUNCTION("""COMPUTED_VALUE"""),55.22)</f>
        <v>55.22</v>
      </c>
      <c r="R508" s="3">
        <f ca="1">IFERROR(__xludf.DUMMYFUNCTION("""COMPUTED_VALUE"""),8539495)</f>
        <v>8539495</v>
      </c>
      <c r="S508" s="4">
        <f ca="1">IFERROR(__xludf.DUMMYFUNCTION("""COMPUTED_VALUE"""),42860.6666666666)</f>
        <v>42860.666666666599</v>
      </c>
      <c r="T508" s="3">
        <f ca="1">IFERROR(__xludf.DUMMYFUNCTION("""COMPUTED_VALUE"""),66.3)</f>
        <v>66.3</v>
      </c>
      <c r="U508" s="3">
        <f ca="1">IFERROR(__xludf.DUMMYFUNCTION("""COMPUTED_VALUE"""),67.42)</f>
        <v>67.42</v>
      </c>
      <c r="V508" s="3">
        <f ca="1">IFERROR(__xludf.DUMMYFUNCTION("""COMPUTED_VALUE"""),66.27)</f>
        <v>66.27</v>
      </c>
      <c r="W508" s="3">
        <f ca="1">IFERROR(__xludf.DUMMYFUNCTION("""COMPUTED_VALUE"""),67.31)</f>
        <v>67.31</v>
      </c>
      <c r="X508" s="3">
        <f ca="1">IFERROR(__xludf.DUMMYFUNCTION("""COMPUTED_VALUE"""),18743753)</f>
        <v>18743753</v>
      </c>
      <c r="Y508" s="4">
        <f ca="1">IFERROR(__xludf.DUMMYFUNCTION("""COMPUTED_VALUE"""),42860.6666666666)</f>
        <v>42860.666666666599</v>
      </c>
      <c r="Z508" s="3">
        <f ca="1">IFERROR(__xludf.DUMMYFUNCTION("""COMPUTED_VALUE"""),23.95)</f>
        <v>23.95</v>
      </c>
      <c r="AA508" s="3">
        <f ca="1">IFERROR(__xludf.DUMMYFUNCTION("""COMPUTED_VALUE"""),23.96)</f>
        <v>23.96</v>
      </c>
      <c r="AB508" s="3">
        <f ca="1">IFERROR(__xludf.DUMMYFUNCTION("""COMPUTED_VALUE"""),23.76)</f>
        <v>23.76</v>
      </c>
      <c r="AC508" s="3">
        <f ca="1">IFERROR(__xludf.DUMMYFUNCTION("""COMPUTED_VALUE"""),23.84)</f>
        <v>23.84</v>
      </c>
      <c r="AD508" s="3">
        <f ca="1">IFERROR(__xludf.DUMMYFUNCTION("""COMPUTED_VALUE"""),46881451)</f>
        <v>46881451</v>
      </c>
      <c r="AE508" s="4">
        <f ca="1">IFERROR(__xludf.DUMMYFUNCTION("""COMPUTED_VALUE"""),42860.6666666666)</f>
        <v>42860.666666666599</v>
      </c>
      <c r="AF508" s="3">
        <f ca="1">IFERROR(__xludf.DUMMYFUNCTION("""COMPUTED_VALUE"""),76.18)</f>
        <v>76.180000000000007</v>
      </c>
      <c r="AG508" s="3">
        <f ca="1">IFERROR(__xludf.DUMMYFUNCTION("""COMPUTED_VALUE"""),76.2)</f>
        <v>76.2</v>
      </c>
      <c r="AH508" s="3">
        <f ca="1">IFERROR(__xludf.DUMMYFUNCTION("""COMPUTED_VALUE"""),75.66)</f>
        <v>75.66</v>
      </c>
      <c r="AI508" s="3">
        <f ca="1">IFERROR(__xludf.DUMMYFUNCTION("""COMPUTED_VALUE"""),75.97)</f>
        <v>75.97</v>
      </c>
      <c r="AJ508" s="3">
        <f ca="1">IFERROR(__xludf.DUMMYFUNCTION("""COMPUTED_VALUE"""),5720072)</f>
        <v>5720072</v>
      </c>
      <c r="AK508" s="4">
        <f ca="1">IFERROR(__xludf.DUMMYFUNCTION("""COMPUTED_VALUE"""),42860.6666666666)</f>
        <v>42860.666666666599</v>
      </c>
      <c r="AL508" s="3">
        <f ca="1">IFERROR(__xludf.DUMMYFUNCTION("""COMPUTED_VALUE"""),66.67)</f>
        <v>66.67</v>
      </c>
      <c r="AM508" s="3">
        <f ca="1">IFERROR(__xludf.DUMMYFUNCTION("""COMPUTED_VALUE"""),66.94)</f>
        <v>66.94</v>
      </c>
      <c r="AN508" s="3">
        <f ca="1">IFERROR(__xludf.DUMMYFUNCTION("""COMPUTED_VALUE"""),66.53)</f>
        <v>66.53</v>
      </c>
      <c r="AO508" s="3">
        <f ca="1">IFERROR(__xludf.DUMMYFUNCTION("""COMPUTED_VALUE"""),66.92)</f>
        <v>66.92</v>
      </c>
      <c r="AP508" s="3">
        <f ca="1">IFERROR(__xludf.DUMMYFUNCTION("""COMPUTED_VALUE"""),7110794)</f>
        <v>7110794</v>
      </c>
      <c r="AQ508" s="4">
        <f ca="1">IFERROR(__xludf.DUMMYFUNCTION("""COMPUTED_VALUE"""),42860.6666666666)</f>
        <v>42860.666666666599</v>
      </c>
      <c r="AR508" s="3">
        <f ca="1">IFERROR(__xludf.DUMMYFUNCTION("""COMPUTED_VALUE"""),52.83)</f>
        <v>52.83</v>
      </c>
      <c r="AS508" s="3">
        <f ca="1">IFERROR(__xludf.DUMMYFUNCTION("""COMPUTED_VALUE"""),53.52)</f>
        <v>53.52</v>
      </c>
      <c r="AT508" s="3">
        <f ca="1">IFERROR(__xludf.DUMMYFUNCTION("""COMPUTED_VALUE"""),52.83)</f>
        <v>52.83</v>
      </c>
      <c r="AU508" s="3">
        <f ca="1">IFERROR(__xludf.DUMMYFUNCTION("""COMPUTED_VALUE"""),53.48)</f>
        <v>53.48</v>
      </c>
      <c r="AV508" s="3">
        <f ca="1">IFERROR(__xludf.DUMMYFUNCTION("""COMPUTED_VALUE"""),5723720)</f>
        <v>5723720</v>
      </c>
      <c r="BC508" s="4">
        <f ca="1">IFERROR(__xludf.DUMMYFUNCTION("""COMPUTED_VALUE"""),42860.6666666666)</f>
        <v>42860.666666666599</v>
      </c>
      <c r="BD508" s="3">
        <f ca="1">IFERROR(__xludf.DUMMYFUNCTION("""COMPUTED_VALUE"""),54.86)</f>
        <v>54.86</v>
      </c>
      <c r="BE508" s="3">
        <f ca="1">IFERROR(__xludf.DUMMYFUNCTION("""COMPUTED_VALUE"""),54.99)</f>
        <v>54.99</v>
      </c>
      <c r="BF508" s="3">
        <f ca="1">IFERROR(__xludf.DUMMYFUNCTION("""COMPUTED_VALUE"""),54.73)</f>
        <v>54.73</v>
      </c>
      <c r="BG508" s="3">
        <f ca="1">IFERROR(__xludf.DUMMYFUNCTION("""COMPUTED_VALUE"""),54.97)</f>
        <v>54.97</v>
      </c>
      <c r="BH508" s="3">
        <f ca="1">IFERROR(__xludf.DUMMYFUNCTION("""COMPUTED_VALUE"""),6825813)</f>
        <v>6825813</v>
      </c>
      <c r="BI508" s="4">
        <f ca="1">IFERROR(__xludf.DUMMYFUNCTION("""COMPUTED_VALUE"""),42860.6666666666)</f>
        <v>42860.666666666599</v>
      </c>
      <c r="BJ508" s="3">
        <f ca="1">IFERROR(__xludf.DUMMYFUNCTION("""COMPUTED_VALUE"""),51.6)</f>
        <v>51.6</v>
      </c>
      <c r="BK508" s="3">
        <f ca="1">IFERROR(__xludf.DUMMYFUNCTION("""COMPUTED_VALUE"""),51.92)</f>
        <v>51.92</v>
      </c>
      <c r="BL508" s="3">
        <f ca="1">IFERROR(__xludf.DUMMYFUNCTION("""COMPUTED_VALUE"""),51.55)</f>
        <v>51.55</v>
      </c>
      <c r="BM508" s="3">
        <f ca="1">IFERROR(__xludf.DUMMYFUNCTION("""COMPUTED_VALUE"""),51.73)</f>
        <v>51.73</v>
      </c>
      <c r="BN508" s="3">
        <f ca="1">IFERROR(__xludf.DUMMYFUNCTION("""COMPUTED_VALUE"""),10785296)</f>
        <v>10785296</v>
      </c>
    </row>
    <row r="509" spans="7:66" ht="13" x14ac:dyDescent="0.15">
      <c r="G509" s="4">
        <f ca="1">IFERROR(__xludf.DUMMYFUNCTION("""COMPUTED_VALUE"""),42863.6666666666)</f>
        <v>42863.666666666599</v>
      </c>
      <c r="H509" s="3">
        <f ca="1">IFERROR(__xludf.DUMMYFUNCTION("""COMPUTED_VALUE"""),90.49)</f>
        <v>90.49</v>
      </c>
      <c r="I509" s="3">
        <f ca="1">IFERROR(__xludf.DUMMYFUNCTION("""COMPUTED_VALUE"""),90.51)</f>
        <v>90.51</v>
      </c>
      <c r="J509" s="3">
        <f ca="1">IFERROR(__xludf.DUMMYFUNCTION("""COMPUTED_VALUE"""),90.02)</f>
        <v>90.02</v>
      </c>
      <c r="K509" s="3">
        <f ca="1">IFERROR(__xludf.DUMMYFUNCTION("""COMPUTED_VALUE"""),90.34)</f>
        <v>90.34</v>
      </c>
      <c r="L509" s="3">
        <f ca="1">IFERROR(__xludf.DUMMYFUNCTION("""COMPUTED_VALUE"""),2506161)</f>
        <v>2506161</v>
      </c>
      <c r="M509" s="4">
        <f ca="1">IFERROR(__xludf.DUMMYFUNCTION("""COMPUTED_VALUE"""),42863.6666666666)</f>
        <v>42863.666666666599</v>
      </c>
      <c r="N509" s="3">
        <f ca="1">IFERROR(__xludf.DUMMYFUNCTION("""COMPUTED_VALUE"""),55.26)</f>
        <v>55.26</v>
      </c>
      <c r="O509" s="3">
        <f ca="1">IFERROR(__xludf.DUMMYFUNCTION("""COMPUTED_VALUE"""),55.26)</f>
        <v>55.26</v>
      </c>
      <c r="P509" s="3">
        <f ca="1">IFERROR(__xludf.DUMMYFUNCTION("""COMPUTED_VALUE"""),55.09)</f>
        <v>55.09</v>
      </c>
      <c r="Q509" s="3">
        <f ca="1">IFERROR(__xludf.DUMMYFUNCTION("""COMPUTED_VALUE"""),55.2)</f>
        <v>55.2</v>
      </c>
      <c r="R509" s="3">
        <f ca="1">IFERROR(__xludf.DUMMYFUNCTION("""COMPUTED_VALUE"""),5323425)</f>
        <v>5323425</v>
      </c>
      <c r="S509" s="4">
        <f ca="1">IFERROR(__xludf.DUMMYFUNCTION("""COMPUTED_VALUE"""),42863.6666666666)</f>
        <v>42863.666666666599</v>
      </c>
      <c r="T509" s="3">
        <f ca="1">IFERROR(__xludf.DUMMYFUNCTION("""COMPUTED_VALUE"""),67.3)</f>
        <v>67.3</v>
      </c>
      <c r="U509" s="3">
        <f ca="1">IFERROR(__xludf.DUMMYFUNCTION("""COMPUTED_VALUE"""),67.91)</f>
        <v>67.91</v>
      </c>
      <c r="V509" s="3">
        <f ca="1">IFERROR(__xludf.DUMMYFUNCTION("""COMPUTED_VALUE"""),67.24)</f>
        <v>67.239999999999995</v>
      </c>
      <c r="W509" s="3">
        <f ca="1">IFERROR(__xludf.DUMMYFUNCTION("""COMPUTED_VALUE"""),67.79)</f>
        <v>67.790000000000006</v>
      </c>
      <c r="X509" s="3">
        <f ca="1">IFERROR(__xludf.DUMMYFUNCTION("""COMPUTED_VALUE"""),18948732)</f>
        <v>18948732</v>
      </c>
      <c r="Y509" s="4">
        <f ca="1">IFERROR(__xludf.DUMMYFUNCTION("""COMPUTED_VALUE"""),42863.6666666666)</f>
        <v>42863.666666666599</v>
      </c>
      <c r="Z509" s="3">
        <f ca="1">IFERROR(__xludf.DUMMYFUNCTION("""COMPUTED_VALUE"""),23.87)</f>
        <v>23.87</v>
      </c>
      <c r="AA509" s="3">
        <f ca="1">IFERROR(__xludf.DUMMYFUNCTION("""COMPUTED_VALUE"""),23.91)</f>
        <v>23.91</v>
      </c>
      <c r="AB509" s="3">
        <f ca="1">IFERROR(__xludf.DUMMYFUNCTION("""COMPUTED_VALUE"""),23.78)</f>
        <v>23.78</v>
      </c>
      <c r="AC509" s="3">
        <f ca="1">IFERROR(__xludf.DUMMYFUNCTION("""COMPUTED_VALUE"""),23.82)</f>
        <v>23.82</v>
      </c>
      <c r="AD509" s="3">
        <f ca="1">IFERROR(__xludf.DUMMYFUNCTION("""COMPUTED_VALUE"""),45893018)</f>
        <v>45893018</v>
      </c>
      <c r="AE509" s="4">
        <f ca="1">IFERROR(__xludf.DUMMYFUNCTION("""COMPUTED_VALUE"""),42863.6666666666)</f>
        <v>42863.666666666599</v>
      </c>
      <c r="AF509" s="3">
        <f ca="1">IFERROR(__xludf.DUMMYFUNCTION("""COMPUTED_VALUE"""),75.91)</f>
        <v>75.91</v>
      </c>
      <c r="AG509" s="3">
        <f ca="1">IFERROR(__xludf.DUMMYFUNCTION("""COMPUTED_VALUE"""),75.97)</f>
        <v>75.97</v>
      </c>
      <c r="AH509" s="3">
        <f ca="1">IFERROR(__xludf.DUMMYFUNCTION("""COMPUTED_VALUE"""),75.39)</f>
        <v>75.39</v>
      </c>
      <c r="AI509" s="3">
        <f ca="1">IFERROR(__xludf.DUMMYFUNCTION("""COMPUTED_VALUE"""),75.5)</f>
        <v>75.5</v>
      </c>
      <c r="AJ509" s="3">
        <f ca="1">IFERROR(__xludf.DUMMYFUNCTION("""COMPUTED_VALUE"""),6558505)</f>
        <v>6558505</v>
      </c>
      <c r="AK509" s="4">
        <f ca="1">IFERROR(__xludf.DUMMYFUNCTION("""COMPUTED_VALUE"""),42863.6666666666)</f>
        <v>42863.666666666599</v>
      </c>
      <c r="AL509" s="3">
        <f ca="1">IFERROR(__xludf.DUMMYFUNCTION("""COMPUTED_VALUE"""),66.9)</f>
        <v>66.900000000000006</v>
      </c>
      <c r="AM509" s="3">
        <f ca="1">IFERROR(__xludf.DUMMYFUNCTION("""COMPUTED_VALUE"""),66.97)</f>
        <v>66.97</v>
      </c>
      <c r="AN509" s="3">
        <f ca="1">IFERROR(__xludf.DUMMYFUNCTION("""COMPUTED_VALUE"""),66.64)</f>
        <v>66.64</v>
      </c>
      <c r="AO509" s="3">
        <f ca="1">IFERROR(__xludf.DUMMYFUNCTION("""COMPUTED_VALUE"""),66.74)</f>
        <v>66.739999999999995</v>
      </c>
      <c r="AP509" s="3">
        <f ca="1">IFERROR(__xludf.DUMMYFUNCTION("""COMPUTED_VALUE"""),6078185)</f>
        <v>6078185</v>
      </c>
      <c r="AQ509" s="4">
        <f ca="1">IFERROR(__xludf.DUMMYFUNCTION("""COMPUTED_VALUE"""),42863.6666666666)</f>
        <v>42863.666666666599</v>
      </c>
      <c r="AR509" s="3">
        <f ca="1">IFERROR(__xludf.DUMMYFUNCTION("""COMPUTED_VALUE"""),53.36)</f>
        <v>53.36</v>
      </c>
      <c r="AS509" s="3">
        <f ca="1">IFERROR(__xludf.DUMMYFUNCTION("""COMPUTED_VALUE"""),53.43)</f>
        <v>53.43</v>
      </c>
      <c r="AT509" s="3">
        <f ca="1">IFERROR(__xludf.DUMMYFUNCTION("""COMPUTED_VALUE"""),52.94)</f>
        <v>52.94</v>
      </c>
      <c r="AU509" s="3">
        <f ca="1">IFERROR(__xludf.DUMMYFUNCTION("""COMPUTED_VALUE"""),53.05)</f>
        <v>53.05</v>
      </c>
      <c r="AV509" s="3">
        <f ca="1">IFERROR(__xludf.DUMMYFUNCTION("""COMPUTED_VALUE"""),5108129)</f>
        <v>5108129</v>
      </c>
      <c r="BC509" s="4">
        <f ca="1">IFERROR(__xludf.DUMMYFUNCTION("""COMPUTED_VALUE"""),42863.6666666666)</f>
        <v>42863.666666666599</v>
      </c>
      <c r="BD509" s="3">
        <f ca="1">IFERROR(__xludf.DUMMYFUNCTION("""COMPUTED_VALUE"""),55.01)</f>
        <v>55.01</v>
      </c>
      <c r="BE509" s="3">
        <f ca="1">IFERROR(__xludf.DUMMYFUNCTION("""COMPUTED_VALUE"""),55.24)</f>
        <v>55.24</v>
      </c>
      <c r="BF509" s="3">
        <f ca="1">IFERROR(__xludf.DUMMYFUNCTION("""COMPUTED_VALUE"""),54.91)</f>
        <v>54.91</v>
      </c>
      <c r="BG509" s="3">
        <f ca="1">IFERROR(__xludf.DUMMYFUNCTION("""COMPUTED_VALUE"""),55.21)</f>
        <v>55.21</v>
      </c>
      <c r="BH509" s="3">
        <f ca="1">IFERROR(__xludf.DUMMYFUNCTION("""COMPUTED_VALUE"""),6070112)</f>
        <v>6070112</v>
      </c>
      <c r="BI509" s="4">
        <f ca="1">IFERROR(__xludf.DUMMYFUNCTION("""COMPUTED_VALUE"""),42863.6666666666)</f>
        <v>42863.666666666599</v>
      </c>
      <c r="BJ509" s="3">
        <f ca="1">IFERROR(__xludf.DUMMYFUNCTION("""COMPUTED_VALUE"""),51.77)</f>
        <v>51.77</v>
      </c>
      <c r="BK509" s="3">
        <f ca="1">IFERROR(__xludf.DUMMYFUNCTION("""COMPUTED_VALUE"""),51.83)</f>
        <v>51.83</v>
      </c>
      <c r="BL509" s="3">
        <f ca="1">IFERROR(__xludf.DUMMYFUNCTION("""COMPUTED_VALUE"""),51.45)</f>
        <v>51.45</v>
      </c>
      <c r="BM509" s="3">
        <f ca="1">IFERROR(__xludf.DUMMYFUNCTION("""COMPUTED_VALUE"""),51.71)</f>
        <v>51.71</v>
      </c>
      <c r="BN509" s="3">
        <f ca="1">IFERROR(__xludf.DUMMYFUNCTION("""COMPUTED_VALUE"""),8789722)</f>
        <v>8789722</v>
      </c>
    </row>
    <row r="510" spans="7:66" ht="13" x14ac:dyDescent="0.15">
      <c r="G510" s="4">
        <f ca="1">IFERROR(__xludf.DUMMYFUNCTION("""COMPUTED_VALUE"""),42864.6666666666)</f>
        <v>42864.666666666599</v>
      </c>
      <c r="H510" s="3">
        <f ca="1">IFERROR(__xludf.DUMMYFUNCTION("""COMPUTED_VALUE"""),90.54)</f>
        <v>90.54</v>
      </c>
      <c r="I510" s="3">
        <f ca="1">IFERROR(__xludf.DUMMYFUNCTION("""COMPUTED_VALUE"""),90.93)</f>
        <v>90.93</v>
      </c>
      <c r="J510" s="3">
        <f ca="1">IFERROR(__xludf.DUMMYFUNCTION("""COMPUTED_VALUE"""),90.37)</f>
        <v>90.37</v>
      </c>
      <c r="K510" s="3">
        <f ca="1">IFERROR(__xludf.DUMMYFUNCTION("""COMPUTED_VALUE"""),90.86)</f>
        <v>90.86</v>
      </c>
      <c r="L510" s="3">
        <f ca="1">IFERROR(__xludf.DUMMYFUNCTION("""COMPUTED_VALUE"""),10257768)</f>
        <v>10257768</v>
      </c>
      <c r="M510" s="4">
        <f ca="1">IFERROR(__xludf.DUMMYFUNCTION("""COMPUTED_VALUE"""),42864.6666666666)</f>
        <v>42864.666666666599</v>
      </c>
      <c r="N510" s="3">
        <f ca="1">IFERROR(__xludf.DUMMYFUNCTION("""COMPUTED_VALUE"""),55.18)</f>
        <v>55.18</v>
      </c>
      <c r="O510" s="3">
        <f ca="1">IFERROR(__xludf.DUMMYFUNCTION("""COMPUTED_VALUE"""),55.28)</f>
        <v>55.28</v>
      </c>
      <c r="P510" s="3">
        <f ca="1">IFERROR(__xludf.DUMMYFUNCTION("""COMPUTED_VALUE"""),54.91)</f>
        <v>54.91</v>
      </c>
      <c r="Q510" s="3">
        <f ca="1">IFERROR(__xludf.DUMMYFUNCTION("""COMPUTED_VALUE"""),55)</f>
        <v>55</v>
      </c>
      <c r="R510" s="3">
        <f ca="1">IFERROR(__xludf.DUMMYFUNCTION("""COMPUTED_VALUE"""),7256877)</f>
        <v>7256877</v>
      </c>
      <c r="S510" s="4">
        <f ca="1">IFERROR(__xludf.DUMMYFUNCTION("""COMPUTED_VALUE"""),42864.6666666666)</f>
        <v>42864.666666666599</v>
      </c>
      <c r="T510" s="3">
        <f ca="1">IFERROR(__xludf.DUMMYFUNCTION("""COMPUTED_VALUE"""),67.93)</f>
        <v>67.930000000000007</v>
      </c>
      <c r="U510" s="3">
        <f ca="1">IFERROR(__xludf.DUMMYFUNCTION("""COMPUTED_VALUE"""),67.93)</f>
        <v>67.930000000000007</v>
      </c>
      <c r="V510" s="3">
        <f ca="1">IFERROR(__xludf.DUMMYFUNCTION("""COMPUTED_VALUE"""),67.03)</f>
        <v>67.03</v>
      </c>
      <c r="W510" s="3">
        <f ca="1">IFERROR(__xludf.DUMMYFUNCTION("""COMPUTED_VALUE"""),67.23)</f>
        <v>67.23</v>
      </c>
      <c r="X510" s="3">
        <f ca="1">IFERROR(__xludf.DUMMYFUNCTION("""COMPUTED_VALUE"""),10719714)</f>
        <v>10719714</v>
      </c>
      <c r="Y510" s="4">
        <f ca="1">IFERROR(__xludf.DUMMYFUNCTION("""COMPUTED_VALUE"""),42864.6666666666)</f>
        <v>42864.666666666599</v>
      </c>
      <c r="Z510" s="3">
        <f ca="1">IFERROR(__xludf.DUMMYFUNCTION("""COMPUTED_VALUE"""),23.88)</f>
        <v>23.88</v>
      </c>
      <c r="AA510" s="3">
        <f ca="1">IFERROR(__xludf.DUMMYFUNCTION("""COMPUTED_VALUE"""),23.96)</f>
        <v>23.96</v>
      </c>
      <c r="AB510" s="3">
        <f ca="1">IFERROR(__xludf.DUMMYFUNCTION("""COMPUTED_VALUE"""),23.65)</f>
        <v>23.65</v>
      </c>
      <c r="AC510" s="3">
        <f ca="1">IFERROR(__xludf.DUMMYFUNCTION("""COMPUTED_VALUE"""),23.73)</f>
        <v>23.73</v>
      </c>
      <c r="AD510" s="3">
        <f ca="1">IFERROR(__xludf.DUMMYFUNCTION("""COMPUTED_VALUE"""),65737851)</f>
        <v>65737851</v>
      </c>
      <c r="AE510" s="4">
        <f ca="1">IFERROR(__xludf.DUMMYFUNCTION("""COMPUTED_VALUE"""),42864.6666666666)</f>
        <v>42864.666666666599</v>
      </c>
      <c r="AF510" s="3">
        <f ca="1">IFERROR(__xludf.DUMMYFUNCTION("""COMPUTED_VALUE"""),75.54)</f>
        <v>75.540000000000006</v>
      </c>
      <c r="AG510" s="3">
        <f ca="1">IFERROR(__xludf.DUMMYFUNCTION("""COMPUTED_VALUE"""),75.73)</f>
        <v>75.73</v>
      </c>
      <c r="AH510" s="3">
        <f ca="1">IFERROR(__xludf.DUMMYFUNCTION("""COMPUTED_VALUE"""),75.45)</f>
        <v>75.45</v>
      </c>
      <c r="AI510" s="3">
        <f ca="1">IFERROR(__xludf.DUMMYFUNCTION("""COMPUTED_VALUE"""),75.59)</f>
        <v>75.59</v>
      </c>
      <c r="AJ510" s="3">
        <f ca="1">IFERROR(__xludf.DUMMYFUNCTION("""COMPUTED_VALUE"""),3830157)</f>
        <v>3830157</v>
      </c>
      <c r="AK510" s="4">
        <f ca="1">IFERROR(__xludf.DUMMYFUNCTION("""COMPUTED_VALUE"""),42864.6666666666)</f>
        <v>42864.666666666599</v>
      </c>
      <c r="AL510" s="3">
        <f ca="1">IFERROR(__xludf.DUMMYFUNCTION("""COMPUTED_VALUE"""),66.79)</f>
        <v>66.790000000000006</v>
      </c>
      <c r="AM510" s="3">
        <f ca="1">IFERROR(__xludf.DUMMYFUNCTION("""COMPUTED_VALUE"""),67)</f>
        <v>67</v>
      </c>
      <c r="AN510" s="3">
        <f ca="1">IFERROR(__xludf.DUMMYFUNCTION("""COMPUTED_VALUE"""),66.75)</f>
        <v>66.75</v>
      </c>
      <c r="AO510" s="3">
        <f ca="1">IFERROR(__xludf.DUMMYFUNCTION("""COMPUTED_VALUE"""),66.83)</f>
        <v>66.83</v>
      </c>
      <c r="AP510" s="3">
        <f ca="1">IFERROR(__xludf.DUMMYFUNCTION("""COMPUTED_VALUE"""),5968980)</f>
        <v>5968980</v>
      </c>
      <c r="AQ510" s="4">
        <f ca="1">IFERROR(__xludf.DUMMYFUNCTION("""COMPUTED_VALUE"""),42864.6666666666)</f>
        <v>42864.666666666599</v>
      </c>
      <c r="AR510" s="3">
        <f ca="1">IFERROR(__xludf.DUMMYFUNCTION("""COMPUTED_VALUE"""),53)</f>
        <v>53</v>
      </c>
      <c r="AS510" s="3">
        <f ca="1">IFERROR(__xludf.DUMMYFUNCTION("""COMPUTED_VALUE"""),53.1)</f>
        <v>53.1</v>
      </c>
      <c r="AT510" s="3">
        <f ca="1">IFERROR(__xludf.DUMMYFUNCTION("""COMPUTED_VALUE"""),52.58)</f>
        <v>52.58</v>
      </c>
      <c r="AU510" s="3">
        <f ca="1">IFERROR(__xludf.DUMMYFUNCTION("""COMPUTED_VALUE"""),52.65)</f>
        <v>52.65</v>
      </c>
      <c r="AV510" s="3">
        <f ca="1">IFERROR(__xludf.DUMMYFUNCTION("""COMPUTED_VALUE"""),4693230)</f>
        <v>4693230</v>
      </c>
      <c r="BC510" s="4">
        <f ca="1">IFERROR(__xludf.DUMMYFUNCTION("""COMPUTED_VALUE"""),42864.6666666666)</f>
        <v>42864.666666666599</v>
      </c>
      <c r="BD510" s="3">
        <f ca="1">IFERROR(__xludf.DUMMYFUNCTION("""COMPUTED_VALUE"""),55.27)</f>
        <v>55.27</v>
      </c>
      <c r="BE510" s="3">
        <f ca="1">IFERROR(__xludf.DUMMYFUNCTION("""COMPUTED_VALUE"""),55.43)</f>
        <v>55.43</v>
      </c>
      <c r="BF510" s="3">
        <f ca="1">IFERROR(__xludf.DUMMYFUNCTION("""COMPUTED_VALUE"""),55.17)</f>
        <v>55.17</v>
      </c>
      <c r="BG510" s="3">
        <f ca="1">IFERROR(__xludf.DUMMYFUNCTION("""COMPUTED_VALUE"""),55.28)</f>
        <v>55.28</v>
      </c>
      <c r="BH510" s="3">
        <f ca="1">IFERROR(__xludf.DUMMYFUNCTION("""COMPUTED_VALUE"""),7694281)</f>
        <v>7694281</v>
      </c>
      <c r="BI510" s="4">
        <f ca="1">IFERROR(__xludf.DUMMYFUNCTION("""COMPUTED_VALUE"""),42864.6666666666)</f>
        <v>42864.666666666599</v>
      </c>
      <c r="BJ510" s="3">
        <f ca="1">IFERROR(__xludf.DUMMYFUNCTION("""COMPUTED_VALUE"""),51.67)</f>
        <v>51.67</v>
      </c>
      <c r="BK510" s="3">
        <f ca="1">IFERROR(__xludf.DUMMYFUNCTION("""COMPUTED_VALUE"""),51.71)</f>
        <v>51.71</v>
      </c>
      <c r="BL510" s="3">
        <f ca="1">IFERROR(__xludf.DUMMYFUNCTION("""COMPUTED_VALUE"""),51.24)</f>
        <v>51.24</v>
      </c>
      <c r="BM510" s="3">
        <f ca="1">IFERROR(__xludf.DUMMYFUNCTION("""COMPUTED_VALUE"""),51.33)</f>
        <v>51.33</v>
      </c>
      <c r="BN510" s="3">
        <f ca="1">IFERROR(__xludf.DUMMYFUNCTION("""COMPUTED_VALUE"""),7758919)</f>
        <v>7758919</v>
      </c>
    </row>
    <row r="511" spans="7:66" ht="13" x14ac:dyDescent="0.15">
      <c r="G511" s="4">
        <f ca="1">IFERROR(__xludf.DUMMYFUNCTION("""COMPUTED_VALUE"""),42865.6666666666)</f>
        <v>42865.666666666599</v>
      </c>
      <c r="H511" s="3">
        <f ca="1">IFERROR(__xludf.DUMMYFUNCTION("""COMPUTED_VALUE"""),90.49)</f>
        <v>90.49</v>
      </c>
      <c r="I511" s="3">
        <f ca="1">IFERROR(__xludf.DUMMYFUNCTION("""COMPUTED_VALUE"""),90.58)</f>
        <v>90.58</v>
      </c>
      <c r="J511" s="3">
        <f ca="1">IFERROR(__xludf.DUMMYFUNCTION("""COMPUTED_VALUE"""),90.22)</f>
        <v>90.22</v>
      </c>
      <c r="K511" s="3">
        <f ca="1">IFERROR(__xludf.DUMMYFUNCTION("""COMPUTED_VALUE"""),90.55)</f>
        <v>90.55</v>
      </c>
      <c r="L511" s="3">
        <f ca="1">IFERROR(__xludf.DUMMYFUNCTION("""COMPUTED_VALUE"""),3518774)</f>
        <v>3518774</v>
      </c>
      <c r="M511" s="4">
        <f ca="1">IFERROR(__xludf.DUMMYFUNCTION("""COMPUTED_VALUE"""),42865.6666666666)</f>
        <v>42865.666666666599</v>
      </c>
      <c r="N511" s="3">
        <f ca="1">IFERROR(__xludf.DUMMYFUNCTION("""COMPUTED_VALUE"""),55.03)</f>
        <v>55.03</v>
      </c>
      <c r="O511" s="3">
        <f ca="1">IFERROR(__xludf.DUMMYFUNCTION("""COMPUTED_VALUE"""),55.11)</f>
        <v>55.11</v>
      </c>
      <c r="P511" s="3">
        <f ca="1">IFERROR(__xludf.DUMMYFUNCTION("""COMPUTED_VALUE"""),54.96)</f>
        <v>54.96</v>
      </c>
      <c r="Q511" s="3">
        <f ca="1">IFERROR(__xludf.DUMMYFUNCTION("""COMPUTED_VALUE"""),55.04)</f>
        <v>55.04</v>
      </c>
      <c r="R511" s="3">
        <f ca="1">IFERROR(__xludf.DUMMYFUNCTION("""COMPUTED_VALUE"""),5232283)</f>
        <v>5232283</v>
      </c>
      <c r="S511" s="4">
        <f ca="1">IFERROR(__xludf.DUMMYFUNCTION("""COMPUTED_VALUE"""),42865.6666666666)</f>
        <v>42865.666666666599</v>
      </c>
      <c r="T511" s="3">
        <f ca="1">IFERROR(__xludf.DUMMYFUNCTION("""COMPUTED_VALUE"""),67.62)</f>
        <v>67.62</v>
      </c>
      <c r="U511" s="3">
        <f ca="1">IFERROR(__xludf.DUMMYFUNCTION("""COMPUTED_VALUE"""),68.44)</f>
        <v>68.44</v>
      </c>
      <c r="V511" s="3">
        <f ca="1">IFERROR(__xludf.DUMMYFUNCTION("""COMPUTED_VALUE"""),67.56)</f>
        <v>67.56</v>
      </c>
      <c r="W511" s="3">
        <f ca="1">IFERROR(__xludf.DUMMYFUNCTION("""COMPUTED_VALUE"""),68.12)</f>
        <v>68.12</v>
      </c>
      <c r="X511" s="3">
        <f ca="1">IFERROR(__xludf.DUMMYFUNCTION("""COMPUTED_VALUE"""),18259170)</f>
        <v>18259170</v>
      </c>
      <c r="Y511" s="4">
        <f ca="1">IFERROR(__xludf.DUMMYFUNCTION("""COMPUTED_VALUE"""),42865.6666666666)</f>
        <v>42865.666666666599</v>
      </c>
      <c r="Z511" s="3">
        <f ca="1">IFERROR(__xludf.DUMMYFUNCTION("""COMPUTED_VALUE"""),23.69)</f>
        <v>23.69</v>
      </c>
      <c r="AA511" s="3">
        <f ca="1">IFERROR(__xludf.DUMMYFUNCTION("""COMPUTED_VALUE"""),23.81)</f>
        <v>23.81</v>
      </c>
      <c r="AB511" s="3">
        <f ca="1">IFERROR(__xludf.DUMMYFUNCTION("""COMPUTED_VALUE"""),23.65)</f>
        <v>23.65</v>
      </c>
      <c r="AC511" s="3">
        <f ca="1">IFERROR(__xludf.DUMMYFUNCTION("""COMPUTED_VALUE"""),23.81)</f>
        <v>23.81</v>
      </c>
      <c r="AD511" s="3">
        <f ca="1">IFERROR(__xludf.DUMMYFUNCTION("""COMPUTED_VALUE"""),51192670)</f>
        <v>51192670</v>
      </c>
      <c r="AE511" s="4">
        <f ca="1">IFERROR(__xludf.DUMMYFUNCTION("""COMPUTED_VALUE"""),42865.6666666666)</f>
        <v>42865.666666666599</v>
      </c>
      <c r="AF511" s="3">
        <f ca="1">IFERROR(__xludf.DUMMYFUNCTION("""COMPUTED_VALUE"""),75.47)</f>
        <v>75.47</v>
      </c>
      <c r="AG511" s="3">
        <f ca="1">IFERROR(__xludf.DUMMYFUNCTION("""COMPUTED_VALUE"""),75.48)</f>
        <v>75.48</v>
      </c>
      <c r="AH511" s="3">
        <f ca="1">IFERROR(__xludf.DUMMYFUNCTION("""COMPUTED_VALUE"""),75.06)</f>
        <v>75.06</v>
      </c>
      <c r="AI511" s="3">
        <f ca="1">IFERROR(__xludf.DUMMYFUNCTION("""COMPUTED_VALUE"""),75.37)</f>
        <v>75.37</v>
      </c>
      <c r="AJ511" s="3">
        <f ca="1">IFERROR(__xludf.DUMMYFUNCTION("""COMPUTED_VALUE"""),4314913)</f>
        <v>4314913</v>
      </c>
      <c r="AK511" s="4">
        <f ca="1">IFERROR(__xludf.DUMMYFUNCTION("""COMPUTED_VALUE"""),42865.6666666666)</f>
        <v>42865.666666666599</v>
      </c>
      <c r="AL511" s="3">
        <f ca="1">IFERROR(__xludf.DUMMYFUNCTION("""COMPUTED_VALUE"""),66.87)</f>
        <v>66.87</v>
      </c>
      <c r="AM511" s="3">
        <f ca="1">IFERROR(__xludf.DUMMYFUNCTION("""COMPUTED_VALUE"""),66.87)</f>
        <v>66.87</v>
      </c>
      <c r="AN511" s="3">
        <f ca="1">IFERROR(__xludf.DUMMYFUNCTION("""COMPUTED_VALUE"""),66.41)</f>
        <v>66.41</v>
      </c>
      <c r="AO511" s="3">
        <f ca="1">IFERROR(__xludf.DUMMYFUNCTION("""COMPUTED_VALUE"""),66.69)</f>
        <v>66.69</v>
      </c>
      <c r="AP511" s="3">
        <f ca="1">IFERROR(__xludf.DUMMYFUNCTION("""COMPUTED_VALUE"""),7471407)</f>
        <v>7471407</v>
      </c>
      <c r="AQ511" s="4">
        <f ca="1">IFERROR(__xludf.DUMMYFUNCTION("""COMPUTED_VALUE"""),42865.6666666666)</f>
        <v>42865.666666666599</v>
      </c>
      <c r="AR511" s="3">
        <f ca="1">IFERROR(__xludf.DUMMYFUNCTION("""COMPUTED_VALUE"""),52.73)</f>
        <v>52.73</v>
      </c>
      <c r="AS511" s="3">
        <f ca="1">IFERROR(__xludf.DUMMYFUNCTION("""COMPUTED_VALUE"""),52.89)</f>
        <v>52.89</v>
      </c>
      <c r="AT511" s="3">
        <f ca="1">IFERROR(__xludf.DUMMYFUNCTION("""COMPUTED_VALUE"""),52.6)</f>
        <v>52.6</v>
      </c>
      <c r="AU511" s="3">
        <f ca="1">IFERROR(__xludf.DUMMYFUNCTION("""COMPUTED_VALUE"""),52.82)</f>
        <v>52.82</v>
      </c>
      <c r="AV511" s="3">
        <f ca="1">IFERROR(__xludf.DUMMYFUNCTION("""COMPUTED_VALUE"""),3194017)</f>
        <v>3194017</v>
      </c>
      <c r="BC511" s="4">
        <f ca="1">IFERROR(__xludf.DUMMYFUNCTION("""COMPUTED_VALUE"""),42865.6666666666)</f>
        <v>42865.666666666599</v>
      </c>
      <c r="BD511" s="3">
        <f ca="1">IFERROR(__xludf.DUMMYFUNCTION("""COMPUTED_VALUE"""),55.34)</f>
        <v>55.34</v>
      </c>
      <c r="BE511" s="3">
        <f ca="1">IFERROR(__xludf.DUMMYFUNCTION("""COMPUTED_VALUE"""),55.53)</f>
        <v>55.53</v>
      </c>
      <c r="BF511" s="3">
        <f ca="1">IFERROR(__xludf.DUMMYFUNCTION("""COMPUTED_VALUE"""),55.22)</f>
        <v>55.22</v>
      </c>
      <c r="BG511" s="3">
        <f ca="1">IFERROR(__xludf.DUMMYFUNCTION("""COMPUTED_VALUE"""),55.49)</f>
        <v>55.49</v>
      </c>
      <c r="BH511" s="3">
        <f ca="1">IFERROR(__xludf.DUMMYFUNCTION("""COMPUTED_VALUE"""),5302044)</f>
        <v>5302044</v>
      </c>
      <c r="BI511" s="4">
        <f ca="1">IFERROR(__xludf.DUMMYFUNCTION("""COMPUTED_VALUE"""),42865.6666666666)</f>
        <v>42865.666666666599</v>
      </c>
      <c r="BJ511" s="3">
        <f ca="1">IFERROR(__xludf.DUMMYFUNCTION("""COMPUTED_VALUE"""),51.37)</f>
        <v>51.37</v>
      </c>
      <c r="BK511" s="3">
        <f ca="1">IFERROR(__xludf.DUMMYFUNCTION("""COMPUTED_VALUE"""),51.52)</f>
        <v>51.52</v>
      </c>
      <c r="BL511" s="3">
        <f ca="1">IFERROR(__xludf.DUMMYFUNCTION("""COMPUTED_VALUE"""),51.13)</f>
        <v>51.13</v>
      </c>
      <c r="BM511" s="3">
        <f ca="1">IFERROR(__xludf.DUMMYFUNCTION("""COMPUTED_VALUE"""),51.41)</f>
        <v>51.41</v>
      </c>
      <c r="BN511" s="3">
        <f ca="1">IFERROR(__xludf.DUMMYFUNCTION("""COMPUTED_VALUE"""),8439821)</f>
        <v>8439821</v>
      </c>
    </row>
    <row r="512" spans="7:66" ht="13" x14ac:dyDescent="0.15">
      <c r="G512" s="4">
        <f ca="1">IFERROR(__xludf.DUMMYFUNCTION("""COMPUTED_VALUE"""),42866.6666666666)</f>
        <v>42866.666666666599</v>
      </c>
      <c r="H512" s="3">
        <f ca="1">IFERROR(__xludf.DUMMYFUNCTION("""COMPUTED_VALUE"""),90.38)</f>
        <v>90.38</v>
      </c>
      <c r="I512" s="3">
        <f ca="1">IFERROR(__xludf.DUMMYFUNCTION("""COMPUTED_VALUE"""),90.38)</f>
        <v>90.38</v>
      </c>
      <c r="J512" s="3">
        <f ca="1">IFERROR(__xludf.DUMMYFUNCTION("""COMPUTED_VALUE"""),89.46)</f>
        <v>89.46</v>
      </c>
      <c r="K512" s="3">
        <f ca="1">IFERROR(__xludf.DUMMYFUNCTION("""COMPUTED_VALUE"""),90.01)</f>
        <v>90.01</v>
      </c>
      <c r="L512" s="3">
        <f ca="1">IFERROR(__xludf.DUMMYFUNCTION("""COMPUTED_VALUE"""),4351558)</f>
        <v>4351558</v>
      </c>
      <c r="M512" s="4">
        <f ca="1">IFERROR(__xludf.DUMMYFUNCTION("""COMPUTED_VALUE"""),42866.6666666666)</f>
        <v>42866.666666666599</v>
      </c>
      <c r="N512" s="3">
        <f ca="1">IFERROR(__xludf.DUMMYFUNCTION("""COMPUTED_VALUE"""),54.97)</f>
        <v>54.97</v>
      </c>
      <c r="O512" s="3">
        <f ca="1">IFERROR(__xludf.DUMMYFUNCTION("""COMPUTED_VALUE"""),55.12)</f>
        <v>55.12</v>
      </c>
      <c r="P512" s="3">
        <f ca="1">IFERROR(__xludf.DUMMYFUNCTION("""COMPUTED_VALUE"""),54.88)</f>
        <v>54.88</v>
      </c>
      <c r="Q512" s="3">
        <f ca="1">IFERROR(__xludf.DUMMYFUNCTION("""COMPUTED_VALUE"""),55.12)</f>
        <v>55.12</v>
      </c>
      <c r="R512" s="3">
        <f ca="1">IFERROR(__xludf.DUMMYFUNCTION("""COMPUTED_VALUE"""),5058934)</f>
        <v>5058934</v>
      </c>
      <c r="S512" s="4">
        <f ca="1">IFERROR(__xludf.DUMMYFUNCTION("""COMPUTED_VALUE"""),42866.6666666666)</f>
        <v>42866.666666666599</v>
      </c>
      <c r="T512" s="3">
        <f ca="1">IFERROR(__xludf.DUMMYFUNCTION("""COMPUTED_VALUE"""),68.36)</f>
        <v>68.36</v>
      </c>
      <c r="U512" s="3">
        <f ca="1">IFERROR(__xludf.DUMMYFUNCTION("""COMPUTED_VALUE"""),68.48)</f>
        <v>68.48</v>
      </c>
      <c r="V512" s="3">
        <f ca="1">IFERROR(__xludf.DUMMYFUNCTION("""COMPUTED_VALUE"""),67.88)</f>
        <v>67.88</v>
      </c>
      <c r="W512" s="3">
        <f ca="1">IFERROR(__xludf.DUMMYFUNCTION("""COMPUTED_VALUE"""),67.98)</f>
        <v>67.98</v>
      </c>
      <c r="X512" s="3">
        <f ca="1">IFERROR(__xludf.DUMMYFUNCTION("""COMPUTED_VALUE"""),11968679)</f>
        <v>11968679</v>
      </c>
      <c r="Y512" s="4">
        <f ca="1">IFERROR(__xludf.DUMMYFUNCTION("""COMPUTED_VALUE"""),42866.6666666666)</f>
        <v>42866.666666666599</v>
      </c>
      <c r="Z512" s="3">
        <f ca="1">IFERROR(__xludf.DUMMYFUNCTION("""COMPUTED_VALUE"""),23.72)</f>
        <v>23.72</v>
      </c>
      <c r="AA512" s="3">
        <f ca="1">IFERROR(__xludf.DUMMYFUNCTION("""COMPUTED_VALUE"""),23.76)</f>
        <v>23.76</v>
      </c>
      <c r="AB512" s="3">
        <f ca="1">IFERROR(__xludf.DUMMYFUNCTION("""COMPUTED_VALUE"""),23.47)</f>
        <v>23.47</v>
      </c>
      <c r="AC512" s="3">
        <f ca="1">IFERROR(__xludf.DUMMYFUNCTION("""COMPUTED_VALUE"""),23.66)</f>
        <v>23.66</v>
      </c>
      <c r="AD512" s="3">
        <f ca="1">IFERROR(__xludf.DUMMYFUNCTION("""COMPUTED_VALUE"""),77266708)</f>
        <v>77266708</v>
      </c>
      <c r="AE512" s="4">
        <f ca="1">IFERROR(__xludf.DUMMYFUNCTION("""COMPUTED_VALUE"""),42866.6666666666)</f>
        <v>42866.666666666599</v>
      </c>
      <c r="AF512" s="3">
        <f ca="1">IFERROR(__xludf.DUMMYFUNCTION("""COMPUTED_VALUE"""),75.25)</f>
        <v>75.25</v>
      </c>
      <c r="AG512" s="3">
        <f ca="1">IFERROR(__xludf.DUMMYFUNCTION("""COMPUTED_VALUE"""),75.44)</f>
        <v>75.44</v>
      </c>
      <c r="AH512" s="3">
        <f ca="1">IFERROR(__xludf.DUMMYFUNCTION("""COMPUTED_VALUE"""),75.03)</f>
        <v>75.03</v>
      </c>
      <c r="AI512" s="3">
        <f ca="1">IFERROR(__xludf.DUMMYFUNCTION("""COMPUTED_VALUE"""),75.41)</f>
        <v>75.41</v>
      </c>
      <c r="AJ512" s="3">
        <f ca="1">IFERROR(__xludf.DUMMYFUNCTION("""COMPUTED_VALUE"""),6791572)</f>
        <v>6791572</v>
      </c>
      <c r="AK512" s="4">
        <f ca="1">IFERROR(__xludf.DUMMYFUNCTION("""COMPUTED_VALUE"""),42866.6666666666)</f>
        <v>42866.666666666599</v>
      </c>
      <c r="AL512" s="3">
        <f ca="1">IFERROR(__xludf.DUMMYFUNCTION("""COMPUTED_VALUE"""),66.48)</f>
        <v>66.48</v>
      </c>
      <c r="AM512" s="3">
        <f ca="1">IFERROR(__xludf.DUMMYFUNCTION("""COMPUTED_VALUE"""),66.76)</f>
        <v>66.760000000000005</v>
      </c>
      <c r="AN512" s="3">
        <f ca="1">IFERROR(__xludf.DUMMYFUNCTION("""COMPUTED_VALUE"""),66.08)</f>
        <v>66.08</v>
      </c>
      <c r="AO512" s="3">
        <f ca="1">IFERROR(__xludf.DUMMYFUNCTION("""COMPUTED_VALUE"""),66.67)</f>
        <v>66.67</v>
      </c>
      <c r="AP512" s="3">
        <f ca="1">IFERROR(__xludf.DUMMYFUNCTION("""COMPUTED_VALUE"""),8400034)</f>
        <v>8400034</v>
      </c>
      <c r="AQ512" s="4">
        <f ca="1">IFERROR(__xludf.DUMMYFUNCTION("""COMPUTED_VALUE"""),42866.6666666666)</f>
        <v>42866.666666666599</v>
      </c>
      <c r="AR512" s="3">
        <f ca="1">IFERROR(__xludf.DUMMYFUNCTION("""COMPUTED_VALUE"""),52.68)</f>
        <v>52.68</v>
      </c>
      <c r="AS512" s="3">
        <f ca="1">IFERROR(__xludf.DUMMYFUNCTION("""COMPUTED_VALUE"""),52.86)</f>
        <v>52.86</v>
      </c>
      <c r="AT512" s="3">
        <f ca="1">IFERROR(__xludf.DUMMYFUNCTION("""COMPUTED_VALUE"""),52.26)</f>
        <v>52.26</v>
      </c>
      <c r="AU512" s="3">
        <f ca="1">IFERROR(__xludf.DUMMYFUNCTION("""COMPUTED_VALUE"""),52.74)</f>
        <v>52.74</v>
      </c>
      <c r="AV512" s="3">
        <f ca="1">IFERROR(__xludf.DUMMYFUNCTION("""COMPUTED_VALUE"""),3340290)</f>
        <v>3340290</v>
      </c>
      <c r="BC512" s="4">
        <f ca="1">IFERROR(__xludf.DUMMYFUNCTION("""COMPUTED_VALUE"""),42866.6666666666)</f>
        <v>42866.666666666599</v>
      </c>
      <c r="BD512" s="3">
        <f ca="1">IFERROR(__xludf.DUMMYFUNCTION("""COMPUTED_VALUE"""),55.32)</f>
        <v>55.32</v>
      </c>
      <c r="BE512" s="3">
        <f ca="1">IFERROR(__xludf.DUMMYFUNCTION("""COMPUTED_VALUE"""),55.45)</f>
        <v>55.45</v>
      </c>
      <c r="BF512" s="3">
        <f ca="1">IFERROR(__xludf.DUMMYFUNCTION("""COMPUTED_VALUE"""),55.1)</f>
        <v>55.1</v>
      </c>
      <c r="BG512" s="3">
        <f ca="1">IFERROR(__xludf.DUMMYFUNCTION("""COMPUTED_VALUE"""),55.42)</f>
        <v>55.42</v>
      </c>
      <c r="BH512" s="3">
        <f ca="1">IFERROR(__xludf.DUMMYFUNCTION("""COMPUTED_VALUE"""),9098048)</f>
        <v>9098048</v>
      </c>
      <c r="BI512" s="4">
        <f ca="1">IFERROR(__xludf.DUMMYFUNCTION("""COMPUTED_VALUE"""),42866.6666666666)</f>
        <v>42866.666666666599</v>
      </c>
      <c r="BJ512" s="3">
        <f ca="1">IFERROR(__xludf.DUMMYFUNCTION("""COMPUTED_VALUE"""),51.28)</f>
        <v>51.28</v>
      </c>
      <c r="BK512" s="3">
        <f ca="1">IFERROR(__xludf.DUMMYFUNCTION("""COMPUTED_VALUE"""),51.48)</f>
        <v>51.48</v>
      </c>
      <c r="BL512" s="3">
        <f ca="1">IFERROR(__xludf.DUMMYFUNCTION("""COMPUTED_VALUE"""),51.07)</f>
        <v>51.07</v>
      </c>
      <c r="BM512" s="3">
        <f ca="1">IFERROR(__xludf.DUMMYFUNCTION("""COMPUTED_VALUE"""),51.48)</f>
        <v>51.48</v>
      </c>
      <c r="BN512" s="3">
        <f ca="1">IFERROR(__xludf.DUMMYFUNCTION("""COMPUTED_VALUE"""),7699155)</f>
        <v>7699155</v>
      </c>
    </row>
    <row r="513" spans="7:66" ht="13" x14ac:dyDescent="0.15">
      <c r="G513" s="4">
        <f ca="1">IFERROR(__xludf.DUMMYFUNCTION("""COMPUTED_VALUE"""),42867.6666666666)</f>
        <v>42867.666666666599</v>
      </c>
      <c r="H513" s="3">
        <f ca="1">IFERROR(__xludf.DUMMYFUNCTION("""COMPUTED_VALUE"""),90.1)</f>
        <v>90.1</v>
      </c>
      <c r="I513" s="3">
        <f ca="1">IFERROR(__xludf.DUMMYFUNCTION("""COMPUTED_VALUE"""),90.1)</f>
        <v>90.1</v>
      </c>
      <c r="J513" s="3">
        <f ca="1">IFERROR(__xludf.DUMMYFUNCTION("""COMPUTED_VALUE"""),89.77)</f>
        <v>89.77</v>
      </c>
      <c r="K513" s="3">
        <f ca="1">IFERROR(__xludf.DUMMYFUNCTION("""COMPUTED_VALUE"""),89.88)</f>
        <v>89.88</v>
      </c>
      <c r="L513" s="3">
        <f ca="1">IFERROR(__xludf.DUMMYFUNCTION("""COMPUTED_VALUE"""),3230814)</f>
        <v>3230814</v>
      </c>
      <c r="M513" s="4">
        <f ca="1">IFERROR(__xludf.DUMMYFUNCTION("""COMPUTED_VALUE"""),42867.6666666666)</f>
        <v>42867.666666666599</v>
      </c>
      <c r="N513" s="3">
        <f ca="1">IFERROR(__xludf.DUMMYFUNCTION("""COMPUTED_VALUE"""),55.07)</f>
        <v>55.07</v>
      </c>
      <c r="O513" s="3">
        <f ca="1">IFERROR(__xludf.DUMMYFUNCTION("""COMPUTED_VALUE"""),55.11)</f>
        <v>55.11</v>
      </c>
      <c r="P513" s="3">
        <f ca="1">IFERROR(__xludf.DUMMYFUNCTION("""COMPUTED_VALUE"""),54.93)</f>
        <v>54.93</v>
      </c>
      <c r="Q513" s="3">
        <f ca="1">IFERROR(__xludf.DUMMYFUNCTION("""COMPUTED_VALUE"""),54.96)</f>
        <v>54.96</v>
      </c>
      <c r="R513" s="3">
        <f ca="1">IFERROR(__xludf.DUMMYFUNCTION("""COMPUTED_VALUE"""),5478808)</f>
        <v>5478808</v>
      </c>
      <c r="S513" s="4">
        <f ca="1">IFERROR(__xludf.DUMMYFUNCTION("""COMPUTED_VALUE"""),42867.6666666666)</f>
        <v>42867.666666666599</v>
      </c>
      <c r="T513" s="3">
        <f ca="1">IFERROR(__xludf.DUMMYFUNCTION("""COMPUTED_VALUE"""),67.93)</f>
        <v>67.930000000000007</v>
      </c>
      <c r="U513" s="3">
        <f ca="1">IFERROR(__xludf.DUMMYFUNCTION("""COMPUTED_VALUE"""),68.06)</f>
        <v>68.06</v>
      </c>
      <c r="V513" s="3">
        <f ca="1">IFERROR(__xludf.DUMMYFUNCTION("""COMPUTED_VALUE"""),67.55)</f>
        <v>67.55</v>
      </c>
      <c r="W513" s="3">
        <f ca="1">IFERROR(__xludf.DUMMYFUNCTION("""COMPUTED_VALUE"""),67.75)</f>
        <v>67.75</v>
      </c>
      <c r="X513" s="3">
        <f ca="1">IFERROR(__xludf.DUMMYFUNCTION("""COMPUTED_VALUE"""),10708604)</f>
        <v>10708604</v>
      </c>
      <c r="Y513" s="4">
        <f ca="1">IFERROR(__xludf.DUMMYFUNCTION("""COMPUTED_VALUE"""),42867.6666666666)</f>
        <v>42867.666666666599</v>
      </c>
      <c r="Z513" s="3">
        <f ca="1">IFERROR(__xludf.DUMMYFUNCTION("""COMPUTED_VALUE"""),23.55)</f>
        <v>23.55</v>
      </c>
      <c r="AA513" s="3">
        <f ca="1">IFERROR(__xludf.DUMMYFUNCTION("""COMPUTED_VALUE"""),23.57)</f>
        <v>23.57</v>
      </c>
      <c r="AB513" s="3">
        <f ca="1">IFERROR(__xludf.DUMMYFUNCTION("""COMPUTED_VALUE"""),23.43)</f>
        <v>23.43</v>
      </c>
      <c r="AC513" s="3">
        <f ca="1">IFERROR(__xludf.DUMMYFUNCTION("""COMPUTED_VALUE"""),23.56)</f>
        <v>23.56</v>
      </c>
      <c r="AD513" s="3">
        <f ca="1">IFERROR(__xludf.DUMMYFUNCTION("""COMPUTED_VALUE"""),55787188)</f>
        <v>55787188</v>
      </c>
      <c r="AE513" s="4">
        <f ca="1">IFERROR(__xludf.DUMMYFUNCTION("""COMPUTED_VALUE"""),42867.6666666666)</f>
        <v>42867.666666666599</v>
      </c>
      <c r="AF513" s="3">
        <f ca="1">IFERROR(__xludf.DUMMYFUNCTION("""COMPUTED_VALUE"""),75.38)</f>
        <v>75.38</v>
      </c>
      <c r="AG513" s="3">
        <f ca="1">IFERROR(__xludf.DUMMYFUNCTION("""COMPUTED_VALUE"""),75.49)</f>
        <v>75.489999999999995</v>
      </c>
      <c r="AH513" s="3">
        <f ca="1">IFERROR(__xludf.DUMMYFUNCTION("""COMPUTED_VALUE"""),75.23)</f>
        <v>75.23</v>
      </c>
      <c r="AI513" s="3">
        <f ca="1">IFERROR(__xludf.DUMMYFUNCTION("""COMPUTED_VALUE"""),75.28)</f>
        <v>75.28</v>
      </c>
      <c r="AJ513" s="3">
        <f ca="1">IFERROR(__xludf.DUMMYFUNCTION("""COMPUTED_VALUE"""),2638025)</f>
        <v>2638025</v>
      </c>
      <c r="AK513" s="4">
        <f ca="1">IFERROR(__xludf.DUMMYFUNCTION("""COMPUTED_VALUE"""),42867.6666666666)</f>
        <v>42867.666666666599</v>
      </c>
      <c r="AL513" s="3">
        <f ca="1">IFERROR(__xludf.DUMMYFUNCTION("""COMPUTED_VALUE"""),66.5)</f>
        <v>66.5</v>
      </c>
      <c r="AM513" s="3">
        <f ca="1">IFERROR(__xludf.DUMMYFUNCTION("""COMPUTED_VALUE"""),66.5)</f>
        <v>66.5</v>
      </c>
      <c r="AN513" s="3">
        <f ca="1">IFERROR(__xludf.DUMMYFUNCTION("""COMPUTED_VALUE"""),66.14)</f>
        <v>66.14</v>
      </c>
      <c r="AO513" s="3">
        <f ca="1">IFERROR(__xludf.DUMMYFUNCTION("""COMPUTED_VALUE"""),66.3)</f>
        <v>66.3</v>
      </c>
      <c r="AP513" s="3">
        <f ca="1">IFERROR(__xludf.DUMMYFUNCTION("""COMPUTED_VALUE"""),7186375)</f>
        <v>7186375</v>
      </c>
      <c r="AQ513" s="4">
        <f ca="1">IFERROR(__xludf.DUMMYFUNCTION("""COMPUTED_VALUE"""),42867.6666666666)</f>
        <v>42867.666666666599</v>
      </c>
      <c r="AR513" s="3">
        <f ca="1">IFERROR(__xludf.DUMMYFUNCTION("""COMPUTED_VALUE"""),52.7)</f>
        <v>52.7</v>
      </c>
      <c r="AS513" s="3">
        <f ca="1">IFERROR(__xludf.DUMMYFUNCTION("""COMPUTED_VALUE"""),52.77)</f>
        <v>52.77</v>
      </c>
      <c r="AT513" s="3">
        <f ca="1">IFERROR(__xludf.DUMMYFUNCTION("""COMPUTED_VALUE"""),52.57)</f>
        <v>52.57</v>
      </c>
      <c r="AU513" s="3">
        <f ca="1">IFERROR(__xludf.DUMMYFUNCTION("""COMPUTED_VALUE"""),52.61)</f>
        <v>52.61</v>
      </c>
      <c r="AV513" s="3">
        <f ca="1">IFERROR(__xludf.DUMMYFUNCTION("""COMPUTED_VALUE"""),2359174)</f>
        <v>2359174</v>
      </c>
      <c r="BC513" s="4">
        <f ca="1">IFERROR(__xludf.DUMMYFUNCTION("""COMPUTED_VALUE"""),42867.6666666666)</f>
        <v>42867.666666666599</v>
      </c>
      <c r="BD513" s="3">
        <f ca="1">IFERROR(__xludf.DUMMYFUNCTION("""COMPUTED_VALUE"""),55.47)</f>
        <v>55.47</v>
      </c>
      <c r="BE513" s="3">
        <f ca="1">IFERROR(__xludf.DUMMYFUNCTION("""COMPUTED_VALUE"""),55.59)</f>
        <v>55.59</v>
      </c>
      <c r="BF513" s="3">
        <f ca="1">IFERROR(__xludf.DUMMYFUNCTION("""COMPUTED_VALUE"""),55.41)</f>
        <v>55.41</v>
      </c>
      <c r="BG513" s="3">
        <f ca="1">IFERROR(__xludf.DUMMYFUNCTION("""COMPUTED_VALUE"""),55.56)</f>
        <v>55.56</v>
      </c>
      <c r="BH513" s="3">
        <f ca="1">IFERROR(__xludf.DUMMYFUNCTION("""COMPUTED_VALUE"""),4653845)</f>
        <v>4653845</v>
      </c>
      <c r="BI513" s="4">
        <f ca="1">IFERROR(__xludf.DUMMYFUNCTION("""COMPUTED_VALUE"""),42867.6666666666)</f>
        <v>42867.666666666599</v>
      </c>
      <c r="BJ513" s="3">
        <f ca="1">IFERROR(__xludf.DUMMYFUNCTION("""COMPUTED_VALUE"""),51.6)</f>
        <v>51.6</v>
      </c>
      <c r="BK513" s="3">
        <f ca="1">IFERROR(__xludf.DUMMYFUNCTION("""COMPUTED_VALUE"""),51.84)</f>
        <v>51.84</v>
      </c>
      <c r="BL513" s="3">
        <f ca="1">IFERROR(__xludf.DUMMYFUNCTION("""COMPUTED_VALUE"""),51.53)</f>
        <v>51.53</v>
      </c>
      <c r="BM513" s="3">
        <f ca="1">IFERROR(__xludf.DUMMYFUNCTION("""COMPUTED_VALUE"""),51.73)</f>
        <v>51.73</v>
      </c>
      <c r="BN513" s="3">
        <f ca="1">IFERROR(__xludf.DUMMYFUNCTION("""COMPUTED_VALUE"""),7523074)</f>
        <v>7523074</v>
      </c>
    </row>
    <row r="514" spans="7:66" ht="13" x14ac:dyDescent="0.15">
      <c r="G514" s="4">
        <f ca="1">IFERROR(__xludf.DUMMYFUNCTION("""COMPUTED_VALUE"""),42870.6666666666)</f>
        <v>42870.666666666599</v>
      </c>
      <c r="H514" s="3">
        <f ca="1">IFERROR(__xludf.DUMMYFUNCTION("""COMPUTED_VALUE"""),89.9)</f>
        <v>89.9</v>
      </c>
      <c r="I514" s="3">
        <f ca="1">IFERROR(__xludf.DUMMYFUNCTION("""COMPUTED_VALUE"""),90.28)</f>
        <v>90.28</v>
      </c>
      <c r="J514" s="3">
        <f ca="1">IFERROR(__xludf.DUMMYFUNCTION("""COMPUTED_VALUE"""),89.8)</f>
        <v>89.8</v>
      </c>
      <c r="K514" s="3">
        <f ca="1">IFERROR(__xludf.DUMMYFUNCTION("""COMPUTED_VALUE"""),89.9)</f>
        <v>89.9</v>
      </c>
      <c r="L514" s="3">
        <f ca="1">IFERROR(__xludf.DUMMYFUNCTION("""COMPUTED_VALUE"""),3952248)</f>
        <v>3952248</v>
      </c>
      <c r="M514" s="4">
        <f ca="1">IFERROR(__xludf.DUMMYFUNCTION("""COMPUTED_VALUE"""),42870.6666666666)</f>
        <v>42870.666666666599</v>
      </c>
      <c r="N514" s="3">
        <f ca="1">IFERROR(__xludf.DUMMYFUNCTION("""COMPUTED_VALUE"""),54.93)</f>
        <v>54.93</v>
      </c>
      <c r="O514" s="3">
        <f ca="1">IFERROR(__xludf.DUMMYFUNCTION("""COMPUTED_VALUE"""),55.2)</f>
        <v>55.2</v>
      </c>
      <c r="P514" s="3">
        <f ca="1">IFERROR(__xludf.DUMMYFUNCTION("""COMPUTED_VALUE"""),54.93)</f>
        <v>54.93</v>
      </c>
      <c r="Q514" s="3">
        <f ca="1">IFERROR(__xludf.DUMMYFUNCTION("""COMPUTED_VALUE"""),55.14)</f>
        <v>55.14</v>
      </c>
      <c r="R514" s="3">
        <f ca="1">IFERROR(__xludf.DUMMYFUNCTION("""COMPUTED_VALUE"""),7303665)</f>
        <v>7303665</v>
      </c>
      <c r="S514" s="4">
        <f ca="1">IFERROR(__xludf.DUMMYFUNCTION("""COMPUTED_VALUE"""),42870.6666666666)</f>
        <v>42870.666666666599</v>
      </c>
      <c r="T514" s="3">
        <f ca="1">IFERROR(__xludf.DUMMYFUNCTION("""COMPUTED_VALUE"""),68.76)</f>
        <v>68.760000000000005</v>
      </c>
      <c r="U514" s="3">
        <f ca="1">IFERROR(__xludf.DUMMYFUNCTION("""COMPUTED_VALUE"""),68.87)</f>
        <v>68.87</v>
      </c>
      <c r="V514" s="3">
        <f ca="1">IFERROR(__xludf.DUMMYFUNCTION("""COMPUTED_VALUE"""),68.06)</f>
        <v>68.06</v>
      </c>
      <c r="W514" s="3">
        <f ca="1">IFERROR(__xludf.DUMMYFUNCTION("""COMPUTED_VALUE"""),68.28)</f>
        <v>68.28</v>
      </c>
      <c r="X514" s="3">
        <f ca="1">IFERROR(__xludf.DUMMYFUNCTION("""COMPUTED_VALUE"""),13206867)</f>
        <v>13206867</v>
      </c>
      <c r="Y514" s="4">
        <f ca="1">IFERROR(__xludf.DUMMYFUNCTION("""COMPUTED_VALUE"""),42870.6666666666)</f>
        <v>42870.666666666599</v>
      </c>
      <c r="Z514" s="3">
        <f ca="1">IFERROR(__xludf.DUMMYFUNCTION("""COMPUTED_VALUE"""),23.61)</f>
        <v>23.61</v>
      </c>
      <c r="AA514" s="3">
        <f ca="1">IFERROR(__xludf.DUMMYFUNCTION("""COMPUTED_VALUE"""),23.79)</f>
        <v>23.79</v>
      </c>
      <c r="AB514" s="3">
        <f ca="1">IFERROR(__xludf.DUMMYFUNCTION("""COMPUTED_VALUE"""),23.6)</f>
        <v>23.6</v>
      </c>
      <c r="AC514" s="3">
        <f ca="1">IFERROR(__xludf.DUMMYFUNCTION("""COMPUTED_VALUE"""),23.74)</f>
        <v>23.74</v>
      </c>
      <c r="AD514" s="3">
        <f ca="1">IFERROR(__xludf.DUMMYFUNCTION("""COMPUTED_VALUE"""),52192101)</f>
        <v>52192101</v>
      </c>
      <c r="AE514" s="4">
        <f ca="1">IFERROR(__xludf.DUMMYFUNCTION("""COMPUTED_VALUE"""),42870.6666666666)</f>
        <v>42870.666666666599</v>
      </c>
      <c r="AF514" s="3">
        <f ca="1">IFERROR(__xludf.DUMMYFUNCTION("""COMPUTED_VALUE"""),75.32)</f>
        <v>75.319999999999993</v>
      </c>
      <c r="AG514" s="3">
        <f ca="1">IFERROR(__xludf.DUMMYFUNCTION("""COMPUTED_VALUE"""),75.81)</f>
        <v>75.81</v>
      </c>
      <c r="AH514" s="3">
        <f ca="1">IFERROR(__xludf.DUMMYFUNCTION("""COMPUTED_VALUE"""),75.25)</f>
        <v>75.25</v>
      </c>
      <c r="AI514" s="3">
        <f ca="1">IFERROR(__xludf.DUMMYFUNCTION("""COMPUTED_VALUE"""),75.77)</f>
        <v>75.77</v>
      </c>
      <c r="AJ514" s="3">
        <f ca="1">IFERROR(__xludf.DUMMYFUNCTION("""COMPUTED_VALUE"""),7320754)</f>
        <v>7320754</v>
      </c>
      <c r="AK514" s="4">
        <f ca="1">IFERROR(__xludf.DUMMYFUNCTION("""COMPUTED_VALUE"""),42870.6666666666)</f>
        <v>42870.666666666599</v>
      </c>
      <c r="AL514" s="3">
        <f ca="1">IFERROR(__xludf.DUMMYFUNCTION("""COMPUTED_VALUE"""),66.3)</f>
        <v>66.3</v>
      </c>
      <c r="AM514" s="3">
        <f ca="1">IFERROR(__xludf.DUMMYFUNCTION("""COMPUTED_VALUE"""),66.66)</f>
        <v>66.66</v>
      </c>
      <c r="AN514" s="3">
        <f ca="1">IFERROR(__xludf.DUMMYFUNCTION("""COMPUTED_VALUE"""),66.3)</f>
        <v>66.3</v>
      </c>
      <c r="AO514" s="3">
        <f ca="1">IFERROR(__xludf.DUMMYFUNCTION("""COMPUTED_VALUE"""),66.61)</f>
        <v>66.61</v>
      </c>
      <c r="AP514" s="3">
        <f ca="1">IFERROR(__xludf.DUMMYFUNCTION("""COMPUTED_VALUE"""),8413529)</f>
        <v>8413529</v>
      </c>
      <c r="AQ514" s="4">
        <f ca="1">IFERROR(__xludf.DUMMYFUNCTION("""COMPUTED_VALUE"""),42870.6666666666)</f>
        <v>42870.666666666599</v>
      </c>
      <c r="AR514" s="3">
        <f ca="1">IFERROR(__xludf.DUMMYFUNCTION("""COMPUTED_VALUE"""),52.77)</f>
        <v>52.77</v>
      </c>
      <c r="AS514" s="3">
        <f ca="1">IFERROR(__xludf.DUMMYFUNCTION("""COMPUTED_VALUE"""),53.23)</f>
        <v>53.23</v>
      </c>
      <c r="AT514" s="3">
        <f ca="1">IFERROR(__xludf.DUMMYFUNCTION("""COMPUTED_VALUE"""),52.77)</f>
        <v>52.77</v>
      </c>
      <c r="AU514" s="3">
        <f ca="1">IFERROR(__xludf.DUMMYFUNCTION("""COMPUTED_VALUE"""),53.07)</f>
        <v>53.07</v>
      </c>
      <c r="AV514" s="3">
        <f ca="1">IFERROR(__xludf.DUMMYFUNCTION("""COMPUTED_VALUE"""),3263078)</f>
        <v>3263078</v>
      </c>
      <c r="BC514" s="4">
        <f ca="1">IFERROR(__xludf.DUMMYFUNCTION("""COMPUTED_VALUE"""),42870.6666666666)</f>
        <v>42870.666666666599</v>
      </c>
      <c r="BD514" s="3">
        <f ca="1">IFERROR(__xludf.DUMMYFUNCTION("""COMPUTED_VALUE"""),55.63)</f>
        <v>55.63</v>
      </c>
      <c r="BE514" s="3">
        <f ca="1">IFERROR(__xludf.DUMMYFUNCTION("""COMPUTED_VALUE"""),55.87)</f>
        <v>55.87</v>
      </c>
      <c r="BF514" s="3">
        <f ca="1">IFERROR(__xludf.DUMMYFUNCTION("""COMPUTED_VALUE"""),55.6)</f>
        <v>55.6</v>
      </c>
      <c r="BG514" s="3">
        <f ca="1">IFERROR(__xludf.DUMMYFUNCTION("""COMPUTED_VALUE"""),55.87)</f>
        <v>55.87</v>
      </c>
      <c r="BH514" s="3">
        <f ca="1">IFERROR(__xludf.DUMMYFUNCTION("""COMPUTED_VALUE"""),9949265)</f>
        <v>9949265</v>
      </c>
      <c r="BI514" s="4">
        <f ca="1">IFERROR(__xludf.DUMMYFUNCTION("""COMPUTED_VALUE"""),42870.6666666666)</f>
        <v>42870.666666666599</v>
      </c>
      <c r="BJ514" s="3">
        <f ca="1">IFERROR(__xludf.DUMMYFUNCTION("""COMPUTED_VALUE"""),51.74)</f>
        <v>51.74</v>
      </c>
      <c r="BK514" s="3">
        <f ca="1">IFERROR(__xludf.DUMMYFUNCTION("""COMPUTED_VALUE"""),52.04)</f>
        <v>52.04</v>
      </c>
      <c r="BL514" s="3">
        <f ca="1">IFERROR(__xludf.DUMMYFUNCTION("""COMPUTED_VALUE"""),51.68)</f>
        <v>51.68</v>
      </c>
      <c r="BM514" s="3">
        <f ca="1">IFERROR(__xludf.DUMMYFUNCTION("""COMPUTED_VALUE"""),51.95)</f>
        <v>51.95</v>
      </c>
      <c r="BN514" s="3">
        <f ca="1">IFERROR(__xludf.DUMMYFUNCTION("""COMPUTED_VALUE"""),6351125)</f>
        <v>6351125</v>
      </c>
    </row>
    <row r="515" spans="7:66" ht="13" x14ac:dyDescent="0.15">
      <c r="G515" s="4">
        <f ca="1">IFERROR(__xludf.DUMMYFUNCTION("""COMPUTED_VALUE"""),42871.6666666666)</f>
        <v>42871.666666666599</v>
      </c>
      <c r="H515" s="3">
        <f ca="1">IFERROR(__xludf.DUMMYFUNCTION("""COMPUTED_VALUE"""),89.95)</f>
        <v>89.95</v>
      </c>
      <c r="I515" s="3">
        <f ca="1">IFERROR(__xludf.DUMMYFUNCTION("""COMPUTED_VALUE"""),90.02)</f>
        <v>90.02</v>
      </c>
      <c r="J515" s="3">
        <f ca="1">IFERROR(__xludf.DUMMYFUNCTION("""COMPUTED_VALUE"""),89.53)</f>
        <v>89.53</v>
      </c>
      <c r="K515" s="3">
        <f ca="1">IFERROR(__xludf.DUMMYFUNCTION("""COMPUTED_VALUE"""),89.59)</f>
        <v>89.59</v>
      </c>
      <c r="L515" s="3">
        <f ca="1">IFERROR(__xludf.DUMMYFUNCTION("""COMPUTED_VALUE"""),4198330)</f>
        <v>4198330</v>
      </c>
      <c r="M515" s="4">
        <f ca="1">IFERROR(__xludf.DUMMYFUNCTION("""COMPUTED_VALUE"""),42871.6666666666)</f>
        <v>42871.666666666599</v>
      </c>
      <c r="N515" s="3">
        <f ca="1">IFERROR(__xludf.DUMMYFUNCTION("""COMPUTED_VALUE"""),55.31)</f>
        <v>55.31</v>
      </c>
      <c r="O515" s="3">
        <f ca="1">IFERROR(__xludf.DUMMYFUNCTION("""COMPUTED_VALUE"""),55.39)</f>
        <v>55.39</v>
      </c>
      <c r="P515" s="3">
        <f ca="1">IFERROR(__xludf.DUMMYFUNCTION("""COMPUTED_VALUE"""),55.05)</f>
        <v>55.05</v>
      </c>
      <c r="Q515" s="3">
        <f ca="1">IFERROR(__xludf.DUMMYFUNCTION("""COMPUTED_VALUE"""),55.09)</f>
        <v>55.09</v>
      </c>
      <c r="R515" s="3">
        <f ca="1">IFERROR(__xludf.DUMMYFUNCTION("""COMPUTED_VALUE"""),4797112)</f>
        <v>4797112</v>
      </c>
      <c r="S515" s="4">
        <f ca="1">IFERROR(__xludf.DUMMYFUNCTION("""COMPUTED_VALUE"""),42871.6666666666)</f>
        <v>42871.666666666599</v>
      </c>
      <c r="T515" s="3">
        <f ca="1">IFERROR(__xludf.DUMMYFUNCTION("""COMPUTED_VALUE"""),68.6)</f>
        <v>68.599999999999994</v>
      </c>
      <c r="U515" s="3">
        <f ca="1">IFERROR(__xludf.DUMMYFUNCTION("""COMPUTED_VALUE"""),68.6)</f>
        <v>68.599999999999994</v>
      </c>
      <c r="V515" s="3">
        <f ca="1">IFERROR(__xludf.DUMMYFUNCTION("""COMPUTED_VALUE"""),67.7)</f>
        <v>67.7</v>
      </c>
      <c r="W515" s="3">
        <f ca="1">IFERROR(__xludf.DUMMYFUNCTION("""COMPUTED_VALUE"""),67.94)</f>
        <v>67.94</v>
      </c>
      <c r="X515" s="3">
        <f ca="1">IFERROR(__xludf.DUMMYFUNCTION("""COMPUTED_VALUE"""),11693390)</f>
        <v>11693390</v>
      </c>
      <c r="Y515" s="4">
        <f ca="1">IFERROR(__xludf.DUMMYFUNCTION("""COMPUTED_VALUE"""),42871.6666666666)</f>
        <v>42871.666666666599</v>
      </c>
      <c r="Z515" s="3">
        <f ca="1">IFERROR(__xludf.DUMMYFUNCTION("""COMPUTED_VALUE"""),23.79)</f>
        <v>23.79</v>
      </c>
      <c r="AA515" s="3">
        <f ca="1">IFERROR(__xludf.DUMMYFUNCTION("""COMPUTED_VALUE"""),23.83)</f>
        <v>23.83</v>
      </c>
      <c r="AB515" s="3">
        <f ca="1">IFERROR(__xludf.DUMMYFUNCTION("""COMPUTED_VALUE"""),23.67)</f>
        <v>23.67</v>
      </c>
      <c r="AC515" s="3">
        <f ca="1">IFERROR(__xludf.DUMMYFUNCTION("""COMPUTED_VALUE"""),23.81)</f>
        <v>23.81</v>
      </c>
      <c r="AD515" s="3">
        <f ca="1">IFERROR(__xludf.DUMMYFUNCTION("""COMPUTED_VALUE"""),51529642)</f>
        <v>51529642</v>
      </c>
      <c r="AE515" s="4">
        <f ca="1">IFERROR(__xludf.DUMMYFUNCTION("""COMPUTED_VALUE"""),42871.6666666666)</f>
        <v>42871.666666666599</v>
      </c>
      <c r="AF515" s="3">
        <f ca="1">IFERROR(__xludf.DUMMYFUNCTION("""COMPUTED_VALUE"""),75.69)</f>
        <v>75.69</v>
      </c>
      <c r="AG515" s="3">
        <f ca="1">IFERROR(__xludf.DUMMYFUNCTION("""COMPUTED_VALUE"""),75.76)</f>
        <v>75.760000000000005</v>
      </c>
      <c r="AH515" s="3">
        <f ca="1">IFERROR(__xludf.DUMMYFUNCTION("""COMPUTED_VALUE"""),75.27)</f>
        <v>75.27</v>
      </c>
      <c r="AI515" s="3">
        <f ca="1">IFERROR(__xludf.DUMMYFUNCTION("""COMPUTED_VALUE"""),75.48)</f>
        <v>75.48</v>
      </c>
      <c r="AJ515" s="3">
        <f ca="1">IFERROR(__xludf.DUMMYFUNCTION("""COMPUTED_VALUE"""),5471675)</f>
        <v>5471675</v>
      </c>
      <c r="AK515" s="4">
        <f ca="1">IFERROR(__xludf.DUMMYFUNCTION("""COMPUTED_VALUE"""),42871.6666666666)</f>
        <v>42871.666666666599</v>
      </c>
      <c r="AL515" s="3">
        <f ca="1">IFERROR(__xludf.DUMMYFUNCTION("""COMPUTED_VALUE"""),66.69)</f>
        <v>66.69</v>
      </c>
      <c r="AM515" s="3">
        <f ca="1">IFERROR(__xludf.DUMMYFUNCTION("""COMPUTED_VALUE"""),66.75)</f>
        <v>66.75</v>
      </c>
      <c r="AN515" s="3">
        <f ca="1">IFERROR(__xludf.DUMMYFUNCTION("""COMPUTED_VALUE"""),66.28)</f>
        <v>66.28</v>
      </c>
      <c r="AO515" s="3">
        <f ca="1">IFERROR(__xludf.DUMMYFUNCTION("""COMPUTED_VALUE"""),66.54)</f>
        <v>66.540000000000006</v>
      </c>
      <c r="AP515" s="3">
        <f ca="1">IFERROR(__xludf.DUMMYFUNCTION("""COMPUTED_VALUE"""),5848784)</f>
        <v>5848784</v>
      </c>
      <c r="AQ515" s="4">
        <f ca="1">IFERROR(__xludf.DUMMYFUNCTION("""COMPUTED_VALUE"""),42871.6666666666)</f>
        <v>42871.666666666599</v>
      </c>
      <c r="AR515" s="3">
        <f ca="1">IFERROR(__xludf.DUMMYFUNCTION("""COMPUTED_VALUE"""),53.09)</f>
        <v>53.09</v>
      </c>
      <c r="AS515" s="3">
        <f ca="1">IFERROR(__xludf.DUMMYFUNCTION("""COMPUTED_VALUE"""),53.21)</f>
        <v>53.21</v>
      </c>
      <c r="AT515" s="3">
        <f ca="1">IFERROR(__xludf.DUMMYFUNCTION("""COMPUTED_VALUE"""),53.01)</f>
        <v>53.01</v>
      </c>
      <c r="AU515" s="3">
        <f ca="1">IFERROR(__xludf.DUMMYFUNCTION("""COMPUTED_VALUE"""),53.08)</f>
        <v>53.08</v>
      </c>
      <c r="AV515" s="3">
        <f ca="1">IFERROR(__xludf.DUMMYFUNCTION("""COMPUTED_VALUE"""),3034408)</f>
        <v>3034408</v>
      </c>
      <c r="BC515" s="4">
        <f ca="1">IFERROR(__xludf.DUMMYFUNCTION("""COMPUTED_VALUE"""),42871.6666666666)</f>
        <v>42871.666666666599</v>
      </c>
      <c r="BD515" s="3">
        <f ca="1">IFERROR(__xludf.DUMMYFUNCTION("""COMPUTED_VALUE"""),56)</f>
        <v>56</v>
      </c>
      <c r="BE515" s="3">
        <f ca="1">IFERROR(__xludf.DUMMYFUNCTION("""COMPUTED_VALUE"""),56.13)</f>
        <v>56.13</v>
      </c>
      <c r="BF515" s="3">
        <f ca="1">IFERROR(__xludf.DUMMYFUNCTION("""COMPUTED_VALUE"""),55.81)</f>
        <v>55.81</v>
      </c>
      <c r="BG515" s="3">
        <f ca="1">IFERROR(__xludf.DUMMYFUNCTION("""COMPUTED_VALUE"""),56.13)</f>
        <v>56.13</v>
      </c>
      <c r="BH515" s="3">
        <f ca="1">IFERROR(__xludf.DUMMYFUNCTION("""COMPUTED_VALUE"""),9061070)</f>
        <v>9061070</v>
      </c>
      <c r="BI515" s="4">
        <f ca="1">IFERROR(__xludf.DUMMYFUNCTION("""COMPUTED_VALUE"""),42871.6666666666)</f>
        <v>42871.666666666599</v>
      </c>
      <c r="BJ515" s="3">
        <f ca="1">IFERROR(__xludf.DUMMYFUNCTION("""COMPUTED_VALUE"""),51.87)</f>
        <v>51.87</v>
      </c>
      <c r="BK515" s="3">
        <f ca="1">IFERROR(__xludf.DUMMYFUNCTION("""COMPUTED_VALUE"""),52.02)</f>
        <v>52.02</v>
      </c>
      <c r="BL515" s="3">
        <f ca="1">IFERROR(__xludf.DUMMYFUNCTION("""COMPUTED_VALUE"""),51.51)</f>
        <v>51.51</v>
      </c>
      <c r="BM515" s="3">
        <f ca="1">IFERROR(__xludf.DUMMYFUNCTION("""COMPUTED_VALUE"""),51.57)</f>
        <v>51.57</v>
      </c>
      <c r="BN515" s="3">
        <f ca="1">IFERROR(__xludf.DUMMYFUNCTION("""COMPUTED_VALUE"""),7653070)</f>
        <v>7653070</v>
      </c>
    </row>
    <row r="516" spans="7:66" ht="13" x14ac:dyDescent="0.15">
      <c r="G516" s="4">
        <f ca="1">IFERROR(__xludf.DUMMYFUNCTION("""COMPUTED_VALUE"""),42872.6666666666)</f>
        <v>42872.666666666599</v>
      </c>
      <c r="H516" s="3">
        <f ca="1">IFERROR(__xludf.DUMMYFUNCTION("""COMPUTED_VALUE"""),89.04)</f>
        <v>89.04</v>
      </c>
      <c r="I516" s="3">
        <f ca="1">IFERROR(__xludf.DUMMYFUNCTION("""COMPUTED_VALUE"""),89.27)</f>
        <v>89.27</v>
      </c>
      <c r="J516" s="3">
        <f ca="1">IFERROR(__xludf.DUMMYFUNCTION("""COMPUTED_VALUE"""),88.13)</f>
        <v>88.13</v>
      </c>
      <c r="K516" s="3">
        <f ca="1">IFERROR(__xludf.DUMMYFUNCTION("""COMPUTED_VALUE"""),88.14)</f>
        <v>88.14</v>
      </c>
      <c r="L516" s="3">
        <f ca="1">IFERROR(__xludf.DUMMYFUNCTION("""COMPUTED_VALUE"""),8289390)</f>
        <v>8289390</v>
      </c>
      <c r="M516" s="4">
        <f ca="1">IFERROR(__xludf.DUMMYFUNCTION("""COMPUTED_VALUE"""),42872.6666666666)</f>
        <v>42872.666666666599</v>
      </c>
      <c r="N516" s="3">
        <f ca="1">IFERROR(__xludf.DUMMYFUNCTION("""COMPUTED_VALUE"""),55)</f>
        <v>55</v>
      </c>
      <c r="O516" s="3">
        <f ca="1">IFERROR(__xludf.DUMMYFUNCTION("""COMPUTED_VALUE"""),55.2)</f>
        <v>55.2</v>
      </c>
      <c r="P516" s="3">
        <f ca="1">IFERROR(__xludf.DUMMYFUNCTION("""COMPUTED_VALUE"""),54.86)</f>
        <v>54.86</v>
      </c>
      <c r="Q516" s="3">
        <f ca="1">IFERROR(__xludf.DUMMYFUNCTION("""COMPUTED_VALUE"""),55.01)</f>
        <v>55.01</v>
      </c>
      <c r="R516" s="3">
        <f ca="1">IFERROR(__xludf.DUMMYFUNCTION("""COMPUTED_VALUE"""),14021743)</f>
        <v>14021743</v>
      </c>
      <c r="S516" s="4">
        <f ca="1">IFERROR(__xludf.DUMMYFUNCTION("""COMPUTED_VALUE"""),42872.6666666666)</f>
        <v>42872.666666666599</v>
      </c>
      <c r="T516" s="3">
        <f ca="1">IFERROR(__xludf.DUMMYFUNCTION("""COMPUTED_VALUE"""),67.54)</f>
        <v>67.540000000000006</v>
      </c>
      <c r="U516" s="3">
        <f ca="1">IFERROR(__xludf.DUMMYFUNCTION("""COMPUTED_VALUE"""),68.12)</f>
        <v>68.12</v>
      </c>
      <c r="V516" s="3">
        <f ca="1">IFERROR(__xludf.DUMMYFUNCTION("""COMPUTED_VALUE"""),67.24)</f>
        <v>67.239999999999995</v>
      </c>
      <c r="W516" s="3">
        <f ca="1">IFERROR(__xludf.DUMMYFUNCTION("""COMPUTED_VALUE"""),67.27)</f>
        <v>67.27</v>
      </c>
      <c r="X516" s="3">
        <f ca="1">IFERROR(__xludf.DUMMYFUNCTION("""COMPUTED_VALUE"""),15606751)</f>
        <v>15606751</v>
      </c>
      <c r="Y516" s="4">
        <f ca="1">IFERROR(__xludf.DUMMYFUNCTION("""COMPUTED_VALUE"""),42872.6666666666)</f>
        <v>42872.666666666599</v>
      </c>
      <c r="Z516" s="3">
        <f ca="1">IFERROR(__xludf.DUMMYFUNCTION("""COMPUTED_VALUE"""),23.31)</f>
        <v>23.31</v>
      </c>
      <c r="AA516" s="3">
        <f ca="1">IFERROR(__xludf.DUMMYFUNCTION("""COMPUTED_VALUE"""),23.49)</f>
        <v>23.49</v>
      </c>
      <c r="AB516" s="3">
        <f ca="1">IFERROR(__xludf.DUMMYFUNCTION("""COMPUTED_VALUE"""),22.97)</f>
        <v>22.97</v>
      </c>
      <c r="AC516" s="3">
        <f ca="1">IFERROR(__xludf.DUMMYFUNCTION("""COMPUTED_VALUE"""),23.06)</f>
        <v>23.06</v>
      </c>
      <c r="AD516" s="3">
        <f ca="1">IFERROR(__xludf.DUMMYFUNCTION("""COMPUTED_VALUE"""),141192783)</f>
        <v>141192783</v>
      </c>
      <c r="AE516" s="4">
        <f ca="1">IFERROR(__xludf.DUMMYFUNCTION("""COMPUTED_VALUE"""),42872.6666666666)</f>
        <v>42872.666666666599</v>
      </c>
      <c r="AF516" s="3">
        <f ca="1">IFERROR(__xludf.DUMMYFUNCTION("""COMPUTED_VALUE"""),74.87)</f>
        <v>74.87</v>
      </c>
      <c r="AG516" s="3">
        <f ca="1">IFERROR(__xludf.DUMMYFUNCTION("""COMPUTED_VALUE"""),75.08)</f>
        <v>75.08</v>
      </c>
      <c r="AH516" s="3">
        <f ca="1">IFERROR(__xludf.DUMMYFUNCTION("""COMPUTED_VALUE"""),74.49)</f>
        <v>74.489999999999995</v>
      </c>
      <c r="AI516" s="3">
        <f ca="1">IFERROR(__xludf.DUMMYFUNCTION("""COMPUTED_VALUE"""),74.49)</f>
        <v>74.489999999999995</v>
      </c>
      <c r="AJ516" s="3">
        <f ca="1">IFERROR(__xludf.DUMMYFUNCTION("""COMPUTED_VALUE"""),11434049)</f>
        <v>11434049</v>
      </c>
      <c r="AK516" s="4">
        <f ca="1">IFERROR(__xludf.DUMMYFUNCTION("""COMPUTED_VALUE"""),42872.6666666666)</f>
        <v>42872.666666666599</v>
      </c>
      <c r="AL516" s="3">
        <f ca="1">IFERROR(__xludf.DUMMYFUNCTION("""COMPUTED_VALUE"""),65.91)</f>
        <v>65.91</v>
      </c>
      <c r="AM516" s="3">
        <f ca="1">IFERROR(__xludf.DUMMYFUNCTION("""COMPUTED_VALUE"""),66.01)</f>
        <v>66.010000000000005</v>
      </c>
      <c r="AN516" s="3">
        <f ca="1">IFERROR(__xludf.DUMMYFUNCTION("""COMPUTED_VALUE"""),65.19)</f>
        <v>65.19</v>
      </c>
      <c r="AO516" s="3">
        <f ca="1">IFERROR(__xludf.DUMMYFUNCTION("""COMPUTED_VALUE"""),65.21)</f>
        <v>65.209999999999994</v>
      </c>
      <c r="AP516" s="3">
        <f ca="1">IFERROR(__xludf.DUMMYFUNCTION("""COMPUTED_VALUE"""),15221012)</f>
        <v>15221012</v>
      </c>
      <c r="AQ516" s="4">
        <f ca="1">IFERROR(__xludf.DUMMYFUNCTION("""COMPUTED_VALUE"""),42872.6666666666)</f>
        <v>42872.666666666599</v>
      </c>
      <c r="AR516" s="3">
        <f ca="1">IFERROR(__xludf.DUMMYFUNCTION("""COMPUTED_VALUE"""),52.71)</f>
        <v>52.71</v>
      </c>
      <c r="AS516" s="3">
        <f ca="1">IFERROR(__xludf.DUMMYFUNCTION("""COMPUTED_VALUE"""),52.75)</f>
        <v>52.75</v>
      </c>
      <c r="AT516" s="3">
        <f ca="1">IFERROR(__xludf.DUMMYFUNCTION("""COMPUTED_VALUE"""),51.95)</f>
        <v>51.95</v>
      </c>
      <c r="AU516" s="3">
        <f ca="1">IFERROR(__xludf.DUMMYFUNCTION("""COMPUTED_VALUE"""),51.96)</f>
        <v>51.96</v>
      </c>
      <c r="AV516" s="3">
        <f ca="1">IFERROR(__xludf.DUMMYFUNCTION("""COMPUTED_VALUE"""),8132436)</f>
        <v>8132436</v>
      </c>
      <c r="BC516" s="4">
        <f ca="1">IFERROR(__xludf.DUMMYFUNCTION("""COMPUTED_VALUE"""),42872.6666666666)</f>
        <v>42872.666666666599</v>
      </c>
      <c r="BD516" s="3">
        <f ca="1">IFERROR(__xludf.DUMMYFUNCTION("""COMPUTED_VALUE"""),55.69)</f>
        <v>55.69</v>
      </c>
      <c r="BE516" s="3">
        <f ca="1">IFERROR(__xludf.DUMMYFUNCTION("""COMPUTED_VALUE"""),55.74)</f>
        <v>55.74</v>
      </c>
      <c r="BF516" s="3">
        <f ca="1">IFERROR(__xludf.DUMMYFUNCTION("""COMPUTED_VALUE"""),54.57)</f>
        <v>54.57</v>
      </c>
      <c r="BG516" s="3">
        <f ca="1">IFERROR(__xludf.DUMMYFUNCTION("""COMPUTED_VALUE"""),54.6)</f>
        <v>54.6</v>
      </c>
      <c r="BH516" s="3">
        <f ca="1">IFERROR(__xludf.DUMMYFUNCTION("""COMPUTED_VALUE"""),18544954)</f>
        <v>18544954</v>
      </c>
      <c r="BI516" s="4">
        <f ca="1">IFERROR(__xludf.DUMMYFUNCTION("""COMPUTED_VALUE"""),42872.6666666666)</f>
        <v>42872.666666666599</v>
      </c>
      <c r="BJ516" s="3">
        <f ca="1">IFERROR(__xludf.DUMMYFUNCTION("""COMPUTED_VALUE"""),51.7)</f>
        <v>51.7</v>
      </c>
      <c r="BK516" s="3">
        <f ca="1">IFERROR(__xludf.DUMMYFUNCTION("""COMPUTED_VALUE"""),51.94)</f>
        <v>51.94</v>
      </c>
      <c r="BL516" s="3">
        <f ca="1">IFERROR(__xludf.DUMMYFUNCTION("""COMPUTED_VALUE"""),51.47)</f>
        <v>51.47</v>
      </c>
      <c r="BM516" s="3">
        <f ca="1">IFERROR(__xludf.DUMMYFUNCTION("""COMPUTED_VALUE"""),51.7)</f>
        <v>51.7</v>
      </c>
      <c r="BN516" s="3">
        <f ca="1">IFERROR(__xludf.DUMMYFUNCTION("""COMPUTED_VALUE"""),15032839)</f>
        <v>15032839</v>
      </c>
    </row>
    <row r="517" spans="7:66" ht="13" x14ac:dyDescent="0.15">
      <c r="G517" s="4">
        <f ca="1">IFERROR(__xludf.DUMMYFUNCTION("""COMPUTED_VALUE"""),42873.6666666666)</f>
        <v>42873.666666666599</v>
      </c>
      <c r="H517" s="3">
        <f ca="1">IFERROR(__xludf.DUMMYFUNCTION("""COMPUTED_VALUE"""),88.14)</f>
        <v>88.14</v>
      </c>
      <c r="I517" s="3">
        <f ca="1">IFERROR(__xludf.DUMMYFUNCTION("""COMPUTED_VALUE"""),89.06)</f>
        <v>89.06</v>
      </c>
      <c r="J517" s="3">
        <f ca="1">IFERROR(__xludf.DUMMYFUNCTION("""COMPUTED_VALUE"""),88.14)</f>
        <v>88.14</v>
      </c>
      <c r="K517" s="3">
        <f ca="1">IFERROR(__xludf.DUMMYFUNCTION("""COMPUTED_VALUE"""),88.65)</f>
        <v>88.65</v>
      </c>
      <c r="L517" s="3">
        <f ca="1">IFERROR(__xludf.DUMMYFUNCTION("""COMPUTED_VALUE"""),6521757)</f>
        <v>6521757</v>
      </c>
      <c r="M517" s="4">
        <f ca="1">IFERROR(__xludf.DUMMYFUNCTION("""COMPUTED_VALUE"""),42873.6666666666)</f>
        <v>42873.666666666599</v>
      </c>
      <c r="N517" s="3">
        <f ca="1">IFERROR(__xludf.DUMMYFUNCTION("""COMPUTED_VALUE"""),55.03)</f>
        <v>55.03</v>
      </c>
      <c r="O517" s="3">
        <f ca="1">IFERROR(__xludf.DUMMYFUNCTION("""COMPUTED_VALUE"""),55.18)</f>
        <v>55.18</v>
      </c>
      <c r="P517" s="3">
        <f ca="1">IFERROR(__xludf.DUMMYFUNCTION("""COMPUTED_VALUE"""),54.87)</f>
        <v>54.87</v>
      </c>
      <c r="Q517" s="3">
        <f ca="1">IFERROR(__xludf.DUMMYFUNCTION("""COMPUTED_VALUE"""),55.05)</f>
        <v>55.05</v>
      </c>
      <c r="R517" s="3">
        <f ca="1">IFERROR(__xludf.DUMMYFUNCTION("""COMPUTED_VALUE"""),7906570)</f>
        <v>7906570</v>
      </c>
      <c r="S517" s="4">
        <f ca="1">IFERROR(__xludf.DUMMYFUNCTION("""COMPUTED_VALUE"""),42873.6666666666)</f>
        <v>42873.666666666599</v>
      </c>
      <c r="T517" s="3">
        <f ca="1">IFERROR(__xludf.DUMMYFUNCTION("""COMPUTED_VALUE"""),66.97)</f>
        <v>66.97</v>
      </c>
      <c r="U517" s="3">
        <f ca="1">IFERROR(__xludf.DUMMYFUNCTION("""COMPUTED_VALUE"""),67.58)</f>
        <v>67.58</v>
      </c>
      <c r="V517" s="3">
        <f ca="1">IFERROR(__xludf.DUMMYFUNCTION("""COMPUTED_VALUE"""),66.72)</f>
        <v>66.72</v>
      </c>
      <c r="W517" s="3">
        <f ca="1">IFERROR(__xludf.DUMMYFUNCTION("""COMPUTED_VALUE"""),67.25)</f>
        <v>67.25</v>
      </c>
      <c r="X517" s="3">
        <f ca="1">IFERROR(__xludf.DUMMYFUNCTION("""COMPUTED_VALUE"""),14114950)</f>
        <v>14114950</v>
      </c>
      <c r="Y517" s="4">
        <f ca="1">IFERROR(__xludf.DUMMYFUNCTION("""COMPUTED_VALUE"""),42873.6666666666)</f>
        <v>42873.666666666599</v>
      </c>
      <c r="Z517" s="3">
        <f ca="1">IFERROR(__xludf.DUMMYFUNCTION("""COMPUTED_VALUE"""),23.03)</f>
        <v>23.03</v>
      </c>
      <c r="AA517" s="3">
        <f ca="1">IFERROR(__xludf.DUMMYFUNCTION("""COMPUTED_VALUE"""),23.29)</f>
        <v>23.29</v>
      </c>
      <c r="AB517" s="3">
        <f ca="1">IFERROR(__xludf.DUMMYFUNCTION("""COMPUTED_VALUE"""),23)</f>
        <v>23</v>
      </c>
      <c r="AC517" s="3">
        <f ca="1">IFERROR(__xludf.DUMMYFUNCTION("""COMPUTED_VALUE"""),23.15)</f>
        <v>23.15</v>
      </c>
      <c r="AD517" s="3">
        <f ca="1">IFERROR(__xludf.DUMMYFUNCTION("""COMPUTED_VALUE"""),101656920)</f>
        <v>101656920</v>
      </c>
      <c r="AE517" s="4">
        <f ca="1">IFERROR(__xludf.DUMMYFUNCTION("""COMPUTED_VALUE"""),42873.6666666666)</f>
        <v>42873.666666666599</v>
      </c>
      <c r="AF517" s="3">
        <f ca="1">IFERROR(__xludf.DUMMYFUNCTION("""COMPUTED_VALUE"""),74.45)</f>
        <v>74.45</v>
      </c>
      <c r="AG517" s="3">
        <f ca="1">IFERROR(__xludf.DUMMYFUNCTION("""COMPUTED_VALUE"""),75.25)</f>
        <v>75.25</v>
      </c>
      <c r="AH517" s="3">
        <f ca="1">IFERROR(__xludf.DUMMYFUNCTION("""COMPUTED_VALUE"""),74.45)</f>
        <v>74.45</v>
      </c>
      <c r="AI517" s="3">
        <f ca="1">IFERROR(__xludf.DUMMYFUNCTION("""COMPUTED_VALUE"""),74.82)</f>
        <v>74.819999999999993</v>
      </c>
      <c r="AJ517" s="3">
        <f ca="1">IFERROR(__xludf.DUMMYFUNCTION("""COMPUTED_VALUE"""),10690543)</f>
        <v>10690543</v>
      </c>
      <c r="AK517" s="4">
        <f ca="1">IFERROR(__xludf.DUMMYFUNCTION("""COMPUTED_VALUE"""),42873.6666666666)</f>
        <v>42873.666666666599</v>
      </c>
      <c r="AL517" s="3">
        <f ca="1">IFERROR(__xludf.DUMMYFUNCTION("""COMPUTED_VALUE"""),65.01)</f>
        <v>65.010000000000005</v>
      </c>
      <c r="AM517" s="3">
        <f ca="1">IFERROR(__xludf.DUMMYFUNCTION("""COMPUTED_VALUE"""),65.69)</f>
        <v>65.69</v>
      </c>
      <c r="AN517" s="3">
        <f ca="1">IFERROR(__xludf.DUMMYFUNCTION("""COMPUTED_VALUE"""),64.65)</f>
        <v>64.650000000000006</v>
      </c>
      <c r="AO517" s="3">
        <f ca="1">IFERROR(__xludf.DUMMYFUNCTION("""COMPUTED_VALUE"""),65.3)</f>
        <v>65.3</v>
      </c>
      <c r="AP517" s="3">
        <f ca="1">IFERROR(__xludf.DUMMYFUNCTION("""COMPUTED_VALUE"""),15260085)</f>
        <v>15260085</v>
      </c>
      <c r="AQ517" s="4">
        <f ca="1">IFERROR(__xludf.DUMMYFUNCTION("""COMPUTED_VALUE"""),42873.6666666666)</f>
        <v>42873.666666666599</v>
      </c>
      <c r="AR517" s="3">
        <f ca="1">IFERROR(__xludf.DUMMYFUNCTION("""COMPUTED_VALUE"""),51.76)</f>
        <v>51.76</v>
      </c>
      <c r="AS517" s="3">
        <f ca="1">IFERROR(__xludf.DUMMYFUNCTION("""COMPUTED_VALUE"""),52.12)</f>
        <v>52.12</v>
      </c>
      <c r="AT517" s="3">
        <f ca="1">IFERROR(__xludf.DUMMYFUNCTION("""COMPUTED_VALUE"""),51.35)</f>
        <v>51.35</v>
      </c>
      <c r="AU517" s="3">
        <f ca="1">IFERROR(__xludf.DUMMYFUNCTION("""COMPUTED_VALUE"""),51.99)</f>
        <v>51.99</v>
      </c>
      <c r="AV517" s="3">
        <f ca="1">IFERROR(__xludf.DUMMYFUNCTION("""COMPUTED_VALUE"""),6963348)</f>
        <v>6963348</v>
      </c>
      <c r="BC517" s="4">
        <f ca="1">IFERROR(__xludf.DUMMYFUNCTION("""COMPUTED_VALUE"""),42873.6666666666)</f>
        <v>42873.666666666599</v>
      </c>
      <c r="BD517" s="3">
        <f ca="1">IFERROR(__xludf.DUMMYFUNCTION("""COMPUTED_VALUE"""),54.46)</f>
        <v>54.46</v>
      </c>
      <c r="BE517" s="3">
        <f ca="1">IFERROR(__xludf.DUMMYFUNCTION("""COMPUTED_VALUE"""),55.13)</f>
        <v>55.13</v>
      </c>
      <c r="BF517" s="3">
        <f ca="1">IFERROR(__xludf.DUMMYFUNCTION("""COMPUTED_VALUE"""),54.37)</f>
        <v>54.37</v>
      </c>
      <c r="BG517" s="3">
        <f ca="1">IFERROR(__xludf.DUMMYFUNCTION("""COMPUTED_VALUE"""),54.92)</f>
        <v>54.92</v>
      </c>
      <c r="BH517" s="3">
        <f ca="1">IFERROR(__xludf.DUMMYFUNCTION("""COMPUTED_VALUE"""),16822248)</f>
        <v>16822248</v>
      </c>
      <c r="BI517" s="4">
        <f ca="1">IFERROR(__xludf.DUMMYFUNCTION("""COMPUTED_VALUE"""),42873.6666666666)</f>
        <v>42873.666666666599</v>
      </c>
      <c r="BJ517" s="3">
        <f ca="1">IFERROR(__xludf.DUMMYFUNCTION("""COMPUTED_VALUE"""),51.81)</f>
        <v>51.81</v>
      </c>
      <c r="BK517" s="3">
        <f ca="1">IFERROR(__xludf.DUMMYFUNCTION("""COMPUTED_VALUE"""),52.15)</f>
        <v>52.15</v>
      </c>
      <c r="BL517" s="3">
        <f ca="1">IFERROR(__xludf.DUMMYFUNCTION("""COMPUTED_VALUE"""),51.44)</f>
        <v>51.44</v>
      </c>
      <c r="BM517" s="3">
        <f ca="1">IFERROR(__xludf.DUMMYFUNCTION("""COMPUTED_VALUE"""),51.88)</f>
        <v>51.88</v>
      </c>
      <c r="BN517" s="3">
        <f ca="1">IFERROR(__xludf.DUMMYFUNCTION("""COMPUTED_VALUE"""),16875978)</f>
        <v>16875978</v>
      </c>
    </row>
    <row r="518" spans="7:66" ht="13" x14ac:dyDescent="0.15">
      <c r="G518" s="4">
        <f ca="1">IFERROR(__xludf.DUMMYFUNCTION("""COMPUTED_VALUE"""),42874.6666666666)</f>
        <v>42874.666666666599</v>
      </c>
      <c r="H518" s="3">
        <f ca="1">IFERROR(__xludf.DUMMYFUNCTION("""COMPUTED_VALUE"""),88.8)</f>
        <v>88.8</v>
      </c>
      <c r="I518" s="3">
        <f ca="1">IFERROR(__xludf.DUMMYFUNCTION("""COMPUTED_VALUE"""),89.54)</f>
        <v>89.54</v>
      </c>
      <c r="J518" s="3">
        <f ca="1">IFERROR(__xludf.DUMMYFUNCTION("""COMPUTED_VALUE"""),88.7)</f>
        <v>88.7</v>
      </c>
      <c r="K518" s="3">
        <f ca="1">IFERROR(__xludf.DUMMYFUNCTION("""COMPUTED_VALUE"""),89.25)</f>
        <v>89.25</v>
      </c>
      <c r="L518" s="3">
        <f ca="1">IFERROR(__xludf.DUMMYFUNCTION("""COMPUTED_VALUE"""),3694974)</f>
        <v>3694974</v>
      </c>
      <c r="M518" s="4">
        <f ca="1">IFERROR(__xludf.DUMMYFUNCTION("""COMPUTED_VALUE"""),42874.6666666666)</f>
        <v>42874.666666666599</v>
      </c>
      <c r="N518" s="3">
        <f ca="1">IFERROR(__xludf.DUMMYFUNCTION("""COMPUTED_VALUE"""),55.07)</f>
        <v>55.07</v>
      </c>
      <c r="O518" s="3">
        <f ca="1">IFERROR(__xludf.DUMMYFUNCTION("""COMPUTED_VALUE"""),55.45)</f>
        <v>55.45</v>
      </c>
      <c r="P518" s="3">
        <f ca="1">IFERROR(__xludf.DUMMYFUNCTION("""COMPUTED_VALUE"""),54.99)</f>
        <v>54.99</v>
      </c>
      <c r="Q518" s="3">
        <f ca="1">IFERROR(__xludf.DUMMYFUNCTION("""COMPUTED_VALUE"""),55.35)</f>
        <v>55.35</v>
      </c>
      <c r="R518" s="3">
        <f ca="1">IFERROR(__xludf.DUMMYFUNCTION("""COMPUTED_VALUE"""),6277618)</f>
        <v>6277618</v>
      </c>
      <c r="S518" s="4">
        <f ca="1">IFERROR(__xludf.DUMMYFUNCTION("""COMPUTED_VALUE"""),42874.6666666666)</f>
        <v>42874.666666666599</v>
      </c>
      <c r="T518" s="3">
        <f ca="1">IFERROR(__xludf.DUMMYFUNCTION("""COMPUTED_VALUE"""),67.58)</f>
        <v>67.58</v>
      </c>
      <c r="U518" s="3">
        <f ca="1">IFERROR(__xludf.DUMMYFUNCTION("""COMPUTED_VALUE"""),68.22)</f>
        <v>68.22</v>
      </c>
      <c r="V518" s="3">
        <f ca="1">IFERROR(__xludf.DUMMYFUNCTION("""COMPUTED_VALUE"""),67.42)</f>
        <v>67.42</v>
      </c>
      <c r="W518" s="3">
        <f ca="1">IFERROR(__xludf.DUMMYFUNCTION("""COMPUTED_VALUE"""),68.08)</f>
        <v>68.08</v>
      </c>
      <c r="X518" s="3">
        <f ca="1">IFERROR(__xludf.DUMMYFUNCTION("""COMPUTED_VALUE"""),15624505)</f>
        <v>15624505</v>
      </c>
      <c r="Y518" s="4">
        <f ca="1">IFERROR(__xludf.DUMMYFUNCTION("""COMPUTED_VALUE"""),42874.6666666666)</f>
        <v>42874.666666666599</v>
      </c>
      <c r="Z518" s="3">
        <f ca="1">IFERROR(__xludf.DUMMYFUNCTION("""COMPUTED_VALUE"""),23.19)</f>
        <v>23.19</v>
      </c>
      <c r="AA518" s="3">
        <f ca="1">IFERROR(__xludf.DUMMYFUNCTION("""COMPUTED_VALUE"""),23.48)</f>
        <v>23.48</v>
      </c>
      <c r="AB518" s="3">
        <f ca="1">IFERROR(__xludf.DUMMYFUNCTION("""COMPUTED_VALUE"""),23.18)</f>
        <v>23.18</v>
      </c>
      <c r="AC518" s="3">
        <f ca="1">IFERROR(__xludf.DUMMYFUNCTION("""COMPUTED_VALUE"""),23.35)</f>
        <v>23.35</v>
      </c>
      <c r="AD518" s="3">
        <f ca="1">IFERROR(__xludf.DUMMYFUNCTION("""COMPUTED_VALUE"""),69775647)</f>
        <v>69775647</v>
      </c>
      <c r="AE518" s="4">
        <f ca="1">IFERROR(__xludf.DUMMYFUNCTION("""COMPUTED_VALUE"""),42874.6666666666)</f>
        <v>42874.666666666599</v>
      </c>
      <c r="AF518" s="3">
        <f ca="1">IFERROR(__xludf.DUMMYFUNCTION("""COMPUTED_VALUE"""),74.95)</f>
        <v>74.95</v>
      </c>
      <c r="AG518" s="3">
        <f ca="1">IFERROR(__xludf.DUMMYFUNCTION("""COMPUTED_VALUE"""),75.27)</f>
        <v>75.27</v>
      </c>
      <c r="AH518" s="3">
        <f ca="1">IFERROR(__xludf.DUMMYFUNCTION("""COMPUTED_VALUE"""),74.85)</f>
        <v>74.849999999999994</v>
      </c>
      <c r="AI518" s="3">
        <f ca="1">IFERROR(__xludf.DUMMYFUNCTION("""COMPUTED_VALUE"""),75.03)</f>
        <v>75.03</v>
      </c>
      <c r="AJ518" s="3">
        <f ca="1">IFERROR(__xludf.DUMMYFUNCTION("""COMPUTED_VALUE"""),9209758)</f>
        <v>9209758</v>
      </c>
      <c r="AK518" s="4">
        <f ca="1">IFERROR(__xludf.DUMMYFUNCTION("""COMPUTED_VALUE"""),42874.6666666666)</f>
        <v>42874.666666666599</v>
      </c>
      <c r="AL518" s="3">
        <f ca="1">IFERROR(__xludf.DUMMYFUNCTION("""COMPUTED_VALUE"""),65.51)</f>
        <v>65.510000000000005</v>
      </c>
      <c r="AM518" s="3">
        <f ca="1">IFERROR(__xludf.DUMMYFUNCTION("""COMPUTED_VALUE"""),66.46)</f>
        <v>66.459999999999994</v>
      </c>
      <c r="AN518" s="3">
        <f ca="1">IFERROR(__xludf.DUMMYFUNCTION("""COMPUTED_VALUE"""),65.51)</f>
        <v>65.510000000000005</v>
      </c>
      <c r="AO518" s="3">
        <f ca="1">IFERROR(__xludf.DUMMYFUNCTION("""COMPUTED_VALUE"""),66.16)</f>
        <v>66.16</v>
      </c>
      <c r="AP518" s="3">
        <f ca="1">IFERROR(__xludf.DUMMYFUNCTION("""COMPUTED_VALUE"""),10322281)</f>
        <v>10322281</v>
      </c>
      <c r="AQ518" s="4">
        <f ca="1">IFERROR(__xludf.DUMMYFUNCTION("""COMPUTED_VALUE"""),42874.6666666666)</f>
        <v>42874.666666666599</v>
      </c>
      <c r="AR518" s="3">
        <f ca="1">IFERROR(__xludf.DUMMYFUNCTION("""COMPUTED_VALUE"""),52.09)</f>
        <v>52.09</v>
      </c>
      <c r="AS518" s="3">
        <f ca="1">IFERROR(__xludf.DUMMYFUNCTION("""COMPUTED_VALUE"""),52.66)</f>
        <v>52.66</v>
      </c>
      <c r="AT518" s="3">
        <f ca="1">IFERROR(__xludf.DUMMYFUNCTION("""COMPUTED_VALUE"""),52.08)</f>
        <v>52.08</v>
      </c>
      <c r="AU518" s="3">
        <f ca="1">IFERROR(__xludf.DUMMYFUNCTION("""COMPUTED_VALUE"""),52.44)</f>
        <v>52.44</v>
      </c>
      <c r="AV518" s="3">
        <f ca="1">IFERROR(__xludf.DUMMYFUNCTION("""COMPUTED_VALUE"""),4989333)</f>
        <v>4989333</v>
      </c>
      <c r="BC518" s="4">
        <f ca="1">IFERROR(__xludf.DUMMYFUNCTION("""COMPUTED_VALUE"""),42874.6666666666)</f>
        <v>42874.666666666599</v>
      </c>
      <c r="BD518" s="3">
        <f ca="1">IFERROR(__xludf.DUMMYFUNCTION("""COMPUTED_VALUE"""),55.22)</f>
        <v>55.22</v>
      </c>
      <c r="BE518" s="3">
        <f ca="1">IFERROR(__xludf.DUMMYFUNCTION("""COMPUTED_VALUE"""),55.41)</f>
        <v>55.41</v>
      </c>
      <c r="BF518" s="3">
        <f ca="1">IFERROR(__xludf.DUMMYFUNCTION("""COMPUTED_VALUE"""),55.16)</f>
        <v>55.16</v>
      </c>
      <c r="BG518" s="3">
        <f ca="1">IFERROR(__xludf.DUMMYFUNCTION("""COMPUTED_VALUE"""),55.24)</f>
        <v>55.24</v>
      </c>
      <c r="BH518" s="3">
        <f ca="1">IFERROR(__xludf.DUMMYFUNCTION("""COMPUTED_VALUE"""),10219114)</f>
        <v>10219114</v>
      </c>
      <c r="BI518" s="4">
        <f ca="1">IFERROR(__xludf.DUMMYFUNCTION("""COMPUTED_VALUE"""),42874.6666666666)</f>
        <v>42874.666666666599</v>
      </c>
      <c r="BJ518" s="3">
        <f ca="1">IFERROR(__xludf.DUMMYFUNCTION("""COMPUTED_VALUE"""),51.87)</f>
        <v>51.87</v>
      </c>
      <c r="BK518" s="3">
        <f ca="1">IFERROR(__xludf.DUMMYFUNCTION("""COMPUTED_VALUE"""),52.08)</f>
        <v>52.08</v>
      </c>
      <c r="BL518" s="3">
        <f ca="1">IFERROR(__xludf.DUMMYFUNCTION("""COMPUTED_VALUE"""),51.58)</f>
        <v>51.58</v>
      </c>
      <c r="BM518" s="3">
        <f ca="1">IFERROR(__xludf.DUMMYFUNCTION("""COMPUTED_VALUE"""),52.08)</f>
        <v>52.08</v>
      </c>
      <c r="BN518" s="3">
        <f ca="1">IFERROR(__xludf.DUMMYFUNCTION("""COMPUTED_VALUE"""),9901328)</f>
        <v>9901328</v>
      </c>
    </row>
    <row r="519" spans="7:66" ht="13" x14ac:dyDescent="0.15">
      <c r="G519" s="4">
        <f ca="1">IFERROR(__xludf.DUMMYFUNCTION("""COMPUTED_VALUE"""),42877.6666666666)</f>
        <v>42877.666666666599</v>
      </c>
      <c r="H519" s="3">
        <f ca="1">IFERROR(__xludf.DUMMYFUNCTION("""COMPUTED_VALUE"""),89.42)</f>
        <v>89.42</v>
      </c>
      <c r="I519" s="3">
        <f ca="1">IFERROR(__xludf.DUMMYFUNCTION("""COMPUTED_VALUE"""),89.8)</f>
        <v>89.8</v>
      </c>
      <c r="J519" s="3">
        <f ca="1">IFERROR(__xludf.DUMMYFUNCTION("""COMPUTED_VALUE"""),89.37)</f>
        <v>89.37</v>
      </c>
      <c r="K519" s="3">
        <f ca="1">IFERROR(__xludf.DUMMYFUNCTION("""COMPUTED_VALUE"""),89.7)</f>
        <v>89.7</v>
      </c>
      <c r="L519" s="3">
        <f ca="1">IFERROR(__xludf.DUMMYFUNCTION("""COMPUTED_VALUE"""),2946716)</f>
        <v>2946716</v>
      </c>
      <c r="M519" s="4">
        <f ca="1">IFERROR(__xludf.DUMMYFUNCTION("""COMPUTED_VALUE"""),42877.6666666666)</f>
        <v>42877.666666666599</v>
      </c>
      <c r="N519" s="3">
        <f ca="1">IFERROR(__xludf.DUMMYFUNCTION("""COMPUTED_VALUE"""),55.36)</f>
        <v>55.36</v>
      </c>
      <c r="O519" s="3">
        <f ca="1">IFERROR(__xludf.DUMMYFUNCTION("""COMPUTED_VALUE"""),55.74)</f>
        <v>55.74</v>
      </c>
      <c r="P519" s="3">
        <f ca="1">IFERROR(__xludf.DUMMYFUNCTION("""COMPUTED_VALUE"""),55.35)</f>
        <v>55.35</v>
      </c>
      <c r="Q519" s="3">
        <f ca="1">IFERROR(__xludf.DUMMYFUNCTION("""COMPUTED_VALUE"""),55.66)</f>
        <v>55.66</v>
      </c>
      <c r="R519" s="3">
        <f ca="1">IFERROR(__xludf.DUMMYFUNCTION("""COMPUTED_VALUE"""),7101778)</f>
        <v>7101778</v>
      </c>
      <c r="S519" s="4">
        <f ca="1">IFERROR(__xludf.DUMMYFUNCTION("""COMPUTED_VALUE"""),42877.6666666666)</f>
        <v>42877.666666666599</v>
      </c>
      <c r="T519" s="3">
        <f ca="1">IFERROR(__xludf.DUMMYFUNCTION("""COMPUTED_VALUE"""),68.44)</f>
        <v>68.44</v>
      </c>
      <c r="U519" s="3">
        <f ca="1">IFERROR(__xludf.DUMMYFUNCTION("""COMPUTED_VALUE"""),68.48)</f>
        <v>68.48</v>
      </c>
      <c r="V519" s="3">
        <f ca="1">IFERROR(__xludf.DUMMYFUNCTION("""COMPUTED_VALUE"""),67.69)</f>
        <v>67.69</v>
      </c>
      <c r="W519" s="3">
        <f ca="1">IFERROR(__xludf.DUMMYFUNCTION("""COMPUTED_VALUE"""),67.93)</f>
        <v>67.930000000000007</v>
      </c>
      <c r="X519" s="3">
        <f ca="1">IFERROR(__xludf.DUMMYFUNCTION("""COMPUTED_VALUE"""),10339245)</f>
        <v>10339245</v>
      </c>
      <c r="Y519" s="4">
        <f ca="1">IFERROR(__xludf.DUMMYFUNCTION("""COMPUTED_VALUE"""),42877.6666666666)</f>
        <v>42877.666666666599</v>
      </c>
      <c r="Z519" s="3">
        <f ca="1">IFERROR(__xludf.DUMMYFUNCTION("""COMPUTED_VALUE"""),23.48)</f>
        <v>23.48</v>
      </c>
      <c r="AA519" s="3">
        <f ca="1">IFERROR(__xludf.DUMMYFUNCTION("""COMPUTED_VALUE"""),23.48)</f>
        <v>23.48</v>
      </c>
      <c r="AB519" s="3">
        <f ca="1">IFERROR(__xludf.DUMMYFUNCTION("""COMPUTED_VALUE"""),23.25)</f>
        <v>23.25</v>
      </c>
      <c r="AC519" s="3">
        <f ca="1">IFERROR(__xludf.DUMMYFUNCTION("""COMPUTED_VALUE"""),23.41)</f>
        <v>23.41</v>
      </c>
      <c r="AD519" s="3">
        <f ca="1">IFERROR(__xludf.DUMMYFUNCTION("""COMPUTED_VALUE"""),79181862)</f>
        <v>79181862</v>
      </c>
      <c r="AE519" s="4">
        <f ca="1">IFERROR(__xludf.DUMMYFUNCTION("""COMPUTED_VALUE"""),42877.6666666666)</f>
        <v>42877.666666666599</v>
      </c>
      <c r="AF519" s="3">
        <f ca="1">IFERROR(__xludf.DUMMYFUNCTION("""COMPUTED_VALUE"""),74.96)</f>
        <v>74.959999999999994</v>
      </c>
      <c r="AG519" s="3">
        <f ca="1">IFERROR(__xludf.DUMMYFUNCTION("""COMPUTED_VALUE"""),75.32)</f>
        <v>75.319999999999993</v>
      </c>
      <c r="AH519" s="3">
        <f ca="1">IFERROR(__xludf.DUMMYFUNCTION("""COMPUTED_VALUE"""),74.8)</f>
        <v>74.8</v>
      </c>
      <c r="AI519" s="3">
        <f ca="1">IFERROR(__xludf.DUMMYFUNCTION("""COMPUTED_VALUE"""),75.23)</f>
        <v>75.23</v>
      </c>
      <c r="AJ519" s="3">
        <f ca="1">IFERROR(__xludf.DUMMYFUNCTION("""COMPUTED_VALUE"""),4999072)</f>
        <v>4999072</v>
      </c>
      <c r="AK519" s="4">
        <f ca="1">IFERROR(__xludf.DUMMYFUNCTION("""COMPUTED_VALUE"""),42877.6666666666)</f>
        <v>42877.666666666599</v>
      </c>
      <c r="AL519" s="3">
        <f ca="1">IFERROR(__xludf.DUMMYFUNCTION("""COMPUTED_VALUE"""),66.66)</f>
        <v>66.66</v>
      </c>
      <c r="AM519" s="3">
        <f ca="1">IFERROR(__xludf.DUMMYFUNCTION("""COMPUTED_VALUE"""),66.76)</f>
        <v>66.760000000000005</v>
      </c>
      <c r="AN519" s="3">
        <f ca="1">IFERROR(__xludf.DUMMYFUNCTION("""COMPUTED_VALUE"""),66.47)</f>
        <v>66.47</v>
      </c>
      <c r="AO519" s="3">
        <f ca="1">IFERROR(__xludf.DUMMYFUNCTION("""COMPUTED_VALUE"""),66.67)</f>
        <v>66.67</v>
      </c>
      <c r="AP519" s="3">
        <f ca="1">IFERROR(__xludf.DUMMYFUNCTION("""COMPUTED_VALUE"""),6506192)</f>
        <v>6506192</v>
      </c>
      <c r="AQ519" s="4">
        <f ca="1">IFERROR(__xludf.DUMMYFUNCTION("""COMPUTED_VALUE"""),42877.6666666666)</f>
        <v>42877.666666666599</v>
      </c>
      <c r="AR519" s="3">
        <f ca="1">IFERROR(__xludf.DUMMYFUNCTION("""COMPUTED_VALUE"""),52.62)</f>
        <v>52.62</v>
      </c>
      <c r="AS519" s="3">
        <f ca="1">IFERROR(__xludf.DUMMYFUNCTION("""COMPUTED_VALUE"""),52.75)</f>
        <v>52.75</v>
      </c>
      <c r="AT519" s="3">
        <f ca="1">IFERROR(__xludf.DUMMYFUNCTION("""COMPUTED_VALUE"""),52.35)</f>
        <v>52.35</v>
      </c>
      <c r="AU519" s="3">
        <f ca="1">IFERROR(__xludf.DUMMYFUNCTION("""COMPUTED_VALUE"""),52.5)</f>
        <v>52.5</v>
      </c>
      <c r="AV519" s="3">
        <f ca="1">IFERROR(__xludf.DUMMYFUNCTION("""COMPUTED_VALUE"""),2871593)</f>
        <v>2871593</v>
      </c>
      <c r="BC519" s="4">
        <f ca="1">IFERROR(__xludf.DUMMYFUNCTION("""COMPUTED_VALUE"""),42877.6666666666)</f>
        <v>42877.666666666599</v>
      </c>
      <c r="BD519" s="3">
        <f ca="1">IFERROR(__xludf.DUMMYFUNCTION("""COMPUTED_VALUE"""),55.37)</f>
        <v>55.37</v>
      </c>
      <c r="BE519" s="3">
        <f ca="1">IFERROR(__xludf.DUMMYFUNCTION("""COMPUTED_VALUE"""),55.75)</f>
        <v>55.75</v>
      </c>
      <c r="BF519" s="3">
        <f ca="1">IFERROR(__xludf.DUMMYFUNCTION("""COMPUTED_VALUE"""),55.36)</f>
        <v>55.36</v>
      </c>
      <c r="BG519" s="3">
        <f ca="1">IFERROR(__xludf.DUMMYFUNCTION("""COMPUTED_VALUE"""),55.68)</f>
        <v>55.68</v>
      </c>
      <c r="BH519" s="3">
        <f ca="1">IFERROR(__xludf.DUMMYFUNCTION("""COMPUTED_VALUE"""),10510254)</f>
        <v>10510254</v>
      </c>
      <c r="BI519" s="4">
        <f ca="1">IFERROR(__xludf.DUMMYFUNCTION("""COMPUTED_VALUE"""),42877.6666666666)</f>
        <v>42877.666666666599</v>
      </c>
      <c r="BJ519" s="3">
        <f ca="1">IFERROR(__xludf.DUMMYFUNCTION("""COMPUTED_VALUE"""),52)</f>
        <v>52</v>
      </c>
      <c r="BK519" s="3">
        <f ca="1">IFERROR(__xludf.DUMMYFUNCTION("""COMPUTED_VALUE"""),52.61)</f>
        <v>52.61</v>
      </c>
      <c r="BL519" s="3">
        <f ca="1">IFERROR(__xludf.DUMMYFUNCTION("""COMPUTED_VALUE"""),51.97)</f>
        <v>51.97</v>
      </c>
      <c r="BM519" s="3">
        <f ca="1">IFERROR(__xludf.DUMMYFUNCTION("""COMPUTED_VALUE"""),52.53)</f>
        <v>52.53</v>
      </c>
      <c r="BN519" s="3">
        <f ca="1">IFERROR(__xludf.DUMMYFUNCTION("""COMPUTED_VALUE"""),7779269)</f>
        <v>7779269</v>
      </c>
    </row>
    <row r="520" spans="7:66" ht="13" x14ac:dyDescent="0.15">
      <c r="G520" s="4">
        <f ca="1">IFERROR(__xludf.DUMMYFUNCTION("""COMPUTED_VALUE"""),42878.6666666666)</f>
        <v>42878.666666666599</v>
      </c>
      <c r="H520" s="3">
        <f ca="1">IFERROR(__xludf.DUMMYFUNCTION("""COMPUTED_VALUE"""),89.77)</f>
        <v>89.77</v>
      </c>
      <c r="I520" s="3">
        <f ca="1">IFERROR(__xludf.DUMMYFUNCTION("""COMPUTED_VALUE"""),89.96)</f>
        <v>89.96</v>
      </c>
      <c r="J520" s="3">
        <f ca="1">IFERROR(__xludf.DUMMYFUNCTION("""COMPUTED_VALUE"""),89.22)</f>
        <v>89.22</v>
      </c>
      <c r="K520" s="3">
        <f ca="1">IFERROR(__xludf.DUMMYFUNCTION("""COMPUTED_VALUE"""),89.36)</f>
        <v>89.36</v>
      </c>
      <c r="L520" s="3">
        <f ca="1">IFERROR(__xludf.DUMMYFUNCTION("""COMPUTED_VALUE"""),2089011)</f>
        <v>2089011</v>
      </c>
      <c r="M520" s="4">
        <f ca="1">IFERROR(__xludf.DUMMYFUNCTION("""COMPUTED_VALUE"""),42878.6666666666)</f>
        <v>42878.666666666599</v>
      </c>
      <c r="N520" s="3">
        <f ca="1">IFERROR(__xludf.DUMMYFUNCTION("""COMPUTED_VALUE"""),55.74)</f>
        <v>55.74</v>
      </c>
      <c r="O520" s="3">
        <f ca="1">IFERROR(__xludf.DUMMYFUNCTION("""COMPUTED_VALUE"""),55.98)</f>
        <v>55.98</v>
      </c>
      <c r="P520" s="3">
        <f ca="1">IFERROR(__xludf.DUMMYFUNCTION("""COMPUTED_VALUE"""),55.69)</f>
        <v>55.69</v>
      </c>
      <c r="Q520" s="3">
        <f ca="1">IFERROR(__xludf.DUMMYFUNCTION("""COMPUTED_VALUE"""),55.72)</f>
        <v>55.72</v>
      </c>
      <c r="R520" s="3">
        <f ca="1">IFERROR(__xludf.DUMMYFUNCTION("""COMPUTED_VALUE"""),7518524)</f>
        <v>7518524</v>
      </c>
      <c r="S520" s="4">
        <f ca="1">IFERROR(__xludf.DUMMYFUNCTION("""COMPUTED_VALUE"""),42878.6666666666)</f>
        <v>42878.666666666599</v>
      </c>
      <c r="T520" s="3">
        <f ca="1">IFERROR(__xludf.DUMMYFUNCTION("""COMPUTED_VALUE"""),68.11)</f>
        <v>68.11</v>
      </c>
      <c r="U520" s="3">
        <f ca="1">IFERROR(__xludf.DUMMYFUNCTION("""COMPUTED_VALUE"""),68.18)</f>
        <v>68.180000000000007</v>
      </c>
      <c r="V520" s="3">
        <f ca="1">IFERROR(__xludf.DUMMYFUNCTION("""COMPUTED_VALUE"""),67.73)</f>
        <v>67.73</v>
      </c>
      <c r="W520" s="3">
        <f ca="1">IFERROR(__xludf.DUMMYFUNCTION("""COMPUTED_VALUE"""),68.09)</f>
        <v>68.09</v>
      </c>
      <c r="X520" s="3">
        <f ca="1">IFERROR(__xludf.DUMMYFUNCTION("""COMPUTED_VALUE"""),9086831)</f>
        <v>9086831</v>
      </c>
      <c r="Y520" s="4">
        <f ca="1">IFERROR(__xludf.DUMMYFUNCTION("""COMPUTED_VALUE"""),42878.6666666666)</f>
        <v>42878.666666666599</v>
      </c>
      <c r="Z520" s="3">
        <f ca="1">IFERROR(__xludf.DUMMYFUNCTION("""COMPUTED_VALUE"""),23.43)</f>
        <v>23.43</v>
      </c>
      <c r="AA520" s="3">
        <f ca="1">IFERROR(__xludf.DUMMYFUNCTION("""COMPUTED_VALUE"""),23.66)</f>
        <v>23.66</v>
      </c>
      <c r="AB520" s="3">
        <f ca="1">IFERROR(__xludf.DUMMYFUNCTION("""COMPUTED_VALUE"""),23.32)</f>
        <v>23.32</v>
      </c>
      <c r="AC520" s="3">
        <f ca="1">IFERROR(__xludf.DUMMYFUNCTION("""COMPUTED_VALUE"""),23.59)</f>
        <v>23.59</v>
      </c>
      <c r="AD520" s="3">
        <f ca="1">IFERROR(__xludf.DUMMYFUNCTION("""COMPUTED_VALUE"""),65577828)</f>
        <v>65577828</v>
      </c>
      <c r="AE520" s="4">
        <f ca="1">IFERROR(__xludf.DUMMYFUNCTION("""COMPUTED_VALUE"""),42878.6666666666)</f>
        <v>42878.666666666599</v>
      </c>
      <c r="AF520" s="3">
        <f ca="1">IFERROR(__xludf.DUMMYFUNCTION("""COMPUTED_VALUE"""),75.33)</f>
        <v>75.33</v>
      </c>
      <c r="AG520" s="3">
        <f ca="1">IFERROR(__xludf.DUMMYFUNCTION("""COMPUTED_VALUE"""),75.64)</f>
        <v>75.64</v>
      </c>
      <c r="AH520" s="3">
        <f ca="1">IFERROR(__xludf.DUMMYFUNCTION("""COMPUTED_VALUE"""),75.27)</f>
        <v>75.27</v>
      </c>
      <c r="AI520" s="3">
        <f ca="1">IFERROR(__xludf.DUMMYFUNCTION("""COMPUTED_VALUE"""),75.48)</f>
        <v>75.48</v>
      </c>
      <c r="AJ520" s="3">
        <f ca="1">IFERROR(__xludf.DUMMYFUNCTION("""COMPUTED_VALUE"""),4216096)</f>
        <v>4216096</v>
      </c>
      <c r="AK520" s="4">
        <f ca="1">IFERROR(__xludf.DUMMYFUNCTION("""COMPUTED_VALUE"""),42878.6666666666)</f>
        <v>42878.666666666599</v>
      </c>
      <c r="AL520" s="3">
        <f ca="1">IFERROR(__xludf.DUMMYFUNCTION("""COMPUTED_VALUE"""),66.78)</f>
        <v>66.78</v>
      </c>
      <c r="AM520" s="3">
        <f ca="1">IFERROR(__xludf.DUMMYFUNCTION("""COMPUTED_VALUE"""),66.87)</f>
        <v>66.87</v>
      </c>
      <c r="AN520" s="3">
        <f ca="1">IFERROR(__xludf.DUMMYFUNCTION("""COMPUTED_VALUE"""),66.5)</f>
        <v>66.5</v>
      </c>
      <c r="AO520" s="3">
        <f ca="1">IFERROR(__xludf.DUMMYFUNCTION("""COMPUTED_VALUE"""),66.81)</f>
        <v>66.81</v>
      </c>
      <c r="AP520" s="3">
        <f ca="1">IFERROR(__xludf.DUMMYFUNCTION("""COMPUTED_VALUE"""),7856044)</f>
        <v>7856044</v>
      </c>
      <c r="AQ520" s="4">
        <f ca="1">IFERROR(__xludf.DUMMYFUNCTION("""COMPUTED_VALUE"""),42878.6666666666)</f>
        <v>42878.666666666599</v>
      </c>
      <c r="AR520" s="3">
        <f ca="1">IFERROR(__xludf.DUMMYFUNCTION("""COMPUTED_VALUE"""),52.61)</f>
        <v>52.61</v>
      </c>
      <c r="AS520" s="3">
        <f ca="1">IFERROR(__xludf.DUMMYFUNCTION("""COMPUTED_VALUE"""),52.74)</f>
        <v>52.74</v>
      </c>
      <c r="AT520" s="3">
        <f ca="1">IFERROR(__xludf.DUMMYFUNCTION("""COMPUTED_VALUE"""),52.47)</f>
        <v>52.47</v>
      </c>
      <c r="AU520" s="3">
        <f ca="1">IFERROR(__xludf.DUMMYFUNCTION("""COMPUTED_VALUE"""),52.54)</f>
        <v>52.54</v>
      </c>
      <c r="AV520" s="3">
        <f ca="1">IFERROR(__xludf.DUMMYFUNCTION("""COMPUTED_VALUE"""),3547953)</f>
        <v>3547953</v>
      </c>
      <c r="BC520" s="4">
        <f ca="1">IFERROR(__xludf.DUMMYFUNCTION("""COMPUTED_VALUE"""),42878.6666666666)</f>
        <v>42878.666666666599</v>
      </c>
      <c r="BD520" s="3">
        <f ca="1">IFERROR(__xludf.DUMMYFUNCTION("""COMPUTED_VALUE"""),55.91)</f>
        <v>55.91</v>
      </c>
      <c r="BE520" s="3">
        <f ca="1">IFERROR(__xludf.DUMMYFUNCTION("""COMPUTED_VALUE"""),55.97)</f>
        <v>55.97</v>
      </c>
      <c r="BF520" s="3">
        <f ca="1">IFERROR(__xludf.DUMMYFUNCTION("""COMPUTED_VALUE"""),55.63)</f>
        <v>55.63</v>
      </c>
      <c r="BG520" s="3">
        <f ca="1">IFERROR(__xludf.DUMMYFUNCTION("""COMPUTED_VALUE"""),55.78)</f>
        <v>55.78</v>
      </c>
      <c r="BH520" s="3">
        <f ca="1">IFERROR(__xludf.DUMMYFUNCTION("""COMPUTED_VALUE"""),6610474)</f>
        <v>6610474</v>
      </c>
      <c r="BI520" s="4">
        <f ca="1">IFERROR(__xludf.DUMMYFUNCTION("""COMPUTED_VALUE"""),42878.6666666666)</f>
        <v>42878.666666666599</v>
      </c>
      <c r="BJ520" s="3">
        <f ca="1">IFERROR(__xludf.DUMMYFUNCTION("""COMPUTED_VALUE"""),52.62)</f>
        <v>52.62</v>
      </c>
      <c r="BK520" s="3">
        <f ca="1">IFERROR(__xludf.DUMMYFUNCTION("""COMPUTED_VALUE"""),52.98)</f>
        <v>52.98</v>
      </c>
      <c r="BL520" s="3">
        <f ca="1">IFERROR(__xludf.DUMMYFUNCTION("""COMPUTED_VALUE"""),52.53)</f>
        <v>52.53</v>
      </c>
      <c r="BM520" s="3">
        <f ca="1">IFERROR(__xludf.DUMMYFUNCTION("""COMPUTED_VALUE"""),52.67)</f>
        <v>52.67</v>
      </c>
      <c r="BN520" s="3">
        <f ca="1">IFERROR(__xludf.DUMMYFUNCTION("""COMPUTED_VALUE"""),15290193)</f>
        <v>15290193</v>
      </c>
    </row>
    <row r="521" spans="7:66" ht="13" x14ac:dyDescent="0.15">
      <c r="G521" s="4">
        <f ca="1">IFERROR(__xludf.DUMMYFUNCTION("""COMPUTED_VALUE"""),42879.6666666666)</f>
        <v>42879.666666666599</v>
      </c>
      <c r="H521" s="3">
        <f ca="1">IFERROR(__xludf.DUMMYFUNCTION("""COMPUTED_VALUE"""),89.33)</f>
        <v>89.33</v>
      </c>
      <c r="I521" s="3">
        <f ca="1">IFERROR(__xludf.DUMMYFUNCTION("""COMPUTED_VALUE"""),89.71)</f>
        <v>89.71</v>
      </c>
      <c r="J521" s="3">
        <f ca="1">IFERROR(__xludf.DUMMYFUNCTION("""COMPUTED_VALUE"""),89.01)</f>
        <v>89.01</v>
      </c>
      <c r="K521" s="3">
        <f ca="1">IFERROR(__xludf.DUMMYFUNCTION("""COMPUTED_VALUE"""),89.68)</f>
        <v>89.68</v>
      </c>
      <c r="L521" s="3">
        <f ca="1">IFERROR(__xludf.DUMMYFUNCTION("""COMPUTED_VALUE"""),3871101)</f>
        <v>3871101</v>
      </c>
      <c r="M521" s="4">
        <f ca="1">IFERROR(__xludf.DUMMYFUNCTION("""COMPUTED_VALUE"""),42879.6666666666)</f>
        <v>42879.666666666599</v>
      </c>
      <c r="N521" s="3">
        <f ca="1">IFERROR(__xludf.DUMMYFUNCTION("""COMPUTED_VALUE"""),55.76)</f>
        <v>55.76</v>
      </c>
      <c r="O521" s="3">
        <f ca="1">IFERROR(__xludf.DUMMYFUNCTION("""COMPUTED_VALUE"""),55.98)</f>
        <v>55.98</v>
      </c>
      <c r="P521" s="3">
        <f ca="1">IFERROR(__xludf.DUMMYFUNCTION("""COMPUTED_VALUE"""),55.69)</f>
        <v>55.69</v>
      </c>
      <c r="Q521" s="3">
        <f ca="1">IFERROR(__xludf.DUMMYFUNCTION("""COMPUTED_VALUE"""),55.94)</f>
        <v>55.94</v>
      </c>
      <c r="R521" s="3">
        <f ca="1">IFERROR(__xludf.DUMMYFUNCTION("""COMPUTED_VALUE"""),5152943)</f>
        <v>5152943</v>
      </c>
      <c r="S521" s="4">
        <f ca="1">IFERROR(__xludf.DUMMYFUNCTION("""COMPUTED_VALUE"""),42879.6666666666)</f>
        <v>42879.666666666599</v>
      </c>
      <c r="T521" s="3">
        <f ca="1">IFERROR(__xludf.DUMMYFUNCTION("""COMPUTED_VALUE"""),68.01)</f>
        <v>68.010000000000005</v>
      </c>
      <c r="U521" s="3">
        <f ca="1">IFERROR(__xludf.DUMMYFUNCTION("""COMPUTED_VALUE"""),68.22)</f>
        <v>68.22</v>
      </c>
      <c r="V521" s="3">
        <f ca="1">IFERROR(__xludf.DUMMYFUNCTION("""COMPUTED_VALUE"""),67.42)</f>
        <v>67.42</v>
      </c>
      <c r="W521" s="3">
        <f ca="1">IFERROR(__xludf.DUMMYFUNCTION("""COMPUTED_VALUE"""),67.73)</f>
        <v>67.73</v>
      </c>
      <c r="X521" s="3">
        <f ca="1">IFERROR(__xludf.DUMMYFUNCTION("""COMPUTED_VALUE"""),13591535)</f>
        <v>13591535</v>
      </c>
      <c r="Y521" s="4">
        <f ca="1">IFERROR(__xludf.DUMMYFUNCTION("""COMPUTED_VALUE"""),42879.6666666666)</f>
        <v>42879.666666666599</v>
      </c>
      <c r="Z521" s="3">
        <f ca="1">IFERROR(__xludf.DUMMYFUNCTION("""COMPUTED_VALUE"""),23.62)</f>
        <v>23.62</v>
      </c>
      <c r="AA521" s="3">
        <f ca="1">IFERROR(__xludf.DUMMYFUNCTION("""COMPUTED_VALUE"""),23.64)</f>
        <v>23.64</v>
      </c>
      <c r="AB521" s="3">
        <f ca="1">IFERROR(__xludf.DUMMYFUNCTION("""COMPUTED_VALUE"""),23.48)</f>
        <v>23.48</v>
      </c>
      <c r="AC521" s="3">
        <f ca="1">IFERROR(__xludf.DUMMYFUNCTION("""COMPUTED_VALUE"""),23.58)</f>
        <v>23.58</v>
      </c>
      <c r="AD521" s="3">
        <f ca="1">IFERROR(__xludf.DUMMYFUNCTION("""COMPUTED_VALUE"""),60004715)</f>
        <v>60004715</v>
      </c>
      <c r="AE521" s="4">
        <f ca="1">IFERROR(__xludf.DUMMYFUNCTION("""COMPUTED_VALUE"""),42879.6666666666)</f>
        <v>42879.666666666599</v>
      </c>
      <c r="AF521" s="3">
        <f ca="1">IFERROR(__xludf.DUMMYFUNCTION("""COMPUTED_VALUE"""),75.52)</f>
        <v>75.52</v>
      </c>
      <c r="AG521" s="3">
        <f ca="1">IFERROR(__xludf.DUMMYFUNCTION("""COMPUTED_VALUE"""),75.73)</f>
        <v>75.73</v>
      </c>
      <c r="AH521" s="3">
        <f ca="1">IFERROR(__xludf.DUMMYFUNCTION("""COMPUTED_VALUE"""),75.34)</f>
        <v>75.34</v>
      </c>
      <c r="AI521" s="3">
        <f ca="1">IFERROR(__xludf.DUMMYFUNCTION("""COMPUTED_VALUE"""),75.67)</f>
        <v>75.67</v>
      </c>
      <c r="AJ521" s="3">
        <f ca="1">IFERROR(__xludf.DUMMYFUNCTION("""COMPUTED_VALUE"""),5215731)</f>
        <v>5215731</v>
      </c>
      <c r="AK521" s="4">
        <f ca="1">IFERROR(__xludf.DUMMYFUNCTION("""COMPUTED_VALUE"""),42879.6666666666)</f>
        <v>42879.666666666599</v>
      </c>
      <c r="AL521" s="3">
        <f ca="1">IFERROR(__xludf.DUMMYFUNCTION("""COMPUTED_VALUE"""),66.89)</f>
        <v>66.89</v>
      </c>
      <c r="AM521" s="3">
        <f ca="1">IFERROR(__xludf.DUMMYFUNCTION("""COMPUTED_VALUE"""),67.13)</f>
        <v>67.13</v>
      </c>
      <c r="AN521" s="3">
        <f ca="1">IFERROR(__xludf.DUMMYFUNCTION("""COMPUTED_VALUE"""),66.67)</f>
        <v>66.67</v>
      </c>
      <c r="AO521" s="3">
        <f ca="1">IFERROR(__xludf.DUMMYFUNCTION("""COMPUTED_VALUE"""),66.89)</f>
        <v>66.89</v>
      </c>
      <c r="AP521" s="3">
        <f ca="1">IFERROR(__xludf.DUMMYFUNCTION("""COMPUTED_VALUE"""),7889472)</f>
        <v>7889472</v>
      </c>
      <c r="AQ521" s="4">
        <f ca="1">IFERROR(__xludf.DUMMYFUNCTION("""COMPUTED_VALUE"""),42879.6666666666)</f>
        <v>42879.666666666599</v>
      </c>
      <c r="AR521" s="3">
        <f ca="1">IFERROR(__xludf.DUMMYFUNCTION("""COMPUTED_VALUE"""),52.65)</f>
        <v>52.65</v>
      </c>
      <c r="AS521" s="3">
        <f ca="1">IFERROR(__xludf.DUMMYFUNCTION("""COMPUTED_VALUE"""),53.01)</f>
        <v>53.01</v>
      </c>
      <c r="AT521" s="3">
        <f ca="1">IFERROR(__xludf.DUMMYFUNCTION("""COMPUTED_VALUE"""),52.64)</f>
        <v>52.64</v>
      </c>
      <c r="AU521" s="3">
        <f ca="1">IFERROR(__xludf.DUMMYFUNCTION("""COMPUTED_VALUE"""),52.89)</f>
        <v>52.89</v>
      </c>
      <c r="AV521" s="3">
        <f ca="1">IFERROR(__xludf.DUMMYFUNCTION("""COMPUTED_VALUE"""),3149903)</f>
        <v>3149903</v>
      </c>
      <c r="BC521" s="4">
        <f ca="1">IFERROR(__xludf.DUMMYFUNCTION("""COMPUTED_VALUE"""),42879.6666666666)</f>
        <v>42879.666666666599</v>
      </c>
      <c r="BD521" s="3">
        <f ca="1">IFERROR(__xludf.DUMMYFUNCTION("""COMPUTED_VALUE"""),55.93)</f>
        <v>55.93</v>
      </c>
      <c r="BE521" s="3">
        <f ca="1">IFERROR(__xludf.DUMMYFUNCTION("""COMPUTED_VALUE"""),56.02)</f>
        <v>56.02</v>
      </c>
      <c r="BF521" s="3">
        <f ca="1">IFERROR(__xludf.DUMMYFUNCTION("""COMPUTED_VALUE"""),55.8)</f>
        <v>55.8</v>
      </c>
      <c r="BG521" s="3">
        <f ca="1">IFERROR(__xludf.DUMMYFUNCTION("""COMPUTED_VALUE"""),56.01)</f>
        <v>56.01</v>
      </c>
      <c r="BH521" s="3">
        <f ca="1">IFERROR(__xludf.DUMMYFUNCTION("""COMPUTED_VALUE"""),9427733)</f>
        <v>9427733</v>
      </c>
      <c r="BI521" s="4">
        <f ca="1">IFERROR(__xludf.DUMMYFUNCTION("""COMPUTED_VALUE"""),42879.6666666666)</f>
        <v>42879.666666666599</v>
      </c>
      <c r="BJ521" s="3">
        <f ca="1">IFERROR(__xludf.DUMMYFUNCTION("""COMPUTED_VALUE"""),52.72)</f>
        <v>52.72</v>
      </c>
      <c r="BK521" s="3">
        <f ca="1">IFERROR(__xludf.DUMMYFUNCTION("""COMPUTED_VALUE"""),53.06)</f>
        <v>53.06</v>
      </c>
      <c r="BL521" s="3">
        <f ca="1">IFERROR(__xludf.DUMMYFUNCTION("""COMPUTED_VALUE"""),52.67)</f>
        <v>52.67</v>
      </c>
      <c r="BM521" s="3">
        <f ca="1">IFERROR(__xludf.DUMMYFUNCTION("""COMPUTED_VALUE"""),52.97)</f>
        <v>52.97</v>
      </c>
      <c r="BN521" s="3">
        <f ca="1">IFERROR(__xludf.DUMMYFUNCTION("""COMPUTED_VALUE"""),7602342)</f>
        <v>7602342</v>
      </c>
    </row>
    <row r="522" spans="7:66" ht="13" x14ac:dyDescent="0.15">
      <c r="G522" s="4">
        <f ca="1">IFERROR(__xludf.DUMMYFUNCTION("""COMPUTED_VALUE"""),42880.6666666666)</f>
        <v>42880.666666666599</v>
      </c>
      <c r="H522" s="3">
        <f ca="1">IFERROR(__xludf.DUMMYFUNCTION("""COMPUTED_VALUE"""),89.97)</f>
        <v>89.97</v>
      </c>
      <c r="I522" s="3">
        <f ca="1">IFERROR(__xludf.DUMMYFUNCTION("""COMPUTED_VALUE"""),90.75)</f>
        <v>90.75</v>
      </c>
      <c r="J522" s="3">
        <f ca="1">IFERROR(__xludf.DUMMYFUNCTION("""COMPUTED_VALUE"""),89.97)</f>
        <v>89.97</v>
      </c>
      <c r="K522" s="3">
        <f ca="1">IFERROR(__xludf.DUMMYFUNCTION("""COMPUTED_VALUE"""),90.47)</f>
        <v>90.47</v>
      </c>
      <c r="L522" s="3">
        <f ca="1">IFERROR(__xludf.DUMMYFUNCTION("""COMPUTED_VALUE"""),3301914)</f>
        <v>3301914</v>
      </c>
      <c r="M522" s="4">
        <f ca="1">IFERROR(__xludf.DUMMYFUNCTION("""COMPUTED_VALUE"""),42880.6666666666)</f>
        <v>42880.666666666599</v>
      </c>
      <c r="N522" s="3">
        <f ca="1">IFERROR(__xludf.DUMMYFUNCTION("""COMPUTED_VALUE"""),56.02)</f>
        <v>56.02</v>
      </c>
      <c r="O522" s="3">
        <f ca="1">IFERROR(__xludf.DUMMYFUNCTION("""COMPUTED_VALUE"""),56.44)</f>
        <v>56.44</v>
      </c>
      <c r="P522" s="3">
        <f ca="1">IFERROR(__xludf.DUMMYFUNCTION("""COMPUTED_VALUE"""),56)</f>
        <v>56</v>
      </c>
      <c r="Q522" s="3">
        <f ca="1">IFERROR(__xludf.DUMMYFUNCTION("""COMPUTED_VALUE"""),56.29)</f>
        <v>56.29</v>
      </c>
      <c r="R522" s="3">
        <f ca="1">IFERROR(__xludf.DUMMYFUNCTION("""COMPUTED_VALUE"""),6036649)</f>
        <v>6036649</v>
      </c>
      <c r="S522" s="4">
        <f ca="1">IFERROR(__xludf.DUMMYFUNCTION("""COMPUTED_VALUE"""),42880.6666666666)</f>
        <v>42880.666666666599</v>
      </c>
      <c r="T522" s="3">
        <f ca="1">IFERROR(__xludf.DUMMYFUNCTION("""COMPUTED_VALUE"""),67.56)</f>
        <v>67.56</v>
      </c>
      <c r="U522" s="3">
        <f ca="1">IFERROR(__xludf.DUMMYFUNCTION("""COMPUTED_VALUE"""),68.23)</f>
        <v>68.23</v>
      </c>
      <c r="V522" s="3">
        <f ca="1">IFERROR(__xludf.DUMMYFUNCTION("""COMPUTED_VALUE"""),66.26)</f>
        <v>66.260000000000005</v>
      </c>
      <c r="W522" s="3">
        <f ca="1">IFERROR(__xludf.DUMMYFUNCTION("""COMPUTED_VALUE"""),66.5)</f>
        <v>66.5</v>
      </c>
      <c r="X522" s="3">
        <f ca="1">IFERROR(__xludf.DUMMYFUNCTION("""COMPUTED_VALUE"""),23329248)</f>
        <v>23329248</v>
      </c>
      <c r="Y522" s="4">
        <f ca="1">IFERROR(__xludf.DUMMYFUNCTION("""COMPUTED_VALUE"""),42880.6666666666)</f>
        <v>42880.666666666599</v>
      </c>
      <c r="Z522" s="3">
        <f ca="1">IFERROR(__xludf.DUMMYFUNCTION("""COMPUTED_VALUE"""),23.63)</f>
        <v>23.63</v>
      </c>
      <c r="AA522" s="3">
        <f ca="1">IFERROR(__xludf.DUMMYFUNCTION("""COMPUTED_VALUE"""),23.73)</f>
        <v>23.73</v>
      </c>
      <c r="AB522" s="3">
        <f ca="1">IFERROR(__xludf.DUMMYFUNCTION("""COMPUTED_VALUE"""),23.56)</f>
        <v>23.56</v>
      </c>
      <c r="AC522" s="3">
        <f ca="1">IFERROR(__xludf.DUMMYFUNCTION("""COMPUTED_VALUE"""),23.62)</f>
        <v>23.62</v>
      </c>
      <c r="AD522" s="3">
        <f ca="1">IFERROR(__xludf.DUMMYFUNCTION("""COMPUTED_VALUE"""),49362388)</f>
        <v>49362388</v>
      </c>
      <c r="AE522" s="4">
        <f ca="1">IFERROR(__xludf.DUMMYFUNCTION("""COMPUTED_VALUE"""),42880.6666666666)</f>
        <v>42880.666666666599</v>
      </c>
      <c r="AF522" s="3">
        <f ca="1">IFERROR(__xludf.DUMMYFUNCTION("""COMPUTED_VALUE"""),75.84)</f>
        <v>75.84</v>
      </c>
      <c r="AG522" s="3">
        <f ca="1">IFERROR(__xludf.DUMMYFUNCTION("""COMPUTED_VALUE"""),76.18)</f>
        <v>76.180000000000007</v>
      </c>
      <c r="AH522" s="3">
        <f ca="1">IFERROR(__xludf.DUMMYFUNCTION("""COMPUTED_VALUE"""),75.66)</f>
        <v>75.66</v>
      </c>
      <c r="AI522" s="3">
        <f ca="1">IFERROR(__xludf.DUMMYFUNCTION("""COMPUTED_VALUE"""),76.03)</f>
        <v>76.03</v>
      </c>
      <c r="AJ522" s="3">
        <f ca="1">IFERROR(__xludf.DUMMYFUNCTION("""COMPUTED_VALUE"""),4479364)</f>
        <v>4479364</v>
      </c>
      <c r="AK522" s="4">
        <f ca="1">IFERROR(__xludf.DUMMYFUNCTION("""COMPUTED_VALUE"""),42880.6666666666)</f>
        <v>42880.666666666599</v>
      </c>
      <c r="AL522" s="3">
        <f ca="1">IFERROR(__xludf.DUMMYFUNCTION("""COMPUTED_VALUE"""),67.04)</f>
        <v>67.040000000000006</v>
      </c>
      <c r="AM522" s="3">
        <f ca="1">IFERROR(__xludf.DUMMYFUNCTION("""COMPUTED_VALUE"""),67.42)</f>
        <v>67.42</v>
      </c>
      <c r="AN522" s="3">
        <f ca="1">IFERROR(__xludf.DUMMYFUNCTION("""COMPUTED_VALUE"""),66.99)</f>
        <v>66.989999999999995</v>
      </c>
      <c r="AO522" s="3">
        <f ca="1">IFERROR(__xludf.DUMMYFUNCTION("""COMPUTED_VALUE"""),67.33)</f>
        <v>67.33</v>
      </c>
      <c r="AP522" s="3">
        <f ca="1">IFERROR(__xludf.DUMMYFUNCTION("""COMPUTED_VALUE"""),6840816)</f>
        <v>6840816</v>
      </c>
      <c r="AQ522" s="4">
        <f ca="1">IFERROR(__xludf.DUMMYFUNCTION("""COMPUTED_VALUE"""),42880.6666666666)</f>
        <v>42880.666666666599</v>
      </c>
      <c r="AR522" s="3">
        <f ca="1">IFERROR(__xludf.DUMMYFUNCTION("""COMPUTED_VALUE"""),53.08)</f>
        <v>53.08</v>
      </c>
      <c r="AS522" s="3">
        <f ca="1">IFERROR(__xludf.DUMMYFUNCTION("""COMPUTED_VALUE"""),53.21)</f>
        <v>53.21</v>
      </c>
      <c r="AT522" s="3">
        <f ca="1">IFERROR(__xludf.DUMMYFUNCTION("""COMPUTED_VALUE"""),52.71)</f>
        <v>52.71</v>
      </c>
      <c r="AU522" s="3">
        <f ca="1">IFERROR(__xludf.DUMMYFUNCTION("""COMPUTED_VALUE"""),52.83)</f>
        <v>52.83</v>
      </c>
      <c r="AV522" s="3">
        <f ca="1">IFERROR(__xludf.DUMMYFUNCTION("""COMPUTED_VALUE"""),4853767)</f>
        <v>4853767</v>
      </c>
      <c r="BC522" s="4">
        <f ca="1">IFERROR(__xludf.DUMMYFUNCTION("""COMPUTED_VALUE"""),42880.6666666666)</f>
        <v>42880.666666666599</v>
      </c>
      <c r="BD522" s="3">
        <f ca="1">IFERROR(__xludf.DUMMYFUNCTION("""COMPUTED_VALUE"""),56.19)</f>
        <v>56.19</v>
      </c>
      <c r="BE522" s="3">
        <f ca="1">IFERROR(__xludf.DUMMYFUNCTION("""COMPUTED_VALUE"""),56.53)</f>
        <v>56.53</v>
      </c>
      <c r="BF522" s="3">
        <f ca="1">IFERROR(__xludf.DUMMYFUNCTION("""COMPUTED_VALUE"""),56.08)</f>
        <v>56.08</v>
      </c>
      <c r="BG522" s="3">
        <f ca="1">IFERROR(__xludf.DUMMYFUNCTION("""COMPUTED_VALUE"""),56.41)</f>
        <v>56.41</v>
      </c>
      <c r="BH522" s="3">
        <f ca="1">IFERROR(__xludf.DUMMYFUNCTION("""COMPUTED_VALUE"""),6113536)</f>
        <v>6113536</v>
      </c>
      <c r="BI522" s="4">
        <f ca="1">IFERROR(__xludf.DUMMYFUNCTION("""COMPUTED_VALUE"""),42880.6666666666)</f>
        <v>42880.666666666599</v>
      </c>
      <c r="BJ522" s="3">
        <f ca="1">IFERROR(__xludf.DUMMYFUNCTION("""COMPUTED_VALUE"""),53.08)</f>
        <v>53.08</v>
      </c>
      <c r="BK522" s="3">
        <f ca="1">IFERROR(__xludf.DUMMYFUNCTION("""COMPUTED_VALUE"""),53.49)</f>
        <v>53.49</v>
      </c>
      <c r="BL522" s="3">
        <f ca="1">IFERROR(__xludf.DUMMYFUNCTION("""COMPUTED_VALUE"""),52.95)</f>
        <v>52.95</v>
      </c>
      <c r="BM522" s="3">
        <f ca="1">IFERROR(__xludf.DUMMYFUNCTION("""COMPUTED_VALUE"""),53.4)</f>
        <v>53.4</v>
      </c>
      <c r="BN522" s="3">
        <f ca="1">IFERROR(__xludf.DUMMYFUNCTION("""COMPUTED_VALUE"""),16777277)</f>
        <v>16777277</v>
      </c>
    </row>
    <row r="523" spans="7:66" ht="13" x14ac:dyDescent="0.15">
      <c r="G523" s="4">
        <f ca="1">IFERROR(__xludf.DUMMYFUNCTION("""COMPUTED_VALUE"""),42881.6666666666)</f>
        <v>42881.666666666599</v>
      </c>
      <c r="H523" s="3">
        <f ca="1">IFERROR(__xludf.DUMMYFUNCTION("""COMPUTED_VALUE"""),90.59)</f>
        <v>90.59</v>
      </c>
      <c r="I523" s="3">
        <f ca="1">IFERROR(__xludf.DUMMYFUNCTION("""COMPUTED_VALUE"""),90.79)</f>
        <v>90.79</v>
      </c>
      <c r="J523" s="3">
        <f ca="1">IFERROR(__xludf.DUMMYFUNCTION("""COMPUTED_VALUE"""),90.49)</f>
        <v>90.49</v>
      </c>
      <c r="K523" s="3">
        <f ca="1">IFERROR(__xludf.DUMMYFUNCTION("""COMPUTED_VALUE"""),90.74)</f>
        <v>90.74</v>
      </c>
      <c r="L523" s="3">
        <f ca="1">IFERROR(__xludf.DUMMYFUNCTION("""COMPUTED_VALUE"""),2324013)</f>
        <v>2324013</v>
      </c>
      <c r="M523" s="4">
        <f ca="1">IFERROR(__xludf.DUMMYFUNCTION("""COMPUTED_VALUE"""),42881.6666666666)</f>
        <v>42881.666666666599</v>
      </c>
      <c r="N523" s="3">
        <f ca="1">IFERROR(__xludf.DUMMYFUNCTION("""COMPUTED_VALUE"""),56.33)</f>
        <v>56.33</v>
      </c>
      <c r="O523" s="3">
        <f ca="1">IFERROR(__xludf.DUMMYFUNCTION("""COMPUTED_VALUE"""),56.51)</f>
        <v>56.51</v>
      </c>
      <c r="P523" s="3">
        <f ca="1">IFERROR(__xludf.DUMMYFUNCTION("""COMPUTED_VALUE"""),56.32)</f>
        <v>56.32</v>
      </c>
      <c r="Q523" s="3">
        <f ca="1">IFERROR(__xludf.DUMMYFUNCTION("""COMPUTED_VALUE"""),56.5)</f>
        <v>56.5</v>
      </c>
      <c r="R523" s="3">
        <f ca="1">IFERROR(__xludf.DUMMYFUNCTION("""COMPUTED_VALUE"""),4207602)</f>
        <v>4207602</v>
      </c>
      <c r="S523" s="4">
        <f ca="1">IFERROR(__xludf.DUMMYFUNCTION("""COMPUTED_VALUE"""),42881.6666666666)</f>
        <v>42881.666666666599</v>
      </c>
      <c r="T523" s="3">
        <f ca="1">IFERROR(__xludf.DUMMYFUNCTION("""COMPUTED_VALUE"""),66.5)</f>
        <v>66.5</v>
      </c>
      <c r="U523" s="3">
        <f ca="1">IFERROR(__xludf.DUMMYFUNCTION("""COMPUTED_VALUE"""),66.67)</f>
        <v>66.67</v>
      </c>
      <c r="V523" s="3">
        <f ca="1">IFERROR(__xludf.DUMMYFUNCTION("""COMPUTED_VALUE"""),66.18)</f>
        <v>66.180000000000007</v>
      </c>
      <c r="W523" s="3">
        <f ca="1">IFERROR(__xludf.DUMMYFUNCTION("""COMPUTED_VALUE"""),66.61)</f>
        <v>66.61</v>
      </c>
      <c r="X523" s="3">
        <f ca="1">IFERROR(__xludf.DUMMYFUNCTION("""COMPUTED_VALUE"""),13199144)</f>
        <v>13199144</v>
      </c>
      <c r="Y523" s="4">
        <f ca="1">IFERROR(__xludf.DUMMYFUNCTION("""COMPUTED_VALUE"""),42881.6666666666)</f>
        <v>42881.666666666599</v>
      </c>
      <c r="Z523" s="3">
        <f ca="1">IFERROR(__xludf.DUMMYFUNCTION("""COMPUTED_VALUE"""),23.56)</f>
        <v>23.56</v>
      </c>
      <c r="AA523" s="3">
        <f ca="1">IFERROR(__xludf.DUMMYFUNCTION("""COMPUTED_VALUE"""),23.68)</f>
        <v>23.68</v>
      </c>
      <c r="AB523" s="3">
        <f ca="1">IFERROR(__xludf.DUMMYFUNCTION("""COMPUTED_VALUE"""),23.56)</f>
        <v>23.56</v>
      </c>
      <c r="AC523" s="3">
        <f ca="1">IFERROR(__xludf.DUMMYFUNCTION("""COMPUTED_VALUE"""),23.61)</f>
        <v>23.61</v>
      </c>
      <c r="AD523" s="3">
        <f ca="1">IFERROR(__xludf.DUMMYFUNCTION("""COMPUTED_VALUE"""),42601706)</f>
        <v>42601706</v>
      </c>
      <c r="AE523" s="4">
        <f ca="1">IFERROR(__xludf.DUMMYFUNCTION("""COMPUTED_VALUE"""),42881.6666666666)</f>
        <v>42881.666666666599</v>
      </c>
      <c r="AF523" s="3">
        <f ca="1">IFERROR(__xludf.DUMMYFUNCTION("""COMPUTED_VALUE"""),75.97)</f>
        <v>75.97</v>
      </c>
      <c r="AG523" s="3">
        <f ca="1">IFERROR(__xludf.DUMMYFUNCTION("""COMPUTED_VALUE"""),76.19)</f>
        <v>76.19</v>
      </c>
      <c r="AH523" s="3">
        <f ca="1">IFERROR(__xludf.DUMMYFUNCTION("""COMPUTED_VALUE"""),75.81)</f>
        <v>75.81</v>
      </c>
      <c r="AI523" s="3">
        <f ca="1">IFERROR(__xludf.DUMMYFUNCTION("""COMPUTED_VALUE"""),75.89)</f>
        <v>75.89</v>
      </c>
      <c r="AJ523" s="3">
        <f ca="1">IFERROR(__xludf.DUMMYFUNCTION("""COMPUTED_VALUE"""),4507362)</f>
        <v>4507362</v>
      </c>
      <c r="AK523" s="4">
        <f ca="1">IFERROR(__xludf.DUMMYFUNCTION("""COMPUTED_VALUE"""),42881.6666666666)</f>
        <v>42881.666666666599</v>
      </c>
      <c r="AL523" s="3">
        <f ca="1">IFERROR(__xludf.DUMMYFUNCTION("""COMPUTED_VALUE"""),67.24)</f>
        <v>67.239999999999995</v>
      </c>
      <c r="AM523" s="3">
        <f ca="1">IFERROR(__xludf.DUMMYFUNCTION("""COMPUTED_VALUE"""),67.5)</f>
        <v>67.5</v>
      </c>
      <c r="AN523" s="3">
        <f ca="1">IFERROR(__xludf.DUMMYFUNCTION("""COMPUTED_VALUE"""),67.22)</f>
        <v>67.22</v>
      </c>
      <c r="AO523" s="3">
        <f ca="1">IFERROR(__xludf.DUMMYFUNCTION("""COMPUTED_VALUE"""),67.41)</f>
        <v>67.41</v>
      </c>
      <c r="AP523" s="3">
        <f ca="1">IFERROR(__xludf.DUMMYFUNCTION("""COMPUTED_VALUE"""),5991008)</f>
        <v>5991008</v>
      </c>
      <c r="AQ523" s="4">
        <f ca="1">IFERROR(__xludf.DUMMYFUNCTION("""COMPUTED_VALUE"""),42881.6666666666)</f>
        <v>42881.666666666599</v>
      </c>
      <c r="AR523" s="3">
        <f ca="1">IFERROR(__xludf.DUMMYFUNCTION("""COMPUTED_VALUE"""),52.75)</f>
        <v>52.75</v>
      </c>
      <c r="AS523" s="3">
        <f ca="1">IFERROR(__xludf.DUMMYFUNCTION("""COMPUTED_VALUE"""),52.98)</f>
        <v>52.98</v>
      </c>
      <c r="AT523" s="3">
        <f ca="1">IFERROR(__xludf.DUMMYFUNCTION("""COMPUTED_VALUE"""),52.69)</f>
        <v>52.69</v>
      </c>
      <c r="AU523" s="3">
        <f ca="1">IFERROR(__xludf.DUMMYFUNCTION("""COMPUTED_VALUE"""),52.93)</f>
        <v>52.93</v>
      </c>
      <c r="AV523" s="3">
        <f ca="1">IFERROR(__xludf.DUMMYFUNCTION("""COMPUTED_VALUE"""),2120070)</f>
        <v>2120070</v>
      </c>
      <c r="BC523" s="4">
        <f ca="1">IFERROR(__xludf.DUMMYFUNCTION("""COMPUTED_VALUE"""),42881.6666666666)</f>
        <v>42881.666666666599</v>
      </c>
      <c r="BD523" s="3">
        <f ca="1">IFERROR(__xludf.DUMMYFUNCTION("""COMPUTED_VALUE"""),56.36)</f>
        <v>56.36</v>
      </c>
      <c r="BE523" s="3">
        <f ca="1">IFERROR(__xludf.DUMMYFUNCTION("""COMPUTED_VALUE"""),56.45)</f>
        <v>56.45</v>
      </c>
      <c r="BF523" s="3">
        <f ca="1">IFERROR(__xludf.DUMMYFUNCTION("""COMPUTED_VALUE"""),56.24)</f>
        <v>56.24</v>
      </c>
      <c r="BG523" s="3">
        <f ca="1">IFERROR(__xludf.DUMMYFUNCTION("""COMPUTED_VALUE"""),56.38)</f>
        <v>56.38</v>
      </c>
      <c r="BH523" s="3">
        <f ca="1">IFERROR(__xludf.DUMMYFUNCTION("""COMPUTED_VALUE"""),36282202)</f>
        <v>36282202</v>
      </c>
      <c r="BI523" s="4">
        <f ca="1">IFERROR(__xludf.DUMMYFUNCTION("""COMPUTED_VALUE"""),42881.6666666666)</f>
        <v>42881.666666666599</v>
      </c>
      <c r="BJ523" s="3">
        <f ca="1">IFERROR(__xludf.DUMMYFUNCTION("""COMPUTED_VALUE"""),53.43)</f>
        <v>53.43</v>
      </c>
      <c r="BK523" s="3">
        <f ca="1">IFERROR(__xludf.DUMMYFUNCTION("""COMPUTED_VALUE"""),53.52)</f>
        <v>53.52</v>
      </c>
      <c r="BL523" s="3">
        <f ca="1">IFERROR(__xludf.DUMMYFUNCTION("""COMPUTED_VALUE"""),53.3)</f>
        <v>53.3</v>
      </c>
      <c r="BM523" s="3">
        <f ca="1">IFERROR(__xludf.DUMMYFUNCTION("""COMPUTED_VALUE"""),53.4)</f>
        <v>53.4</v>
      </c>
      <c r="BN523" s="3">
        <f ca="1">IFERROR(__xludf.DUMMYFUNCTION("""COMPUTED_VALUE"""),7649643)</f>
        <v>7649643</v>
      </c>
    </row>
    <row r="524" spans="7:66" ht="13" x14ac:dyDescent="0.15">
      <c r="G524" s="4">
        <f ca="1">IFERROR(__xludf.DUMMYFUNCTION("""COMPUTED_VALUE"""),42885.6666666666)</f>
        <v>42885.666666666599</v>
      </c>
      <c r="H524" s="3">
        <f ca="1">IFERROR(__xludf.DUMMYFUNCTION("""COMPUTED_VALUE"""),90.74)</f>
        <v>90.74</v>
      </c>
      <c r="I524" s="3">
        <f ca="1">IFERROR(__xludf.DUMMYFUNCTION("""COMPUTED_VALUE"""),91.03)</f>
        <v>91.03</v>
      </c>
      <c r="J524" s="3">
        <f ca="1">IFERROR(__xludf.DUMMYFUNCTION("""COMPUTED_VALUE"""),90.73)</f>
        <v>90.73</v>
      </c>
      <c r="K524" s="3">
        <f ca="1">IFERROR(__xludf.DUMMYFUNCTION("""COMPUTED_VALUE"""),90.81)</f>
        <v>90.81</v>
      </c>
      <c r="L524" s="3">
        <f ca="1">IFERROR(__xludf.DUMMYFUNCTION("""COMPUTED_VALUE"""),2638884)</f>
        <v>2638884</v>
      </c>
      <c r="M524" s="4">
        <f ca="1">IFERROR(__xludf.DUMMYFUNCTION("""COMPUTED_VALUE"""),42885.6666666666)</f>
        <v>42885.666666666599</v>
      </c>
      <c r="N524" s="3">
        <f ca="1">IFERROR(__xludf.DUMMYFUNCTION("""COMPUTED_VALUE"""),56.38)</f>
        <v>56.38</v>
      </c>
      <c r="O524" s="3">
        <f ca="1">IFERROR(__xludf.DUMMYFUNCTION("""COMPUTED_VALUE"""),56.53)</f>
        <v>56.53</v>
      </c>
      <c r="P524" s="3">
        <f ca="1">IFERROR(__xludf.DUMMYFUNCTION("""COMPUTED_VALUE"""),56.29)</f>
        <v>56.29</v>
      </c>
      <c r="Q524" s="3">
        <f ca="1">IFERROR(__xludf.DUMMYFUNCTION("""COMPUTED_VALUE"""),56.48)</f>
        <v>56.48</v>
      </c>
      <c r="R524" s="3">
        <f ca="1">IFERROR(__xludf.DUMMYFUNCTION("""COMPUTED_VALUE"""),4250927)</f>
        <v>4250927</v>
      </c>
      <c r="S524" s="4">
        <f ca="1">IFERROR(__xludf.DUMMYFUNCTION("""COMPUTED_VALUE"""),42885.6666666666)</f>
        <v>42885.666666666599</v>
      </c>
      <c r="T524" s="3">
        <f ca="1">IFERROR(__xludf.DUMMYFUNCTION("""COMPUTED_VALUE"""),66.26)</f>
        <v>66.260000000000005</v>
      </c>
      <c r="U524" s="3">
        <f ca="1">IFERROR(__xludf.DUMMYFUNCTION("""COMPUTED_VALUE"""),66.26)</f>
        <v>66.260000000000005</v>
      </c>
      <c r="V524" s="3">
        <f ca="1">IFERROR(__xludf.DUMMYFUNCTION("""COMPUTED_VALUE"""),65.69)</f>
        <v>65.69</v>
      </c>
      <c r="W524" s="3">
        <f ca="1">IFERROR(__xludf.DUMMYFUNCTION("""COMPUTED_VALUE"""),65.72)</f>
        <v>65.72</v>
      </c>
      <c r="X524" s="3">
        <f ca="1">IFERROR(__xludf.DUMMYFUNCTION("""COMPUTED_VALUE"""),14529107)</f>
        <v>14529107</v>
      </c>
      <c r="Y524" s="4">
        <f ca="1">IFERROR(__xludf.DUMMYFUNCTION("""COMPUTED_VALUE"""),42885.6666666666)</f>
        <v>42885.666666666599</v>
      </c>
      <c r="Z524" s="3">
        <f ca="1">IFERROR(__xludf.DUMMYFUNCTION("""COMPUTED_VALUE"""),23.54)</f>
        <v>23.54</v>
      </c>
      <c r="AA524" s="3">
        <f ca="1">IFERROR(__xludf.DUMMYFUNCTION("""COMPUTED_VALUE"""),23.57)</f>
        <v>23.57</v>
      </c>
      <c r="AB524" s="3">
        <f ca="1">IFERROR(__xludf.DUMMYFUNCTION("""COMPUTED_VALUE"""),23.4)</f>
        <v>23.4</v>
      </c>
      <c r="AC524" s="3">
        <f ca="1">IFERROR(__xludf.DUMMYFUNCTION("""COMPUTED_VALUE"""),23.45)</f>
        <v>23.45</v>
      </c>
      <c r="AD524" s="3">
        <f ca="1">IFERROR(__xludf.DUMMYFUNCTION("""COMPUTED_VALUE"""),46584183)</f>
        <v>46584183</v>
      </c>
      <c r="AE524" s="4">
        <f ca="1">IFERROR(__xludf.DUMMYFUNCTION("""COMPUTED_VALUE"""),42885.6666666666)</f>
        <v>42885.666666666599</v>
      </c>
      <c r="AF524" s="3">
        <f ca="1">IFERROR(__xludf.DUMMYFUNCTION("""COMPUTED_VALUE"""),75.65)</f>
        <v>75.650000000000006</v>
      </c>
      <c r="AG524" s="3">
        <f ca="1">IFERROR(__xludf.DUMMYFUNCTION("""COMPUTED_VALUE"""),75.97)</f>
        <v>75.97</v>
      </c>
      <c r="AH524" s="3">
        <f ca="1">IFERROR(__xludf.DUMMYFUNCTION("""COMPUTED_VALUE"""),75.65)</f>
        <v>75.650000000000006</v>
      </c>
      <c r="AI524" s="3">
        <f ca="1">IFERROR(__xludf.DUMMYFUNCTION("""COMPUTED_VALUE"""),75.78)</f>
        <v>75.78</v>
      </c>
      <c r="AJ524" s="3">
        <f ca="1">IFERROR(__xludf.DUMMYFUNCTION("""COMPUTED_VALUE"""),4651153)</f>
        <v>4651153</v>
      </c>
      <c r="AK524" s="4">
        <f ca="1">IFERROR(__xludf.DUMMYFUNCTION("""COMPUTED_VALUE"""),42885.6666666666)</f>
        <v>42885.666666666599</v>
      </c>
      <c r="AL524" s="3">
        <f ca="1">IFERROR(__xludf.DUMMYFUNCTION("""COMPUTED_VALUE"""),67.22)</f>
        <v>67.22</v>
      </c>
      <c r="AM524" s="3">
        <f ca="1">IFERROR(__xludf.DUMMYFUNCTION("""COMPUTED_VALUE"""),67.48)</f>
        <v>67.48</v>
      </c>
      <c r="AN524" s="3">
        <f ca="1">IFERROR(__xludf.DUMMYFUNCTION("""COMPUTED_VALUE"""),67.13)</f>
        <v>67.13</v>
      </c>
      <c r="AO524" s="3">
        <f ca="1">IFERROR(__xludf.DUMMYFUNCTION("""COMPUTED_VALUE"""),67.39)</f>
        <v>67.39</v>
      </c>
      <c r="AP524" s="3">
        <f ca="1">IFERROR(__xludf.DUMMYFUNCTION("""COMPUTED_VALUE"""),6092540)</f>
        <v>6092540</v>
      </c>
      <c r="AQ524" s="4">
        <f ca="1">IFERROR(__xludf.DUMMYFUNCTION("""COMPUTED_VALUE"""),42885.6666666666)</f>
        <v>42885.666666666599</v>
      </c>
      <c r="AR524" s="3">
        <f ca="1">IFERROR(__xludf.DUMMYFUNCTION("""COMPUTED_VALUE"""),52.85)</f>
        <v>52.85</v>
      </c>
      <c r="AS524" s="3">
        <f ca="1">IFERROR(__xludf.DUMMYFUNCTION("""COMPUTED_VALUE"""),53.02)</f>
        <v>53.02</v>
      </c>
      <c r="AT524" s="3">
        <f ca="1">IFERROR(__xludf.DUMMYFUNCTION("""COMPUTED_VALUE"""),52.74)</f>
        <v>52.74</v>
      </c>
      <c r="AU524" s="3">
        <f ca="1">IFERROR(__xludf.DUMMYFUNCTION("""COMPUTED_VALUE"""),52.92)</f>
        <v>52.92</v>
      </c>
      <c r="AV524" s="3">
        <f ca="1">IFERROR(__xludf.DUMMYFUNCTION("""COMPUTED_VALUE"""),2798812)</f>
        <v>2798812</v>
      </c>
      <c r="BC524" s="4">
        <f ca="1">IFERROR(__xludf.DUMMYFUNCTION("""COMPUTED_VALUE"""),42885.6666666666)</f>
        <v>42885.666666666599</v>
      </c>
      <c r="BD524" s="3">
        <f ca="1">IFERROR(__xludf.DUMMYFUNCTION("""COMPUTED_VALUE"""),56.4)</f>
        <v>56.4</v>
      </c>
      <c r="BE524" s="3">
        <f ca="1">IFERROR(__xludf.DUMMYFUNCTION("""COMPUTED_VALUE"""),56.68)</f>
        <v>56.68</v>
      </c>
      <c r="BF524" s="3">
        <f ca="1">IFERROR(__xludf.DUMMYFUNCTION("""COMPUTED_VALUE"""),56.33)</f>
        <v>56.33</v>
      </c>
      <c r="BG524" s="3">
        <f ca="1">IFERROR(__xludf.DUMMYFUNCTION("""COMPUTED_VALUE"""),56.62)</f>
        <v>56.62</v>
      </c>
      <c r="BH524" s="3">
        <f ca="1">IFERROR(__xludf.DUMMYFUNCTION("""COMPUTED_VALUE"""),5925282)</f>
        <v>5925282</v>
      </c>
      <c r="BI524" s="4">
        <f ca="1">IFERROR(__xludf.DUMMYFUNCTION("""COMPUTED_VALUE"""),42885.6666666666)</f>
        <v>42885.666666666599</v>
      </c>
      <c r="BJ524" s="3">
        <f ca="1">IFERROR(__xludf.DUMMYFUNCTION("""COMPUTED_VALUE"""),53.44)</f>
        <v>53.44</v>
      </c>
      <c r="BK524" s="3">
        <f ca="1">IFERROR(__xludf.DUMMYFUNCTION("""COMPUTED_VALUE"""),53.7)</f>
        <v>53.7</v>
      </c>
      <c r="BL524" s="3">
        <f ca="1">IFERROR(__xludf.DUMMYFUNCTION("""COMPUTED_VALUE"""),53.29)</f>
        <v>53.29</v>
      </c>
      <c r="BM524" s="3">
        <f ca="1">IFERROR(__xludf.DUMMYFUNCTION("""COMPUTED_VALUE"""),53.57)</f>
        <v>53.57</v>
      </c>
      <c r="BN524" s="3">
        <f ca="1">IFERROR(__xludf.DUMMYFUNCTION("""COMPUTED_VALUE"""),6292291)</f>
        <v>6292291</v>
      </c>
    </row>
    <row r="525" spans="7:66" ht="13" x14ac:dyDescent="0.15">
      <c r="G525" s="4">
        <f ca="1">IFERROR(__xludf.DUMMYFUNCTION("""COMPUTED_VALUE"""),42886.6666666666)</f>
        <v>42886.666666666599</v>
      </c>
      <c r="H525" s="3">
        <f ca="1">IFERROR(__xludf.DUMMYFUNCTION("""COMPUTED_VALUE"""),90.97)</f>
        <v>90.97</v>
      </c>
      <c r="I525" s="3">
        <f ca="1">IFERROR(__xludf.DUMMYFUNCTION("""COMPUTED_VALUE"""),91.09)</f>
        <v>91.09</v>
      </c>
      <c r="J525" s="3">
        <f ca="1">IFERROR(__xludf.DUMMYFUNCTION("""COMPUTED_VALUE"""),90.33)</f>
        <v>90.33</v>
      </c>
      <c r="K525" s="3">
        <f ca="1">IFERROR(__xludf.DUMMYFUNCTION("""COMPUTED_VALUE"""),91.05)</f>
        <v>91.05</v>
      </c>
      <c r="L525" s="3">
        <f ca="1">IFERROR(__xludf.DUMMYFUNCTION("""COMPUTED_VALUE"""),5103647)</f>
        <v>5103647</v>
      </c>
      <c r="M525" s="4">
        <f ca="1">IFERROR(__xludf.DUMMYFUNCTION("""COMPUTED_VALUE"""),42886.6666666666)</f>
        <v>42886.666666666599</v>
      </c>
      <c r="N525" s="3">
        <f ca="1">IFERROR(__xludf.DUMMYFUNCTION("""COMPUTED_VALUE"""),56.53)</f>
        <v>56.53</v>
      </c>
      <c r="O525" s="3">
        <f ca="1">IFERROR(__xludf.DUMMYFUNCTION("""COMPUTED_VALUE"""),56.8)</f>
        <v>56.8</v>
      </c>
      <c r="P525" s="3">
        <f ca="1">IFERROR(__xludf.DUMMYFUNCTION("""COMPUTED_VALUE"""),56.53)</f>
        <v>56.53</v>
      </c>
      <c r="Q525" s="3">
        <f ca="1">IFERROR(__xludf.DUMMYFUNCTION("""COMPUTED_VALUE"""),56.64)</f>
        <v>56.64</v>
      </c>
      <c r="R525" s="3">
        <f ca="1">IFERROR(__xludf.DUMMYFUNCTION("""COMPUTED_VALUE"""),9780138)</f>
        <v>9780138</v>
      </c>
      <c r="S525" s="4">
        <f ca="1">IFERROR(__xludf.DUMMYFUNCTION("""COMPUTED_VALUE"""),42886.6666666666)</f>
        <v>42886.666666666599</v>
      </c>
      <c r="T525" s="3">
        <f ca="1">IFERROR(__xludf.DUMMYFUNCTION("""COMPUTED_VALUE"""),65.2)</f>
        <v>65.2</v>
      </c>
      <c r="U525" s="3">
        <f ca="1">IFERROR(__xludf.DUMMYFUNCTION("""COMPUTED_VALUE"""),65.64)</f>
        <v>65.64</v>
      </c>
      <c r="V525" s="3">
        <f ca="1">IFERROR(__xludf.DUMMYFUNCTION("""COMPUTED_VALUE"""),65.1)</f>
        <v>65.099999999999994</v>
      </c>
      <c r="W525" s="3">
        <f ca="1">IFERROR(__xludf.DUMMYFUNCTION("""COMPUTED_VALUE"""),65.44)</f>
        <v>65.44</v>
      </c>
      <c r="X525" s="3">
        <f ca="1">IFERROR(__xludf.DUMMYFUNCTION("""COMPUTED_VALUE"""),16093028)</f>
        <v>16093028</v>
      </c>
      <c r="Y525" s="4">
        <f ca="1">IFERROR(__xludf.DUMMYFUNCTION("""COMPUTED_VALUE"""),42886.6666666666)</f>
        <v>42886.666666666599</v>
      </c>
      <c r="Z525" s="3">
        <f ca="1">IFERROR(__xludf.DUMMYFUNCTION("""COMPUTED_VALUE"""),23.45)</f>
        <v>23.45</v>
      </c>
      <c r="AA525" s="3">
        <f ca="1">IFERROR(__xludf.DUMMYFUNCTION("""COMPUTED_VALUE"""),23.46)</f>
        <v>23.46</v>
      </c>
      <c r="AB525" s="3">
        <f ca="1">IFERROR(__xludf.DUMMYFUNCTION("""COMPUTED_VALUE"""),23.1)</f>
        <v>23.1</v>
      </c>
      <c r="AC525" s="3">
        <f ca="1">IFERROR(__xludf.DUMMYFUNCTION("""COMPUTED_VALUE"""),23.25)</f>
        <v>23.25</v>
      </c>
      <c r="AD525" s="3">
        <f ca="1">IFERROR(__xludf.DUMMYFUNCTION("""COMPUTED_VALUE"""),115877876)</f>
        <v>115877876</v>
      </c>
      <c r="AE525" s="4">
        <f ca="1">IFERROR(__xludf.DUMMYFUNCTION("""COMPUTED_VALUE"""),42886.6666666666)</f>
        <v>42886.666666666599</v>
      </c>
      <c r="AF525" s="3">
        <f ca="1">IFERROR(__xludf.DUMMYFUNCTION("""COMPUTED_VALUE"""),75.93)</f>
        <v>75.930000000000007</v>
      </c>
      <c r="AG525" s="3">
        <f ca="1">IFERROR(__xludf.DUMMYFUNCTION("""COMPUTED_VALUE"""),76.25)</f>
        <v>76.25</v>
      </c>
      <c r="AH525" s="3">
        <f ca="1">IFERROR(__xludf.DUMMYFUNCTION("""COMPUTED_VALUE"""),75.86)</f>
        <v>75.86</v>
      </c>
      <c r="AI525" s="3">
        <f ca="1">IFERROR(__xludf.DUMMYFUNCTION("""COMPUTED_VALUE"""),76.08)</f>
        <v>76.08</v>
      </c>
      <c r="AJ525" s="3">
        <f ca="1">IFERROR(__xludf.DUMMYFUNCTION("""COMPUTED_VALUE"""),5884380)</f>
        <v>5884380</v>
      </c>
      <c r="AK525" s="4">
        <f ca="1">IFERROR(__xludf.DUMMYFUNCTION("""COMPUTED_VALUE"""),42886.6666666666)</f>
        <v>42886.666666666599</v>
      </c>
      <c r="AL525" s="3">
        <f ca="1">IFERROR(__xludf.DUMMYFUNCTION("""COMPUTED_VALUE"""),67.47)</f>
        <v>67.47</v>
      </c>
      <c r="AM525" s="3">
        <f ca="1">IFERROR(__xludf.DUMMYFUNCTION("""COMPUTED_VALUE"""),67.54)</f>
        <v>67.540000000000006</v>
      </c>
      <c r="AN525" s="3">
        <f ca="1">IFERROR(__xludf.DUMMYFUNCTION("""COMPUTED_VALUE"""),67.06)</f>
        <v>67.06</v>
      </c>
      <c r="AO525" s="3">
        <f ca="1">IFERROR(__xludf.DUMMYFUNCTION("""COMPUTED_VALUE"""),67.52)</f>
        <v>67.52</v>
      </c>
      <c r="AP525" s="3">
        <f ca="1">IFERROR(__xludf.DUMMYFUNCTION("""COMPUTED_VALUE"""),10518804)</f>
        <v>10518804</v>
      </c>
      <c r="AQ525" s="4">
        <f ca="1">IFERROR(__xludf.DUMMYFUNCTION("""COMPUTED_VALUE"""),42886.6666666666)</f>
        <v>42886.666666666599</v>
      </c>
      <c r="AR525" s="3">
        <f ca="1">IFERROR(__xludf.DUMMYFUNCTION("""COMPUTED_VALUE"""),52.99)</f>
        <v>52.99</v>
      </c>
      <c r="AS525" s="3">
        <f ca="1">IFERROR(__xludf.DUMMYFUNCTION("""COMPUTED_VALUE"""),53.09)</f>
        <v>53.09</v>
      </c>
      <c r="AT525" s="3">
        <f ca="1">IFERROR(__xludf.DUMMYFUNCTION("""COMPUTED_VALUE"""),52.57)</f>
        <v>52.57</v>
      </c>
      <c r="AU525" s="3">
        <f ca="1">IFERROR(__xludf.DUMMYFUNCTION("""COMPUTED_VALUE"""),53.08)</f>
        <v>53.08</v>
      </c>
      <c r="AV525" s="3">
        <f ca="1">IFERROR(__xludf.DUMMYFUNCTION("""COMPUTED_VALUE"""),6169455)</f>
        <v>6169455</v>
      </c>
      <c r="BC525" s="4">
        <f ca="1">IFERROR(__xludf.DUMMYFUNCTION("""COMPUTED_VALUE"""),42886.6666666666)</f>
        <v>42886.666666666599</v>
      </c>
      <c r="BD525" s="3">
        <f ca="1">IFERROR(__xludf.DUMMYFUNCTION("""COMPUTED_VALUE"""),56.83)</f>
        <v>56.83</v>
      </c>
      <c r="BE525" s="3">
        <f ca="1">IFERROR(__xludf.DUMMYFUNCTION("""COMPUTED_VALUE"""),56.85)</f>
        <v>56.85</v>
      </c>
      <c r="BF525" s="3">
        <f ca="1">IFERROR(__xludf.DUMMYFUNCTION("""COMPUTED_VALUE"""),56.34)</f>
        <v>56.34</v>
      </c>
      <c r="BG525" s="3">
        <f ca="1">IFERROR(__xludf.DUMMYFUNCTION("""COMPUTED_VALUE"""),56.53)</f>
        <v>56.53</v>
      </c>
      <c r="BH525" s="3">
        <f ca="1">IFERROR(__xludf.DUMMYFUNCTION("""COMPUTED_VALUE"""),14246143)</f>
        <v>14246143</v>
      </c>
      <c r="BI525" s="4">
        <f ca="1">IFERROR(__xludf.DUMMYFUNCTION("""COMPUTED_VALUE"""),42886.6666666666)</f>
        <v>42886.666666666599</v>
      </c>
      <c r="BJ525" s="3">
        <f ca="1">IFERROR(__xludf.DUMMYFUNCTION("""COMPUTED_VALUE"""),53.63)</f>
        <v>53.63</v>
      </c>
      <c r="BK525" s="3">
        <f ca="1">IFERROR(__xludf.DUMMYFUNCTION("""COMPUTED_VALUE"""),54.03)</f>
        <v>54.03</v>
      </c>
      <c r="BL525" s="3">
        <f ca="1">IFERROR(__xludf.DUMMYFUNCTION("""COMPUTED_VALUE"""),53.57)</f>
        <v>53.57</v>
      </c>
      <c r="BM525" s="3">
        <f ca="1">IFERROR(__xludf.DUMMYFUNCTION("""COMPUTED_VALUE"""),53.84)</f>
        <v>53.84</v>
      </c>
      <c r="BN525" s="3">
        <f ca="1">IFERROR(__xludf.DUMMYFUNCTION("""COMPUTED_VALUE"""),12620691)</f>
        <v>12620691</v>
      </c>
    </row>
    <row r="526" spans="7:66" ht="13" x14ac:dyDescent="0.15">
      <c r="G526" s="4">
        <f ca="1">IFERROR(__xludf.DUMMYFUNCTION("""COMPUTED_VALUE"""),42887.6666666666)</f>
        <v>42887.666666666599</v>
      </c>
      <c r="H526" s="3">
        <f ca="1">IFERROR(__xludf.DUMMYFUNCTION("""COMPUTED_VALUE"""),91.28)</f>
        <v>91.28</v>
      </c>
      <c r="I526" s="3">
        <f ca="1">IFERROR(__xludf.DUMMYFUNCTION("""COMPUTED_VALUE"""),91.91)</f>
        <v>91.91</v>
      </c>
      <c r="J526" s="3">
        <f ca="1">IFERROR(__xludf.DUMMYFUNCTION("""COMPUTED_VALUE"""),91.01)</f>
        <v>91.01</v>
      </c>
      <c r="K526" s="3">
        <f ca="1">IFERROR(__xludf.DUMMYFUNCTION("""COMPUTED_VALUE"""),91.91)</f>
        <v>91.91</v>
      </c>
      <c r="L526" s="3">
        <f ca="1">IFERROR(__xludf.DUMMYFUNCTION("""COMPUTED_VALUE"""),5147498)</f>
        <v>5147498</v>
      </c>
      <c r="M526" s="4">
        <f ca="1">IFERROR(__xludf.DUMMYFUNCTION("""COMPUTED_VALUE"""),42887.6666666666)</f>
        <v>42887.666666666599</v>
      </c>
      <c r="N526" s="3">
        <f ca="1">IFERROR(__xludf.DUMMYFUNCTION("""COMPUTED_VALUE"""),56.71)</f>
        <v>56.71</v>
      </c>
      <c r="O526" s="3">
        <f ca="1">IFERROR(__xludf.DUMMYFUNCTION("""COMPUTED_VALUE"""),57.1)</f>
        <v>57.1</v>
      </c>
      <c r="P526" s="3">
        <f ca="1">IFERROR(__xludf.DUMMYFUNCTION("""COMPUTED_VALUE"""),56.53)</f>
        <v>56.53</v>
      </c>
      <c r="Q526" s="3">
        <f ca="1">IFERROR(__xludf.DUMMYFUNCTION("""COMPUTED_VALUE"""),57.1)</f>
        <v>57.1</v>
      </c>
      <c r="R526" s="3">
        <f ca="1">IFERROR(__xludf.DUMMYFUNCTION("""COMPUTED_VALUE"""),23243909)</f>
        <v>23243909</v>
      </c>
      <c r="S526" s="4">
        <f ca="1">IFERROR(__xludf.DUMMYFUNCTION("""COMPUTED_VALUE"""),42887.6666666666)</f>
        <v>42887.666666666599</v>
      </c>
      <c r="T526" s="3">
        <f ca="1">IFERROR(__xludf.DUMMYFUNCTION("""COMPUTED_VALUE"""),65.47)</f>
        <v>65.47</v>
      </c>
      <c r="U526" s="3">
        <f ca="1">IFERROR(__xludf.DUMMYFUNCTION("""COMPUTED_VALUE"""),66.09)</f>
        <v>66.09</v>
      </c>
      <c r="V526" s="3">
        <f ca="1">IFERROR(__xludf.DUMMYFUNCTION("""COMPUTED_VALUE"""),65.26)</f>
        <v>65.260000000000005</v>
      </c>
      <c r="W526" s="3">
        <f ca="1">IFERROR(__xludf.DUMMYFUNCTION("""COMPUTED_VALUE"""),65.85)</f>
        <v>65.849999999999994</v>
      </c>
      <c r="X526" s="3">
        <f ca="1">IFERROR(__xludf.DUMMYFUNCTION("""COMPUTED_VALUE"""),17983673)</f>
        <v>17983673</v>
      </c>
      <c r="Y526" s="4">
        <f ca="1">IFERROR(__xludf.DUMMYFUNCTION("""COMPUTED_VALUE"""),42887.6666666666)</f>
        <v>42887.666666666599</v>
      </c>
      <c r="Z526" s="3">
        <f ca="1">IFERROR(__xludf.DUMMYFUNCTION("""COMPUTED_VALUE"""),23.38)</f>
        <v>23.38</v>
      </c>
      <c r="AA526" s="3">
        <f ca="1">IFERROR(__xludf.DUMMYFUNCTION("""COMPUTED_VALUE"""),23.56)</f>
        <v>23.56</v>
      </c>
      <c r="AB526" s="3">
        <f ca="1">IFERROR(__xludf.DUMMYFUNCTION("""COMPUTED_VALUE"""),23.22)</f>
        <v>23.22</v>
      </c>
      <c r="AC526" s="3">
        <f ca="1">IFERROR(__xludf.DUMMYFUNCTION("""COMPUTED_VALUE"""),23.54)</f>
        <v>23.54</v>
      </c>
      <c r="AD526" s="3">
        <f ca="1">IFERROR(__xludf.DUMMYFUNCTION("""COMPUTED_VALUE"""),81187583)</f>
        <v>81187583</v>
      </c>
      <c r="AE526" s="4">
        <f ca="1">IFERROR(__xludf.DUMMYFUNCTION("""COMPUTED_VALUE"""),42887.6666666666)</f>
        <v>42887.666666666599</v>
      </c>
      <c r="AF526" s="3">
        <f ca="1">IFERROR(__xludf.DUMMYFUNCTION("""COMPUTED_VALUE"""),76.21)</f>
        <v>76.209999999999994</v>
      </c>
      <c r="AG526" s="3">
        <f ca="1">IFERROR(__xludf.DUMMYFUNCTION("""COMPUTED_VALUE"""),76.98)</f>
        <v>76.98</v>
      </c>
      <c r="AH526" s="3">
        <f ca="1">IFERROR(__xludf.DUMMYFUNCTION("""COMPUTED_VALUE"""),76.13)</f>
        <v>76.13</v>
      </c>
      <c r="AI526" s="3">
        <f ca="1">IFERROR(__xludf.DUMMYFUNCTION("""COMPUTED_VALUE"""),76.92)</f>
        <v>76.92</v>
      </c>
      <c r="AJ526" s="3">
        <f ca="1">IFERROR(__xludf.DUMMYFUNCTION("""COMPUTED_VALUE"""),9149905)</f>
        <v>9149905</v>
      </c>
      <c r="AK526" s="4">
        <f ca="1">IFERROR(__xludf.DUMMYFUNCTION("""COMPUTED_VALUE"""),42887.6666666666)</f>
        <v>42887.666666666599</v>
      </c>
      <c r="AL526" s="3">
        <f ca="1">IFERROR(__xludf.DUMMYFUNCTION("""COMPUTED_VALUE"""),67.7)</f>
        <v>67.7</v>
      </c>
      <c r="AM526" s="3">
        <f ca="1">IFERROR(__xludf.DUMMYFUNCTION("""COMPUTED_VALUE"""),68.12)</f>
        <v>68.12</v>
      </c>
      <c r="AN526" s="3">
        <f ca="1">IFERROR(__xludf.DUMMYFUNCTION("""COMPUTED_VALUE"""),67.48)</f>
        <v>67.48</v>
      </c>
      <c r="AO526" s="3">
        <f ca="1">IFERROR(__xludf.DUMMYFUNCTION("""COMPUTED_VALUE"""),67.94)</f>
        <v>67.94</v>
      </c>
      <c r="AP526" s="3">
        <f ca="1">IFERROR(__xludf.DUMMYFUNCTION("""COMPUTED_VALUE"""),16117970)</f>
        <v>16117970</v>
      </c>
      <c r="AQ526" s="4">
        <f ca="1">IFERROR(__xludf.DUMMYFUNCTION("""COMPUTED_VALUE"""),42887.6666666666)</f>
        <v>42887.666666666599</v>
      </c>
      <c r="AR526" s="3">
        <f ca="1">IFERROR(__xludf.DUMMYFUNCTION("""COMPUTED_VALUE"""),53.05)</f>
        <v>53.05</v>
      </c>
      <c r="AS526" s="3">
        <f ca="1">IFERROR(__xludf.DUMMYFUNCTION("""COMPUTED_VALUE"""),53.78)</f>
        <v>53.78</v>
      </c>
      <c r="AT526" s="3">
        <f ca="1">IFERROR(__xludf.DUMMYFUNCTION("""COMPUTED_VALUE"""),53.04)</f>
        <v>53.04</v>
      </c>
      <c r="AU526" s="3">
        <f ca="1">IFERROR(__xludf.DUMMYFUNCTION("""COMPUTED_VALUE"""),53.72)</f>
        <v>53.72</v>
      </c>
      <c r="AV526" s="3">
        <f ca="1">IFERROR(__xludf.DUMMYFUNCTION("""COMPUTED_VALUE"""),7904058)</f>
        <v>7904058</v>
      </c>
      <c r="BC526" s="4">
        <f ca="1">IFERROR(__xludf.DUMMYFUNCTION("""COMPUTED_VALUE"""),42887.6666666666)</f>
        <v>42887.666666666599</v>
      </c>
      <c r="BD526" s="3">
        <f ca="1">IFERROR(__xludf.DUMMYFUNCTION("""COMPUTED_VALUE"""),56.65)</f>
        <v>56.65</v>
      </c>
      <c r="BE526" s="3">
        <f ca="1">IFERROR(__xludf.DUMMYFUNCTION("""COMPUTED_VALUE"""),56.67)</f>
        <v>56.67</v>
      </c>
      <c r="BF526" s="3">
        <f ca="1">IFERROR(__xludf.DUMMYFUNCTION("""COMPUTED_VALUE"""),56.32)</f>
        <v>56.32</v>
      </c>
      <c r="BG526" s="3">
        <f ca="1">IFERROR(__xludf.DUMMYFUNCTION("""COMPUTED_VALUE"""),56.67)</f>
        <v>56.67</v>
      </c>
      <c r="BH526" s="3">
        <f ca="1">IFERROR(__xludf.DUMMYFUNCTION("""COMPUTED_VALUE"""),8436237)</f>
        <v>8436237</v>
      </c>
      <c r="BI526" s="4">
        <f ca="1">IFERROR(__xludf.DUMMYFUNCTION("""COMPUTED_VALUE"""),42887.6666666666)</f>
        <v>42887.666666666599</v>
      </c>
      <c r="BJ526" s="3">
        <f ca="1">IFERROR(__xludf.DUMMYFUNCTION("""COMPUTED_VALUE"""),53.7)</f>
        <v>53.7</v>
      </c>
      <c r="BK526" s="3">
        <f ca="1">IFERROR(__xludf.DUMMYFUNCTION("""COMPUTED_VALUE"""),54.23)</f>
        <v>54.23</v>
      </c>
      <c r="BL526" s="3">
        <f ca="1">IFERROR(__xludf.DUMMYFUNCTION("""COMPUTED_VALUE"""),53.64)</f>
        <v>53.64</v>
      </c>
      <c r="BM526" s="3">
        <f ca="1">IFERROR(__xludf.DUMMYFUNCTION("""COMPUTED_VALUE"""),54.22)</f>
        <v>54.22</v>
      </c>
      <c r="BN526" s="3">
        <f ca="1">IFERROR(__xludf.DUMMYFUNCTION("""COMPUTED_VALUE"""),11118558)</f>
        <v>11118558</v>
      </c>
    </row>
    <row r="527" spans="7:66" ht="13" x14ac:dyDescent="0.15">
      <c r="G527" s="4">
        <f ca="1">IFERROR(__xludf.DUMMYFUNCTION("""COMPUTED_VALUE"""),42888.6666666666)</f>
        <v>42888.666666666599</v>
      </c>
      <c r="H527" s="3">
        <f ca="1">IFERROR(__xludf.DUMMYFUNCTION("""COMPUTED_VALUE"""),91.96)</f>
        <v>91.96</v>
      </c>
      <c r="I527" s="3">
        <f ca="1">IFERROR(__xludf.DUMMYFUNCTION("""COMPUTED_VALUE"""),92.35)</f>
        <v>92.35</v>
      </c>
      <c r="J527" s="3">
        <f ca="1">IFERROR(__xludf.DUMMYFUNCTION("""COMPUTED_VALUE"""),91.83)</f>
        <v>91.83</v>
      </c>
      <c r="K527" s="3">
        <f ca="1">IFERROR(__xludf.DUMMYFUNCTION("""COMPUTED_VALUE"""),92.24)</f>
        <v>92.24</v>
      </c>
      <c r="L527" s="3">
        <f ca="1">IFERROR(__xludf.DUMMYFUNCTION("""COMPUTED_VALUE"""),3134363)</f>
        <v>3134363</v>
      </c>
      <c r="M527" s="4">
        <f ca="1">IFERROR(__xludf.DUMMYFUNCTION("""COMPUTED_VALUE"""),42888.6666666666)</f>
        <v>42888.666666666599</v>
      </c>
      <c r="N527" s="3">
        <f ca="1">IFERROR(__xludf.DUMMYFUNCTION("""COMPUTED_VALUE"""),57.25)</f>
        <v>57.25</v>
      </c>
      <c r="O527" s="3">
        <f ca="1">IFERROR(__xludf.DUMMYFUNCTION("""COMPUTED_VALUE"""),57.29)</f>
        <v>57.29</v>
      </c>
      <c r="P527" s="3">
        <f ca="1">IFERROR(__xludf.DUMMYFUNCTION("""COMPUTED_VALUE"""),56.98)</f>
        <v>56.98</v>
      </c>
      <c r="Q527" s="3">
        <f ca="1">IFERROR(__xludf.DUMMYFUNCTION("""COMPUTED_VALUE"""),57.27)</f>
        <v>57.27</v>
      </c>
      <c r="R527" s="3">
        <f ca="1">IFERROR(__xludf.DUMMYFUNCTION("""COMPUTED_VALUE"""),17247921)</f>
        <v>17247921</v>
      </c>
      <c r="S527" s="4">
        <f ca="1">IFERROR(__xludf.DUMMYFUNCTION("""COMPUTED_VALUE"""),42888.6666666666)</f>
        <v>42888.666666666599</v>
      </c>
      <c r="T527" s="3">
        <f ca="1">IFERROR(__xludf.DUMMYFUNCTION("""COMPUTED_VALUE"""),65.55)</f>
        <v>65.55</v>
      </c>
      <c r="U527" s="3">
        <f ca="1">IFERROR(__xludf.DUMMYFUNCTION("""COMPUTED_VALUE"""),65.57)</f>
        <v>65.569999999999993</v>
      </c>
      <c r="V527" s="3">
        <f ca="1">IFERROR(__xludf.DUMMYFUNCTION("""COMPUTED_VALUE"""),64.81)</f>
        <v>64.81</v>
      </c>
      <c r="W527" s="3">
        <f ca="1">IFERROR(__xludf.DUMMYFUNCTION("""COMPUTED_VALUE"""),65.09)</f>
        <v>65.09</v>
      </c>
      <c r="X527" s="3">
        <f ca="1">IFERROR(__xludf.DUMMYFUNCTION("""COMPUTED_VALUE"""),16542548)</f>
        <v>16542548</v>
      </c>
      <c r="Y527" s="4">
        <f ca="1">IFERROR(__xludf.DUMMYFUNCTION("""COMPUTED_VALUE"""),42888.6666666666)</f>
        <v>42888.666666666599</v>
      </c>
      <c r="Z527" s="3">
        <f ca="1">IFERROR(__xludf.DUMMYFUNCTION("""COMPUTED_VALUE"""),23.37)</f>
        <v>23.37</v>
      </c>
      <c r="AA527" s="3">
        <f ca="1">IFERROR(__xludf.DUMMYFUNCTION("""COMPUTED_VALUE"""),23.57)</f>
        <v>23.57</v>
      </c>
      <c r="AB527" s="3">
        <f ca="1">IFERROR(__xludf.DUMMYFUNCTION("""COMPUTED_VALUE"""),23.32)</f>
        <v>23.32</v>
      </c>
      <c r="AC527" s="3">
        <f ca="1">IFERROR(__xludf.DUMMYFUNCTION("""COMPUTED_VALUE"""),23.45)</f>
        <v>23.45</v>
      </c>
      <c r="AD527" s="3">
        <f ca="1">IFERROR(__xludf.DUMMYFUNCTION("""COMPUTED_VALUE"""),83704479)</f>
        <v>83704479</v>
      </c>
      <c r="AE527" s="4">
        <f ca="1">IFERROR(__xludf.DUMMYFUNCTION("""COMPUTED_VALUE"""),42888.6666666666)</f>
        <v>42888.666666666599</v>
      </c>
      <c r="AF527" s="3">
        <f ca="1">IFERROR(__xludf.DUMMYFUNCTION("""COMPUTED_VALUE"""),77.14)</f>
        <v>77.14</v>
      </c>
      <c r="AG527" s="3">
        <f ca="1">IFERROR(__xludf.DUMMYFUNCTION("""COMPUTED_VALUE"""),77.52)</f>
        <v>77.52</v>
      </c>
      <c r="AH527" s="3">
        <f ca="1">IFERROR(__xludf.DUMMYFUNCTION("""COMPUTED_VALUE"""),77.07)</f>
        <v>77.069999999999993</v>
      </c>
      <c r="AI527" s="3">
        <f ca="1">IFERROR(__xludf.DUMMYFUNCTION("""COMPUTED_VALUE"""),77.42)</f>
        <v>77.42</v>
      </c>
      <c r="AJ527" s="3">
        <f ca="1">IFERROR(__xludf.DUMMYFUNCTION("""COMPUTED_VALUE"""),4832974)</f>
        <v>4832974</v>
      </c>
      <c r="AK527" s="4">
        <f ca="1">IFERROR(__xludf.DUMMYFUNCTION("""COMPUTED_VALUE"""),42888.6666666666)</f>
        <v>42888.666666666599</v>
      </c>
      <c r="AL527" s="3">
        <f ca="1">IFERROR(__xludf.DUMMYFUNCTION("""COMPUTED_VALUE"""),68.06)</f>
        <v>68.06</v>
      </c>
      <c r="AM527" s="3">
        <f ca="1">IFERROR(__xludf.DUMMYFUNCTION("""COMPUTED_VALUE"""),68.58)</f>
        <v>68.58</v>
      </c>
      <c r="AN527" s="3">
        <f ca="1">IFERROR(__xludf.DUMMYFUNCTION("""COMPUTED_VALUE"""),68.05)</f>
        <v>68.05</v>
      </c>
      <c r="AO527" s="3">
        <f ca="1">IFERROR(__xludf.DUMMYFUNCTION("""COMPUTED_VALUE"""),68.21)</f>
        <v>68.209999999999994</v>
      </c>
      <c r="AP527" s="3">
        <f ca="1">IFERROR(__xludf.DUMMYFUNCTION("""COMPUTED_VALUE"""),17769606)</f>
        <v>17769606</v>
      </c>
      <c r="AQ527" s="4">
        <f ca="1">IFERROR(__xludf.DUMMYFUNCTION("""COMPUTED_VALUE"""),42888.6666666666)</f>
        <v>42888.666666666599</v>
      </c>
      <c r="AR527" s="3">
        <f ca="1">IFERROR(__xludf.DUMMYFUNCTION("""COMPUTED_VALUE"""),53.7)</f>
        <v>53.7</v>
      </c>
      <c r="AS527" s="3">
        <f ca="1">IFERROR(__xludf.DUMMYFUNCTION("""COMPUTED_VALUE"""),53.97)</f>
        <v>53.97</v>
      </c>
      <c r="AT527" s="3">
        <f ca="1">IFERROR(__xludf.DUMMYFUNCTION("""COMPUTED_VALUE"""),53.59)</f>
        <v>53.59</v>
      </c>
      <c r="AU527" s="3">
        <f ca="1">IFERROR(__xludf.DUMMYFUNCTION("""COMPUTED_VALUE"""),53.85)</f>
        <v>53.85</v>
      </c>
      <c r="AV527" s="3">
        <f ca="1">IFERROR(__xludf.DUMMYFUNCTION("""COMPUTED_VALUE"""),4905434)</f>
        <v>4905434</v>
      </c>
      <c r="BC527" s="4">
        <f ca="1">IFERROR(__xludf.DUMMYFUNCTION("""COMPUTED_VALUE"""),42888.6666666666)</f>
        <v>42888.666666666599</v>
      </c>
      <c r="BD527" s="3">
        <f ca="1">IFERROR(__xludf.DUMMYFUNCTION("""COMPUTED_VALUE"""),56.88)</f>
        <v>56.88</v>
      </c>
      <c r="BE527" s="3">
        <f ca="1">IFERROR(__xludf.DUMMYFUNCTION("""COMPUTED_VALUE"""),57.2)</f>
        <v>57.2</v>
      </c>
      <c r="BF527" s="3">
        <f ca="1">IFERROR(__xludf.DUMMYFUNCTION("""COMPUTED_VALUE"""),56.7)</f>
        <v>56.7</v>
      </c>
      <c r="BG527" s="3">
        <f ca="1">IFERROR(__xludf.DUMMYFUNCTION("""COMPUTED_VALUE"""),57.19)</f>
        <v>57.19</v>
      </c>
      <c r="BH527" s="3">
        <f ca="1">IFERROR(__xludf.DUMMYFUNCTION("""COMPUTED_VALUE"""),8491012)</f>
        <v>8491012</v>
      </c>
      <c r="BI527" s="4">
        <f ca="1">IFERROR(__xludf.DUMMYFUNCTION("""COMPUTED_VALUE"""),42888.6666666666)</f>
        <v>42888.666666666599</v>
      </c>
      <c r="BJ527" s="3">
        <f ca="1">IFERROR(__xludf.DUMMYFUNCTION("""COMPUTED_VALUE"""),54.63)</f>
        <v>54.63</v>
      </c>
      <c r="BK527" s="3">
        <f ca="1">IFERROR(__xludf.DUMMYFUNCTION("""COMPUTED_VALUE"""),54.63)</f>
        <v>54.63</v>
      </c>
      <c r="BL527" s="3">
        <f ca="1">IFERROR(__xludf.DUMMYFUNCTION("""COMPUTED_VALUE"""),54.12)</f>
        <v>54.12</v>
      </c>
      <c r="BM527" s="3">
        <f ca="1">IFERROR(__xludf.DUMMYFUNCTION("""COMPUTED_VALUE"""),54.28)</f>
        <v>54.28</v>
      </c>
      <c r="BN527" s="3">
        <f ca="1">IFERROR(__xludf.DUMMYFUNCTION("""COMPUTED_VALUE"""),9956578)</f>
        <v>9956578</v>
      </c>
    </row>
    <row r="528" spans="7:66" ht="13" x14ac:dyDescent="0.15">
      <c r="G528" s="4">
        <f ca="1">IFERROR(__xludf.DUMMYFUNCTION("""COMPUTED_VALUE"""),42891.6666666666)</f>
        <v>42891.666666666599</v>
      </c>
      <c r="H528" s="3">
        <f ca="1">IFERROR(__xludf.DUMMYFUNCTION("""COMPUTED_VALUE"""),92.34)</f>
        <v>92.34</v>
      </c>
      <c r="I528" s="3">
        <f ca="1">IFERROR(__xludf.DUMMYFUNCTION("""COMPUTED_VALUE"""),92.42)</f>
        <v>92.42</v>
      </c>
      <c r="J528" s="3">
        <f ca="1">IFERROR(__xludf.DUMMYFUNCTION("""COMPUTED_VALUE"""),91.82)</f>
        <v>91.82</v>
      </c>
      <c r="K528" s="3">
        <f ca="1">IFERROR(__xludf.DUMMYFUNCTION("""COMPUTED_VALUE"""),91.99)</f>
        <v>91.99</v>
      </c>
      <c r="L528" s="3">
        <f ca="1">IFERROR(__xludf.DUMMYFUNCTION("""COMPUTED_VALUE"""),5499327)</f>
        <v>5499327</v>
      </c>
      <c r="M528" s="4">
        <f ca="1">IFERROR(__xludf.DUMMYFUNCTION("""COMPUTED_VALUE"""),42891.6666666666)</f>
        <v>42891.666666666599</v>
      </c>
      <c r="N528" s="3">
        <f ca="1">IFERROR(__xludf.DUMMYFUNCTION("""COMPUTED_VALUE"""),57.2)</f>
        <v>57.2</v>
      </c>
      <c r="O528" s="3">
        <f ca="1">IFERROR(__xludf.DUMMYFUNCTION("""COMPUTED_VALUE"""),57.36)</f>
        <v>57.36</v>
      </c>
      <c r="P528" s="3">
        <f ca="1">IFERROR(__xludf.DUMMYFUNCTION("""COMPUTED_VALUE"""),57.03)</f>
        <v>57.03</v>
      </c>
      <c r="Q528" s="3">
        <f ca="1">IFERROR(__xludf.DUMMYFUNCTION("""COMPUTED_VALUE"""),57.33)</f>
        <v>57.33</v>
      </c>
      <c r="R528" s="3">
        <f ca="1">IFERROR(__xludf.DUMMYFUNCTION("""COMPUTED_VALUE"""),17359552)</f>
        <v>17359552</v>
      </c>
      <c r="S528" s="4">
        <f ca="1">IFERROR(__xludf.DUMMYFUNCTION("""COMPUTED_VALUE"""),42891.6666666666)</f>
        <v>42891.666666666599</v>
      </c>
      <c r="T528" s="3">
        <f ca="1">IFERROR(__xludf.DUMMYFUNCTION("""COMPUTED_VALUE"""),64.89)</f>
        <v>64.89</v>
      </c>
      <c r="U528" s="3">
        <f ca="1">IFERROR(__xludf.DUMMYFUNCTION("""COMPUTED_VALUE"""),65.45)</f>
        <v>65.45</v>
      </c>
      <c r="V528" s="3">
        <f ca="1">IFERROR(__xludf.DUMMYFUNCTION("""COMPUTED_VALUE"""),64.87)</f>
        <v>64.87</v>
      </c>
      <c r="W528" s="3">
        <f ca="1">IFERROR(__xludf.DUMMYFUNCTION("""COMPUTED_VALUE"""),65.21)</f>
        <v>65.209999999999994</v>
      </c>
      <c r="X528" s="3">
        <f ca="1">IFERROR(__xludf.DUMMYFUNCTION("""COMPUTED_VALUE"""),12552466)</f>
        <v>12552466</v>
      </c>
      <c r="Y528" s="4">
        <f ca="1">IFERROR(__xludf.DUMMYFUNCTION("""COMPUTED_VALUE"""),42891.6666666666)</f>
        <v>42891.666666666599</v>
      </c>
      <c r="Z528" s="3">
        <f ca="1">IFERROR(__xludf.DUMMYFUNCTION("""COMPUTED_VALUE"""),23.46)</f>
        <v>23.46</v>
      </c>
      <c r="AA528" s="3">
        <f ca="1">IFERROR(__xludf.DUMMYFUNCTION("""COMPUTED_VALUE"""),23.64)</f>
        <v>23.64</v>
      </c>
      <c r="AB528" s="3">
        <f ca="1">IFERROR(__xludf.DUMMYFUNCTION("""COMPUTED_VALUE"""),23.46)</f>
        <v>23.46</v>
      </c>
      <c r="AC528" s="3">
        <f ca="1">IFERROR(__xludf.DUMMYFUNCTION("""COMPUTED_VALUE"""),23.49)</f>
        <v>23.49</v>
      </c>
      <c r="AD528" s="3">
        <f ca="1">IFERROR(__xludf.DUMMYFUNCTION("""COMPUTED_VALUE"""),44055796)</f>
        <v>44055796</v>
      </c>
      <c r="AE528" s="4">
        <f ca="1">IFERROR(__xludf.DUMMYFUNCTION("""COMPUTED_VALUE"""),42891.6666666666)</f>
        <v>42891.666666666599</v>
      </c>
      <c r="AF528" s="3">
        <f ca="1">IFERROR(__xludf.DUMMYFUNCTION("""COMPUTED_VALUE"""),77.42)</f>
        <v>77.42</v>
      </c>
      <c r="AG528" s="3">
        <f ca="1">IFERROR(__xludf.DUMMYFUNCTION("""COMPUTED_VALUE"""),77.5)</f>
        <v>77.5</v>
      </c>
      <c r="AH528" s="3">
        <f ca="1">IFERROR(__xludf.DUMMYFUNCTION("""COMPUTED_VALUE"""),77.02)</f>
        <v>77.02</v>
      </c>
      <c r="AI528" s="3">
        <f ca="1">IFERROR(__xludf.DUMMYFUNCTION("""COMPUTED_VALUE"""),77.2)</f>
        <v>77.2</v>
      </c>
      <c r="AJ528" s="3">
        <f ca="1">IFERROR(__xludf.DUMMYFUNCTION("""COMPUTED_VALUE"""),5558935)</f>
        <v>5558935</v>
      </c>
      <c r="AK528" s="4">
        <f ca="1">IFERROR(__xludf.DUMMYFUNCTION("""COMPUTED_VALUE"""),42891.6666666666)</f>
        <v>42891.666666666599</v>
      </c>
      <c r="AL528" s="3">
        <f ca="1">IFERROR(__xludf.DUMMYFUNCTION("""COMPUTED_VALUE"""),68.13)</f>
        <v>68.13</v>
      </c>
      <c r="AM528" s="3">
        <f ca="1">IFERROR(__xludf.DUMMYFUNCTION("""COMPUTED_VALUE"""),68.32)</f>
        <v>68.319999999999993</v>
      </c>
      <c r="AN528" s="3">
        <f ca="1">IFERROR(__xludf.DUMMYFUNCTION("""COMPUTED_VALUE"""),67.94)</f>
        <v>67.94</v>
      </c>
      <c r="AO528" s="3">
        <f ca="1">IFERROR(__xludf.DUMMYFUNCTION("""COMPUTED_VALUE"""),67.97)</f>
        <v>67.97</v>
      </c>
      <c r="AP528" s="3">
        <f ca="1">IFERROR(__xludf.DUMMYFUNCTION("""COMPUTED_VALUE"""),16550717)</f>
        <v>16550717</v>
      </c>
      <c r="AQ528" s="4">
        <f ca="1">IFERROR(__xludf.DUMMYFUNCTION("""COMPUTED_VALUE"""),42891.6666666666)</f>
        <v>42891.666666666599</v>
      </c>
      <c r="AR528" s="3">
        <f ca="1">IFERROR(__xludf.DUMMYFUNCTION("""COMPUTED_VALUE"""),53.8)</f>
        <v>53.8</v>
      </c>
      <c r="AS528" s="3">
        <f ca="1">IFERROR(__xludf.DUMMYFUNCTION("""COMPUTED_VALUE"""),53.91)</f>
        <v>53.91</v>
      </c>
      <c r="AT528" s="3">
        <f ca="1">IFERROR(__xludf.DUMMYFUNCTION("""COMPUTED_VALUE"""),53.61)</f>
        <v>53.61</v>
      </c>
      <c r="AU528" s="3">
        <f ca="1">IFERROR(__xludf.DUMMYFUNCTION("""COMPUTED_VALUE"""),53.68)</f>
        <v>53.68</v>
      </c>
      <c r="AV528" s="3">
        <f ca="1">IFERROR(__xludf.DUMMYFUNCTION("""COMPUTED_VALUE"""),2829321)</f>
        <v>2829321</v>
      </c>
      <c r="BC528" s="4">
        <f ca="1">IFERROR(__xludf.DUMMYFUNCTION("""COMPUTED_VALUE"""),42891.6666666666)</f>
        <v>42891.666666666599</v>
      </c>
      <c r="BD528" s="3">
        <f ca="1">IFERROR(__xludf.DUMMYFUNCTION("""COMPUTED_VALUE"""),57.19)</f>
        <v>57.19</v>
      </c>
      <c r="BE528" s="3">
        <f ca="1">IFERROR(__xludf.DUMMYFUNCTION("""COMPUTED_VALUE"""),57.39)</f>
        <v>57.39</v>
      </c>
      <c r="BF528" s="3">
        <f ca="1">IFERROR(__xludf.DUMMYFUNCTION("""COMPUTED_VALUE"""),57.12)</f>
        <v>57.12</v>
      </c>
      <c r="BG528" s="3">
        <f ca="1">IFERROR(__xludf.DUMMYFUNCTION("""COMPUTED_VALUE"""),57.24)</f>
        <v>57.24</v>
      </c>
      <c r="BH528" s="3">
        <f ca="1">IFERROR(__xludf.DUMMYFUNCTION("""COMPUTED_VALUE"""),6765833)</f>
        <v>6765833</v>
      </c>
      <c r="BI528" s="4">
        <f ca="1">IFERROR(__xludf.DUMMYFUNCTION("""COMPUTED_VALUE"""),42891.6666666666)</f>
        <v>42891.666666666599</v>
      </c>
      <c r="BJ528" s="3">
        <f ca="1">IFERROR(__xludf.DUMMYFUNCTION("""COMPUTED_VALUE"""),54.28)</f>
        <v>54.28</v>
      </c>
      <c r="BK528" s="3">
        <f ca="1">IFERROR(__xludf.DUMMYFUNCTION("""COMPUTED_VALUE"""),54.33)</f>
        <v>54.33</v>
      </c>
      <c r="BL528" s="3">
        <f ca="1">IFERROR(__xludf.DUMMYFUNCTION("""COMPUTED_VALUE"""),54.03)</f>
        <v>54.03</v>
      </c>
      <c r="BM528" s="3">
        <f ca="1">IFERROR(__xludf.DUMMYFUNCTION("""COMPUTED_VALUE"""),54.11)</f>
        <v>54.11</v>
      </c>
      <c r="BN528" s="3">
        <f ca="1">IFERROR(__xludf.DUMMYFUNCTION("""COMPUTED_VALUE"""),7350014)</f>
        <v>7350014</v>
      </c>
    </row>
    <row r="529" spans="7:66" ht="13" x14ac:dyDescent="0.15">
      <c r="G529" s="4">
        <f ca="1">IFERROR(__xludf.DUMMYFUNCTION("""COMPUTED_VALUE"""),42892.6666666666)</f>
        <v>42892.666666666599</v>
      </c>
      <c r="H529" s="3">
        <f ca="1">IFERROR(__xludf.DUMMYFUNCTION("""COMPUTED_VALUE"""),91.67)</f>
        <v>91.67</v>
      </c>
      <c r="I529" s="3">
        <f ca="1">IFERROR(__xludf.DUMMYFUNCTION("""COMPUTED_VALUE"""),91.86)</f>
        <v>91.86</v>
      </c>
      <c r="J529" s="3">
        <f ca="1">IFERROR(__xludf.DUMMYFUNCTION("""COMPUTED_VALUE"""),91.13)</f>
        <v>91.13</v>
      </c>
      <c r="K529" s="3">
        <f ca="1">IFERROR(__xludf.DUMMYFUNCTION("""COMPUTED_VALUE"""),91.2)</f>
        <v>91.2</v>
      </c>
      <c r="L529" s="3">
        <f ca="1">IFERROR(__xludf.DUMMYFUNCTION("""COMPUTED_VALUE"""),3563744)</f>
        <v>3563744</v>
      </c>
      <c r="M529" s="4">
        <f ca="1">IFERROR(__xludf.DUMMYFUNCTION("""COMPUTED_VALUE"""),42892.6666666666)</f>
        <v>42892.666666666599</v>
      </c>
      <c r="N529" s="3">
        <f ca="1">IFERROR(__xludf.DUMMYFUNCTION("""COMPUTED_VALUE"""),57.28)</f>
        <v>57.28</v>
      </c>
      <c r="O529" s="3">
        <f ca="1">IFERROR(__xludf.DUMMYFUNCTION("""COMPUTED_VALUE"""),57.33)</f>
        <v>57.33</v>
      </c>
      <c r="P529" s="3">
        <f ca="1">IFERROR(__xludf.DUMMYFUNCTION("""COMPUTED_VALUE"""),57.08)</f>
        <v>57.08</v>
      </c>
      <c r="Q529" s="3">
        <f ca="1">IFERROR(__xludf.DUMMYFUNCTION("""COMPUTED_VALUE"""),57.19)</f>
        <v>57.19</v>
      </c>
      <c r="R529" s="3">
        <f ca="1">IFERROR(__xludf.DUMMYFUNCTION("""COMPUTED_VALUE"""),14846461)</f>
        <v>14846461</v>
      </c>
      <c r="S529" s="4">
        <f ca="1">IFERROR(__xludf.DUMMYFUNCTION("""COMPUTED_VALUE"""),42892.6666666666)</f>
        <v>42892.666666666599</v>
      </c>
      <c r="T529" s="3">
        <f ca="1">IFERROR(__xludf.DUMMYFUNCTION("""COMPUTED_VALUE"""),65.17)</f>
        <v>65.17</v>
      </c>
      <c r="U529" s="3">
        <f ca="1">IFERROR(__xludf.DUMMYFUNCTION("""COMPUTED_VALUE"""),66.09)</f>
        <v>66.09</v>
      </c>
      <c r="V529" s="3">
        <f ca="1">IFERROR(__xludf.DUMMYFUNCTION("""COMPUTED_VALUE"""),65.02)</f>
        <v>65.02</v>
      </c>
      <c r="W529" s="3">
        <f ca="1">IFERROR(__xludf.DUMMYFUNCTION("""COMPUTED_VALUE"""),65.98)</f>
        <v>65.98</v>
      </c>
      <c r="X529" s="3">
        <f ca="1">IFERROR(__xludf.DUMMYFUNCTION("""COMPUTED_VALUE"""),14835282)</f>
        <v>14835282</v>
      </c>
      <c r="Y529" s="4">
        <f ca="1">IFERROR(__xludf.DUMMYFUNCTION("""COMPUTED_VALUE"""),42892.6666666666)</f>
        <v>42892.666666666599</v>
      </c>
      <c r="Z529" s="3">
        <f ca="1">IFERROR(__xludf.DUMMYFUNCTION("""COMPUTED_VALUE"""),23.31)</f>
        <v>23.31</v>
      </c>
      <c r="AA529" s="3">
        <f ca="1">IFERROR(__xludf.DUMMYFUNCTION("""COMPUTED_VALUE"""),23.45)</f>
        <v>23.45</v>
      </c>
      <c r="AB529" s="3">
        <f ca="1">IFERROR(__xludf.DUMMYFUNCTION("""COMPUTED_VALUE"""),23.26)</f>
        <v>23.26</v>
      </c>
      <c r="AC529" s="3">
        <f ca="1">IFERROR(__xludf.DUMMYFUNCTION("""COMPUTED_VALUE"""),23.39)</f>
        <v>23.39</v>
      </c>
      <c r="AD529" s="3">
        <f ca="1">IFERROR(__xludf.DUMMYFUNCTION("""COMPUTED_VALUE"""),60397338)</f>
        <v>60397338</v>
      </c>
      <c r="AE529" s="4">
        <f ca="1">IFERROR(__xludf.DUMMYFUNCTION("""COMPUTED_VALUE"""),42892.6666666666)</f>
        <v>42892.666666666599</v>
      </c>
      <c r="AF529" s="3">
        <f ca="1">IFERROR(__xludf.DUMMYFUNCTION("""COMPUTED_VALUE"""),77.05)</f>
        <v>77.05</v>
      </c>
      <c r="AG529" s="3">
        <f ca="1">IFERROR(__xludf.DUMMYFUNCTION("""COMPUTED_VALUE"""),77.29)</f>
        <v>77.290000000000006</v>
      </c>
      <c r="AH529" s="3">
        <f ca="1">IFERROR(__xludf.DUMMYFUNCTION("""COMPUTED_VALUE"""),76.88)</f>
        <v>76.88</v>
      </c>
      <c r="AI529" s="3">
        <f ca="1">IFERROR(__xludf.DUMMYFUNCTION("""COMPUTED_VALUE"""),77.01)</f>
        <v>77.010000000000005</v>
      </c>
      <c r="AJ529" s="3">
        <f ca="1">IFERROR(__xludf.DUMMYFUNCTION("""COMPUTED_VALUE"""),4316464)</f>
        <v>4316464</v>
      </c>
      <c r="AK529" s="4">
        <f ca="1">IFERROR(__xludf.DUMMYFUNCTION("""COMPUTED_VALUE"""),42892.6666666666)</f>
        <v>42892.666666666599</v>
      </c>
      <c r="AL529" s="3">
        <f ca="1">IFERROR(__xludf.DUMMYFUNCTION("""COMPUTED_VALUE"""),67.72)</f>
        <v>67.72</v>
      </c>
      <c r="AM529" s="3">
        <f ca="1">IFERROR(__xludf.DUMMYFUNCTION("""COMPUTED_VALUE"""),67.85)</f>
        <v>67.849999999999994</v>
      </c>
      <c r="AN529" s="3">
        <f ca="1">IFERROR(__xludf.DUMMYFUNCTION("""COMPUTED_VALUE"""),67.51)</f>
        <v>67.510000000000005</v>
      </c>
      <c r="AO529" s="3">
        <f ca="1">IFERROR(__xludf.DUMMYFUNCTION("""COMPUTED_VALUE"""),67.51)</f>
        <v>67.510000000000005</v>
      </c>
      <c r="AP529" s="3">
        <f ca="1">IFERROR(__xludf.DUMMYFUNCTION("""COMPUTED_VALUE"""),15201411)</f>
        <v>15201411</v>
      </c>
      <c r="AQ529" s="4">
        <f ca="1">IFERROR(__xludf.DUMMYFUNCTION("""COMPUTED_VALUE"""),42892.6666666666)</f>
        <v>42892.666666666599</v>
      </c>
      <c r="AR529" s="3">
        <f ca="1">IFERROR(__xludf.DUMMYFUNCTION("""COMPUTED_VALUE"""),53.53)</f>
        <v>53.53</v>
      </c>
      <c r="AS529" s="3">
        <f ca="1">IFERROR(__xludf.DUMMYFUNCTION("""COMPUTED_VALUE"""),53.86)</f>
        <v>53.86</v>
      </c>
      <c r="AT529" s="3">
        <f ca="1">IFERROR(__xludf.DUMMYFUNCTION("""COMPUTED_VALUE"""),53.41)</f>
        <v>53.41</v>
      </c>
      <c r="AU529" s="3">
        <f ca="1">IFERROR(__xludf.DUMMYFUNCTION("""COMPUTED_VALUE"""),53.71)</f>
        <v>53.71</v>
      </c>
      <c r="AV529" s="3">
        <f ca="1">IFERROR(__xludf.DUMMYFUNCTION("""COMPUTED_VALUE"""),4128611)</f>
        <v>4128611</v>
      </c>
      <c r="BC529" s="4">
        <f ca="1">IFERROR(__xludf.DUMMYFUNCTION("""COMPUTED_VALUE"""),42892.6666666666)</f>
        <v>42892.666666666599</v>
      </c>
      <c r="BD529" s="3">
        <f ca="1">IFERROR(__xludf.DUMMYFUNCTION("""COMPUTED_VALUE"""),57.17)</f>
        <v>57.17</v>
      </c>
      <c r="BE529" s="3">
        <f ca="1">IFERROR(__xludf.DUMMYFUNCTION("""COMPUTED_VALUE"""),57.42)</f>
        <v>57.42</v>
      </c>
      <c r="BF529" s="3">
        <f ca="1">IFERROR(__xludf.DUMMYFUNCTION("""COMPUTED_VALUE"""),57.06)</f>
        <v>57.06</v>
      </c>
      <c r="BG529" s="3">
        <f ca="1">IFERROR(__xludf.DUMMYFUNCTION("""COMPUTED_VALUE"""),57.13)</f>
        <v>57.13</v>
      </c>
      <c r="BH529" s="3">
        <f ca="1">IFERROR(__xludf.DUMMYFUNCTION("""COMPUTED_VALUE"""),7685189)</f>
        <v>7685189</v>
      </c>
      <c r="BI529" s="4">
        <f ca="1">IFERROR(__xludf.DUMMYFUNCTION("""COMPUTED_VALUE"""),42892.6666666666)</f>
        <v>42892.666666666599</v>
      </c>
      <c r="BJ529" s="3">
        <f ca="1">IFERROR(__xludf.DUMMYFUNCTION("""COMPUTED_VALUE"""),54.23)</f>
        <v>54.23</v>
      </c>
      <c r="BK529" s="3">
        <f ca="1">IFERROR(__xludf.DUMMYFUNCTION("""COMPUTED_VALUE"""),54.23)</f>
        <v>54.23</v>
      </c>
      <c r="BL529" s="3">
        <f ca="1">IFERROR(__xludf.DUMMYFUNCTION("""COMPUTED_VALUE"""),53.92)</f>
        <v>53.92</v>
      </c>
      <c r="BM529" s="3">
        <f ca="1">IFERROR(__xludf.DUMMYFUNCTION("""COMPUTED_VALUE"""),53.99)</f>
        <v>53.99</v>
      </c>
      <c r="BN529" s="3">
        <f ca="1">IFERROR(__xludf.DUMMYFUNCTION("""COMPUTED_VALUE"""),7501231)</f>
        <v>7501231</v>
      </c>
    </row>
    <row r="530" spans="7:66" ht="13" x14ac:dyDescent="0.15">
      <c r="G530" s="4">
        <f ca="1">IFERROR(__xludf.DUMMYFUNCTION("""COMPUTED_VALUE"""),42893.6666666666)</f>
        <v>42893.666666666599</v>
      </c>
      <c r="H530" s="3">
        <f ca="1">IFERROR(__xludf.DUMMYFUNCTION("""COMPUTED_VALUE"""),91.34)</f>
        <v>91.34</v>
      </c>
      <c r="I530" s="3">
        <f ca="1">IFERROR(__xludf.DUMMYFUNCTION("""COMPUTED_VALUE"""),91.52)</f>
        <v>91.52</v>
      </c>
      <c r="J530" s="3">
        <f ca="1">IFERROR(__xludf.DUMMYFUNCTION("""COMPUTED_VALUE"""),91.15)</f>
        <v>91.15</v>
      </c>
      <c r="K530" s="3">
        <f ca="1">IFERROR(__xludf.DUMMYFUNCTION("""COMPUTED_VALUE"""),91.36)</f>
        <v>91.36</v>
      </c>
      <c r="L530" s="3">
        <f ca="1">IFERROR(__xludf.DUMMYFUNCTION("""COMPUTED_VALUE"""),4671512)</f>
        <v>4671512</v>
      </c>
      <c r="M530" s="4">
        <f ca="1">IFERROR(__xludf.DUMMYFUNCTION("""COMPUTED_VALUE"""),42893.6666666666)</f>
        <v>42893.666666666599</v>
      </c>
      <c r="N530" s="3">
        <f ca="1">IFERROR(__xludf.DUMMYFUNCTION("""COMPUTED_VALUE"""),57.07)</f>
        <v>57.07</v>
      </c>
      <c r="O530" s="3">
        <f ca="1">IFERROR(__xludf.DUMMYFUNCTION("""COMPUTED_VALUE"""),57.25)</f>
        <v>57.25</v>
      </c>
      <c r="P530" s="3">
        <f ca="1">IFERROR(__xludf.DUMMYFUNCTION("""COMPUTED_VALUE"""),57.05)</f>
        <v>57.05</v>
      </c>
      <c r="Q530" s="3">
        <f ca="1">IFERROR(__xludf.DUMMYFUNCTION("""COMPUTED_VALUE"""),57.17)</f>
        <v>57.17</v>
      </c>
      <c r="R530" s="3">
        <f ca="1">IFERROR(__xludf.DUMMYFUNCTION("""COMPUTED_VALUE"""),10077731)</f>
        <v>10077731</v>
      </c>
      <c r="S530" s="4">
        <f ca="1">IFERROR(__xludf.DUMMYFUNCTION("""COMPUTED_VALUE"""),42893.6666666666)</f>
        <v>42893.666666666599</v>
      </c>
      <c r="T530" s="3">
        <f ca="1">IFERROR(__xludf.DUMMYFUNCTION("""COMPUTED_VALUE"""),65.71)</f>
        <v>65.709999999999994</v>
      </c>
      <c r="U530" s="3">
        <f ca="1">IFERROR(__xludf.DUMMYFUNCTION("""COMPUTED_VALUE"""),66.03)</f>
        <v>66.03</v>
      </c>
      <c r="V530" s="3">
        <f ca="1">IFERROR(__xludf.DUMMYFUNCTION("""COMPUTED_VALUE"""),64.6)</f>
        <v>64.599999999999994</v>
      </c>
      <c r="W530" s="3">
        <f ca="1">IFERROR(__xludf.DUMMYFUNCTION("""COMPUTED_VALUE"""),65.05)</f>
        <v>65.05</v>
      </c>
      <c r="X530" s="3">
        <f ca="1">IFERROR(__xludf.DUMMYFUNCTION("""COMPUTED_VALUE"""),22942134)</f>
        <v>22942134</v>
      </c>
      <c r="Y530" s="4">
        <f ca="1">IFERROR(__xludf.DUMMYFUNCTION("""COMPUTED_VALUE"""),42893.6666666666)</f>
        <v>42893.666666666599</v>
      </c>
      <c r="Z530" s="3">
        <f ca="1">IFERROR(__xludf.DUMMYFUNCTION("""COMPUTED_VALUE"""),23.43)</f>
        <v>23.43</v>
      </c>
      <c r="AA530" s="3">
        <f ca="1">IFERROR(__xludf.DUMMYFUNCTION("""COMPUTED_VALUE"""),23.63)</f>
        <v>23.63</v>
      </c>
      <c r="AB530" s="3">
        <f ca="1">IFERROR(__xludf.DUMMYFUNCTION("""COMPUTED_VALUE"""),23.39)</f>
        <v>23.39</v>
      </c>
      <c r="AC530" s="3">
        <f ca="1">IFERROR(__xludf.DUMMYFUNCTION("""COMPUTED_VALUE"""),23.57)</f>
        <v>23.57</v>
      </c>
      <c r="AD530" s="3">
        <f ca="1">IFERROR(__xludf.DUMMYFUNCTION("""COMPUTED_VALUE"""),83049054)</f>
        <v>83049054</v>
      </c>
      <c r="AE530" s="4">
        <f ca="1">IFERROR(__xludf.DUMMYFUNCTION("""COMPUTED_VALUE"""),42893.6666666666)</f>
        <v>42893.666666666599</v>
      </c>
      <c r="AF530" s="3">
        <f ca="1">IFERROR(__xludf.DUMMYFUNCTION("""COMPUTED_VALUE"""),77.11)</f>
        <v>77.11</v>
      </c>
      <c r="AG530" s="3">
        <f ca="1">IFERROR(__xludf.DUMMYFUNCTION("""COMPUTED_VALUE"""),77.3)</f>
        <v>77.3</v>
      </c>
      <c r="AH530" s="3">
        <f ca="1">IFERROR(__xludf.DUMMYFUNCTION("""COMPUTED_VALUE"""),76.97)</f>
        <v>76.97</v>
      </c>
      <c r="AI530" s="3">
        <f ca="1">IFERROR(__xludf.DUMMYFUNCTION("""COMPUTED_VALUE"""),77.22)</f>
        <v>77.22</v>
      </c>
      <c r="AJ530" s="3">
        <f ca="1">IFERROR(__xludf.DUMMYFUNCTION("""COMPUTED_VALUE"""),4415681)</f>
        <v>4415681</v>
      </c>
      <c r="AK530" s="4">
        <f ca="1">IFERROR(__xludf.DUMMYFUNCTION("""COMPUTED_VALUE"""),42893.6666666666)</f>
        <v>42893.666666666599</v>
      </c>
      <c r="AL530" s="3">
        <f ca="1">IFERROR(__xludf.DUMMYFUNCTION("""COMPUTED_VALUE"""),67.65)</f>
        <v>67.650000000000006</v>
      </c>
      <c r="AM530" s="3">
        <f ca="1">IFERROR(__xludf.DUMMYFUNCTION("""COMPUTED_VALUE"""),67.65)</f>
        <v>67.650000000000006</v>
      </c>
      <c r="AN530" s="3">
        <f ca="1">IFERROR(__xludf.DUMMYFUNCTION("""COMPUTED_VALUE"""),67.13)</f>
        <v>67.13</v>
      </c>
      <c r="AO530" s="3">
        <f ca="1">IFERROR(__xludf.DUMMYFUNCTION("""COMPUTED_VALUE"""),67.43)</f>
        <v>67.430000000000007</v>
      </c>
      <c r="AP530" s="3">
        <f ca="1">IFERROR(__xludf.DUMMYFUNCTION("""COMPUTED_VALUE"""),8342447)</f>
        <v>8342447</v>
      </c>
      <c r="AQ530" s="4">
        <f ca="1">IFERROR(__xludf.DUMMYFUNCTION("""COMPUTED_VALUE"""),42893.6666666666)</f>
        <v>42893.666666666599</v>
      </c>
      <c r="AR530" s="3">
        <f ca="1">IFERROR(__xludf.DUMMYFUNCTION("""COMPUTED_VALUE"""),53.88)</f>
        <v>53.88</v>
      </c>
      <c r="AS530" s="3">
        <f ca="1">IFERROR(__xludf.DUMMYFUNCTION("""COMPUTED_VALUE"""),53.97)</f>
        <v>53.97</v>
      </c>
      <c r="AT530" s="3">
        <f ca="1">IFERROR(__xludf.DUMMYFUNCTION("""COMPUTED_VALUE"""),53.61)</f>
        <v>53.61</v>
      </c>
      <c r="AU530" s="3">
        <f ca="1">IFERROR(__xludf.DUMMYFUNCTION("""COMPUTED_VALUE"""),53.78)</f>
        <v>53.78</v>
      </c>
      <c r="AV530" s="3">
        <f ca="1">IFERROR(__xludf.DUMMYFUNCTION("""COMPUTED_VALUE"""),4166014)</f>
        <v>4166014</v>
      </c>
      <c r="BC530" s="4">
        <f ca="1">IFERROR(__xludf.DUMMYFUNCTION("""COMPUTED_VALUE"""),42893.6666666666)</f>
        <v>42893.666666666599</v>
      </c>
      <c r="BD530" s="3">
        <f ca="1">IFERROR(__xludf.DUMMYFUNCTION("""COMPUTED_VALUE"""),57.26)</f>
        <v>57.26</v>
      </c>
      <c r="BE530" s="3">
        <f ca="1">IFERROR(__xludf.DUMMYFUNCTION("""COMPUTED_VALUE"""),57.41)</f>
        <v>57.41</v>
      </c>
      <c r="BF530" s="3">
        <f ca="1">IFERROR(__xludf.DUMMYFUNCTION("""COMPUTED_VALUE"""),57.01)</f>
        <v>57.01</v>
      </c>
      <c r="BG530" s="3">
        <f ca="1">IFERROR(__xludf.DUMMYFUNCTION("""COMPUTED_VALUE"""),57.31)</f>
        <v>57.31</v>
      </c>
      <c r="BH530" s="3">
        <f ca="1">IFERROR(__xludf.DUMMYFUNCTION("""COMPUTED_VALUE"""),8703668)</f>
        <v>8703668</v>
      </c>
      <c r="BI530" s="4">
        <f ca="1">IFERROR(__xludf.DUMMYFUNCTION("""COMPUTED_VALUE"""),42893.6666666666)</f>
        <v>42893.666666666599</v>
      </c>
      <c r="BJ530" s="3">
        <f ca="1">IFERROR(__xludf.DUMMYFUNCTION("""COMPUTED_VALUE"""),53.99)</f>
        <v>53.99</v>
      </c>
      <c r="BK530" s="3">
        <f ca="1">IFERROR(__xludf.DUMMYFUNCTION("""COMPUTED_VALUE"""),54.3)</f>
        <v>54.3</v>
      </c>
      <c r="BL530" s="3">
        <f ca="1">IFERROR(__xludf.DUMMYFUNCTION("""COMPUTED_VALUE"""),53.9)</f>
        <v>53.9</v>
      </c>
      <c r="BM530" s="3">
        <f ca="1">IFERROR(__xludf.DUMMYFUNCTION("""COMPUTED_VALUE"""),54.17)</f>
        <v>54.17</v>
      </c>
      <c r="BN530" s="3">
        <f ca="1">IFERROR(__xludf.DUMMYFUNCTION("""COMPUTED_VALUE"""),7881330)</f>
        <v>7881330</v>
      </c>
    </row>
    <row r="531" spans="7:66" ht="13" x14ac:dyDescent="0.15">
      <c r="G531" s="4">
        <f ca="1">IFERROR(__xludf.DUMMYFUNCTION("""COMPUTED_VALUE"""),42894.6666666666)</f>
        <v>42894.666666666599</v>
      </c>
      <c r="H531" s="3">
        <f ca="1">IFERROR(__xludf.DUMMYFUNCTION("""COMPUTED_VALUE"""),91.37)</f>
        <v>91.37</v>
      </c>
      <c r="I531" s="3">
        <f ca="1">IFERROR(__xludf.DUMMYFUNCTION("""COMPUTED_VALUE"""),91.47)</f>
        <v>91.47</v>
      </c>
      <c r="J531" s="3">
        <f ca="1">IFERROR(__xludf.DUMMYFUNCTION("""COMPUTED_VALUE"""),90.65)</f>
        <v>90.65</v>
      </c>
      <c r="K531" s="3">
        <f ca="1">IFERROR(__xludf.DUMMYFUNCTION("""COMPUTED_VALUE"""),90.77)</f>
        <v>90.77</v>
      </c>
      <c r="L531" s="3">
        <f ca="1">IFERROR(__xludf.DUMMYFUNCTION("""COMPUTED_VALUE"""),5198798)</f>
        <v>5198798</v>
      </c>
      <c r="M531" s="4">
        <f ca="1">IFERROR(__xludf.DUMMYFUNCTION("""COMPUTED_VALUE"""),42894.6666666666)</f>
        <v>42894.666666666599</v>
      </c>
      <c r="N531" s="3">
        <f ca="1">IFERROR(__xludf.DUMMYFUNCTION("""COMPUTED_VALUE"""),57.14)</f>
        <v>57.14</v>
      </c>
      <c r="O531" s="3">
        <f ca="1">IFERROR(__xludf.DUMMYFUNCTION("""COMPUTED_VALUE"""),57.15)</f>
        <v>57.15</v>
      </c>
      <c r="P531" s="3">
        <f ca="1">IFERROR(__xludf.DUMMYFUNCTION("""COMPUTED_VALUE"""),56.58)</f>
        <v>56.58</v>
      </c>
      <c r="Q531" s="3">
        <f ca="1">IFERROR(__xludf.DUMMYFUNCTION("""COMPUTED_VALUE"""),56.74)</f>
        <v>56.74</v>
      </c>
      <c r="R531" s="3">
        <f ca="1">IFERROR(__xludf.DUMMYFUNCTION("""COMPUTED_VALUE"""),10593403)</f>
        <v>10593403</v>
      </c>
      <c r="S531" s="4">
        <f ca="1">IFERROR(__xludf.DUMMYFUNCTION("""COMPUTED_VALUE"""),42894.6666666666)</f>
        <v>42894.666666666599</v>
      </c>
      <c r="T531" s="3">
        <f ca="1">IFERROR(__xludf.DUMMYFUNCTION("""COMPUTED_VALUE"""),64.74)</f>
        <v>64.739999999999995</v>
      </c>
      <c r="U531" s="3">
        <f ca="1">IFERROR(__xludf.DUMMYFUNCTION("""COMPUTED_VALUE"""),65.34)</f>
        <v>65.34</v>
      </c>
      <c r="V531" s="3">
        <f ca="1">IFERROR(__xludf.DUMMYFUNCTION("""COMPUTED_VALUE"""),64.72)</f>
        <v>64.72</v>
      </c>
      <c r="W531" s="3">
        <f ca="1">IFERROR(__xludf.DUMMYFUNCTION("""COMPUTED_VALUE"""),64.86)</f>
        <v>64.86</v>
      </c>
      <c r="X531" s="3">
        <f ca="1">IFERROR(__xludf.DUMMYFUNCTION("""COMPUTED_VALUE"""),19569341)</f>
        <v>19569341</v>
      </c>
      <c r="Y531" s="4">
        <f ca="1">IFERROR(__xludf.DUMMYFUNCTION("""COMPUTED_VALUE"""),42894.6666666666)</f>
        <v>42894.666666666599</v>
      </c>
      <c r="Z531" s="3">
        <f ca="1">IFERROR(__xludf.DUMMYFUNCTION("""COMPUTED_VALUE"""),23.57)</f>
        <v>23.57</v>
      </c>
      <c r="AA531" s="3">
        <f ca="1">IFERROR(__xludf.DUMMYFUNCTION("""COMPUTED_VALUE"""),24.01)</f>
        <v>24.01</v>
      </c>
      <c r="AB531" s="3">
        <f ca="1">IFERROR(__xludf.DUMMYFUNCTION("""COMPUTED_VALUE"""),23.55)</f>
        <v>23.55</v>
      </c>
      <c r="AC531" s="3">
        <f ca="1">IFERROR(__xludf.DUMMYFUNCTION("""COMPUTED_VALUE"""),23.84)</f>
        <v>23.84</v>
      </c>
      <c r="AD531" s="3">
        <f ca="1">IFERROR(__xludf.DUMMYFUNCTION("""COMPUTED_VALUE"""),77986983)</f>
        <v>77986983</v>
      </c>
      <c r="AE531" s="4">
        <f ca="1">IFERROR(__xludf.DUMMYFUNCTION("""COMPUTED_VALUE"""),42894.6666666666)</f>
        <v>42894.666666666599</v>
      </c>
      <c r="AF531" s="3">
        <f ca="1">IFERROR(__xludf.DUMMYFUNCTION("""COMPUTED_VALUE"""),77.17)</f>
        <v>77.17</v>
      </c>
      <c r="AG531" s="3">
        <f ca="1">IFERROR(__xludf.DUMMYFUNCTION("""COMPUTED_VALUE"""),77.36)</f>
        <v>77.36</v>
      </c>
      <c r="AH531" s="3">
        <f ca="1">IFERROR(__xludf.DUMMYFUNCTION("""COMPUTED_VALUE"""),76.8)</f>
        <v>76.8</v>
      </c>
      <c r="AI531" s="3">
        <f ca="1">IFERROR(__xludf.DUMMYFUNCTION("""COMPUTED_VALUE"""),77)</f>
        <v>77</v>
      </c>
      <c r="AJ531" s="3">
        <f ca="1">IFERROR(__xludf.DUMMYFUNCTION("""COMPUTED_VALUE"""),6304426)</f>
        <v>6304426</v>
      </c>
      <c r="AK531" s="4">
        <f ca="1">IFERROR(__xludf.DUMMYFUNCTION("""COMPUTED_VALUE"""),42894.6666666666)</f>
        <v>42894.666666666599</v>
      </c>
      <c r="AL531" s="3">
        <f ca="1">IFERROR(__xludf.DUMMYFUNCTION("""COMPUTED_VALUE"""),67.39)</f>
        <v>67.39</v>
      </c>
      <c r="AM531" s="3">
        <f ca="1">IFERROR(__xludf.DUMMYFUNCTION("""COMPUTED_VALUE"""),67.8)</f>
        <v>67.8</v>
      </c>
      <c r="AN531" s="3">
        <f ca="1">IFERROR(__xludf.DUMMYFUNCTION("""COMPUTED_VALUE"""),67.34)</f>
        <v>67.34</v>
      </c>
      <c r="AO531" s="3">
        <f ca="1">IFERROR(__xludf.DUMMYFUNCTION("""COMPUTED_VALUE"""),67.65)</f>
        <v>67.650000000000006</v>
      </c>
      <c r="AP531" s="3">
        <f ca="1">IFERROR(__xludf.DUMMYFUNCTION("""COMPUTED_VALUE"""),7040075)</f>
        <v>7040075</v>
      </c>
      <c r="AQ531" s="4">
        <f ca="1">IFERROR(__xludf.DUMMYFUNCTION("""COMPUTED_VALUE"""),42894.6666666666)</f>
        <v>42894.666666666599</v>
      </c>
      <c r="AR531" s="3">
        <f ca="1">IFERROR(__xludf.DUMMYFUNCTION("""COMPUTED_VALUE"""),53.69)</f>
        <v>53.69</v>
      </c>
      <c r="AS531" s="3">
        <f ca="1">IFERROR(__xludf.DUMMYFUNCTION("""COMPUTED_VALUE"""),54.11)</f>
        <v>54.11</v>
      </c>
      <c r="AT531" s="3">
        <f ca="1">IFERROR(__xludf.DUMMYFUNCTION("""COMPUTED_VALUE"""),53.68)</f>
        <v>53.68</v>
      </c>
      <c r="AU531" s="3">
        <f ca="1">IFERROR(__xludf.DUMMYFUNCTION("""COMPUTED_VALUE"""),53.94)</f>
        <v>53.94</v>
      </c>
      <c r="AV531" s="3">
        <f ca="1">IFERROR(__xludf.DUMMYFUNCTION("""COMPUTED_VALUE"""),3576218)</f>
        <v>3576218</v>
      </c>
      <c r="BC531" s="4">
        <f ca="1">IFERROR(__xludf.DUMMYFUNCTION("""COMPUTED_VALUE"""),42894.6666666666)</f>
        <v>42894.666666666599</v>
      </c>
      <c r="BD531" s="3">
        <f ca="1">IFERROR(__xludf.DUMMYFUNCTION("""COMPUTED_VALUE"""),57.41)</f>
        <v>57.41</v>
      </c>
      <c r="BE531" s="3">
        <f ca="1">IFERROR(__xludf.DUMMYFUNCTION("""COMPUTED_VALUE"""),57.48)</f>
        <v>57.48</v>
      </c>
      <c r="BF531" s="3">
        <f ca="1">IFERROR(__xludf.DUMMYFUNCTION("""COMPUTED_VALUE"""),57.12)</f>
        <v>57.12</v>
      </c>
      <c r="BG531" s="3">
        <f ca="1">IFERROR(__xludf.DUMMYFUNCTION("""COMPUTED_VALUE"""),57.44)</f>
        <v>57.44</v>
      </c>
      <c r="BH531" s="3">
        <f ca="1">IFERROR(__xludf.DUMMYFUNCTION("""COMPUTED_VALUE"""),7102430)</f>
        <v>7102430</v>
      </c>
      <c r="BI531" s="4">
        <f ca="1">IFERROR(__xludf.DUMMYFUNCTION("""COMPUTED_VALUE"""),42894.6666666666)</f>
        <v>42894.666666666599</v>
      </c>
      <c r="BJ531" s="3">
        <f ca="1">IFERROR(__xludf.DUMMYFUNCTION("""COMPUTED_VALUE"""),54.06)</f>
        <v>54.06</v>
      </c>
      <c r="BK531" s="3">
        <f ca="1">IFERROR(__xludf.DUMMYFUNCTION("""COMPUTED_VALUE"""),54.1)</f>
        <v>54.1</v>
      </c>
      <c r="BL531" s="3">
        <f ca="1">IFERROR(__xludf.DUMMYFUNCTION("""COMPUTED_VALUE"""),53.39)</f>
        <v>53.39</v>
      </c>
      <c r="BM531" s="3">
        <f ca="1">IFERROR(__xludf.DUMMYFUNCTION("""COMPUTED_VALUE"""),53.72)</f>
        <v>53.72</v>
      </c>
      <c r="BN531" s="3">
        <f ca="1">IFERROR(__xludf.DUMMYFUNCTION("""COMPUTED_VALUE"""),13292648)</f>
        <v>13292648</v>
      </c>
    </row>
    <row r="532" spans="7:66" ht="13" x14ac:dyDescent="0.15">
      <c r="G532" s="4">
        <f ca="1">IFERROR(__xludf.DUMMYFUNCTION("""COMPUTED_VALUE"""),42895.6666666666)</f>
        <v>42895.666666666599</v>
      </c>
      <c r="H532" s="3">
        <f ca="1">IFERROR(__xludf.DUMMYFUNCTION("""COMPUTED_VALUE"""),90.86)</f>
        <v>90.86</v>
      </c>
      <c r="I532" s="3">
        <f ca="1">IFERROR(__xludf.DUMMYFUNCTION("""COMPUTED_VALUE"""),90.99)</f>
        <v>90.99</v>
      </c>
      <c r="J532" s="3">
        <f ca="1">IFERROR(__xludf.DUMMYFUNCTION("""COMPUTED_VALUE"""),89.56)</f>
        <v>89.56</v>
      </c>
      <c r="K532" s="3">
        <f ca="1">IFERROR(__xludf.DUMMYFUNCTION("""COMPUTED_VALUE"""),90.37)</f>
        <v>90.37</v>
      </c>
      <c r="L532" s="3">
        <f ca="1">IFERROR(__xludf.DUMMYFUNCTION("""COMPUTED_VALUE"""),10989006)</f>
        <v>10989006</v>
      </c>
      <c r="M532" s="4">
        <f ca="1">IFERROR(__xludf.DUMMYFUNCTION("""COMPUTED_VALUE"""),42895.6666666666)</f>
        <v>42895.666666666599</v>
      </c>
      <c r="N532" s="3">
        <f ca="1">IFERROR(__xludf.DUMMYFUNCTION("""COMPUTED_VALUE"""),56.7)</f>
        <v>56.7</v>
      </c>
      <c r="O532" s="3">
        <f ca="1">IFERROR(__xludf.DUMMYFUNCTION("""COMPUTED_VALUE"""),56.83)</f>
        <v>56.83</v>
      </c>
      <c r="P532" s="3">
        <f ca="1">IFERROR(__xludf.DUMMYFUNCTION("""COMPUTED_VALUE"""),56.52)</f>
        <v>56.52</v>
      </c>
      <c r="Q532" s="3">
        <f ca="1">IFERROR(__xludf.DUMMYFUNCTION("""COMPUTED_VALUE"""),56.67)</f>
        <v>56.67</v>
      </c>
      <c r="R532" s="3">
        <f ca="1">IFERROR(__xludf.DUMMYFUNCTION("""COMPUTED_VALUE"""),13410191)</f>
        <v>13410191</v>
      </c>
      <c r="S532" s="4">
        <f ca="1">IFERROR(__xludf.DUMMYFUNCTION("""COMPUTED_VALUE"""),42895.6666666666)</f>
        <v>42895.666666666599</v>
      </c>
      <c r="T532" s="3">
        <f ca="1">IFERROR(__xludf.DUMMYFUNCTION("""COMPUTED_VALUE"""),65.01)</f>
        <v>65.010000000000005</v>
      </c>
      <c r="U532" s="3">
        <f ca="1">IFERROR(__xludf.DUMMYFUNCTION("""COMPUTED_VALUE"""),66.64)</f>
        <v>66.64</v>
      </c>
      <c r="V532" s="3">
        <f ca="1">IFERROR(__xludf.DUMMYFUNCTION("""COMPUTED_VALUE"""),65)</f>
        <v>65</v>
      </c>
      <c r="W532" s="3">
        <f ca="1">IFERROR(__xludf.DUMMYFUNCTION("""COMPUTED_VALUE"""),66.42)</f>
        <v>66.42</v>
      </c>
      <c r="X532" s="3">
        <f ca="1">IFERROR(__xludf.DUMMYFUNCTION("""COMPUTED_VALUE"""),23184200)</f>
        <v>23184200</v>
      </c>
      <c r="Y532" s="4">
        <f ca="1">IFERROR(__xludf.DUMMYFUNCTION("""COMPUTED_VALUE"""),42895.6666666666)</f>
        <v>42895.666666666599</v>
      </c>
      <c r="Z532" s="3">
        <f ca="1">IFERROR(__xludf.DUMMYFUNCTION("""COMPUTED_VALUE"""),23.99)</f>
        <v>23.99</v>
      </c>
      <c r="AA532" s="3">
        <f ca="1">IFERROR(__xludf.DUMMYFUNCTION("""COMPUTED_VALUE"""),24.33)</f>
        <v>24.33</v>
      </c>
      <c r="AB532" s="3">
        <f ca="1">IFERROR(__xludf.DUMMYFUNCTION("""COMPUTED_VALUE"""),23.97)</f>
        <v>23.97</v>
      </c>
      <c r="AC532" s="3">
        <f ca="1">IFERROR(__xludf.DUMMYFUNCTION("""COMPUTED_VALUE"""),24.29)</f>
        <v>24.29</v>
      </c>
      <c r="AD532" s="3">
        <f ca="1">IFERROR(__xludf.DUMMYFUNCTION("""COMPUTED_VALUE"""),133216200)</f>
        <v>133216200</v>
      </c>
      <c r="AE532" s="4">
        <f ca="1">IFERROR(__xludf.DUMMYFUNCTION("""COMPUTED_VALUE"""),42895.6666666666)</f>
        <v>42895.666666666599</v>
      </c>
      <c r="AF532" s="3">
        <f ca="1">IFERROR(__xludf.DUMMYFUNCTION("""COMPUTED_VALUE"""),77.1)</f>
        <v>77.099999999999994</v>
      </c>
      <c r="AG532" s="3">
        <f ca="1">IFERROR(__xludf.DUMMYFUNCTION("""COMPUTED_VALUE"""),77.76)</f>
        <v>77.760000000000005</v>
      </c>
      <c r="AH532" s="3">
        <f ca="1">IFERROR(__xludf.DUMMYFUNCTION("""COMPUTED_VALUE"""),77)</f>
        <v>77</v>
      </c>
      <c r="AI532" s="3">
        <f ca="1">IFERROR(__xludf.DUMMYFUNCTION("""COMPUTED_VALUE"""),77.52)</f>
        <v>77.52</v>
      </c>
      <c r="AJ532" s="3">
        <f ca="1">IFERROR(__xludf.DUMMYFUNCTION("""COMPUTED_VALUE"""),13418971)</f>
        <v>13418971</v>
      </c>
      <c r="AK532" s="4">
        <f ca="1">IFERROR(__xludf.DUMMYFUNCTION("""COMPUTED_VALUE"""),42895.6666666666)</f>
        <v>42895.666666666599</v>
      </c>
      <c r="AL532" s="3">
        <f ca="1">IFERROR(__xludf.DUMMYFUNCTION("""COMPUTED_VALUE"""),67.72)</f>
        <v>67.72</v>
      </c>
      <c r="AM532" s="3">
        <f ca="1">IFERROR(__xludf.DUMMYFUNCTION("""COMPUTED_VALUE"""),68.01)</f>
        <v>68.010000000000005</v>
      </c>
      <c r="AN532" s="3">
        <f ca="1">IFERROR(__xludf.DUMMYFUNCTION("""COMPUTED_VALUE"""),67.56)</f>
        <v>67.56</v>
      </c>
      <c r="AO532" s="3">
        <f ca="1">IFERROR(__xludf.DUMMYFUNCTION("""COMPUTED_VALUE"""),67.91)</f>
        <v>67.91</v>
      </c>
      <c r="AP532" s="3">
        <f ca="1">IFERROR(__xludf.DUMMYFUNCTION("""COMPUTED_VALUE"""),10433658)</f>
        <v>10433658</v>
      </c>
      <c r="AQ532" s="4">
        <f ca="1">IFERROR(__xludf.DUMMYFUNCTION("""COMPUTED_VALUE"""),42895.6666666666)</f>
        <v>42895.666666666599</v>
      </c>
      <c r="AR532" s="3">
        <f ca="1">IFERROR(__xludf.DUMMYFUNCTION("""COMPUTED_VALUE"""),54.06)</f>
        <v>54.06</v>
      </c>
      <c r="AS532" s="3">
        <f ca="1">IFERROR(__xludf.DUMMYFUNCTION("""COMPUTED_VALUE"""),54.69)</f>
        <v>54.69</v>
      </c>
      <c r="AT532" s="3">
        <f ca="1">IFERROR(__xludf.DUMMYFUNCTION("""COMPUTED_VALUE"""),54.06)</f>
        <v>54.06</v>
      </c>
      <c r="AU532" s="3">
        <f ca="1">IFERROR(__xludf.DUMMYFUNCTION("""COMPUTED_VALUE"""),54.63)</f>
        <v>54.63</v>
      </c>
      <c r="AV532" s="3">
        <f ca="1">IFERROR(__xludf.DUMMYFUNCTION("""COMPUTED_VALUE"""),7498298)</f>
        <v>7498298</v>
      </c>
      <c r="BC532" s="4">
        <f ca="1">IFERROR(__xludf.DUMMYFUNCTION("""COMPUTED_VALUE"""),42895.6666666666)</f>
        <v>42895.666666666599</v>
      </c>
      <c r="BD532" s="3">
        <f ca="1">IFERROR(__xludf.DUMMYFUNCTION("""COMPUTED_VALUE"""),57.52)</f>
        <v>57.52</v>
      </c>
      <c r="BE532" s="3">
        <f ca="1">IFERROR(__xludf.DUMMYFUNCTION("""COMPUTED_VALUE"""),57.62)</f>
        <v>57.62</v>
      </c>
      <c r="BF532" s="3">
        <f ca="1">IFERROR(__xludf.DUMMYFUNCTION("""COMPUTED_VALUE"""),55.22)</f>
        <v>55.22</v>
      </c>
      <c r="BG532" s="3">
        <f ca="1">IFERROR(__xludf.DUMMYFUNCTION("""COMPUTED_VALUE"""),56.02)</f>
        <v>56.02</v>
      </c>
      <c r="BH532" s="3">
        <f ca="1">IFERROR(__xludf.DUMMYFUNCTION("""COMPUTED_VALUE"""),35142479)</f>
        <v>35142479</v>
      </c>
      <c r="BI532" s="4">
        <f ca="1">IFERROR(__xludf.DUMMYFUNCTION("""COMPUTED_VALUE"""),42895.6666666666)</f>
        <v>42895.666666666599</v>
      </c>
      <c r="BJ532" s="3">
        <f ca="1">IFERROR(__xludf.DUMMYFUNCTION("""COMPUTED_VALUE"""),53.55)</f>
        <v>53.55</v>
      </c>
      <c r="BK532" s="3">
        <f ca="1">IFERROR(__xludf.DUMMYFUNCTION("""COMPUTED_VALUE"""),53.71)</f>
        <v>53.71</v>
      </c>
      <c r="BL532" s="3">
        <f ca="1">IFERROR(__xludf.DUMMYFUNCTION("""COMPUTED_VALUE"""),53.29)</f>
        <v>53.29</v>
      </c>
      <c r="BM532" s="3">
        <f ca="1">IFERROR(__xludf.DUMMYFUNCTION("""COMPUTED_VALUE"""),53.67)</f>
        <v>53.67</v>
      </c>
      <c r="BN532" s="3">
        <f ca="1">IFERROR(__xludf.DUMMYFUNCTION("""COMPUTED_VALUE"""),13938193)</f>
        <v>13938193</v>
      </c>
    </row>
    <row r="533" spans="7:66" ht="13" x14ac:dyDescent="0.15">
      <c r="G533" s="4">
        <f ca="1">IFERROR(__xludf.DUMMYFUNCTION("""COMPUTED_VALUE"""),42898.6666666666)</f>
        <v>42898.666666666599</v>
      </c>
      <c r="H533" s="3">
        <f ca="1">IFERROR(__xludf.DUMMYFUNCTION("""COMPUTED_VALUE"""),90.08)</f>
        <v>90.08</v>
      </c>
      <c r="I533" s="3">
        <f ca="1">IFERROR(__xludf.DUMMYFUNCTION("""COMPUTED_VALUE"""),90.56)</f>
        <v>90.56</v>
      </c>
      <c r="J533" s="3">
        <f ca="1">IFERROR(__xludf.DUMMYFUNCTION("""COMPUTED_VALUE"""),89.95)</f>
        <v>89.95</v>
      </c>
      <c r="K533" s="3">
        <f ca="1">IFERROR(__xludf.DUMMYFUNCTION("""COMPUTED_VALUE"""),90.32)</f>
        <v>90.32</v>
      </c>
      <c r="L533" s="3">
        <f ca="1">IFERROR(__xludf.DUMMYFUNCTION("""COMPUTED_VALUE"""),6436554)</f>
        <v>6436554</v>
      </c>
      <c r="M533" s="4">
        <f ca="1">IFERROR(__xludf.DUMMYFUNCTION("""COMPUTED_VALUE"""),42898.6666666666)</f>
        <v>42898.666666666599</v>
      </c>
      <c r="N533" s="3">
        <f ca="1">IFERROR(__xludf.DUMMYFUNCTION("""COMPUTED_VALUE"""),56.69)</f>
        <v>56.69</v>
      </c>
      <c r="O533" s="3">
        <f ca="1">IFERROR(__xludf.DUMMYFUNCTION("""COMPUTED_VALUE"""),56.92)</f>
        <v>56.92</v>
      </c>
      <c r="P533" s="3">
        <f ca="1">IFERROR(__xludf.DUMMYFUNCTION("""COMPUTED_VALUE"""),56.53)</f>
        <v>56.53</v>
      </c>
      <c r="Q533" s="3">
        <f ca="1">IFERROR(__xludf.DUMMYFUNCTION("""COMPUTED_VALUE"""),56.66)</f>
        <v>56.66</v>
      </c>
      <c r="R533" s="3">
        <f ca="1">IFERROR(__xludf.DUMMYFUNCTION("""COMPUTED_VALUE"""),11442372)</f>
        <v>11442372</v>
      </c>
      <c r="S533" s="4">
        <f ca="1">IFERROR(__xludf.DUMMYFUNCTION("""COMPUTED_VALUE"""),42898.6666666666)</f>
        <v>42898.666666666599</v>
      </c>
      <c r="T533" s="3">
        <f ca="1">IFERROR(__xludf.DUMMYFUNCTION("""COMPUTED_VALUE"""),67.01)</f>
        <v>67.010000000000005</v>
      </c>
      <c r="U533" s="3">
        <f ca="1">IFERROR(__xludf.DUMMYFUNCTION("""COMPUTED_VALUE"""),67.55)</f>
        <v>67.55</v>
      </c>
      <c r="V533" s="3">
        <f ca="1">IFERROR(__xludf.DUMMYFUNCTION("""COMPUTED_VALUE"""),66.75)</f>
        <v>66.75</v>
      </c>
      <c r="W533" s="3">
        <f ca="1">IFERROR(__xludf.DUMMYFUNCTION("""COMPUTED_VALUE"""),66.89)</f>
        <v>66.89</v>
      </c>
      <c r="X533" s="3">
        <f ca="1">IFERROR(__xludf.DUMMYFUNCTION("""COMPUTED_VALUE"""),22924386)</f>
        <v>22924386</v>
      </c>
      <c r="Y533" s="4">
        <f ca="1">IFERROR(__xludf.DUMMYFUNCTION("""COMPUTED_VALUE"""),42898.6666666666)</f>
        <v>42898.666666666599</v>
      </c>
      <c r="Z533" s="3">
        <f ca="1">IFERROR(__xludf.DUMMYFUNCTION("""COMPUTED_VALUE"""),24.34)</f>
        <v>24.34</v>
      </c>
      <c r="AA533" s="3">
        <f ca="1">IFERROR(__xludf.DUMMYFUNCTION("""COMPUTED_VALUE"""),24.51)</f>
        <v>24.51</v>
      </c>
      <c r="AB533" s="3">
        <f ca="1">IFERROR(__xludf.DUMMYFUNCTION("""COMPUTED_VALUE"""),24.2)</f>
        <v>24.2</v>
      </c>
      <c r="AC533" s="3">
        <f ca="1">IFERROR(__xludf.DUMMYFUNCTION("""COMPUTED_VALUE"""),24.34)</f>
        <v>24.34</v>
      </c>
      <c r="AD533" s="3">
        <f ca="1">IFERROR(__xludf.DUMMYFUNCTION("""COMPUTED_VALUE"""),86644404)</f>
        <v>86644404</v>
      </c>
      <c r="AE533" s="4">
        <f ca="1">IFERROR(__xludf.DUMMYFUNCTION("""COMPUTED_VALUE"""),42898.6666666666)</f>
        <v>42898.666666666599</v>
      </c>
      <c r="AF533" s="3">
        <f ca="1">IFERROR(__xludf.DUMMYFUNCTION("""COMPUTED_VALUE"""),77.46)</f>
        <v>77.459999999999994</v>
      </c>
      <c r="AG533" s="3">
        <f ca="1">IFERROR(__xludf.DUMMYFUNCTION("""COMPUTED_VALUE"""),77.74)</f>
        <v>77.739999999999995</v>
      </c>
      <c r="AH533" s="3">
        <f ca="1">IFERROR(__xludf.DUMMYFUNCTION("""COMPUTED_VALUE"""),77.05)</f>
        <v>77.05</v>
      </c>
      <c r="AI533" s="3">
        <f ca="1">IFERROR(__xludf.DUMMYFUNCTION("""COMPUTED_VALUE"""),77.42)</f>
        <v>77.42</v>
      </c>
      <c r="AJ533" s="3">
        <f ca="1">IFERROR(__xludf.DUMMYFUNCTION("""COMPUTED_VALUE"""),7700644)</f>
        <v>7700644</v>
      </c>
      <c r="AK533" s="4">
        <f ca="1">IFERROR(__xludf.DUMMYFUNCTION("""COMPUTED_VALUE"""),42898.6666666666)</f>
        <v>42898.666666666599</v>
      </c>
      <c r="AL533" s="3">
        <f ca="1">IFERROR(__xludf.DUMMYFUNCTION("""COMPUTED_VALUE"""),68.07)</f>
        <v>68.069999999999993</v>
      </c>
      <c r="AM533" s="3">
        <f ca="1">IFERROR(__xludf.DUMMYFUNCTION("""COMPUTED_VALUE"""),68.25)</f>
        <v>68.25</v>
      </c>
      <c r="AN533" s="3">
        <f ca="1">IFERROR(__xludf.DUMMYFUNCTION("""COMPUTED_VALUE"""),67.71)</f>
        <v>67.709999999999994</v>
      </c>
      <c r="AO533" s="3">
        <f ca="1">IFERROR(__xludf.DUMMYFUNCTION("""COMPUTED_VALUE"""),68.16)</f>
        <v>68.16</v>
      </c>
      <c r="AP533" s="3">
        <f ca="1">IFERROR(__xludf.DUMMYFUNCTION("""COMPUTED_VALUE"""),13889236)</f>
        <v>13889236</v>
      </c>
      <c r="AQ533" s="4">
        <f ca="1">IFERROR(__xludf.DUMMYFUNCTION("""COMPUTED_VALUE"""),42898.6666666666)</f>
        <v>42898.666666666599</v>
      </c>
      <c r="AR533" s="3">
        <f ca="1">IFERROR(__xludf.DUMMYFUNCTION("""COMPUTED_VALUE"""),54.56)</f>
        <v>54.56</v>
      </c>
      <c r="AS533" s="3">
        <f ca="1">IFERROR(__xludf.DUMMYFUNCTION("""COMPUTED_VALUE"""),54.86)</f>
        <v>54.86</v>
      </c>
      <c r="AT533" s="3">
        <f ca="1">IFERROR(__xludf.DUMMYFUNCTION("""COMPUTED_VALUE"""),54.3)</f>
        <v>54.3</v>
      </c>
      <c r="AU533" s="3">
        <f ca="1">IFERROR(__xludf.DUMMYFUNCTION("""COMPUTED_VALUE"""),54.42)</f>
        <v>54.42</v>
      </c>
      <c r="AV533" s="3">
        <f ca="1">IFERROR(__xludf.DUMMYFUNCTION("""COMPUTED_VALUE"""),5760444)</f>
        <v>5760444</v>
      </c>
      <c r="BC533" s="4">
        <f ca="1">IFERROR(__xludf.DUMMYFUNCTION("""COMPUTED_VALUE"""),42898.6666666666)</f>
        <v>42898.666666666599</v>
      </c>
      <c r="BD533" s="3">
        <f ca="1">IFERROR(__xludf.DUMMYFUNCTION("""COMPUTED_VALUE"""),55.44)</f>
        <v>55.44</v>
      </c>
      <c r="BE533" s="3">
        <f ca="1">IFERROR(__xludf.DUMMYFUNCTION("""COMPUTED_VALUE"""),55.78)</f>
        <v>55.78</v>
      </c>
      <c r="BF533" s="3">
        <f ca="1">IFERROR(__xludf.DUMMYFUNCTION("""COMPUTED_VALUE"""),54.77)</f>
        <v>54.77</v>
      </c>
      <c r="BG533" s="3">
        <f ca="1">IFERROR(__xludf.DUMMYFUNCTION("""COMPUTED_VALUE"""),55.69)</f>
        <v>55.69</v>
      </c>
      <c r="BH533" s="3">
        <f ca="1">IFERROR(__xludf.DUMMYFUNCTION("""COMPUTED_VALUE"""),35706388)</f>
        <v>35706388</v>
      </c>
      <c r="BI533" s="4">
        <f ca="1">IFERROR(__xludf.DUMMYFUNCTION("""COMPUTED_VALUE"""),42898.6666666666)</f>
        <v>42898.666666666599</v>
      </c>
      <c r="BJ533" s="3">
        <f ca="1">IFERROR(__xludf.DUMMYFUNCTION("""COMPUTED_VALUE"""),53.74)</f>
        <v>53.74</v>
      </c>
      <c r="BK533" s="3">
        <f ca="1">IFERROR(__xludf.DUMMYFUNCTION("""COMPUTED_VALUE"""),53.96)</f>
        <v>53.96</v>
      </c>
      <c r="BL533" s="3">
        <f ca="1">IFERROR(__xludf.DUMMYFUNCTION("""COMPUTED_VALUE"""),53.27)</f>
        <v>53.27</v>
      </c>
      <c r="BM533" s="3">
        <f ca="1">IFERROR(__xludf.DUMMYFUNCTION("""COMPUTED_VALUE"""),53.57)</f>
        <v>53.57</v>
      </c>
      <c r="BN533" s="3">
        <f ca="1">IFERROR(__xludf.DUMMYFUNCTION("""COMPUTED_VALUE"""),12821145)</f>
        <v>12821145</v>
      </c>
    </row>
    <row r="534" spans="7:66" ht="13" x14ac:dyDescent="0.15">
      <c r="G534" s="4">
        <f ca="1">IFERROR(__xludf.DUMMYFUNCTION("""COMPUTED_VALUE"""),42899.6666666666)</f>
        <v>42899.666666666599</v>
      </c>
      <c r="H534" s="3">
        <f ca="1">IFERROR(__xludf.DUMMYFUNCTION("""COMPUTED_VALUE"""),90.53)</f>
        <v>90.53</v>
      </c>
      <c r="I534" s="3">
        <f ca="1">IFERROR(__xludf.DUMMYFUNCTION("""COMPUTED_VALUE"""),91.01)</f>
        <v>91.01</v>
      </c>
      <c r="J534" s="3">
        <f ca="1">IFERROR(__xludf.DUMMYFUNCTION("""COMPUTED_VALUE"""),90.5)</f>
        <v>90.5</v>
      </c>
      <c r="K534" s="3">
        <f ca="1">IFERROR(__xludf.DUMMYFUNCTION("""COMPUTED_VALUE"""),90.88)</f>
        <v>90.88</v>
      </c>
      <c r="L534" s="3">
        <f ca="1">IFERROR(__xludf.DUMMYFUNCTION("""COMPUTED_VALUE"""),4164849)</f>
        <v>4164849</v>
      </c>
      <c r="M534" s="4">
        <f ca="1">IFERROR(__xludf.DUMMYFUNCTION("""COMPUTED_VALUE"""),42899.6666666666)</f>
        <v>42899.666666666599</v>
      </c>
      <c r="N534" s="3">
        <f ca="1">IFERROR(__xludf.DUMMYFUNCTION("""COMPUTED_VALUE"""),56.66)</f>
        <v>56.66</v>
      </c>
      <c r="O534" s="3">
        <f ca="1">IFERROR(__xludf.DUMMYFUNCTION("""COMPUTED_VALUE"""),56.8)</f>
        <v>56.8</v>
      </c>
      <c r="P534" s="3">
        <f ca="1">IFERROR(__xludf.DUMMYFUNCTION("""COMPUTED_VALUE"""),56.44)</f>
        <v>56.44</v>
      </c>
      <c r="Q534" s="3">
        <f ca="1">IFERROR(__xludf.DUMMYFUNCTION("""COMPUTED_VALUE"""),56.75)</f>
        <v>56.75</v>
      </c>
      <c r="R534" s="3">
        <f ca="1">IFERROR(__xludf.DUMMYFUNCTION("""COMPUTED_VALUE"""),9520637)</f>
        <v>9520637</v>
      </c>
      <c r="S534" s="4">
        <f ca="1">IFERROR(__xludf.DUMMYFUNCTION("""COMPUTED_VALUE"""),42899.6666666666)</f>
        <v>42899.666666666599</v>
      </c>
      <c r="T534" s="3">
        <f ca="1">IFERROR(__xludf.DUMMYFUNCTION("""COMPUTED_VALUE"""),67.09)</f>
        <v>67.09</v>
      </c>
      <c r="U534" s="3">
        <f ca="1">IFERROR(__xludf.DUMMYFUNCTION("""COMPUTED_VALUE"""),67.48)</f>
        <v>67.48</v>
      </c>
      <c r="V534" s="3">
        <f ca="1">IFERROR(__xludf.DUMMYFUNCTION("""COMPUTED_VALUE"""),66.77)</f>
        <v>66.77</v>
      </c>
      <c r="W534" s="3">
        <f ca="1">IFERROR(__xludf.DUMMYFUNCTION("""COMPUTED_VALUE"""),67.39)</f>
        <v>67.39</v>
      </c>
      <c r="X534" s="3">
        <f ca="1">IFERROR(__xludf.DUMMYFUNCTION("""COMPUTED_VALUE"""),15807855)</f>
        <v>15807855</v>
      </c>
      <c r="Y534" s="4">
        <f ca="1">IFERROR(__xludf.DUMMYFUNCTION("""COMPUTED_VALUE"""),42899.6666666666)</f>
        <v>42899.666666666599</v>
      </c>
      <c r="Z534" s="3">
        <f ca="1">IFERROR(__xludf.DUMMYFUNCTION("""COMPUTED_VALUE"""),24.47)</f>
        <v>24.47</v>
      </c>
      <c r="AA534" s="3">
        <f ca="1">IFERROR(__xludf.DUMMYFUNCTION("""COMPUTED_VALUE"""),24.55)</f>
        <v>24.55</v>
      </c>
      <c r="AB534" s="3">
        <f ca="1">IFERROR(__xludf.DUMMYFUNCTION("""COMPUTED_VALUE"""),24.4)</f>
        <v>24.4</v>
      </c>
      <c r="AC534" s="3">
        <f ca="1">IFERROR(__xludf.DUMMYFUNCTION("""COMPUTED_VALUE"""),24.47)</f>
        <v>24.47</v>
      </c>
      <c r="AD534" s="3">
        <f ca="1">IFERROR(__xludf.DUMMYFUNCTION("""COMPUTED_VALUE"""),94978649)</f>
        <v>94978649</v>
      </c>
      <c r="AE534" s="4">
        <f ca="1">IFERROR(__xludf.DUMMYFUNCTION("""COMPUTED_VALUE"""),42899.6666666666)</f>
        <v>42899.666666666599</v>
      </c>
      <c r="AF534" s="3">
        <f ca="1">IFERROR(__xludf.DUMMYFUNCTION("""COMPUTED_VALUE"""),77.49)</f>
        <v>77.489999999999995</v>
      </c>
      <c r="AG534" s="3">
        <f ca="1">IFERROR(__xludf.DUMMYFUNCTION("""COMPUTED_VALUE"""),77.68)</f>
        <v>77.680000000000007</v>
      </c>
      <c r="AH534" s="3">
        <f ca="1">IFERROR(__xludf.DUMMYFUNCTION("""COMPUTED_VALUE"""),77.31)</f>
        <v>77.31</v>
      </c>
      <c r="AI534" s="3">
        <f ca="1">IFERROR(__xludf.DUMMYFUNCTION("""COMPUTED_VALUE"""),77.58)</f>
        <v>77.58</v>
      </c>
      <c r="AJ534" s="3">
        <f ca="1">IFERROR(__xludf.DUMMYFUNCTION("""COMPUTED_VALUE"""),5592460)</f>
        <v>5592460</v>
      </c>
      <c r="AK534" s="4">
        <f ca="1">IFERROR(__xludf.DUMMYFUNCTION("""COMPUTED_VALUE"""),42899.6666666666)</f>
        <v>42899.666666666599</v>
      </c>
      <c r="AL534" s="3">
        <f ca="1">IFERROR(__xludf.DUMMYFUNCTION("""COMPUTED_VALUE"""),68.26)</f>
        <v>68.260000000000005</v>
      </c>
      <c r="AM534" s="3">
        <f ca="1">IFERROR(__xludf.DUMMYFUNCTION("""COMPUTED_VALUE"""),68.47)</f>
        <v>68.47</v>
      </c>
      <c r="AN534" s="3">
        <f ca="1">IFERROR(__xludf.DUMMYFUNCTION("""COMPUTED_VALUE"""),68.16)</f>
        <v>68.16</v>
      </c>
      <c r="AO534" s="3">
        <f ca="1">IFERROR(__xludf.DUMMYFUNCTION("""COMPUTED_VALUE"""),68.44)</f>
        <v>68.44</v>
      </c>
      <c r="AP534" s="3">
        <f ca="1">IFERROR(__xludf.DUMMYFUNCTION("""COMPUTED_VALUE"""),6723498)</f>
        <v>6723498</v>
      </c>
      <c r="AQ534" s="4">
        <f ca="1">IFERROR(__xludf.DUMMYFUNCTION("""COMPUTED_VALUE"""),42899.6666666666)</f>
        <v>42899.666666666599</v>
      </c>
      <c r="AR534" s="3">
        <f ca="1">IFERROR(__xludf.DUMMYFUNCTION("""COMPUTED_VALUE"""),54.39)</f>
        <v>54.39</v>
      </c>
      <c r="AS534" s="3">
        <f ca="1">IFERROR(__xludf.DUMMYFUNCTION("""COMPUTED_VALUE"""),55.12)</f>
        <v>55.12</v>
      </c>
      <c r="AT534" s="3">
        <f ca="1">IFERROR(__xludf.DUMMYFUNCTION("""COMPUTED_VALUE"""),54.39)</f>
        <v>54.39</v>
      </c>
      <c r="AU534" s="3">
        <f ca="1">IFERROR(__xludf.DUMMYFUNCTION("""COMPUTED_VALUE"""),55.1)</f>
        <v>55.1</v>
      </c>
      <c r="AV534" s="3">
        <f ca="1">IFERROR(__xludf.DUMMYFUNCTION("""COMPUTED_VALUE"""),3362501)</f>
        <v>3362501</v>
      </c>
      <c r="BC534" s="4">
        <f ca="1">IFERROR(__xludf.DUMMYFUNCTION("""COMPUTED_VALUE"""),42899.6666666666)</f>
        <v>42899.666666666599</v>
      </c>
      <c r="BD534" s="3">
        <f ca="1">IFERROR(__xludf.DUMMYFUNCTION("""COMPUTED_VALUE"""),55.96)</f>
        <v>55.96</v>
      </c>
      <c r="BE534" s="3">
        <f ca="1">IFERROR(__xludf.DUMMYFUNCTION("""COMPUTED_VALUE"""),56.27)</f>
        <v>56.27</v>
      </c>
      <c r="BF534" s="3">
        <f ca="1">IFERROR(__xludf.DUMMYFUNCTION("""COMPUTED_VALUE"""),55.68)</f>
        <v>55.68</v>
      </c>
      <c r="BG534" s="3">
        <f ca="1">IFERROR(__xludf.DUMMYFUNCTION("""COMPUTED_VALUE"""),56.09)</f>
        <v>56.09</v>
      </c>
      <c r="BH534" s="3">
        <f ca="1">IFERROR(__xludf.DUMMYFUNCTION("""COMPUTED_VALUE"""),18293443)</f>
        <v>18293443</v>
      </c>
      <c r="BI534" s="4">
        <f ca="1">IFERROR(__xludf.DUMMYFUNCTION("""COMPUTED_VALUE"""),42899.6666666666)</f>
        <v>42899.666666666599</v>
      </c>
      <c r="BJ534" s="3">
        <f ca="1">IFERROR(__xludf.DUMMYFUNCTION("""COMPUTED_VALUE"""),53.51)</f>
        <v>53.51</v>
      </c>
      <c r="BK534" s="3">
        <f ca="1">IFERROR(__xludf.DUMMYFUNCTION("""COMPUTED_VALUE"""),53.74)</f>
        <v>53.74</v>
      </c>
      <c r="BL534" s="3">
        <f ca="1">IFERROR(__xludf.DUMMYFUNCTION("""COMPUTED_VALUE"""),53.38)</f>
        <v>53.38</v>
      </c>
      <c r="BM534" s="3">
        <f ca="1">IFERROR(__xludf.DUMMYFUNCTION("""COMPUTED_VALUE"""),53.7)</f>
        <v>53.7</v>
      </c>
      <c r="BN534" s="3">
        <f ca="1">IFERROR(__xludf.DUMMYFUNCTION("""COMPUTED_VALUE"""),8914879)</f>
        <v>8914879</v>
      </c>
    </row>
    <row r="535" spans="7:66" ht="13" x14ac:dyDescent="0.15">
      <c r="G535" s="4">
        <f ca="1">IFERROR(__xludf.DUMMYFUNCTION("""COMPUTED_VALUE"""),42900.6666666666)</f>
        <v>42900.666666666599</v>
      </c>
      <c r="H535" s="3">
        <f ca="1">IFERROR(__xludf.DUMMYFUNCTION("""COMPUTED_VALUE"""),91.21)</f>
        <v>91.21</v>
      </c>
      <c r="I535" s="3">
        <f ca="1">IFERROR(__xludf.DUMMYFUNCTION("""COMPUTED_VALUE"""),91.35)</f>
        <v>91.35</v>
      </c>
      <c r="J535" s="3">
        <f ca="1">IFERROR(__xludf.DUMMYFUNCTION("""COMPUTED_VALUE"""),90.36)</f>
        <v>90.36</v>
      </c>
      <c r="K535" s="3">
        <f ca="1">IFERROR(__xludf.DUMMYFUNCTION("""COMPUTED_VALUE"""),90.83)</f>
        <v>90.83</v>
      </c>
      <c r="L535" s="3">
        <f ca="1">IFERROR(__xludf.DUMMYFUNCTION("""COMPUTED_VALUE"""),4809407)</f>
        <v>4809407</v>
      </c>
      <c r="M535" s="4">
        <f ca="1">IFERROR(__xludf.DUMMYFUNCTION("""COMPUTED_VALUE"""),42900.6666666666)</f>
        <v>42900.666666666599</v>
      </c>
      <c r="N535" s="3">
        <f ca="1">IFERROR(__xludf.DUMMYFUNCTION("""COMPUTED_VALUE"""),56.98)</f>
        <v>56.98</v>
      </c>
      <c r="O535" s="3">
        <f ca="1">IFERROR(__xludf.DUMMYFUNCTION("""COMPUTED_VALUE"""),57.23)</f>
        <v>57.23</v>
      </c>
      <c r="P535" s="3">
        <f ca="1">IFERROR(__xludf.DUMMYFUNCTION("""COMPUTED_VALUE"""),56.91)</f>
        <v>56.91</v>
      </c>
      <c r="Q535" s="3">
        <f ca="1">IFERROR(__xludf.DUMMYFUNCTION("""COMPUTED_VALUE"""),57.11)</f>
        <v>57.11</v>
      </c>
      <c r="R535" s="3">
        <f ca="1">IFERROR(__xludf.DUMMYFUNCTION("""COMPUTED_VALUE"""),16040224)</f>
        <v>16040224</v>
      </c>
      <c r="S535" s="4">
        <f ca="1">IFERROR(__xludf.DUMMYFUNCTION("""COMPUTED_VALUE"""),42900.6666666666)</f>
        <v>42900.666666666599</v>
      </c>
      <c r="T535" s="3">
        <f ca="1">IFERROR(__xludf.DUMMYFUNCTION("""COMPUTED_VALUE"""),67.21)</f>
        <v>67.209999999999994</v>
      </c>
      <c r="U535" s="3">
        <f ca="1">IFERROR(__xludf.DUMMYFUNCTION("""COMPUTED_VALUE"""),67.21)</f>
        <v>67.209999999999994</v>
      </c>
      <c r="V535" s="3">
        <f ca="1">IFERROR(__xludf.DUMMYFUNCTION("""COMPUTED_VALUE"""),65.66)</f>
        <v>65.66</v>
      </c>
      <c r="W535" s="3">
        <f ca="1">IFERROR(__xludf.DUMMYFUNCTION("""COMPUTED_VALUE"""),66.17)</f>
        <v>66.17</v>
      </c>
      <c r="X535" s="3">
        <f ca="1">IFERROR(__xludf.DUMMYFUNCTION("""COMPUTED_VALUE"""),30280222)</f>
        <v>30280222</v>
      </c>
      <c r="Y535" s="4">
        <f ca="1">IFERROR(__xludf.DUMMYFUNCTION("""COMPUTED_VALUE"""),42900.6666666666)</f>
        <v>42900.666666666599</v>
      </c>
      <c r="Z535" s="3">
        <f ca="1">IFERROR(__xludf.DUMMYFUNCTION("""COMPUTED_VALUE"""),24.26)</f>
        <v>24.26</v>
      </c>
      <c r="AA535" s="3">
        <f ca="1">IFERROR(__xludf.DUMMYFUNCTION("""COMPUTED_VALUE"""),24.54)</f>
        <v>24.54</v>
      </c>
      <c r="AB535" s="3">
        <f ca="1">IFERROR(__xludf.DUMMYFUNCTION("""COMPUTED_VALUE"""),24.13)</f>
        <v>24.13</v>
      </c>
      <c r="AC535" s="3">
        <f ca="1">IFERROR(__xludf.DUMMYFUNCTION("""COMPUTED_VALUE"""),24.51)</f>
        <v>24.51</v>
      </c>
      <c r="AD535" s="3">
        <f ca="1">IFERROR(__xludf.DUMMYFUNCTION("""COMPUTED_VALUE"""),117605841)</f>
        <v>117605841</v>
      </c>
      <c r="AE535" s="4">
        <f ca="1">IFERROR(__xludf.DUMMYFUNCTION("""COMPUTED_VALUE"""),42900.6666666666)</f>
        <v>42900.666666666599</v>
      </c>
      <c r="AF535" s="3">
        <f ca="1">IFERROR(__xludf.DUMMYFUNCTION("""COMPUTED_VALUE"""),77.71)</f>
        <v>77.709999999999994</v>
      </c>
      <c r="AG535" s="3">
        <f ca="1">IFERROR(__xludf.DUMMYFUNCTION("""COMPUTED_VALUE"""),78.17)</f>
        <v>78.17</v>
      </c>
      <c r="AH535" s="3">
        <f ca="1">IFERROR(__xludf.DUMMYFUNCTION("""COMPUTED_VALUE"""),77.68)</f>
        <v>77.680000000000007</v>
      </c>
      <c r="AI535" s="3">
        <f ca="1">IFERROR(__xludf.DUMMYFUNCTION("""COMPUTED_VALUE"""),77.95)</f>
        <v>77.95</v>
      </c>
      <c r="AJ535" s="3">
        <f ca="1">IFERROR(__xludf.DUMMYFUNCTION("""COMPUTED_VALUE"""),6782257)</f>
        <v>6782257</v>
      </c>
      <c r="AK535" s="4">
        <f ca="1">IFERROR(__xludf.DUMMYFUNCTION("""COMPUTED_VALUE"""),42900.6666666666)</f>
        <v>42900.666666666599</v>
      </c>
      <c r="AL535" s="3">
        <f ca="1">IFERROR(__xludf.DUMMYFUNCTION("""COMPUTED_VALUE"""),68.6)</f>
        <v>68.599999999999994</v>
      </c>
      <c r="AM535" s="3">
        <f ca="1">IFERROR(__xludf.DUMMYFUNCTION("""COMPUTED_VALUE"""),68.6)</f>
        <v>68.599999999999994</v>
      </c>
      <c r="AN535" s="3">
        <f ca="1">IFERROR(__xludf.DUMMYFUNCTION("""COMPUTED_VALUE"""),68.14)</f>
        <v>68.14</v>
      </c>
      <c r="AO535" s="3">
        <f ca="1">IFERROR(__xludf.DUMMYFUNCTION("""COMPUTED_VALUE"""),68.37)</f>
        <v>68.37</v>
      </c>
      <c r="AP535" s="3">
        <f ca="1">IFERROR(__xludf.DUMMYFUNCTION("""COMPUTED_VALUE"""),8892757)</f>
        <v>8892757</v>
      </c>
      <c r="AQ535" s="4">
        <f ca="1">IFERROR(__xludf.DUMMYFUNCTION("""COMPUTED_VALUE"""),42900.6666666666)</f>
        <v>42900.666666666599</v>
      </c>
      <c r="AR535" s="3">
        <f ca="1">IFERROR(__xludf.DUMMYFUNCTION("""COMPUTED_VALUE"""),55.18)</f>
        <v>55.18</v>
      </c>
      <c r="AS535" s="3">
        <f ca="1">IFERROR(__xludf.DUMMYFUNCTION("""COMPUTED_VALUE"""),55.22)</f>
        <v>55.22</v>
      </c>
      <c r="AT535" s="3">
        <f ca="1">IFERROR(__xludf.DUMMYFUNCTION("""COMPUTED_VALUE"""),54.37)</f>
        <v>54.37</v>
      </c>
      <c r="AU535" s="3">
        <f ca="1">IFERROR(__xludf.DUMMYFUNCTION("""COMPUTED_VALUE"""),54.52)</f>
        <v>54.52</v>
      </c>
      <c r="AV535" s="3">
        <f ca="1">IFERROR(__xludf.DUMMYFUNCTION("""COMPUTED_VALUE"""),5591171)</f>
        <v>5591171</v>
      </c>
      <c r="BC535" s="4">
        <f ca="1">IFERROR(__xludf.DUMMYFUNCTION("""COMPUTED_VALUE"""),42900.6666666666)</f>
        <v>42900.666666666599</v>
      </c>
      <c r="BD535" s="3">
        <f ca="1">IFERROR(__xludf.DUMMYFUNCTION("""COMPUTED_VALUE"""),56.31)</f>
        <v>56.31</v>
      </c>
      <c r="BE535" s="3">
        <f ca="1">IFERROR(__xludf.DUMMYFUNCTION("""COMPUTED_VALUE"""),56.32)</f>
        <v>56.32</v>
      </c>
      <c r="BF535" s="3">
        <f ca="1">IFERROR(__xludf.DUMMYFUNCTION("""COMPUTED_VALUE"""),55.36)</f>
        <v>55.36</v>
      </c>
      <c r="BG535" s="3">
        <f ca="1">IFERROR(__xludf.DUMMYFUNCTION("""COMPUTED_VALUE"""),55.82)</f>
        <v>55.82</v>
      </c>
      <c r="BH535" s="3">
        <f ca="1">IFERROR(__xludf.DUMMYFUNCTION("""COMPUTED_VALUE"""),16180604)</f>
        <v>16180604</v>
      </c>
      <c r="BI535" s="4">
        <f ca="1">IFERROR(__xludf.DUMMYFUNCTION("""COMPUTED_VALUE"""),42900.6666666666)</f>
        <v>42900.666666666599</v>
      </c>
      <c r="BJ535" s="3">
        <f ca="1">IFERROR(__xludf.DUMMYFUNCTION("""COMPUTED_VALUE"""),54.04)</f>
        <v>54.04</v>
      </c>
      <c r="BK535" s="3">
        <f ca="1">IFERROR(__xludf.DUMMYFUNCTION("""COMPUTED_VALUE"""),54.28)</f>
        <v>54.28</v>
      </c>
      <c r="BL535" s="3">
        <f ca="1">IFERROR(__xludf.DUMMYFUNCTION("""COMPUTED_VALUE"""),53.82)</f>
        <v>53.82</v>
      </c>
      <c r="BM535" s="3">
        <f ca="1">IFERROR(__xludf.DUMMYFUNCTION("""COMPUTED_VALUE"""),53.99)</f>
        <v>53.99</v>
      </c>
      <c r="BN535" s="3">
        <f ca="1">IFERROR(__xludf.DUMMYFUNCTION("""COMPUTED_VALUE"""),15832103)</f>
        <v>15832103</v>
      </c>
    </row>
    <row r="536" spans="7:66" ht="13" x14ac:dyDescent="0.15">
      <c r="G536" s="4">
        <f ca="1">IFERROR(__xludf.DUMMYFUNCTION("""COMPUTED_VALUE"""),42901.6666666666)</f>
        <v>42901.666666666599</v>
      </c>
      <c r="H536" s="3">
        <f ca="1">IFERROR(__xludf.DUMMYFUNCTION("""COMPUTED_VALUE"""),90.16)</f>
        <v>90.16</v>
      </c>
      <c r="I536" s="3">
        <f ca="1">IFERROR(__xludf.DUMMYFUNCTION("""COMPUTED_VALUE"""),90.52)</f>
        <v>90.52</v>
      </c>
      <c r="J536" s="3">
        <f ca="1">IFERROR(__xludf.DUMMYFUNCTION("""COMPUTED_VALUE"""),89.72)</f>
        <v>89.72</v>
      </c>
      <c r="K536" s="3">
        <f ca="1">IFERROR(__xludf.DUMMYFUNCTION("""COMPUTED_VALUE"""),90.45)</f>
        <v>90.45</v>
      </c>
      <c r="L536" s="3">
        <f ca="1">IFERROR(__xludf.DUMMYFUNCTION("""COMPUTED_VALUE"""),3585054)</f>
        <v>3585054</v>
      </c>
      <c r="M536" s="4">
        <f ca="1">IFERROR(__xludf.DUMMYFUNCTION("""COMPUTED_VALUE"""),42901.6666666666)</f>
        <v>42901.666666666599</v>
      </c>
      <c r="N536" s="3">
        <f ca="1">IFERROR(__xludf.DUMMYFUNCTION("""COMPUTED_VALUE"""),56.83)</f>
        <v>56.83</v>
      </c>
      <c r="O536" s="3">
        <f ca="1">IFERROR(__xludf.DUMMYFUNCTION("""COMPUTED_VALUE"""),57.07)</f>
        <v>57.07</v>
      </c>
      <c r="P536" s="3">
        <f ca="1">IFERROR(__xludf.DUMMYFUNCTION("""COMPUTED_VALUE"""),56.63)</f>
        <v>56.63</v>
      </c>
      <c r="Q536" s="3">
        <f ca="1">IFERROR(__xludf.DUMMYFUNCTION("""COMPUTED_VALUE"""),56.98)</f>
        <v>56.98</v>
      </c>
      <c r="R536" s="3">
        <f ca="1">IFERROR(__xludf.DUMMYFUNCTION("""COMPUTED_VALUE"""),10361114)</f>
        <v>10361114</v>
      </c>
      <c r="S536" s="4">
        <f ca="1">IFERROR(__xludf.DUMMYFUNCTION("""COMPUTED_VALUE"""),42901.6666666666)</f>
        <v>42901.666666666599</v>
      </c>
      <c r="T536" s="3">
        <f ca="1">IFERROR(__xludf.DUMMYFUNCTION("""COMPUTED_VALUE"""),65.87)</f>
        <v>65.87</v>
      </c>
      <c r="U536" s="3">
        <f ca="1">IFERROR(__xludf.DUMMYFUNCTION("""COMPUTED_VALUE"""),66.2)</f>
        <v>66.2</v>
      </c>
      <c r="V536" s="3">
        <f ca="1">IFERROR(__xludf.DUMMYFUNCTION("""COMPUTED_VALUE"""),65.38)</f>
        <v>65.38</v>
      </c>
      <c r="W536" s="3">
        <f ca="1">IFERROR(__xludf.DUMMYFUNCTION("""COMPUTED_VALUE"""),65.67)</f>
        <v>65.67</v>
      </c>
      <c r="X536" s="3">
        <f ca="1">IFERROR(__xludf.DUMMYFUNCTION("""COMPUTED_VALUE"""),19258894)</f>
        <v>19258894</v>
      </c>
      <c r="Y536" s="4">
        <f ca="1">IFERROR(__xludf.DUMMYFUNCTION("""COMPUTED_VALUE"""),42901.6666666666)</f>
        <v>42901.666666666599</v>
      </c>
      <c r="Z536" s="3">
        <f ca="1">IFERROR(__xludf.DUMMYFUNCTION("""COMPUTED_VALUE"""),24.33)</f>
        <v>24.33</v>
      </c>
      <c r="AA536" s="3">
        <f ca="1">IFERROR(__xludf.DUMMYFUNCTION("""COMPUTED_VALUE"""),24.54)</f>
        <v>24.54</v>
      </c>
      <c r="AB536" s="3">
        <f ca="1">IFERROR(__xludf.DUMMYFUNCTION("""COMPUTED_VALUE"""),24.31)</f>
        <v>24.31</v>
      </c>
      <c r="AC536" s="3">
        <f ca="1">IFERROR(__xludf.DUMMYFUNCTION("""COMPUTED_VALUE"""),24.41)</f>
        <v>24.41</v>
      </c>
      <c r="AD536" s="3">
        <f ca="1">IFERROR(__xludf.DUMMYFUNCTION("""COMPUTED_VALUE"""),59547702)</f>
        <v>59547702</v>
      </c>
      <c r="AE536" s="4">
        <f ca="1">IFERROR(__xludf.DUMMYFUNCTION("""COMPUTED_VALUE"""),42901.6666666666)</f>
        <v>42901.666666666599</v>
      </c>
      <c r="AF536" s="3">
        <f ca="1">IFERROR(__xludf.DUMMYFUNCTION("""COMPUTED_VALUE"""),77.65)</f>
        <v>77.650000000000006</v>
      </c>
      <c r="AG536" s="3">
        <f ca="1">IFERROR(__xludf.DUMMYFUNCTION("""COMPUTED_VALUE"""),77.93)</f>
        <v>77.930000000000007</v>
      </c>
      <c r="AH536" s="3">
        <f ca="1">IFERROR(__xludf.DUMMYFUNCTION("""COMPUTED_VALUE"""),77.44)</f>
        <v>77.44</v>
      </c>
      <c r="AI536" s="3">
        <f ca="1">IFERROR(__xludf.DUMMYFUNCTION("""COMPUTED_VALUE"""),77.87)</f>
        <v>77.87</v>
      </c>
      <c r="AJ536" s="3">
        <f ca="1">IFERROR(__xludf.DUMMYFUNCTION("""COMPUTED_VALUE"""),8185992)</f>
        <v>8185992</v>
      </c>
      <c r="AK536" s="4">
        <f ca="1">IFERROR(__xludf.DUMMYFUNCTION("""COMPUTED_VALUE"""),42901.6666666666)</f>
        <v>42901.666666666599</v>
      </c>
      <c r="AL536" s="3">
        <f ca="1">IFERROR(__xludf.DUMMYFUNCTION("""COMPUTED_VALUE"""),67.97)</f>
        <v>67.97</v>
      </c>
      <c r="AM536" s="3">
        <f ca="1">IFERROR(__xludf.DUMMYFUNCTION("""COMPUTED_VALUE"""),68.78)</f>
        <v>68.78</v>
      </c>
      <c r="AN536" s="3">
        <f ca="1">IFERROR(__xludf.DUMMYFUNCTION("""COMPUTED_VALUE"""),67.95)</f>
        <v>67.95</v>
      </c>
      <c r="AO536" s="3">
        <f ca="1">IFERROR(__xludf.DUMMYFUNCTION("""COMPUTED_VALUE"""),68.78)</f>
        <v>68.78</v>
      </c>
      <c r="AP536" s="3">
        <f ca="1">IFERROR(__xludf.DUMMYFUNCTION("""COMPUTED_VALUE"""),20188089)</f>
        <v>20188089</v>
      </c>
      <c r="AQ536" s="4">
        <f ca="1">IFERROR(__xludf.DUMMYFUNCTION("""COMPUTED_VALUE"""),42901.6666666666)</f>
        <v>42901.666666666599</v>
      </c>
      <c r="AR536" s="3">
        <f ca="1">IFERROR(__xludf.DUMMYFUNCTION("""COMPUTED_VALUE"""),54.14)</f>
        <v>54.14</v>
      </c>
      <c r="AS536" s="3">
        <f ca="1">IFERROR(__xludf.DUMMYFUNCTION("""COMPUTED_VALUE"""),54.34)</f>
        <v>54.34</v>
      </c>
      <c r="AT536" s="3">
        <f ca="1">IFERROR(__xludf.DUMMYFUNCTION("""COMPUTED_VALUE"""),53.81)</f>
        <v>53.81</v>
      </c>
      <c r="AU536" s="3">
        <f ca="1">IFERROR(__xludf.DUMMYFUNCTION("""COMPUTED_VALUE"""),54.04)</f>
        <v>54.04</v>
      </c>
      <c r="AV536" s="3">
        <f ca="1">IFERROR(__xludf.DUMMYFUNCTION("""COMPUTED_VALUE"""),4860124)</f>
        <v>4860124</v>
      </c>
      <c r="BC536" s="4">
        <f ca="1">IFERROR(__xludf.DUMMYFUNCTION("""COMPUTED_VALUE"""),42901.6666666666)</f>
        <v>42901.666666666599</v>
      </c>
      <c r="BD536" s="3">
        <f ca="1">IFERROR(__xludf.DUMMYFUNCTION("""COMPUTED_VALUE"""),55.19)</f>
        <v>55.19</v>
      </c>
      <c r="BE536" s="3">
        <f ca="1">IFERROR(__xludf.DUMMYFUNCTION("""COMPUTED_VALUE"""),55.65)</f>
        <v>55.65</v>
      </c>
      <c r="BF536" s="3">
        <f ca="1">IFERROR(__xludf.DUMMYFUNCTION("""COMPUTED_VALUE"""),54.95)</f>
        <v>54.95</v>
      </c>
      <c r="BG536" s="3">
        <f ca="1">IFERROR(__xludf.DUMMYFUNCTION("""COMPUTED_VALUE"""),55.57)</f>
        <v>55.57</v>
      </c>
      <c r="BH536" s="3">
        <f ca="1">IFERROR(__xludf.DUMMYFUNCTION("""COMPUTED_VALUE"""),14750458)</f>
        <v>14750458</v>
      </c>
      <c r="BI536" s="4">
        <f ca="1">IFERROR(__xludf.DUMMYFUNCTION("""COMPUTED_VALUE"""),42901.6666666666)</f>
        <v>42901.666666666599</v>
      </c>
      <c r="BJ536" s="3">
        <f ca="1">IFERROR(__xludf.DUMMYFUNCTION("""COMPUTED_VALUE"""),53.84)</f>
        <v>53.84</v>
      </c>
      <c r="BK536" s="3">
        <f ca="1">IFERROR(__xludf.DUMMYFUNCTION("""COMPUTED_VALUE"""),54.36)</f>
        <v>54.36</v>
      </c>
      <c r="BL536" s="3">
        <f ca="1">IFERROR(__xludf.DUMMYFUNCTION("""COMPUTED_VALUE"""),53.84)</f>
        <v>53.84</v>
      </c>
      <c r="BM536" s="3">
        <f ca="1">IFERROR(__xludf.DUMMYFUNCTION("""COMPUTED_VALUE"""),54.3)</f>
        <v>54.3</v>
      </c>
      <c r="BN536" s="3">
        <f ca="1">IFERROR(__xludf.DUMMYFUNCTION("""COMPUTED_VALUE"""),15549451)</f>
        <v>15549451</v>
      </c>
    </row>
    <row r="537" spans="7:66" ht="13" x14ac:dyDescent="0.15">
      <c r="G537" s="4">
        <f ca="1">IFERROR(__xludf.DUMMYFUNCTION("""COMPUTED_VALUE"""),42902.6666666666)</f>
        <v>42902.666666666599</v>
      </c>
      <c r="H537" s="3">
        <f ca="1">IFERROR(__xludf.DUMMYFUNCTION("""COMPUTED_VALUE"""),90.5)</f>
        <v>90.5</v>
      </c>
      <c r="I537" s="3">
        <f ca="1">IFERROR(__xludf.DUMMYFUNCTION("""COMPUTED_VALUE"""),90.5)</f>
        <v>90.5</v>
      </c>
      <c r="J537" s="3">
        <f ca="1">IFERROR(__xludf.DUMMYFUNCTION("""COMPUTED_VALUE"""),89.64)</f>
        <v>89.64</v>
      </c>
      <c r="K537" s="3">
        <f ca="1">IFERROR(__xludf.DUMMYFUNCTION("""COMPUTED_VALUE"""),90.15)</f>
        <v>90.15</v>
      </c>
      <c r="L537" s="3">
        <f ca="1">IFERROR(__xludf.DUMMYFUNCTION("""COMPUTED_VALUE"""),7711618)</f>
        <v>7711618</v>
      </c>
      <c r="M537" s="4">
        <f ca="1">IFERROR(__xludf.DUMMYFUNCTION("""COMPUTED_VALUE"""),42902.6666666666)</f>
        <v>42902.666666666599</v>
      </c>
      <c r="N537" s="3">
        <f ca="1">IFERROR(__xludf.DUMMYFUNCTION("""COMPUTED_VALUE"""),56.05)</f>
        <v>56.05</v>
      </c>
      <c r="O537" s="3">
        <f ca="1">IFERROR(__xludf.DUMMYFUNCTION("""COMPUTED_VALUE"""),56.07)</f>
        <v>56.07</v>
      </c>
      <c r="P537" s="3">
        <f ca="1">IFERROR(__xludf.DUMMYFUNCTION("""COMPUTED_VALUE"""),55.45)</f>
        <v>55.45</v>
      </c>
      <c r="Q537" s="3">
        <f ca="1">IFERROR(__xludf.DUMMYFUNCTION("""COMPUTED_VALUE"""),55.95)</f>
        <v>55.95</v>
      </c>
      <c r="R537" s="3">
        <f ca="1">IFERROR(__xludf.DUMMYFUNCTION("""COMPUTED_VALUE"""),26268033)</f>
        <v>26268033</v>
      </c>
      <c r="S537" s="4">
        <f ca="1">IFERROR(__xludf.DUMMYFUNCTION("""COMPUTED_VALUE"""),42902.6666666666)</f>
        <v>42902.666666666599</v>
      </c>
      <c r="T537" s="3">
        <f ca="1">IFERROR(__xludf.DUMMYFUNCTION("""COMPUTED_VALUE"""),65.61)</f>
        <v>65.61</v>
      </c>
      <c r="U537" s="3">
        <f ca="1">IFERROR(__xludf.DUMMYFUNCTION("""COMPUTED_VALUE"""),66.33)</f>
        <v>66.33</v>
      </c>
      <c r="V537" s="3">
        <f ca="1">IFERROR(__xludf.DUMMYFUNCTION("""COMPUTED_VALUE"""),65.19)</f>
        <v>65.19</v>
      </c>
      <c r="W537" s="3">
        <f ca="1">IFERROR(__xludf.DUMMYFUNCTION("""COMPUTED_VALUE"""),66.3)</f>
        <v>66.3</v>
      </c>
      <c r="X537" s="3">
        <f ca="1">IFERROR(__xludf.DUMMYFUNCTION("""COMPUTED_VALUE"""),24621013)</f>
        <v>24621013</v>
      </c>
      <c r="Y537" s="4">
        <f ca="1">IFERROR(__xludf.DUMMYFUNCTION("""COMPUTED_VALUE"""),42902.6666666666)</f>
        <v>42902.666666666599</v>
      </c>
      <c r="Z537" s="3">
        <f ca="1">IFERROR(__xludf.DUMMYFUNCTION("""COMPUTED_VALUE"""),24.31)</f>
        <v>24.31</v>
      </c>
      <c r="AA537" s="3">
        <f ca="1">IFERROR(__xludf.DUMMYFUNCTION("""COMPUTED_VALUE"""),24.37)</f>
        <v>24.37</v>
      </c>
      <c r="AB537" s="3">
        <f ca="1">IFERROR(__xludf.DUMMYFUNCTION("""COMPUTED_VALUE"""),24.22)</f>
        <v>24.22</v>
      </c>
      <c r="AC537" s="3">
        <f ca="1">IFERROR(__xludf.DUMMYFUNCTION("""COMPUTED_VALUE"""),24.29)</f>
        <v>24.29</v>
      </c>
      <c r="AD537" s="3">
        <f ca="1">IFERROR(__xludf.DUMMYFUNCTION("""COMPUTED_VALUE"""),53818768)</f>
        <v>53818768</v>
      </c>
      <c r="AE537" s="4">
        <f ca="1">IFERROR(__xludf.DUMMYFUNCTION("""COMPUTED_VALUE"""),42902.6666666666)</f>
        <v>42902.666666666599</v>
      </c>
      <c r="AF537" s="3">
        <f ca="1">IFERROR(__xludf.DUMMYFUNCTION("""COMPUTED_VALUE"""),77.66)</f>
        <v>77.66</v>
      </c>
      <c r="AG537" s="3">
        <f ca="1">IFERROR(__xludf.DUMMYFUNCTION("""COMPUTED_VALUE"""),77.85)</f>
        <v>77.849999999999994</v>
      </c>
      <c r="AH537" s="3">
        <f ca="1">IFERROR(__xludf.DUMMYFUNCTION("""COMPUTED_VALUE"""),77.28)</f>
        <v>77.28</v>
      </c>
      <c r="AI537" s="3">
        <f ca="1">IFERROR(__xludf.DUMMYFUNCTION("""COMPUTED_VALUE"""),77.69)</f>
        <v>77.69</v>
      </c>
      <c r="AJ537" s="3">
        <f ca="1">IFERROR(__xludf.DUMMYFUNCTION("""COMPUTED_VALUE"""),14165188)</f>
        <v>14165188</v>
      </c>
      <c r="AK537" s="4">
        <f ca="1">IFERROR(__xludf.DUMMYFUNCTION("""COMPUTED_VALUE"""),42902.6666666666)</f>
        <v>42902.666666666599</v>
      </c>
      <c r="AL537" s="3">
        <f ca="1">IFERROR(__xludf.DUMMYFUNCTION("""COMPUTED_VALUE"""),68.59)</f>
        <v>68.59</v>
      </c>
      <c r="AM537" s="3">
        <f ca="1">IFERROR(__xludf.DUMMYFUNCTION("""COMPUTED_VALUE"""),68.72)</f>
        <v>68.72</v>
      </c>
      <c r="AN537" s="3">
        <f ca="1">IFERROR(__xludf.DUMMYFUNCTION("""COMPUTED_VALUE"""),68.43)</f>
        <v>68.430000000000007</v>
      </c>
      <c r="AO537" s="3">
        <f ca="1">IFERROR(__xludf.DUMMYFUNCTION("""COMPUTED_VALUE"""),68.68)</f>
        <v>68.680000000000007</v>
      </c>
      <c r="AP537" s="3">
        <f ca="1">IFERROR(__xludf.DUMMYFUNCTION("""COMPUTED_VALUE"""),12871568)</f>
        <v>12871568</v>
      </c>
      <c r="AQ537" s="4">
        <f ca="1">IFERROR(__xludf.DUMMYFUNCTION("""COMPUTED_VALUE"""),42902.6666666666)</f>
        <v>42902.666666666599</v>
      </c>
      <c r="AR537" s="3">
        <f ca="1">IFERROR(__xludf.DUMMYFUNCTION("""COMPUTED_VALUE"""),54.04)</f>
        <v>54.04</v>
      </c>
      <c r="AS537" s="3">
        <f ca="1">IFERROR(__xludf.DUMMYFUNCTION("""COMPUTED_VALUE"""),54.05)</f>
        <v>54.05</v>
      </c>
      <c r="AT537" s="3">
        <f ca="1">IFERROR(__xludf.DUMMYFUNCTION("""COMPUTED_VALUE"""),53.72)</f>
        <v>53.72</v>
      </c>
      <c r="AU537" s="3">
        <f ca="1">IFERROR(__xludf.DUMMYFUNCTION("""COMPUTED_VALUE"""),54.02)</f>
        <v>54.02</v>
      </c>
      <c r="AV537" s="3">
        <f ca="1">IFERROR(__xludf.DUMMYFUNCTION("""COMPUTED_VALUE"""),4575143)</f>
        <v>4575143</v>
      </c>
      <c r="BC537" s="4">
        <f ca="1">IFERROR(__xludf.DUMMYFUNCTION("""COMPUTED_VALUE"""),42902.6666666666)</f>
        <v>42902.666666666599</v>
      </c>
      <c r="BD537" s="3">
        <f ca="1">IFERROR(__xludf.DUMMYFUNCTION("""COMPUTED_VALUE"""),55.35)</f>
        <v>55.35</v>
      </c>
      <c r="BE537" s="3">
        <f ca="1">IFERROR(__xludf.DUMMYFUNCTION("""COMPUTED_VALUE"""),55.37)</f>
        <v>55.37</v>
      </c>
      <c r="BF537" s="3">
        <f ca="1">IFERROR(__xludf.DUMMYFUNCTION("""COMPUTED_VALUE"""),55.02)</f>
        <v>55.02</v>
      </c>
      <c r="BG537" s="3">
        <f ca="1">IFERROR(__xludf.DUMMYFUNCTION("""COMPUTED_VALUE"""),55.25)</f>
        <v>55.25</v>
      </c>
      <c r="BH537" s="3">
        <f ca="1">IFERROR(__xludf.DUMMYFUNCTION("""COMPUTED_VALUE"""),21611258)</f>
        <v>21611258</v>
      </c>
      <c r="BI537" s="4">
        <f ca="1">IFERROR(__xludf.DUMMYFUNCTION("""COMPUTED_VALUE"""),42902.6666666666)</f>
        <v>42902.666666666599</v>
      </c>
      <c r="BJ537" s="3">
        <f ca="1">IFERROR(__xludf.DUMMYFUNCTION("""COMPUTED_VALUE"""),54.02)</f>
        <v>54.02</v>
      </c>
      <c r="BK537" s="3">
        <f ca="1">IFERROR(__xludf.DUMMYFUNCTION("""COMPUTED_VALUE"""),54.22)</f>
        <v>54.22</v>
      </c>
      <c r="BL537" s="3">
        <f ca="1">IFERROR(__xludf.DUMMYFUNCTION("""COMPUTED_VALUE"""),53.92)</f>
        <v>53.92</v>
      </c>
      <c r="BM537" s="3">
        <f ca="1">IFERROR(__xludf.DUMMYFUNCTION("""COMPUTED_VALUE"""),54.11)</f>
        <v>54.11</v>
      </c>
      <c r="BN537" s="3">
        <f ca="1">IFERROR(__xludf.DUMMYFUNCTION("""COMPUTED_VALUE"""),17695762)</f>
        <v>17695762</v>
      </c>
    </row>
    <row r="538" spans="7:66" ht="13" x14ac:dyDescent="0.15">
      <c r="G538" s="4">
        <f ca="1">IFERROR(__xludf.DUMMYFUNCTION("""COMPUTED_VALUE"""),42905.6666666666)</f>
        <v>42905.666666666599</v>
      </c>
      <c r="H538" s="3">
        <f ca="1">IFERROR(__xludf.DUMMYFUNCTION("""COMPUTED_VALUE"""),90.53)</f>
        <v>90.53</v>
      </c>
      <c r="I538" s="3">
        <f ca="1">IFERROR(__xludf.DUMMYFUNCTION("""COMPUTED_VALUE"""),90.98)</f>
        <v>90.98</v>
      </c>
      <c r="J538" s="3">
        <f ca="1">IFERROR(__xludf.DUMMYFUNCTION("""COMPUTED_VALUE"""),90.3)</f>
        <v>90.3</v>
      </c>
      <c r="K538" s="3">
        <f ca="1">IFERROR(__xludf.DUMMYFUNCTION("""COMPUTED_VALUE"""),90.84)</f>
        <v>90.84</v>
      </c>
      <c r="L538" s="3">
        <f ca="1">IFERROR(__xludf.DUMMYFUNCTION("""COMPUTED_VALUE"""),3419785)</f>
        <v>3419785</v>
      </c>
      <c r="M538" s="4">
        <f ca="1">IFERROR(__xludf.DUMMYFUNCTION("""COMPUTED_VALUE"""),42905.6666666666)</f>
        <v>42905.666666666599</v>
      </c>
      <c r="N538" s="3">
        <f ca="1">IFERROR(__xludf.DUMMYFUNCTION("""COMPUTED_VALUE"""),56.08)</f>
        <v>56.08</v>
      </c>
      <c r="O538" s="3">
        <f ca="1">IFERROR(__xludf.DUMMYFUNCTION("""COMPUTED_VALUE"""),56.22)</f>
        <v>56.22</v>
      </c>
      <c r="P538" s="3">
        <f ca="1">IFERROR(__xludf.DUMMYFUNCTION("""COMPUTED_VALUE"""),55.71)</f>
        <v>55.71</v>
      </c>
      <c r="Q538" s="3">
        <f ca="1">IFERROR(__xludf.DUMMYFUNCTION("""COMPUTED_VALUE"""),56.22)</f>
        <v>56.22</v>
      </c>
      <c r="R538" s="3">
        <f ca="1">IFERROR(__xludf.DUMMYFUNCTION("""COMPUTED_VALUE"""),7883114)</f>
        <v>7883114</v>
      </c>
      <c r="S538" s="4">
        <f ca="1">IFERROR(__xludf.DUMMYFUNCTION("""COMPUTED_VALUE"""),42905.6666666666)</f>
        <v>42905.666666666599</v>
      </c>
      <c r="T538" s="3">
        <f ca="1">IFERROR(__xludf.DUMMYFUNCTION("""COMPUTED_VALUE"""),66.15)</f>
        <v>66.150000000000006</v>
      </c>
      <c r="U538" s="3">
        <f ca="1">IFERROR(__xludf.DUMMYFUNCTION("""COMPUTED_VALUE"""),66.29)</f>
        <v>66.290000000000006</v>
      </c>
      <c r="V538" s="3">
        <f ca="1">IFERROR(__xludf.DUMMYFUNCTION("""COMPUTED_VALUE"""),65.71)</f>
        <v>65.709999999999994</v>
      </c>
      <c r="W538" s="3">
        <f ca="1">IFERROR(__xludf.DUMMYFUNCTION("""COMPUTED_VALUE"""),65.88)</f>
        <v>65.88</v>
      </c>
      <c r="X538" s="3">
        <f ca="1">IFERROR(__xludf.DUMMYFUNCTION("""COMPUTED_VALUE"""),15678381)</f>
        <v>15678381</v>
      </c>
      <c r="Y538" s="4">
        <f ca="1">IFERROR(__xludf.DUMMYFUNCTION("""COMPUTED_VALUE"""),42905.6666666666)</f>
        <v>42905.666666666599</v>
      </c>
      <c r="Z538" s="3">
        <f ca="1">IFERROR(__xludf.DUMMYFUNCTION("""COMPUTED_VALUE"""),24.45)</f>
        <v>24.45</v>
      </c>
      <c r="AA538" s="3">
        <f ca="1">IFERROR(__xludf.DUMMYFUNCTION("""COMPUTED_VALUE"""),24.59)</f>
        <v>24.59</v>
      </c>
      <c r="AB538" s="3">
        <f ca="1">IFERROR(__xludf.DUMMYFUNCTION("""COMPUTED_VALUE"""),24.42)</f>
        <v>24.42</v>
      </c>
      <c r="AC538" s="3">
        <f ca="1">IFERROR(__xludf.DUMMYFUNCTION("""COMPUTED_VALUE"""),24.54)</f>
        <v>24.54</v>
      </c>
      <c r="AD538" s="3">
        <f ca="1">IFERROR(__xludf.DUMMYFUNCTION("""COMPUTED_VALUE"""),58041293)</f>
        <v>58041293</v>
      </c>
      <c r="AE538" s="4">
        <f ca="1">IFERROR(__xludf.DUMMYFUNCTION("""COMPUTED_VALUE"""),42905.6666666666)</f>
        <v>42905.666666666599</v>
      </c>
      <c r="AF538" s="3">
        <f ca="1">IFERROR(__xludf.DUMMYFUNCTION("""COMPUTED_VALUE"""),77.8)</f>
        <v>77.8</v>
      </c>
      <c r="AG538" s="3">
        <f ca="1">IFERROR(__xludf.DUMMYFUNCTION("""COMPUTED_VALUE"""),78.57)</f>
        <v>78.569999999999993</v>
      </c>
      <c r="AH538" s="3">
        <f ca="1">IFERROR(__xludf.DUMMYFUNCTION("""COMPUTED_VALUE"""),77.76)</f>
        <v>77.760000000000005</v>
      </c>
      <c r="AI538" s="3">
        <f ca="1">IFERROR(__xludf.DUMMYFUNCTION("""COMPUTED_VALUE"""),78.5)</f>
        <v>78.5</v>
      </c>
      <c r="AJ538" s="3">
        <f ca="1">IFERROR(__xludf.DUMMYFUNCTION("""COMPUTED_VALUE"""),8294402)</f>
        <v>8294402</v>
      </c>
      <c r="AK538" s="4">
        <f ca="1">IFERROR(__xludf.DUMMYFUNCTION("""COMPUTED_VALUE"""),42905.6666666666)</f>
        <v>42905.666666666599</v>
      </c>
      <c r="AL538" s="3">
        <f ca="1">IFERROR(__xludf.DUMMYFUNCTION("""COMPUTED_VALUE"""),69.02)</f>
        <v>69.02</v>
      </c>
      <c r="AM538" s="3">
        <f ca="1">IFERROR(__xludf.DUMMYFUNCTION("""COMPUTED_VALUE"""),69.19)</f>
        <v>69.19</v>
      </c>
      <c r="AN538" s="3">
        <f ca="1">IFERROR(__xludf.DUMMYFUNCTION("""COMPUTED_VALUE"""),68.82)</f>
        <v>68.819999999999993</v>
      </c>
      <c r="AO538" s="3">
        <f ca="1">IFERROR(__xludf.DUMMYFUNCTION("""COMPUTED_VALUE"""),69.1)</f>
        <v>69.099999999999994</v>
      </c>
      <c r="AP538" s="3">
        <f ca="1">IFERROR(__xludf.DUMMYFUNCTION("""COMPUTED_VALUE"""),6867011)</f>
        <v>6867011</v>
      </c>
      <c r="AQ538" s="4">
        <f ca="1">IFERROR(__xludf.DUMMYFUNCTION("""COMPUTED_VALUE"""),42905.6666666666)</f>
        <v>42905.666666666599</v>
      </c>
      <c r="AR538" s="3">
        <f ca="1">IFERROR(__xludf.DUMMYFUNCTION("""COMPUTED_VALUE"""),54.29)</f>
        <v>54.29</v>
      </c>
      <c r="AS538" s="3">
        <f ca="1">IFERROR(__xludf.DUMMYFUNCTION("""COMPUTED_VALUE"""),54.52)</f>
        <v>54.52</v>
      </c>
      <c r="AT538" s="3">
        <f ca="1">IFERROR(__xludf.DUMMYFUNCTION("""COMPUTED_VALUE"""),54.22)</f>
        <v>54.22</v>
      </c>
      <c r="AU538" s="3">
        <f ca="1">IFERROR(__xludf.DUMMYFUNCTION("""COMPUTED_VALUE"""),54.45)</f>
        <v>54.45</v>
      </c>
      <c r="AV538" s="3">
        <f ca="1">IFERROR(__xludf.DUMMYFUNCTION("""COMPUTED_VALUE"""),2506414)</f>
        <v>2506414</v>
      </c>
      <c r="BC538" s="4">
        <f ca="1">IFERROR(__xludf.DUMMYFUNCTION("""COMPUTED_VALUE"""),42905.6666666666)</f>
        <v>42905.666666666599</v>
      </c>
      <c r="BD538" s="3">
        <f ca="1">IFERROR(__xludf.DUMMYFUNCTION("""COMPUTED_VALUE"""),55.67)</f>
        <v>55.67</v>
      </c>
      <c r="BE538" s="3">
        <f ca="1">IFERROR(__xludf.DUMMYFUNCTION("""COMPUTED_VALUE"""),56.11)</f>
        <v>56.11</v>
      </c>
      <c r="BF538" s="3">
        <f ca="1">IFERROR(__xludf.DUMMYFUNCTION("""COMPUTED_VALUE"""),55.64)</f>
        <v>55.64</v>
      </c>
      <c r="BG538" s="3">
        <f ca="1">IFERROR(__xludf.DUMMYFUNCTION("""COMPUTED_VALUE"""),56.07)</f>
        <v>56.07</v>
      </c>
      <c r="BH538" s="3">
        <f ca="1">IFERROR(__xludf.DUMMYFUNCTION("""COMPUTED_VALUE"""),9929199)</f>
        <v>9929199</v>
      </c>
      <c r="BI538" s="4">
        <f ca="1">IFERROR(__xludf.DUMMYFUNCTION("""COMPUTED_VALUE"""),42905.6666666666)</f>
        <v>42905.666666666599</v>
      </c>
      <c r="BJ538" s="3">
        <f ca="1">IFERROR(__xludf.DUMMYFUNCTION("""COMPUTED_VALUE"""),54.16)</f>
        <v>54.16</v>
      </c>
      <c r="BK538" s="3">
        <f ca="1">IFERROR(__xludf.DUMMYFUNCTION("""COMPUTED_VALUE"""),54.19)</f>
        <v>54.19</v>
      </c>
      <c r="BL538" s="3">
        <f ca="1">IFERROR(__xludf.DUMMYFUNCTION("""COMPUTED_VALUE"""),53.74)</f>
        <v>53.74</v>
      </c>
      <c r="BM538" s="3">
        <f ca="1">IFERROR(__xludf.DUMMYFUNCTION("""COMPUTED_VALUE"""),53.93)</f>
        <v>53.93</v>
      </c>
      <c r="BN538" s="3">
        <f ca="1">IFERROR(__xludf.DUMMYFUNCTION("""COMPUTED_VALUE"""),17822337)</f>
        <v>17822337</v>
      </c>
    </row>
    <row r="539" spans="7:66" ht="13" x14ac:dyDescent="0.15">
      <c r="G539" s="4">
        <f ca="1">IFERROR(__xludf.DUMMYFUNCTION("""COMPUTED_VALUE"""),42906.6666666666)</f>
        <v>42906.666666666599</v>
      </c>
      <c r="H539" s="3">
        <f ca="1">IFERROR(__xludf.DUMMYFUNCTION("""COMPUTED_VALUE"""),90.68)</f>
        <v>90.68</v>
      </c>
      <c r="I539" s="3">
        <f ca="1">IFERROR(__xludf.DUMMYFUNCTION("""COMPUTED_VALUE"""),90.7)</f>
        <v>90.7</v>
      </c>
      <c r="J539" s="3">
        <f ca="1">IFERROR(__xludf.DUMMYFUNCTION("""COMPUTED_VALUE"""),89.68)</f>
        <v>89.68</v>
      </c>
      <c r="K539" s="3">
        <f ca="1">IFERROR(__xludf.DUMMYFUNCTION("""COMPUTED_VALUE"""),89.7)</f>
        <v>89.7</v>
      </c>
      <c r="L539" s="3">
        <f ca="1">IFERROR(__xludf.DUMMYFUNCTION("""COMPUTED_VALUE"""),3352527)</f>
        <v>3352527</v>
      </c>
      <c r="M539" s="4">
        <f ca="1">IFERROR(__xludf.DUMMYFUNCTION("""COMPUTED_VALUE"""),42906.6666666666)</f>
        <v>42906.666666666599</v>
      </c>
      <c r="N539" s="3">
        <f ca="1">IFERROR(__xludf.DUMMYFUNCTION("""COMPUTED_VALUE"""),56.27)</f>
        <v>56.27</v>
      </c>
      <c r="O539" s="3">
        <f ca="1">IFERROR(__xludf.DUMMYFUNCTION("""COMPUTED_VALUE"""),56.3)</f>
        <v>56.3</v>
      </c>
      <c r="P539" s="3">
        <f ca="1">IFERROR(__xludf.DUMMYFUNCTION("""COMPUTED_VALUE"""),55.99)</f>
        <v>55.99</v>
      </c>
      <c r="Q539" s="3">
        <f ca="1">IFERROR(__xludf.DUMMYFUNCTION("""COMPUTED_VALUE"""),56)</f>
        <v>56</v>
      </c>
      <c r="R539" s="3">
        <f ca="1">IFERROR(__xludf.DUMMYFUNCTION("""COMPUTED_VALUE"""),7231693)</f>
        <v>7231693</v>
      </c>
      <c r="S539" s="4">
        <f ca="1">IFERROR(__xludf.DUMMYFUNCTION("""COMPUTED_VALUE"""),42906.6666666666)</f>
        <v>42906.666666666599</v>
      </c>
      <c r="T539" s="3">
        <f ca="1">IFERROR(__xludf.DUMMYFUNCTION("""COMPUTED_VALUE"""),65.12)</f>
        <v>65.12</v>
      </c>
      <c r="U539" s="3">
        <f ca="1">IFERROR(__xludf.DUMMYFUNCTION("""COMPUTED_VALUE"""),65.22)</f>
        <v>65.22</v>
      </c>
      <c r="V539" s="3">
        <f ca="1">IFERROR(__xludf.DUMMYFUNCTION("""COMPUTED_VALUE"""),64.31)</f>
        <v>64.31</v>
      </c>
      <c r="W539" s="3">
        <f ca="1">IFERROR(__xludf.DUMMYFUNCTION("""COMPUTED_VALUE"""),65.04)</f>
        <v>65.040000000000006</v>
      </c>
      <c r="X539" s="3">
        <f ca="1">IFERROR(__xludf.DUMMYFUNCTION("""COMPUTED_VALUE"""),16063425)</f>
        <v>16063425</v>
      </c>
      <c r="Y539" s="4">
        <f ca="1">IFERROR(__xludf.DUMMYFUNCTION("""COMPUTED_VALUE"""),42906.6666666666)</f>
        <v>42906.666666666599</v>
      </c>
      <c r="Z539" s="3">
        <f ca="1">IFERROR(__xludf.DUMMYFUNCTION("""COMPUTED_VALUE"""),24.46)</f>
        <v>24.46</v>
      </c>
      <c r="AA539" s="3">
        <f ca="1">IFERROR(__xludf.DUMMYFUNCTION("""COMPUTED_VALUE"""),24.48)</f>
        <v>24.48</v>
      </c>
      <c r="AB539" s="3">
        <f ca="1">IFERROR(__xludf.DUMMYFUNCTION("""COMPUTED_VALUE"""),24.32)</f>
        <v>24.32</v>
      </c>
      <c r="AC539" s="3">
        <f ca="1">IFERROR(__xludf.DUMMYFUNCTION("""COMPUTED_VALUE"""),24.33)</f>
        <v>24.33</v>
      </c>
      <c r="AD539" s="3">
        <f ca="1">IFERROR(__xludf.DUMMYFUNCTION("""COMPUTED_VALUE"""),45689645)</f>
        <v>45689645</v>
      </c>
      <c r="AE539" s="4">
        <f ca="1">IFERROR(__xludf.DUMMYFUNCTION("""COMPUTED_VALUE"""),42906.6666666666)</f>
        <v>42906.666666666599</v>
      </c>
      <c r="AF539" s="3">
        <f ca="1">IFERROR(__xludf.DUMMYFUNCTION("""COMPUTED_VALUE"""),78.49)</f>
        <v>78.489999999999995</v>
      </c>
      <c r="AG539" s="3">
        <f ca="1">IFERROR(__xludf.DUMMYFUNCTION("""COMPUTED_VALUE"""),79.19)</f>
        <v>79.19</v>
      </c>
      <c r="AH539" s="3">
        <f ca="1">IFERROR(__xludf.DUMMYFUNCTION("""COMPUTED_VALUE"""),78.46)</f>
        <v>78.459999999999994</v>
      </c>
      <c r="AI539" s="3">
        <f ca="1">IFERROR(__xludf.DUMMYFUNCTION("""COMPUTED_VALUE"""),78.76)</f>
        <v>78.760000000000005</v>
      </c>
      <c r="AJ539" s="3">
        <f ca="1">IFERROR(__xludf.DUMMYFUNCTION("""COMPUTED_VALUE"""),7697165)</f>
        <v>7697165</v>
      </c>
      <c r="AK539" s="4">
        <f ca="1">IFERROR(__xludf.DUMMYFUNCTION("""COMPUTED_VALUE"""),42906.6666666666)</f>
        <v>42906.666666666599</v>
      </c>
      <c r="AL539" s="3">
        <f ca="1">IFERROR(__xludf.DUMMYFUNCTION("""COMPUTED_VALUE"""),68.95)</f>
        <v>68.95</v>
      </c>
      <c r="AM539" s="3">
        <f ca="1">IFERROR(__xludf.DUMMYFUNCTION("""COMPUTED_VALUE"""),69.01)</f>
        <v>69.010000000000005</v>
      </c>
      <c r="AN539" s="3">
        <f ca="1">IFERROR(__xludf.DUMMYFUNCTION("""COMPUTED_VALUE"""),68.35)</f>
        <v>68.349999999999994</v>
      </c>
      <c r="AO539" s="3">
        <f ca="1">IFERROR(__xludf.DUMMYFUNCTION("""COMPUTED_VALUE"""),68.36)</f>
        <v>68.36</v>
      </c>
      <c r="AP539" s="3">
        <f ca="1">IFERROR(__xludf.DUMMYFUNCTION("""COMPUTED_VALUE"""),7242771)</f>
        <v>7242771</v>
      </c>
      <c r="AQ539" s="4">
        <f ca="1">IFERROR(__xludf.DUMMYFUNCTION("""COMPUTED_VALUE"""),42906.6666666666)</f>
        <v>42906.666666666599</v>
      </c>
      <c r="AR539" s="3">
        <f ca="1">IFERROR(__xludf.DUMMYFUNCTION("""COMPUTED_VALUE"""),54.34)</f>
        <v>54.34</v>
      </c>
      <c r="AS539" s="3">
        <f ca="1">IFERROR(__xludf.DUMMYFUNCTION("""COMPUTED_VALUE"""),54.34)</f>
        <v>54.34</v>
      </c>
      <c r="AT539" s="3">
        <f ca="1">IFERROR(__xludf.DUMMYFUNCTION("""COMPUTED_VALUE"""),54.14)</f>
        <v>54.14</v>
      </c>
      <c r="AU539" s="3">
        <f ca="1">IFERROR(__xludf.DUMMYFUNCTION("""COMPUTED_VALUE"""),54.15)</f>
        <v>54.15</v>
      </c>
      <c r="AV539" s="3">
        <f ca="1">IFERROR(__xludf.DUMMYFUNCTION("""COMPUTED_VALUE"""),3458442)</f>
        <v>3458442</v>
      </c>
      <c r="BC539" s="4">
        <f ca="1">IFERROR(__xludf.DUMMYFUNCTION("""COMPUTED_VALUE"""),42906.6666666666)</f>
        <v>42906.666666666599</v>
      </c>
      <c r="BD539" s="3">
        <f ca="1">IFERROR(__xludf.DUMMYFUNCTION("""COMPUTED_VALUE"""),56.05)</f>
        <v>56.05</v>
      </c>
      <c r="BE539" s="3">
        <f ca="1">IFERROR(__xludf.DUMMYFUNCTION("""COMPUTED_VALUE"""),56.08)</f>
        <v>56.08</v>
      </c>
      <c r="BF539" s="3">
        <f ca="1">IFERROR(__xludf.DUMMYFUNCTION("""COMPUTED_VALUE"""),55.62)</f>
        <v>55.62</v>
      </c>
      <c r="BG539" s="3">
        <f ca="1">IFERROR(__xludf.DUMMYFUNCTION("""COMPUTED_VALUE"""),55.62)</f>
        <v>55.62</v>
      </c>
      <c r="BH539" s="3">
        <f ca="1">IFERROR(__xludf.DUMMYFUNCTION("""COMPUTED_VALUE"""),10957735)</f>
        <v>10957735</v>
      </c>
      <c r="BI539" s="4">
        <f ca="1">IFERROR(__xludf.DUMMYFUNCTION("""COMPUTED_VALUE"""),42906.6666666666)</f>
        <v>42906.666666666599</v>
      </c>
      <c r="BJ539" s="3">
        <f ca="1">IFERROR(__xludf.DUMMYFUNCTION("""COMPUTED_VALUE"""),53.99)</f>
        <v>53.99</v>
      </c>
      <c r="BK539" s="3">
        <f ca="1">IFERROR(__xludf.DUMMYFUNCTION("""COMPUTED_VALUE"""),54.03)</f>
        <v>54.03</v>
      </c>
      <c r="BL539" s="3">
        <f ca="1">IFERROR(__xludf.DUMMYFUNCTION("""COMPUTED_VALUE"""),53.86)</f>
        <v>53.86</v>
      </c>
      <c r="BM539" s="3">
        <f ca="1">IFERROR(__xludf.DUMMYFUNCTION("""COMPUTED_VALUE"""),53.96)</f>
        <v>53.96</v>
      </c>
      <c r="BN539" s="3">
        <f ca="1">IFERROR(__xludf.DUMMYFUNCTION("""COMPUTED_VALUE"""),7588505)</f>
        <v>7588505</v>
      </c>
    </row>
    <row r="540" spans="7:66" ht="13" x14ac:dyDescent="0.15">
      <c r="G540" s="4">
        <f ca="1">IFERROR(__xludf.DUMMYFUNCTION("""COMPUTED_VALUE"""),42907.6666666666)</f>
        <v>42907.666666666599</v>
      </c>
      <c r="H540" s="3">
        <f ca="1">IFERROR(__xludf.DUMMYFUNCTION("""COMPUTED_VALUE"""),89.93)</f>
        <v>89.93</v>
      </c>
      <c r="I540" s="3">
        <f ca="1">IFERROR(__xludf.DUMMYFUNCTION("""COMPUTED_VALUE"""),89.98)</f>
        <v>89.98</v>
      </c>
      <c r="J540" s="3">
        <f ca="1">IFERROR(__xludf.DUMMYFUNCTION("""COMPUTED_VALUE"""),89.52)</f>
        <v>89.52</v>
      </c>
      <c r="K540" s="3">
        <f ca="1">IFERROR(__xludf.DUMMYFUNCTION("""COMPUTED_VALUE"""),89.84)</f>
        <v>89.84</v>
      </c>
      <c r="L540" s="3">
        <f ca="1">IFERROR(__xludf.DUMMYFUNCTION("""COMPUTED_VALUE"""),3126222)</f>
        <v>3126222</v>
      </c>
      <c r="M540" s="4">
        <f ca="1">IFERROR(__xludf.DUMMYFUNCTION("""COMPUTED_VALUE"""),42907.6666666666)</f>
        <v>42907.666666666599</v>
      </c>
      <c r="N540" s="3">
        <f ca="1">IFERROR(__xludf.DUMMYFUNCTION("""COMPUTED_VALUE"""),56)</f>
        <v>56</v>
      </c>
      <c r="O540" s="3">
        <f ca="1">IFERROR(__xludf.DUMMYFUNCTION("""COMPUTED_VALUE"""),56.12)</f>
        <v>56.12</v>
      </c>
      <c r="P540" s="3">
        <f ca="1">IFERROR(__xludf.DUMMYFUNCTION("""COMPUTED_VALUE"""),55.78)</f>
        <v>55.78</v>
      </c>
      <c r="Q540" s="3">
        <f ca="1">IFERROR(__xludf.DUMMYFUNCTION("""COMPUTED_VALUE"""),55.84)</f>
        <v>55.84</v>
      </c>
      <c r="R540" s="3">
        <f ca="1">IFERROR(__xludf.DUMMYFUNCTION("""COMPUTED_VALUE"""),12517762)</f>
        <v>12517762</v>
      </c>
      <c r="S540" s="4">
        <f ca="1">IFERROR(__xludf.DUMMYFUNCTION("""COMPUTED_VALUE"""),42907.6666666666)</f>
        <v>42907.666666666599</v>
      </c>
      <c r="T540" s="3">
        <f ca="1">IFERROR(__xludf.DUMMYFUNCTION("""COMPUTED_VALUE"""),64.84)</f>
        <v>64.84</v>
      </c>
      <c r="U540" s="3">
        <f ca="1">IFERROR(__xludf.DUMMYFUNCTION("""COMPUTED_VALUE"""),65.22)</f>
        <v>65.22</v>
      </c>
      <c r="V540" s="3">
        <f ca="1">IFERROR(__xludf.DUMMYFUNCTION("""COMPUTED_VALUE"""),63.64)</f>
        <v>63.64</v>
      </c>
      <c r="W540" s="3">
        <f ca="1">IFERROR(__xludf.DUMMYFUNCTION("""COMPUTED_VALUE"""),63.99)</f>
        <v>63.99</v>
      </c>
      <c r="X540" s="3">
        <f ca="1">IFERROR(__xludf.DUMMYFUNCTION("""COMPUTED_VALUE"""),27305459)</f>
        <v>27305459</v>
      </c>
      <c r="Y540" s="4">
        <f ca="1">IFERROR(__xludf.DUMMYFUNCTION("""COMPUTED_VALUE"""),42907.6666666666)</f>
        <v>42907.666666666599</v>
      </c>
      <c r="Z540" s="3">
        <f ca="1">IFERROR(__xludf.DUMMYFUNCTION("""COMPUTED_VALUE"""),24.37)</f>
        <v>24.37</v>
      </c>
      <c r="AA540" s="3">
        <f ca="1">IFERROR(__xludf.DUMMYFUNCTION("""COMPUTED_VALUE"""),24.38)</f>
        <v>24.38</v>
      </c>
      <c r="AB540" s="3">
        <f ca="1">IFERROR(__xludf.DUMMYFUNCTION("""COMPUTED_VALUE"""),24.11)</f>
        <v>24.11</v>
      </c>
      <c r="AC540" s="3">
        <f ca="1">IFERROR(__xludf.DUMMYFUNCTION("""COMPUTED_VALUE"""),24.13)</f>
        <v>24.13</v>
      </c>
      <c r="AD540" s="3">
        <f ca="1">IFERROR(__xludf.DUMMYFUNCTION("""COMPUTED_VALUE"""),51938219)</f>
        <v>51938219</v>
      </c>
      <c r="AE540" s="4">
        <f ca="1">IFERROR(__xludf.DUMMYFUNCTION("""COMPUTED_VALUE"""),42907.6666666666)</f>
        <v>42907.666666666599</v>
      </c>
      <c r="AF540" s="3">
        <f ca="1">IFERROR(__xludf.DUMMYFUNCTION("""COMPUTED_VALUE"""),78.92)</f>
        <v>78.92</v>
      </c>
      <c r="AG540" s="3">
        <f ca="1">IFERROR(__xludf.DUMMYFUNCTION("""COMPUTED_VALUE"""),79.8)</f>
        <v>79.8</v>
      </c>
      <c r="AH540" s="3">
        <f ca="1">IFERROR(__xludf.DUMMYFUNCTION("""COMPUTED_VALUE"""),78.87)</f>
        <v>78.87</v>
      </c>
      <c r="AI540" s="3">
        <f ca="1">IFERROR(__xludf.DUMMYFUNCTION("""COMPUTED_VALUE"""),79.76)</f>
        <v>79.760000000000005</v>
      </c>
      <c r="AJ540" s="3">
        <f ca="1">IFERROR(__xludf.DUMMYFUNCTION("""COMPUTED_VALUE"""),9481247)</f>
        <v>9481247</v>
      </c>
      <c r="AK540" s="4">
        <f ca="1">IFERROR(__xludf.DUMMYFUNCTION("""COMPUTED_VALUE"""),42907.6666666666)</f>
        <v>42907.666666666599</v>
      </c>
      <c r="AL540" s="3">
        <f ca="1">IFERROR(__xludf.DUMMYFUNCTION("""COMPUTED_VALUE"""),68.46)</f>
        <v>68.459999999999994</v>
      </c>
      <c r="AM540" s="3">
        <f ca="1">IFERROR(__xludf.DUMMYFUNCTION("""COMPUTED_VALUE"""),68.49)</f>
        <v>68.489999999999995</v>
      </c>
      <c r="AN540" s="3">
        <f ca="1">IFERROR(__xludf.DUMMYFUNCTION("""COMPUTED_VALUE"""),67.82)</f>
        <v>67.819999999999993</v>
      </c>
      <c r="AO540" s="3">
        <f ca="1">IFERROR(__xludf.DUMMYFUNCTION("""COMPUTED_VALUE"""),67.9)</f>
        <v>67.900000000000006</v>
      </c>
      <c r="AP540" s="3">
        <f ca="1">IFERROR(__xludf.DUMMYFUNCTION("""COMPUTED_VALUE"""),7530233)</f>
        <v>7530233</v>
      </c>
      <c r="AQ540" s="4">
        <f ca="1">IFERROR(__xludf.DUMMYFUNCTION("""COMPUTED_VALUE"""),42907.6666666666)</f>
        <v>42907.666666666599</v>
      </c>
      <c r="AR540" s="3">
        <f ca="1">IFERROR(__xludf.DUMMYFUNCTION("""COMPUTED_VALUE"""),54.22)</f>
        <v>54.22</v>
      </c>
      <c r="AS540" s="3">
        <f ca="1">IFERROR(__xludf.DUMMYFUNCTION("""COMPUTED_VALUE"""),54.27)</f>
        <v>54.27</v>
      </c>
      <c r="AT540" s="3">
        <f ca="1">IFERROR(__xludf.DUMMYFUNCTION("""COMPUTED_VALUE"""),53.51)</f>
        <v>53.51</v>
      </c>
      <c r="AU540" s="3">
        <f ca="1">IFERROR(__xludf.DUMMYFUNCTION("""COMPUTED_VALUE"""),53.58)</f>
        <v>53.58</v>
      </c>
      <c r="AV540" s="3">
        <f ca="1">IFERROR(__xludf.DUMMYFUNCTION("""COMPUTED_VALUE"""),4761300)</f>
        <v>4761300</v>
      </c>
      <c r="BC540" s="4">
        <f ca="1">IFERROR(__xludf.DUMMYFUNCTION("""COMPUTED_VALUE"""),42907.6666666666)</f>
        <v>42907.666666666599</v>
      </c>
      <c r="BD540" s="3">
        <f ca="1">IFERROR(__xludf.DUMMYFUNCTION("""COMPUTED_VALUE"""),55.81)</f>
        <v>55.81</v>
      </c>
      <c r="BE540" s="3">
        <f ca="1">IFERROR(__xludf.DUMMYFUNCTION("""COMPUTED_VALUE"""),55.96)</f>
        <v>55.96</v>
      </c>
      <c r="BF540" s="3">
        <f ca="1">IFERROR(__xludf.DUMMYFUNCTION("""COMPUTED_VALUE"""),55.64)</f>
        <v>55.64</v>
      </c>
      <c r="BG540" s="3">
        <f ca="1">IFERROR(__xludf.DUMMYFUNCTION("""COMPUTED_VALUE"""),55.93)</f>
        <v>55.93</v>
      </c>
      <c r="BH540" s="3">
        <f ca="1">IFERROR(__xludf.DUMMYFUNCTION("""COMPUTED_VALUE"""),12293150)</f>
        <v>12293150</v>
      </c>
      <c r="BI540" s="4">
        <f ca="1">IFERROR(__xludf.DUMMYFUNCTION("""COMPUTED_VALUE"""),42907.6666666666)</f>
        <v>42907.666666666599</v>
      </c>
      <c r="BJ540" s="3">
        <f ca="1">IFERROR(__xludf.DUMMYFUNCTION("""COMPUTED_VALUE"""),53.95)</f>
        <v>53.95</v>
      </c>
      <c r="BK540" s="3">
        <f ca="1">IFERROR(__xludf.DUMMYFUNCTION("""COMPUTED_VALUE"""),54.04)</f>
        <v>54.04</v>
      </c>
      <c r="BL540" s="3">
        <f ca="1">IFERROR(__xludf.DUMMYFUNCTION("""COMPUTED_VALUE"""),53.36)</f>
        <v>53.36</v>
      </c>
      <c r="BM540" s="3">
        <f ca="1">IFERROR(__xludf.DUMMYFUNCTION("""COMPUTED_VALUE"""),53.64)</f>
        <v>53.64</v>
      </c>
      <c r="BN540" s="3">
        <f ca="1">IFERROR(__xludf.DUMMYFUNCTION("""COMPUTED_VALUE"""),10076574)</f>
        <v>10076574</v>
      </c>
    </row>
    <row r="541" spans="7:66" ht="13" x14ac:dyDescent="0.15">
      <c r="G541" s="4">
        <f ca="1">IFERROR(__xludf.DUMMYFUNCTION("""COMPUTED_VALUE"""),42908.6666666666)</f>
        <v>42908.666666666599</v>
      </c>
      <c r="H541" s="3">
        <f ca="1">IFERROR(__xludf.DUMMYFUNCTION("""COMPUTED_VALUE"""),89.83)</f>
        <v>89.83</v>
      </c>
      <c r="I541" s="3">
        <f ca="1">IFERROR(__xludf.DUMMYFUNCTION("""COMPUTED_VALUE"""),89.97)</f>
        <v>89.97</v>
      </c>
      <c r="J541" s="3">
        <f ca="1">IFERROR(__xludf.DUMMYFUNCTION("""COMPUTED_VALUE"""),89.61)</f>
        <v>89.61</v>
      </c>
      <c r="K541" s="3">
        <f ca="1">IFERROR(__xludf.DUMMYFUNCTION("""COMPUTED_VALUE"""),89.63)</f>
        <v>89.63</v>
      </c>
      <c r="L541" s="3">
        <f ca="1">IFERROR(__xludf.DUMMYFUNCTION("""COMPUTED_VALUE"""),3658877)</f>
        <v>3658877</v>
      </c>
      <c r="M541" s="4">
        <f ca="1">IFERROR(__xludf.DUMMYFUNCTION("""COMPUTED_VALUE"""),42908.6666666666)</f>
        <v>42908.666666666599</v>
      </c>
      <c r="N541" s="3">
        <f ca="1">IFERROR(__xludf.DUMMYFUNCTION("""COMPUTED_VALUE"""),55.76)</f>
        <v>55.76</v>
      </c>
      <c r="O541" s="3">
        <f ca="1">IFERROR(__xludf.DUMMYFUNCTION("""COMPUTED_VALUE"""),55.79)</f>
        <v>55.79</v>
      </c>
      <c r="P541" s="3">
        <f ca="1">IFERROR(__xludf.DUMMYFUNCTION("""COMPUTED_VALUE"""),55.45)</f>
        <v>55.45</v>
      </c>
      <c r="Q541" s="3">
        <f ca="1">IFERROR(__xludf.DUMMYFUNCTION("""COMPUTED_VALUE"""),55.47)</f>
        <v>55.47</v>
      </c>
      <c r="R541" s="3">
        <f ca="1">IFERROR(__xludf.DUMMYFUNCTION("""COMPUTED_VALUE"""),7227619)</f>
        <v>7227619</v>
      </c>
      <c r="S541" s="4">
        <f ca="1">IFERROR(__xludf.DUMMYFUNCTION("""COMPUTED_VALUE"""),42908.6666666666)</f>
        <v>42908.666666666599</v>
      </c>
      <c r="T541" s="3">
        <f ca="1">IFERROR(__xludf.DUMMYFUNCTION("""COMPUTED_VALUE"""),64.02)</f>
        <v>64.02</v>
      </c>
      <c r="U541" s="3">
        <f ca="1">IFERROR(__xludf.DUMMYFUNCTION("""COMPUTED_VALUE"""),64.5)</f>
        <v>64.5</v>
      </c>
      <c r="V541" s="3">
        <f ca="1">IFERROR(__xludf.DUMMYFUNCTION("""COMPUTED_VALUE"""),63.69)</f>
        <v>63.69</v>
      </c>
      <c r="W541" s="3">
        <f ca="1">IFERROR(__xludf.DUMMYFUNCTION("""COMPUTED_VALUE"""),63.95)</f>
        <v>63.95</v>
      </c>
      <c r="X541" s="3">
        <f ca="1">IFERROR(__xludf.DUMMYFUNCTION("""COMPUTED_VALUE"""),15431612)</f>
        <v>15431612</v>
      </c>
      <c r="Y541" s="4">
        <f ca="1">IFERROR(__xludf.DUMMYFUNCTION("""COMPUTED_VALUE"""),42908.6666666666)</f>
        <v>42908.666666666599</v>
      </c>
      <c r="Z541" s="3">
        <f ca="1">IFERROR(__xludf.DUMMYFUNCTION("""COMPUTED_VALUE"""),24.04)</f>
        <v>24.04</v>
      </c>
      <c r="AA541" s="3">
        <f ca="1">IFERROR(__xludf.DUMMYFUNCTION("""COMPUTED_VALUE"""),24.11)</f>
        <v>24.11</v>
      </c>
      <c r="AB541" s="3">
        <f ca="1">IFERROR(__xludf.DUMMYFUNCTION("""COMPUTED_VALUE"""),23.95)</f>
        <v>23.95</v>
      </c>
      <c r="AC541" s="3">
        <f ca="1">IFERROR(__xludf.DUMMYFUNCTION("""COMPUTED_VALUE"""),23.98)</f>
        <v>23.98</v>
      </c>
      <c r="AD541" s="3">
        <f ca="1">IFERROR(__xludf.DUMMYFUNCTION("""COMPUTED_VALUE"""),58380184)</f>
        <v>58380184</v>
      </c>
      <c r="AE541" s="4">
        <f ca="1">IFERROR(__xludf.DUMMYFUNCTION("""COMPUTED_VALUE"""),42908.6666666666)</f>
        <v>42908.666666666599</v>
      </c>
      <c r="AF541" s="3">
        <f ca="1">IFERROR(__xludf.DUMMYFUNCTION("""COMPUTED_VALUE"""),79.89)</f>
        <v>79.89</v>
      </c>
      <c r="AG541" s="3">
        <f ca="1">IFERROR(__xludf.DUMMYFUNCTION("""COMPUTED_VALUE"""),81.08)</f>
        <v>81.08</v>
      </c>
      <c r="AH541" s="3">
        <f ca="1">IFERROR(__xludf.DUMMYFUNCTION("""COMPUTED_VALUE"""),79.86)</f>
        <v>79.86</v>
      </c>
      <c r="AI541" s="3">
        <f ca="1">IFERROR(__xludf.DUMMYFUNCTION("""COMPUTED_VALUE"""),80.59)</f>
        <v>80.59</v>
      </c>
      <c r="AJ541" s="3">
        <f ca="1">IFERROR(__xludf.DUMMYFUNCTION("""COMPUTED_VALUE"""),12341085)</f>
        <v>12341085</v>
      </c>
      <c r="AK541" s="4">
        <f ca="1">IFERROR(__xludf.DUMMYFUNCTION("""COMPUTED_VALUE"""),42908.6666666666)</f>
        <v>42908.666666666599</v>
      </c>
      <c r="AL541" s="3">
        <f ca="1">IFERROR(__xludf.DUMMYFUNCTION("""COMPUTED_VALUE"""),67.89)</f>
        <v>67.89</v>
      </c>
      <c r="AM541" s="3">
        <f ca="1">IFERROR(__xludf.DUMMYFUNCTION("""COMPUTED_VALUE"""),67.99)</f>
        <v>67.989999999999995</v>
      </c>
      <c r="AN541" s="3">
        <f ca="1">IFERROR(__xludf.DUMMYFUNCTION("""COMPUTED_VALUE"""),67.76)</f>
        <v>67.760000000000005</v>
      </c>
      <c r="AO541" s="3">
        <f ca="1">IFERROR(__xludf.DUMMYFUNCTION("""COMPUTED_VALUE"""),67.76)</f>
        <v>67.760000000000005</v>
      </c>
      <c r="AP541" s="3">
        <f ca="1">IFERROR(__xludf.DUMMYFUNCTION("""COMPUTED_VALUE"""),6921726)</f>
        <v>6921726</v>
      </c>
      <c r="AQ541" s="4">
        <f ca="1">IFERROR(__xludf.DUMMYFUNCTION("""COMPUTED_VALUE"""),42908.6666666666)</f>
        <v>42908.666666666599</v>
      </c>
      <c r="AR541" s="3">
        <f ca="1">IFERROR(__xludf.DUMMYFUNCTION("""COMPUTED_VALUE"""),53.58)</f>
        <v>53.58</v>
      </c>
      <c r="AS541" s="3">
        <f ca="1">IFERROR(__xludf.DUMMYFUNCTION("""COMPUTED_VALUE"""),53.84)</f>
        <v>53.84</v>
      </c>
      <c r="AT541" s="3">
        <f ca="1">IFERROR(__xludf.DUMMYFUNCTION("""COMPUTED_VALUE"""),53.54)</f>
        <v>53.54</v>
      </c>
      <c r="AU541" s="3">
        <f ca="1">IFERROR(__xludf.DUMMYFUNCTION("""COMPUTED_VALUE"""),53.64)</f>
        <v>53.64</v>
      </c>
      <c r="AV541" s="3">
        <f ca="1">IFERROR(__xludf.DUMMYFUNCTION("""COMPUTED_VALUE"""),3352112)</f>
        <v>3352112</v>
      </c>
      <c r="BC541" s="4">
        <f ca="1">IFERROR(__xludf.DUMMYFUNCTION("""COMPUTED_VALUE"""),42908.6666666666)</f>
        <v>42908.666666666599</v>
      </c>
      <c r="BD541" s="3">
        <f ca="1">IFERROR(__xludf.DUMMYFUNCTION("""COMPUTED_VALUE"""),56.1)</f>
        <v>56.1</v>
      </c>
      <c r="BE541" s="3">
        <f ca="1">IFERROR(__xludf.DUMMYFUNCTION("""COMPUTED_VALUE"""),56.14)</f>
        <v>56.14</v>
      </c>
      <c r="BF541" s="3">
        <f ca="1">IFERROR(__xludf.DUMMYFUNCTION("""COMPUTED_VALUE"""),55.77)</f>
        <v>55.77</v>
      </c>
      <c r="BG541" s="3">
        <f ca="1">IFERROR(__xludf.DUMMYFUNCTION("""COMPUTED_VALUE"""),55.95)</f>
        <v>55.95</v>
      </c>
      <c r="BH541" s="3">
        <f ca="1">IFERROR(__xludf.DUMMYFUNCTION("""COMPUTED_VALUE"""),8792805)</f>
        <v>8792805</v>
      </c>
      <c r="BI541" s="4">
        <f ca="1">IFERROR(__xludf.DUMMYFUNCTION("""COMPUTED_VALUE"""),42908.6666666666)</f>
        <v>42908.666666666599</v>
      </c>
      <c r="BJ541" s="3">
        <f ca="1">IFERROR(__xludf.DUMMYFUNCTION("""COMPUTED_VALUE"""),53.56)</f>
        <v>53.56</v>
      </c>
      <c r="BK541" s="3">
        <f ca="1">IFERROR(__xludf.DUMMYFUNCTION("""COMPUTED_VALUE"""),53.76)</f>
        <v>53.76</v>
      </c>
      <c r="BL541" s="3">
        <f ca="1">IFERROR(__xludf.DUMMYFUNCTION("""COMPUTED_VALUE"""),53.35)</f>
        <v>53.35</v>
      </c>
      <c r="BM541" s="3">
        <f ca="1">IFERROR(__xludf.DUMMYFUNCTION("""COMPUTED_VALUE"""),53.39)</f>
        <v>53.39</v>
      </c>
      <c r="BN541" s="3">
        <f ca="1">IFERROR(__xludf.DUMMYFUNCTION("""COMPUTED_VALUE"""),7931165)</f>
        <v>7931165</v>
      </c>
    </row>
    <row r="542" spans="7:66" ht="13" x14ac:dyDescent="0.15">
      <c r="G542" s="4">
        <f ca="1">IFERROR(__xludf.DUMMYFUNCTION("""COMPUTED_VALUE"""),42909.6666666666)</f>
        <v>42909.666666666599</v>
      </c>
      <c r="H542" s="3">
        <f ca="1">IFERROR(__xludf.DUMMYFUNCTION("""COMPUTED_VALUE"""),89.63)</f>
        <v>89.63</v>
      </c>
      <c r="I542" s="3">
        <f ca="1">IFERROR(__xludf.DUMMYFUNCTION("""COMPUTED_VALUE"""),89.63)</f>
        <v>89.63</v>
      </c>
      <c r="J542" s="3">
        <f ca="1">IFERROR(__xludf.DUMMYFUNCTION("""COMPUTED_VALUE"""),89.23)</f>
        <v>89.23</v>
      </c>
      <c r="K542" s="3">
        <f ca="1">IFERROR(__xludf.DUMMYFUNCTION("""COMPUTED_VALUE"""),89.52)</f>
        <v>89.52</v>
      </c>
      <c r="L542" s="3">
        <f ca="1">IFERROR(__xludf.DUMMYFUNCTION("""COMPUTED_VALUE"""),3922640)</f>
        <v>3922640</v>
      </c>
      <c r="M542" s="4">
        <f ca="1">IFERROR(__xludf.DUMMYFUNCTION("""COMPUTED_VALUE"""),42909.6666666666)</f>
        <v>42909.666666666599</v>
      </c>
      <c r="N542" s="3">
        <f ca="1">IFERROR(__xludf.DUMMYFUNCTION("""COMPUTED_VALUE"""),55.46)</f>
        <v>55.46</v>
      </c>
      <c r="O542" s="3">
        <f ca="1">IFERROR(__xludf.DUMMYFUNCTION("""COMPUTED_VALUE"""),55.66)</f>
        <v>55.66</v>
      </c>
      <c r="P542" s="3">
        <f ca="1">IFERROR(__xludf.DUMMYFUNCTION("""COMPUTED_VALUE"""),55.42)</f>
        <v>55.42</v>
      </c>
      <c r="Q542" s="3">
        <f ca="1">IFERROR(__xludf.DUMMYFUNCTION("""COMPUTED_VALUE"""),55.49)</f>
        <v>55.49</v>
      </c>
      <c r="R542" s="3">
        <f ca="1">IFERROR(__xludf.DUMMYFUNCTION("""COMPUTED_VALUE"""),10146430)</f>
        <v>10146430</v>
      </c>
      <c r="S542" s="4">
        <f ca="1">IFERROR(__xludf.DUMMYFUNCTION("""COMPUTED_VALUE"""),42909.6666666666)</f>
        <v>42909.666666666599</v>
      </c>
      <c r="T542" s="3">
        <f ca="1">IFERROR(__xludf.DUMMYFUNCTION("""COMPUTED_VALUE"""),63.96)</f>
        <v>63.96</v>
      </c>
      <c r="U542" s="3">
        <f ca="1">IFERROR(__xludf.DUMMYFUNCTION("""COMPUTED_VALUE"""),64.45)</f>
        <v>64.45</v>
      </c>
      <c r="V542" s="3">
        <f ca="1">IFERROR(__xludf.DUMMYFUNCTION("""COMPUTED_VALUE"""),63.78)</f>
        <v>63.78</v>
      </c>
      <c r="W542" s="3">
        <f ca="1">IFERROR(__xludf.DUMMYFUNCTION("""COMPUTED_VALUE"""),64.38)</f>
        <v>64.38</v>
      </c>
      <c r="X542" s="3">
        <f ca="1">IFERROR(__xludf.DUMMYFUNCTION("""COMPUTED_VALUE"""),14555496)</f>
        <v>14555496</v>
      </c>
      <c r="Y542" s="4">
        <f ca="1">IFERROR(__xludf.DUMMYFUNCTION("""COMPUTED_VALUE"""),42909.6666666666)</f>
        <v>42909.666666666599</v>
      </c>
      <c r="Z542" s="3">
        <f ca="1">IFERROR(__xludf.DUMMYFUNCTION("""COMPUTED_VALUE"""),24.08)</f>
        <v>24.08</v>
      </c>
      <c r="AA542" s="3">
        <f ca="1">IFERROR(__xludf.DUMMYFUNCTION("""COMPUTED_VALUE"""),24.09)</f>
        <v>24.09</v>
      </c>
      <c r="AB542" s="3">
        <f ca="1">IFERROR(__xludf.DUMMYFUNCTION("""COMPUTED_VALUE"""),23.81)</f>
        <v>23.81</v>
      </c>
      <c r="AC542" s="3">
        <f ca="1">IFERROR(__xludf.DUMMYFUNCTION("""COMPUTED_VALUE"""),23.89)</f>
        <v>23.89</v>
      </c>
      <c r="AD542" s="3">
        <f ca="1">IFERROR(__xludf.DUMMYFUNCTION("""COMPUTED_VALUE"""),85352592)</f>
        <v>85352592</v>
      </c>
      <c r="AE542" s="4">
        <f ca="1">IFERROR(__xludf.DUMMYFUNCTION("""COMPUTED_VALUE"""),42909.6666666666)</f>
        <v>42909.666666666599</v>
      </c>
      <c r="AF542" s="3">
        <f ca="1">IFERROR(__xludf.DUMMYFUNCTION("""COMPUTED_VALUE"""),80.49)</f>
        <v>80.489999999999995</v>
      </c>
      <c r="AG542" s="3">
        <f ca="1">IFERROR(__xludf.DUMMYFUNCTION("""COMPUTED_VALUE"""),80.64)</f>
        <v>80.64</v>
      </c>
      <c r="AH542" s="3">
        <f ca="1">IFERROR(__xludf.DUMMYFUNCTION("""COMPUTED_VALUE"""),80.17)</f>
        <v>80.17</v>
      </c>
      <c r="AI542" s="3">
        <f ca="1">IFERROR(__xludf.DUMMYFUNCTION("""COMPUTED_VALUE"""),80.47)</f>
        <v>80.47</v>
      </c>
      <c r="AJ542" s="3">
        <f ca="1">IFERROR(__xludf.DUMMYFUNCTION("""COMPUTED_VALUE"""),8779612)</f>
        <v>8779612</v>
      </c>
      <c r="AK542" s="4">
        <f ca="1">IFERROR(__xludf.DUMMYFUNCTION("""COMPUTED_VALUE"""),42909.6666666666)</f>
        <v>42909.666666666599</v>
      </c>
      <c r="AL542" s="3">
        <f ca="1">IFERROR(__xludf.DUMMYFUNCTION("""COMPUTED_VALUE"""),67.82)</f>
        <v>67.819999999999993</v>
      </c>
      <c r="AM542" s="3">
        <f ca="1">IFERROR(__xludf.DUMMYFUNCTION("""COMPUTED_VALUE"""),68.16)</f>
        <v>68.16</v>
      </c>
      <c r="AN542" s="3">
        <f ca="1">IFERROR(__xludf.DUMMYFUNCTION("""COMPUTED_VALUE"""),67.67)</f>
        <v>67.67</v>
      </c>
      <c r="AO542" s="3">
        <f ca="1">IFERROR(__xludf.DUMMYFUNCTION("""COMPUTED_VALUE"""),68.01)</f>
        <v>68.010000000000005</v>
      </c>
      <c r="AP542" s="3">
        <f ca="1">IFERROR(__xludf.DUMMYFUNCTION("""COMPUTED_VALUE"""),6979349)</f>
        <v>6979349</v>
      </c>
      <c r="AQ542" s="4">
        <f ca="1">IFERROR(__xludf.DUMMYFUNCTION("""COMPUTED_VALUE"""),42909.6666666666)</f>
        <v>42909.666666666599</v>
      </c>
      <c r="AR542" s="3">
        <f ca="1">IFERROR(__xludf.DUMMYFUNCTION("""COMPUTED_VALUE"""),53.77)</f>
        <v>53.77</v>
      </c>
      <c r="AS542" s="3">
        <f ca="1">IFERROR(__xludf.DUMMYFUNCTION("""COMPUTED_VALUE"""),54.01)</f>
        <v>54.01</v>
      </c>
      <c r="AT542" s="3">
        <f ca="1">IFERROR(__xludf.DUMMYFUNCTION("""COMPUTED_VALUE"""),53.56)</f>
        <v>53.56</v>
      </c>
      <c r="AU542" s="3">
        <f ca="1">IFERROR(__xludf.DUMMYFUNCTION("""COMPUTED_VALUE"""),53.85)</f>
        <v>53.85</v>
      </c>
      <c r="AV542" s="3">
        <f ca="1">IFERROR(__xludf.DUMMYFUNCTION("""COMPUTED_VALUE"""),3345351)</f>
        <v>3345351</v>
      </c>
      <c r="BC542" s="4">
        <f ca="1">IFERROR(__xludf.DUMMYFUNCTION("""COMPUTED_VALUE"""),42909.6666666666)</f>
        <v>42909.666666666599</v>
      </c>
      <c r="BD542" s="3">
        <f ca="1">IFERROR(__xludf.DUMMYFUNCTION("""COMPUTED_VALUE"""),55.9)</f>
        <v>55.9</v>
      </c>
      <c r="BE542" s="3">
        <f ca="1">IFERROR(__xludf.DUMMYFUNCTION("""COMPUTED_VALUE"""),56.44)</f>
        <v>56.44</v>
      </c>
      <c r="BF542" s="3">
        <f ca="1">IFERROR(__xludf.DUMMYFUNCTION("""COMPUTED_VALUE"""),55.81)</f>
        <v>55.81</v>
      </c>
      <c r="BG542" s="3">
        <f ca="1">IFERROR(__xludf.DUMMYFUNCTION("""COMPUTED_VALUE"""),56.3)</f>
        <v>56.3</v>
      </c>
      <c r="BH542" s="3">
        <f ca="1">IFERROR(__xludf.DUMMYFUNCTION("""COMPUTED_VALUE"""),16423571)</f>
        <v>16423571</v>
      </c>
      <c r="BI542" s="4">
        <f ca="1">IFERROR(__xludf.DUMMYFUNCTION("""COMPUTED_VALUE"""),42909.6666666666)</f>
        <v>42909.666666666599</v>
      </c>
      <c r="BJ542" s="3">
        <f ca="1">IFERROR(__xludf.DUMMYFUNCTION("""COMPUTED_VALUE"""),53.4)</f>
        <v>53.4</v>
      </c>
      <c r="BK542" s="3">
        <f ca="1">IFERROR(__xludf.DUMMYFUNCTION("""COMPUTED_VALUE"""),53.6)</f>
        <v>53.6</v>
      </c>
      <c r="BL542" s="3">
        <f ca="1">IFERROR(__xludf.DUMMYFUNCTION("""COMPUTED_VALUE"""),53.1)</f>
        <v>53.1</v>
      </c>
      <c r="BM542" s="3">
        <f ca="1">IFERROR(__xludf.DUMMYFUNCTION("""COMPUTED_VALUE"""),53.21)</f>
        <v>53.21</v>
      </c>
      <c r="BN542" s="3">
        <f ca="1">IFERROR(__xludf.DUMMYFUNCTION("""COMPUTED_VALUE"""),8643119)</f>
        <v>8643119</v>
      </c>
    </row>
    <row r="543" spans="7:66" ht="13" x14ac:dyDescent="0.15">
      <c r="G543" s="4">
        <f ca="1">IFERROR(__xludf.DUMMYFUNCTION("""COMPUTED_VALUE"""),42912.6666666666)</f>
        <v>42912.666666666599</v>
      </c>
      <c r="H543" s="3">
        <f ca="1">IFERROR(__xludf.DUMMYFUNCTION("""COMPUTED_VALUE"""),89.96)</f>
        <v>89.96</v>
      </c>
      <c r="I543" s="3">
        <f ca="1">IFERROR(__xludf.DUMMYFUNCTION("""COMPUTED_VALUE"""),90.11)</f>
        <v>90.11</v>
      </c>
      <c r="J543" s="3">
        <f ca="1">IFERROR(__xludf.DUMMYFUNCTION("""COMPUTED_VALUE"""),89.56)</f>
        <v>89.56</v>
      </c>
      <c r="K543" s="3">
        <f ca="1">IFERROR(__xludf.DUMMYFUNCTION("""COMPUTED_VALUE"""),89.84)</f>
        <v>89.84</v>
      </c>
      <c r="L543" s="3">
        <f ca="1">IFERROR(__xludf.DUMMYFUNCTION("""COMPUTED_VALUE"""),4708660)</f>
        <v>4708660</v>
      </c>
      <c r="M543" s="4">
        <f ca="1">IFERROR(__xludf.DUMMYFUNCTION("""COMPUTED_VALUE"""),42912.6666666666)</f>
        <v>42912.666666666599</v>
      </c>
      <c r="N543" s="3">
        <f ca="1">IFERROR(__xludf.DUMMYFUNCTION("""COMPUTED_VALUE"""),55.66)</f>
        <v>55.66</v>
      </c>
      <c r="O543" s="3">
        <f ca="1">IFERROR(__xludf.DUMMYFUNCTION("""COMPUTED_VALUE"""),55.89)</f>
        <v>55.89</v>
      </c>
      <c r="P543" s="3">
        <f ca="1">IFERROR(__xludf.DUMMYFUNCTION("""COMPUTED_VALUE"""),55.61)</f>
        <v>55.61</v>
      </c>
      <c r="Q543" s="3">
        <f ca="1">IFERROR(__xludf.DUMMYFUNCTION("""COMPUTED_VALUE"""),55.71)</f>
        <v>55.71</v>
      </c>
      <c r="R543" s="3">
        <f ca="1">IFERROR(__xludf.DUMMYFUNCTION("""COMPUTED_VALUE"""),6590516)</f>
        <v>6590516</v>
      </c>
      <c r="S543" s="4">
        <f ca="1">IFERROR(__xludf.DUMMYFUNCTION("""COMPUTED_VALUE"""),42912.6666666666)</f>
        <v>42912.666666666599</v>
      </c>
      <c r="T543" s="3">
        <f ca="1">IFERROR(__xludf.DUMMYFUNCTION("""COMPUTED_VALUE"""),64.58)</f>
        <v>64.58</v>
      </c>
      <c r="U543" s="3">
        <f ca="1">IFERROR(__xludf.DUMMYFUNCTION("""COMPUTED_VALUE"""),64.7)</f>
        <v>64.7</v>
      </c>
      <c r="V543" s="3">
        <f ca="1">IFERROR(__xludf.DUMMYFUNCTION("""COMPUTED_VALUE"""),63.98)</f>
        <v>63.98</v>
      </c>
      <c r="W543" s="3">
        <f ca="1">IFERROR(__xludf.DUMMYFUNCTION("""COMPUTED_VALUE"""),64.24)</f>
        <v>64.239999999999995</v>
      </c>
      <c r="X543" s="3">
        <f ca="1">IFERROR(__xludf.DUMMYFUNCTION("""COMPUTED_VALUE"""),13603363)</f>
        <v>13603363</v>
      </c>
      <c r="Y543" s="4">
        <f ca="1">IFERROR(__xludf.DUMMYFUNCTION("""COMPUTED_VALUE"""),42912.6666666666)</f>
        <v>42912.666666666599</v>
      </c>
      <c r="Z543" s="3">
        <f ca="1">IFERROR(__xludf.DUMMYFUNCTION("""COMPUTED_VALUE"""),23.94)</f>
        <v>23.94</v>
      </c>
      <c r="AA543" s="3">
        <f ca="1">IFERROR(__xludf.DUMMYFUNCTION("""COMPUTED_VALUE"""),24.12)</f>
        <v>24.12</v>
      </c>
      <c r="AB543" s="3">
        <f ca="1">IFERROR(__xludf.DUMMYFUNCTION("""COMPUTED_VALUE"""),23.86)</f>
        <v>23.86</v>
      </c>
      <c r="AC543" s="3">
        <f ca="1">IFERROR(__xludf.DUMMYFUNCTION("""COMPUTED_VALUE"""),24.02)</f>
        <v>24.02</v>
      </c>
      <c r="AD543" s="3">
        <f ca="1">IFERROR(__xludf.DUMMYFUNCTION("""COMPUTED_VALUE"""),60302320)</f>
        <v>60302320</v>
      </c>
      <c r="AE543" s="4">
        <f ca="1">IFERROR(__xludf.DUMMYFUNCTION("""COMPUTED_VALUE"""),42912.6666666666)</f>
        <v>42912.666666666599</v>
      </c>
      <c r="AF543" s="3">
        <f ca="1">IFERROR(__xludf.DUMMYFUNCTION("""COMPUTED_VALUE"""),80.7)</f>
        <v>80.7</v>
      </c>
      <c r="AG543" s="3">
        <f ca="1">IFERROR(__xludf.DUMMYFUNCTION("""COMPUTED_VALUE"""),80.7)</f>
        <v>80.7</v>
      </c>
      <c r="AH543" s="3">
        <f ca="1">IFERROR(__xludf.DUMMYFUNCTION("""COMPUTED_VALUE"""),80.27)</f>
        <v>80.27</v>
      </c>
      <c r="AI543" s="3">
        <f ca="1">IFERROR(__xludf.DUMMYFUNCTION("""COMPUTED_VALUE"""),80.39)</f>
        <v>80.39</v>
      </c>
      <c r="AJ543" s="3">
        <f ca="1">IFERROR(__xludf.DUMMYFUNCTION("""COMPUTED_VALUE"""),7434432)</f>
        <v>7434432</v>
      </c>
      <c r="AK543" s="4">
        <f ca="1">IFERROR(__xludf.DUMMYFUNCTION("""COMPUTED_VALUE"""),42912.6666666666)</f>
        <v>42912.666666666599</v>
      </c>
      <c r="AL543" s="3">
        <f ca="1">IFERROR(__xludf.DUMMYFUNCTION("""COMPUTED_VALUE"""),68.21)</f>
        <v>68.209999999999994</v>
      </c>
      <c r="AM543" s="3">
        <f ca="1">IFERROR(__xludf.DUMMYFUNCTION("""COMPUTED_VALUE"""),68.52)</f>
        <v>68.52</v>
      </c>
      <c r="AN543" s="3">
        <f ca="1">IFERROR(__xludf.DUMMYFUNCTION("""COMPUTED_VALUE"""),67.98)</f>
        <v>67.98</v>
      </c>
      <c r="AO543" s="3">
        <f ca="1">IFERROR(__xludf.DUMMYFUNCTION("""COMPUTED_VALUE"""),68.03)</f>
        <v>68.03</v>
      </c>
      <c r="AP543" s="3">
        <f ca="1">IFERROR(__xludf.DUMMYFUNCTION("""COMPUTED_VALUE"""),7161714)</f>
        <v>7161714</v>
      </c>
      <c r="AQ543" s="4">
        <f ca="1">IFERROR(__xludf.DUMMYFUNCTION("""COMPUTED_VALUE"""),42912.6666666666)</f>
        <v>42912.666666666599</v>
      </c>
      <c r="AR543" s="3">
        <f ca="1">IFERROR(__xludf.DUMMYFUNCTION("""COMPUTED_VALUE"""),54.03)</f>
        <v>54.03</v>
      </c>
      <c r="AS543" s="3">
        <f ca="1">IFERROR(__xludf.DUMMYFUNCTION("""COMPUTED_VALUE"""),54.1)</f>
        <v>54.1</v>
      </c>
      <c r="AT543" s="3">
        <f ca="1">IFERROR(__xludf.DUMMYFUNCTION("""COMPUTED_VALUE"""),53.79)</f>
        <v>53.79</v>
      </c>
      <c r="AU543" s="3">
        <f ca="1">IFERROR(__xludf.DUMMYFUNCTION("""COMPUTED_VALUE"""),54.01)</f>
        <v>54.01</v>
      </c>
      <c r="AV543" s="3">
        <f ca="1">IFERROR(__xludf.DUMMYFUNCTION("""COMPUTED_VALUE"""),4054062)</f>
        <v>4054062</v>
      </c>
      <c r="BC543" s="4">
        <f ca="1">IFERROR(__xludf.DUMMYFUNCTION("""COMPUTED_VALUE"""),42912.6666666666)</f>
        <v>42912.666666666599</v>
      </c>
      <c r="BD543" s="3">
        <f ca="1">IFERROR(__xludf.DUMMYFUNCTION("""COMPUTED_VALUE"""),56.6)</f>
        <v>56.6</v>
      </c>
      <c r="BE543" s="3">
        <f ca="1">IFERROR(__xludf.DUMMYFUNCTION("""COMPUTED_VALUE"""),56.72)</f>
        <v>56.72</v>
      </c>
      <c r="BF543" s="3">
        <f ca="1">IFERROR(__xludf.DUMMYFUNCTION("""COMPUTED_VALUE"""),55.94)</f>
        <v>55.94</v>
      </c>
      <c r="BG543" s="3">
        <f ca="1">IFERROR(__xludf.DUMMYFUNCTION("""COMPUTED_VALUE"""),56)</f>
        <v>56</v>
      </c>
      <c r="BH543" s="3">
        <f ca="1">IFERROR(__xludf.DUMMYFUNCTION("""COMPUTED_VALUE"""),9727935)</f>
        <v>9727935</v>
      </c>
      <c r="BI543" s="4">
        <f ca="1">IFERROR(__xludf.DUMMYFUNCTION("""COMPUTED_VALUE"""),42912.6666666666)</f>
        <v>42912.666666666599</v>
      </c>
      <c r="BJ543" s="3">
        <f ca="1">IFERROR(__xludf.DUMMYFUNCTION("""COMPUTED_VALUE"""),53.33)</f>
        <v>53.33</v>
      </c>
      <c r="BK543" s="3">
        <f ca="1">IFERROR(__xludf.DUMMYFUNCTION("""COMPUTED_VALUE"""),53.87)</f>
        <v>53.87</v>
      </c>
      <c r="BL543" s="3">
        <f ca="1">IFERROR(__xludf.DUMMYFUNCTION("""COMPUTED_VALUE"""),53.14)</f>
        <v>53.14</v>
      </c>
      <c r="BM543" s="3">
        <f ca="1">IFERROR(__xludf.DUMMYFUNCTION("""COMPUTED_VALUE"""),53.57)</f>
        <v>53.57</v>
      </c>
      <c r="BN543" s="3">
        <f ca="1">IFERROR(__xludf.DUMMYFUNCTION("""COMPUTED_VALUE"""),10355006)</f>
        <v>10355006</v>
      </c>
    </row>
    <row r="544" spans="7:66" ht="13" x14ac:dyDescent="0.15">
      <c r="G544" s="4">
        <f ca="1">IFERROR(__xludf.DUMMYFUNCTION("""COMPUTED_VALUE"""),42913.6666666666)</f>
        <v>42913.666666666599</v>
      </c>
      <c r="H544" s="3">
        <f ca="1">IFERROR(__xludf.DUMMYFUNCTION("""COMPUTED_VALUE"""),89.65)</f>
        <v>89.65</v>
      </c>
      <c r="I544" s="3">
        <f ca="1">IFERROR(__xludf.DUMMYFUNCTION("""COMPUTED_VALUE"""),89.99)</f>
        <v>89.99</v>
      </c>
      <c r="J544" s="3">
        <f ca="1">IFERROR(__xludf.DUMMYFUNCTION("""COMPUTED_VALUE"""),89.13)</f>
        <v>89.13</v>
      </c>
      <c r="K544" s="3">
        <f ca="1">IFERROR(__xludf.DUMMYFUNCTION("""COMPUTED_VALUE"""),89.13)</f>
        <v>89.13</v>
      </c>
      <c r="L544" s="3">
        <f ca="1">IFERROR(__xludf.DUMMYFUNCTION("""COMPUTED_VALUE"""),4014898)</f>
        <v>4014898</v>
      </c>
      <c r="M544" s="4">
        <f ca="1">IFERROR(__xludf.DUMMYFUNCTION("""COMPUTED_VALUE"""),42913.6666666666)</f>
        <v>42913.666666666599</v>
      </c>
      <c r="N544" s="3">
        <f ca="1">IFERROR(__xludf.DUMMYFUNCTION("""COMPUTED_VALUE"""),55.6)</f>
        <v>55.6</v>
      </c>
      <c r="O544" s="3">
        <f ca="1">IFERROR(__xludf.DUMMYFUNCTION("""COMPUTED_VALUE"""),55.76)</f>
        <v>55.76</v>
      </c>
      <c r="P544" s="3">
        <f ca="1">IFERROR(__xludf.DUMMYFUNCTION("""COMPUTED_VALUE"""),55.22)</f>
        <v>55.22</v>
      </c>
      <c r="Q544" s="3">
        <f ca="1">IFERROR(__xludf.DUMMYFUNCTION("""COMPUTED_VALUE"""),55.23)</f>
        <v>55.23</v>
      </c>
      <c r="R544" s="3">
        <f ca="1">IFERROR(__xludf.DUMMYFUNCTION("""COMPUTED_VALUE"""),10585478)</f>
        <v>10585478</v>
      </c>
      <c r="S544" s="4">
        <f ca="1">IFERROR(__xludf.DUMMYFUNCTION("""COMPUTED_VALUE"""),42913.6666666666)</f>
        <v>42913.666666666599</v>
      </c>
      <c r="T544" s="3">
        <f ca="1">IFERROR(__xludf.DUMMYFUNCTION("""COMPUTED_VALUE"""),64.47)</f>
        <v>64.47</v>
      </c>
      <c r="U544" s="3">
        <f ca="1">IFERROR(__xludf.DUMMYFUNCTION("""COMPUTED_VALUE"""),64.76)</f>
        <v>64.760000000000005</v>
      </c>
      <c r="V544" s="3">
        <f ca="1">IFERROR(__xludf.DUMMYFUNCTION("""COMPUTED_VALUE"""),64.13)</f>
        <v>64.13</v>
      </c>
      <c r="W544" s="3">
        <f ca="1">IFERROR(__xludf.DUMMYFUNCTION("""COMPUTED_VALUE"""),64.14)</f>
        <v>64.14</v>
      </c>
      <c r="X544" s="3">
        <f ca="1">IFERROR(__xludf.DUMMYFUNCTION("""COMPUTED_VALUE"""),14227469)</f>
        <v>14227469</v>
      </c>
      <c r="Y544" s="4">
        <f ca="1">IFERROR(__xludf.DUMMYFUNCTION("""COMPUTED_VALUE"""),42913.6666666666)</f>
        <v>42913.666666666599</v>
      </c>
      <c r="Z544" s="3">
        <f ca="1">IFERROR(__xludf.DUMMYFUNCTION("""COMPUTED_VALUE"""),24.11)</f>
        <v>24.11</v>
      </c>
      <c r="AA544" s="3">
        <f ca="1">IFERROR(__xludf.DUMMYFUNCTION("""COMPUTED_VALUE"""),24.32)</f>
        <v>24.32</v>
      </c>
      <c r="AB544" s="3">
        <f ca="1">IFERROR(__xludf.DUMMYFUNCTION("""COMPUTED_VALUE"""),24.05)</f>
        <v>24.05</v>
      </c>
      <c r="AC544" s="3">
        <f ca="1">IFERROR(__xludf.DUMMYFUNCTION("""COMPUTED_VALUE"""),24.14)</f>
        <v>24.14</v>
      </c>
      <c r="AD544" s="3">
        <f ca="1">IFERROR(__xludf.DUMMYFUNCTION("""COMPUTED_VALUE"""),75943411)</f>
        <v>75943411</v>
      </c>
      <c r="AE544" s="4">
        <f ca="1">IFERROR(__xludf.DUMMYFUNCTION("""COMPUTED_VALUE"""),42913.6666666666)</f>
        <v>42913.666666666599</v>
      </c>
      <c r="AF544" s="3">
        <f ca="1">IFERROR(__xludf.DUMMYFUNCTION("""COMPUTED_VALUE"""),80.39)</f>
        <v>80.39</v>
      </c>
      <c r="AG544" s="3">
        <f ca="1">IFERROR(__xludf.DUMMYFUNCTION("""COMPUTED_VALUE"""),80.49)</f>
        <v>80.489999999999995</v>
      </c>
      <c r="AH544" s="3">
        <f ca="1">IFERROR(__xludf.DUMMYFUNCTION("""COMPUTED_VALUE"""),79.64)</f>
        <v>79.64</v>
      </c>
      <c r="AI544" s="3">
        <f ca="1">IFERROR(__xludf.DUMMYFUNCTION("""COMPUTED_VALUE"""),79.66)</f>
        <v>79.66</v>
      </c>
      <c r="AJ544" s="3">
        <f ca="1">IFERROR(__xludf.DUMMYFUNCTION("""COMPUTED_VALUE"""),8428044)</f>
        <v>8428044</v>
      </c>
      <c r="AK544" s="4">
        <f ca="1">IFERROR(__xludf.DUMMYFUNCTION("""COMPUTED_VALUE"""),42913.6666666666)</f>
        <v>42913.666666666599</v>
      </c>
      <c r="AL544" s="3">
        <f ca="1">IFERROR(__xludf.DUMMYFUNCTION("""COMPUTED_VALUE"""),67.95)</f>
        <v>67.95</v>
      </c>
      <c r="AM544" s="3">
        <f ca="1">IFERROR(__xludf.DUMMYFUNCTION("""COMPUTED_VALUE"""),68.02)</f>
        <v>68.02</v>
      </c>
      <c r="AN544" s="3">
        <f ca="1">IFERROR(__xludf.DUMMYFUNCTION("""COMPUTED_VALUE"""),67.5)</f>
        <v>67.5</v>
      </c>
      <c r="AO544" s="3">
        <f ca="1">IFERROR(__xludf.DUMMYFUNCTION("""COMPUTED_VALUE"""),67.52)</f>
        <v>67.52</v>
      </c>
      <c r="AP544" s="3">
        <f ca="1">IFERROR(__xludf.DUMMYFUNCTION("""COMPUTED_VALUE"""),7417217)</f>
        <v>7417217</v>
      </c>
      <c r="AQ544" s="4">
        <f ca="1">IFERROR(__xludf.DUMMYFUNCTION("""COMPUTED_VALUE"""),42913.6666666666)</f>
        <v>42913.666666666599</v>
      </c>
      <c r="AR544" s="3">
        <f ca="1">IFERROR(__xludf.DUMMYFUNCTION("""COMPUTED_VALUE"""),54.12)</f>
        <v>54.12</v>
      </c>
      <c r="AS544" s="3">
        <f ca="1">IFERROR(__xludf.DUMMYFUNCTION("""COMPUTED_VALUE"""),54.19)</f>
        <v>54.19</v>
      </c>
      <c r="AT544" s="3">
        <f ca="1">IFERROR(__xludf.DUMMYFUNCTION("""COMPUTED_VALUE"""),53.66)</f>
        <v>53.66</v>
      </c>
      <c r="AU544" s="3">
        <f ca="1">IFERROR(__xludf.DUMMYFUNCTION("""COMPUTED_VALUE"""),53.68)</f>
        <v>53.68</v>
      </c>
      <c r="AV544" s="3">
        <f ca="1">IFERROR(__xludf.DUMMYFUNCTION("""COMPUTED_VALUE"""),3613190)</f>
        <v>3613190</v>
      </c>
      <c r="BC544" s="4">
        <f ca="1">IFERROR(__xludf.DUMMYFUNCTION("""COMPUTED_VALUE"""),42913.6666666666)</f>
        <v>42913.666666666599</v>
      </c>
      <c r="BD544" s="3">
        <f ca="1">IFERROR(__xludf.DUMMYFUNCTION("""COMPUTED_VALUE"""),55.7)</f>
        <v>55.7</v>
      </c>
      <c r="BE544" s="3">
        <f ca="1">IFERROR(__xludf.DUMMYFUNCTION("""COMPUTED_VALUE"""),55.8)</f>
        <v>55.8</v>
      </c>
      <c r="BF544" s="3">
        <f ca="1">IFERROR(__xludf.DUMMYFUNCTION("""COMPUTED_VALUE"""),55.08)</f>
        <v>55.08</v>
      </c>
      <c r="BG544" s="3">
        <f ca="1">IFERROR(__xludf.DUMMYFUNCTION("""COMPUTED_VALUE"""),55.08)</f>
        <v>55.08</v>
      </c>
      <c r="BH544" s="3">
        <f ca="1">IFERROR(__xludf.DUMMYFUNCTION("""COMPUTED_VALUE"""),12895539)</f>
        <v>12895539</v>
      </c>
      <c r="BI544" s="4">
        <f ca="1">IFERROR(__xludf.DUMMYFUNCTION("""COMPUTED_VALUE"""),42913.6666666666)</f>
        <v>42913.666666666599</v>
      </c>
      <c r="BJ544" s="3">
        <f ca="1">IFERROR(__xludf.DUMMYFUNCTION("""COMPUTED_VALUE"""),53.33)</f>
        <v>53.33</v>
      </c>
      <c r="BK544" s="3">
        <f ca="1">IFERROR(__xludf.DUMMYFUNCTION("""COMPUTED_VALUE"""),53.48)</f>
        <v>53.48</v>
      </c>
      <c r="BL544" s="3">
        <f ca="1">IFERROR(__xludf.DUMMYFUNCTION("""COMPUTED_VALUE"""),52.82)</f>
        <v>52.82</v>
      </c>
      <c r="BM544" s="3">
        <f ca="1">IFERROR(__xludf.DUMMYFUNCTION("""COMPUTED_VALUE"""),52.97)</f>
        <v>52.97</v>
      </c>
      <c r="BN544" s="3">
        <f ca="1">IFERROR(__xludf.DUMMYFUNCTION("""COMPUTED_VALUE"""),10478793)</f>
        <v>10478793</v>
      </c>
    </row>
    <row r="545" spans="7:66" ht="13" x14ac:dyDescent="0.15">
      <c r="G545" s="4">
        <f ca="1">IFERROR(__xludf.DUMMYFUNCTION("""COMPUTED_VALUE"""),42914.6666666666)</f>
        <v>42914.666666666599</v>
      </c>
      <c r="H545" s="3">
        <f ca="1">IFERROR(__xludf.DUMMYFUNCTION("""COMPUTED_VALUE"""),89.39)</f>
        <v>89.39</v>
      </c>
      <c r="I545" s="3">
        <f ca="1">IFERROR(__xludf.DUMMYFUNCTION("""COMPUTED_VALUE"""),90.13)</f>
        <v>90.13</v>
      </c>
      <c r="J545" s="3">
        <f ca="1">IFERROR(__xludf.DUMMYFUNCTION("""COMPUTED_VALUE"""),89.33)</f>
        <v>89.33</v>
      </c>
      <c r="K545" s="3">
        <f ca="1">IFERROR(__xludf.DUMMYFUNCTION("""COMPUTED_VALUE"""),90.03)</f>
        <v>90.03</v>
      </c>
      <c r="L545" s="3">
        <f ca="1">IFERROR(__xludf.DUMMYFUNCTION("""COMPUTED_VALUE"""),5030799)</f>
        <v>5030799</v>
      </c>
      <c r="M545" s="4">
        <f ca="1">IFERROR(__xludf.DUMMYFUNCTION("""COMPUTED_VALUE"""),42914.6666666666)</f>
        <v>42914.666666666599</v>
      </c>
      <c r="N545" s="3">
        <f ca="1">IFERROR(__xludf.DUMMYFUNCTION("""COMPUTED_VALUE"""),55.56)</f>
        <v>55.56</v>
      </c>
      <c r="O545" s="3">
        <f ca="1">IFERROR(__xludf.DUMMYFUNCTION("""COMPUTED_VALUE"""),55.67)</f>
        <v>55.67</v>
      </c>
      <c r="P545" s="3">
        <f ca="1">IFERROR(__xludf.DUMMYFUNCTION("""COMPUTED_VALUE"""),55.41)</f>
        <v>55.41</v>
      </c>
      <c r="Q545" s="3">
        <f ca="1">IFERROR(__xludf.DUMMYFUNCTION("""COMPUTED_VALUE"""),55.43)</f>
        <v>55.43</v>
      </c>
      <c r="R545" s="3">
        <f ca="1">IFERROR(__xludf.DUMMYFUNCTION("""COMPUTED_VALUE"""),10734272)</f>
        <v>10734272</v>
      </c>
      <c r="S545" s="4">
        <f ca="1">IFERROR(__xludf.DUMMYFUNCTION("""COMPUTED_VALUE"""),42914.6666666666)</f>
        <v>42914.666666666599</v>
      </c>
      <c r="T545" s="3">
        <f ca="1">IFERROR(__xludf.DUMMYFUNCTION("""COMPUTED_VALUE"""),64.22)</f>
        <v>64.22</v>
      </c>
      <c r="U545" s="3">
        <f ca="1">IFERROR(__xludf.DUMMYFUNCTION("""COMPUTED_VALUE"""),64.88)</f>
        <v>64.88</v>
      </c>
      <c r="V545" s="3">
        <f ca="1">IFERROR(__xludf.DUMMYFUNCTION("""COMPUTED_VALUE"""),64.18)</f>
        <v>64.180000000000007</v>
      </c>
      <c r="W545" s="3">
        <f ca="1">IFERROR(__xludf.DUMMYFUNCTION("""COMPUTED_VALUE"""),64.49)</f>
        <v>64.489999999999995</v>
      </c>
      <c r="X545" s="3">
        <f ca="1">IFERROR(__xludf.DUMMYFUNCTION("""COMPUTED_VALUE"""),16859906)</f>
        <v>16859906</v>
      </c>
      <c r="Y545" s="4">
        <f ca="1">IFERROR(__xludf.DUMMYFUNCTION("""COMPUTED_VALUE"""),42914.6666666666)</f>
        <v>42914.666666666599</v>
      </c>
      <c r="Z545" s="3">
        <f ca="1">IFERROR(__xludf.DUMMYFUNCTION("""COMPUTED_VALUE"""),24.3)</f>
        <v>24.3</v>
      </c>
      <c r="AA545" s="3">
        <f ca="1">IFERROR(__xludf.DUMMYFUNCTION("""COMPUTED_VALUE"""),24.56)</f>
        <v>24.56</v>
      </c>
      <c r="AB545" s="3">
        <f ca="1">IFERROR(__xludf.DUMMYFUNCTION("""COMPUTED_VALUE"""),24.28)</f>
        <v>24.28</v>
      </c>
      <c r="AC545" s="3">
        <f ca="1">IFERROR(__xludf.DUMMYFUNCTION("""COMPUTED_VALUE"""),24.52)</f>
        <v>24.52</v>
      </c>
      <c r="AD545" s="3">
        <f ca="1">IFERROR(__xludf.DUMMYFUNCTION("""COMPUTED_VALUE"""),90097595)</f>
        <v>90097595</v>
      </c>
      <c r="AE545" s="4">
        <f ca="1">IFERROR(__xludf.DUMMYFUNCTION("""COMPUTED_VALUE"""),42914.6666666666)</f>
        <v>42914.666666666599</v>
      </c>
      <c r="AF545" s="3">
        <f ca="1">IFERROR(__xludf.DUMMYFUNCTION("""COMPUTED_VALUE"""),79.92)</f>
        <v>79.92</v>
      </c>
      <c r="AG545" s="3">
        <f ca="1">IFERROR(__xludf.DUMMYFUNCTION("""COMPUTED_VALUE"""),80.28)</f>
        <v>80.28</v>
      </c>
      <c r="AH545" s="3">
        <f ca="1">IFERROR(__xludf.DUMMYFUNCTION("""COMPUTED_VALUE"""),79.88)</f>
        <v>79.88</v>
      </c>
      <c r="AI545" s="3">
        <f ca="1">IFERROR(__xludf.DUMMYFUNCTION("""COMPUTED_VALUE"""),80.08)</f>
        <v>80.08</v>
      </c>
      <c r="AJ545" s="3">
        <f ca="1">IFERROR(__xludf.DUMMYFUNCTION("""COMPUTED_VALUE"""),8674235)</f>
        <v>8674235</v>
      </c>
      <c r="AK545" s="4">
        <f ca="1">IFERROR(__xludf.DUMMYFUNCTION("""COMPUTED_VALUE"""),42914.6666666666)</f>
        <v>42914.666666666599</v>
      </c>
      <c r="AL545" s="3">
        <f ca="1">IFERROR(__xludf.DUMMYFUNCTION("""COMPUTED_VALUE"""),67.84)</f>
        <v>67.84</v>
      </c>
      <c r="AM545" s="3">
        <f ca="1">IFERROR(__xludf.DUMMYFUNCTION("""COMPUTED_VALUE"""),68.29)</f>
        <v>68.290000000000006</v>
      </c>
      <c r="AN545" s="3">
        <f ca="1">IFERROR(__xludf.DUMMYFUNCTION("""COMPUTED_VALUE"""),67.82)</f>
        <v>67.819999999999993</v>
      </c>
      <c r="AO545" s="3">
        <f ca="1">IFERROR(__xludf.DUMMYFUNCTION("""COMPUTED_VALUE"""),68.13)</f>
        <v>68.13</v>
      </c>
      <c r="AP545" s="3">
        <f ca="1">IFERROR(__xludf.DUMMYFUNCTION("""COMPUTED_VALUE"""),7314279)</f>
        <v>7314279</v>
      </c>
      <c r="AQ545" s="4">
        <f ca="1">IFERROR(__xludf.DUMMYFUNCTION("""COMPUTED_VALUE"""),42914.6666666666)</f>
        <v>42914.666666666599</v>
      </c>
      <c r="AR545" s="3">
        <f ca="1">IFERROR(__xludf.DUMMYFUNCTION("""COMPUTED_VALUE"""),54.07)</f>
        <v>54.07</v>
      </c>
      <c r="AS545" s="3">
        <f ca="1">IFERROR(__xludf.DUMMYFUNCTION("""COMPUTED_VALUE"""),54.3)</f>
        <v>54.3</v>
      </c>
      <c r="AT545" s="3">
        <f ca="1">IFERROR(__xludf.DUMMYFUNCTION("""COMPUTED_VALUE"""),53.97)</f>
        <v>53.97</v>
      </c>
      <c r="AU545" s="3">
        <f ca="1">IFERROR(__xludf.DUMMYFUNCTION("""COMPUTED_VALUE"""),54.17)</f>
        <v>54.17</v>
      </c>
      <c r="AV545" s="3">
        <f ca="1">IFERROR(__xludf.DUMMYFUNCTION("""COMPUTED_VALUE"""),3295991)</f>
        <v>3295991</v>
      </c>
      <c r="BC545" s="4">
        <f ca="1">IFERROR(__xludf.DUMMYFUNCTION("""COMPUTED_VALUE"""),42914.6666666666)</f>
        <v>42914.666666666599</v>
      </c>
      <c r="BD545" s="3">
        <f ca="1">IFERROR(__xludf.DUMMYFUNCTION("""COMPUTED_VALUE"""),55.29)</f>
        <v>55.29</v>
      </c>
      <c r="BE545" s="3">
        <f ca="1">IFERROR(__xludf.DUMMYFUNCTION("""COMPUTED_VALUE"""),55.82)</f>
        <v>55.82</v>
      </c>
      <c r="BF545" s="3">
        <f ca="1">IFERROR(__xludf.DUMMYFUNCTION("""COMPUTED_VALUE"""),54.92)</f>
        <v>54.92</v>
      </c>
      <c r="BG545" s="3">
        <f ca="1">IFERROR(__xludf.DUMMYFUNCTION("""COMPUTED_VALUE"""),55.77)</f>
        <v>55.77</v>
      </c>
      <c r="BH545" s="3">
        <f ca="1">IFERROR(__xludf.DUMMYFUNCTION("""COMPUTED_VALUE"""),12975962)</f>
        <v>12975962</v>
      </c>
      <c r="BI545" s="4">
        <f ca="1">IFERROR(__xludf.DUMMYFUNCTION("""COMPUTED_VALUE"""),42914.6666666666)</f>
        <v>42914.666666666599</v>
      </c>
      <c r="BJ545" s="3">
        <f ca="1">IFERROR(__xludf.DUMMYFUNCTION("""COMPUTED_VALUE"""),53.13)</f>
        <v>53.13</v>
      </c>
      <c r="BK545" s="3">
        <f ca="1">IFERROR(__xludf.DUMMYFUNCTION("""COMPUTED_VALUE"""),53.25)</f>
        <v>53.25</v>
      </c>
      <c r="BL545" s="3">
        <f ca="1">IFERROR(__xludf.DUMMYFUNCTION("""COMPUTED_VALUE"""),52.41)</f>
        <v>52.41</v>
      </c>
      <c r="BM545" s="3">
        <f ca="1">IFERROR(__xludf.DUMMYFUNCTION("""COMPUTED_VALUE"""),52.46)</f>
        <v>52.46</v>
      </c>
      <c r="BN545" s="3">
        <f ca="1">IFERROR(__xludf.DUMMYFUNCTION("""COMPUTED_VALUE"""),9288817)</f>
        <v>9288817</v>
      </c>
    </row>
    <row r="546" spans="7:66" ht="13" x14ac:dyDescent="0.15">
      <c r="G546" s="4">
        <f ca="1">IFERROR(__xludf.DUMMYFUNCTION("""COMPUTED_VALUE"""),42915.6666666666)</f>
        <v>42915.666666666599</v>
      </c>
      <c r="H546" s="3">
        <f ca="1">IFERROR(__xludf.DUMMYFUNCTION("""COMPUTED_VALUE"""),89.86)</f>
        <v>89.86</v>
      </c>
      <c r="I546" s="3">
        <f ca="1">IFERROR(__xludf.DUMMYFUNCTION("""COMPUTED_VALUE"""),89.95)</f>
        <v>89.95</v>
      </c>
      <c r="J546" s="3">
        <f ca="1">IFERROR(__xludf.DUMMYFUNCTION("""COMPUTED_VALUE"""),88.46)</f>
        <v>88.46</v>
      </c>
      <c r="K546" s="3">
        <f ca="1">IFERROR(__xludf.DUMMYFUNCTION("""COMPUTED_VALUE"""),89.16)</f>
        <v>89.16</v>
      </c>
      <c r="L546" s="3">
        <f ca="1">IFERROR(__xludf.DUMMYFUNCTION("""COMPUTED_VALUE"""),4901666)</f>
        <v>4901666</v>
      </c>
      <c r="M546" s="4">
        <f ca="1">IFERROR(__xludf.DUMMYFUNCTION("""COMPUTED_VALUE"""),42915.6666666666)</f>
        <v>42915.666666666599</v>
      </c>
      <c r="N546" s="3">
        <f ca="1">IFERROR(__xludf.DUMMYFUNCTION("""COMPUTED_VALUE"""),55.36)</f>
        <v>55.36</v>
      </c>
      <c r="O546" s="3">
        <f ca="1">IFERROR(__xludf.DUMMYFUNCTION("""COMPUTED_VALUE"""),55.51)</f>
        <v>55.51</v>
      </c>
      <c r="P546" s="3">
        <f ca="1">IFERROR(__xludf.DUMMYFUNCTION("""COMPUTED_VALUE"""),54.64)</f>
        <v>54.64</v>
      </c>
      <c r="Q546" s="3">
        <f ca="1">IFERROR(__xludf.DUMMYFUNCTION("""COMPUTED_VALUE"""),54.84)</f>
        <v>54.84</v>
      </c>
      <c r="R546" s="3">
        <f ca="1">IFERROR(__xludf.DUMMYFUNCTION("""COMPUTED_VALUE"""),19058635)</f>
        <v>19058635</v>
      </c>
      <c r="S546" s="4">
        <f ca="1">IFERROR(__xludf.DUMMYFUNCTION("""COMPUTED_VALUE"""),42915.6666666666)</f>
        <v>42915.666666666599</v>
      </c>
      <c r="T546" s="3">
        <f ca="1">IFERROR(__xludf.DUMMYFUNCTION("""COMPUTED_VALUE"""),64.68)</f>
        <v>64.680000000000007</v>
      </c>
      <c r="U546" s="3">
        <f ca="1">IFERROR(__xludf.DUMMYFUNCTION("""COMPUTED_VALUE"""),65.34)</f>
        <v>65.34</v>
      </c>
      <c r="V546" s="3">
        <f ca="1">IFERROR(__xludf.DUMMYFUNCTION("""COMPUTED_VALUE"""),64.49)</f>
        <v>64.489999999999995</v>
      </c>
      <c r="W546" s="3">
        <f ca="1">IFERROR(__xludf.DUMMYFUNCTION("""COMPUTED_VALUE"""),64.63)</f>
        <v>64.63</v>
      </c>
      <c r="X546" s="3">
        <f ca="1">IFERROR(__xludf.DUMMYFUNCTION("""COMPUTED_VALUE"""),19022428)</f>
        <v>19022428</v>
      </c>
      <c r="Y546" s="4">
        <f ca="1">IFERROR(__xludf.DUMMYFUNCTION("""COMPUTED_VALUE"""),42915.6666666666)</f>
        <v>42915.666666666599</v>
      </c>
      <c r="Z546" s="3">
        <f ca="1">IFERROR(__xludf.DUMMYFUNCTION("""COMPUTED_VALUE"""),25.02)</f>
        <v>25.02</v>
      </c>
      <c r="AA546" s="3">
        <f ca="1">IFERROR(__xludf.DUMMYFUNCTION("""COMPUTED_VALUE"""),25.02)</f>
        <v>25.02</v>
      </c>
      <c r="AB546" s="3">
        <f ca="1">IFERROR(__xludf.DUMMYFUNCTION("""COMPUTED_VALUE"""),24.51)</f>
        <v>24.51</v>
      </c>
      <c r="AC546" s="3">
        <f ca="1">IFERROR(__xludf.DUMMYFUNCTION("""COMPUTED_VALUE"""),24.69)</f>
        <v>24.69</v>
      </c>
      <c r="AD546" s="3">
        <f ca="1">IFERROR(__xludf.DUMMYFUNCTION("""COMPUTED_VALUE"""),119176691)</f>
        <v>119176691</v>
      </c>
      <c r="AE546" s="4">
        <f ca="1">IFERROR(__xludf.DUMMYFUNCTION("""COMPUTED_VALUE"""),42915.6666666666)</f>
        <v>42915.666666666599</v>
      </c>
      <c r="AF546" s="3">
        <f ca="1">IFERROR(__xludf.DUMMYFUNCTION("""COMPUTED_VALUE"""),79.99)</f>
        <v>79.989999999999995</v>
      </c>
      <c r="AG546" s="3">
        <f ca="1">IFERROR(__xludf.DUMMYFUNCTION("""COMPUTED_VALUE"""),80.06)</f>
        <v>80.06</v>
      </c>
      <c r="AH546" s="3">
        <f ca="1">IFERROR(__xludf.DUMMYFUNCTION("""COMPUTED_VALUE"""),78.86)</f>
        <v>78.86</v>
      </c>
      <c r="AI546" s="3">
        <f ca="1">IFERROR(__xludf.DUMMYFUNCTION("""COMPUTED_VALUE"""),79.35)</f>
        <v>79.349999999999994</v>
      </c>
      <c r="AJ546" s="3">
        <f ca="1">IFERROR(__xludf.DUMMYFUNCTION("""COMPUTED_VALUE"""),8445842)</f>
        <v>8445842</v>
      </c>
      <c r="AK546" s="4">
        <f ca="1">IFERROR(__xludf.DUMMYFUNCTION("""COMPUTED_VALUE"""),42915.6666666666)</f>
        <v>42915.666666666599</v>
      </c>
      <c r="AL546" s="3">
        <f ca="1">IFERROR(__xludf.DUMMYFUNCTION("""COMPUTED_VALUE"""),68.2)</f>
        <v>68.2</v>
      </c>
      <c r="AM546" s="3">
        <f ca="1">IFERROR(__xludf.DUMMYFUNCTION("""COMPUTED_VALUE"""),68.26)</f>
        <v>68.260000000000005</v>
      </c>
      <c r="AN546" s="3">
        <f ca="1">IFERROR(__xludf.DUMMYFUNCTION("""COMPUTED_VALUE"""),67.17)</f>
        <v>67.17</v>
      </c>
      <c r="AO546" s="3">
        <f ca="1">IFERROR(__xludf.DUMMYFUNCTION("""COMPUTED_VALUE"""),67.55)</f>
        <v>67.55</v>
      </c>
      <c r="AP546" s="3">
        <f ca="1">IFERROR(__xludf.DUMMYFUNCTION("""COMPUTED_VALUE"""),9543636)</f>
        <v>9543636</v>
      </c>
      <c r="AQ546" s="4">
        <f ca="1">IFERROR(__xludf.DUMMYFUNCTION("""COMPUTED_VALUE"""),42915.6666666666)</f>
        <v>42915.666666666599</v>
      </c>
      <c r="AR546" s="3">
        <f ca="1">IFERROR(__xludf.DUMMYFUNCTION("""COMPUTED_VALUE"""),54.15)</f>
        <v>54.15</v>
      </c>
      <c r="AS546" s="3">
        <f ca="1">IFERROR(__xludf.DUMMYFUNCTION("""COMPUTED_VALUE"""),54.24)</f>
        <v>54.24</v>
      </c>
      <c r="AT546" s="3">
        <f ca="1">IFERROR(__xludf.DUMMYFUNCTION("""COMPUTED_VALUE"""),53.38)</f>
        <v>53.38</v>
      </c>
      <c r="AU546" s="3">
        <f ca="1">IFERROR(__xludf.DUMMYFUNCTION("""COMPUTED_VALUE"""),53.52)</f>
        <v>53.52</v>
      </c>
      <c r="AV546" s="3">
        <f ca="1">IFERROR(__xludf.DUMMYFUNCTION("""COMPUTED_VALUE"""),4405816)</f>
        <v>4405816</v>
      </c>
      <c r="BC546" s="4">
        <f ca="1">IFERROR(__xludf.DUMMYFUNCTION("""COMPUTED_VALUE"""),42915.6666666666)</f>
        <v>42915.666666666599</v>
      </c>
      <c r="BD546" s="3">
        <f ca="1">IFERROR(__xludf.DUMMYFUNCTION("""COMPUTED_VALUE"""),55.51)</f>
        <v>55.51</v>
      </c>
      <c r="BE546" s="3">
        <f ca="1">IFERROR(__xludf.DUMMYFUNCTION("""COMPUTED_VALUE"""),55.51)</f>
        <v>55.51</v>
      </c>
      <c r="BF546" s="3">
        <f ca="1">IFERROR(__xludf.DUMMYFUNCTION("""COMPUTED_VALUE"""),54.33)</f>
        <v>54.33</v>
      </c>
      <c r="BG546" s="3">
        <f ca="1">IFERROR(__xludf.DUMMYFUNCTION("""COMPUTED_VALUE"""),54.77)</f>
        <v>54.77</v>
      </c>
      <c r="BH546" s="3">
        <f ca="1">IFERROR(__xludf.DUMMYFUNCTION("""COMPUTED_VALUE"""),20973423)</f>
        <v>20973423</v>
      </c>
      <c r="BI546" s="4">
        <f ca="1">IFERROR(__xludf.DUMMYFUNCTION("""COMPUTED_VALUE"""),42915.6666666666)</f>
        <v>42915.666666666599</v>
      </c>
      <c r="BJ546" s="3">
        <f ca="1">IFERROR(__xludf.DUMMYFUNCTION("""COMPUTED_VALUE"""),52.15)</f>
        <v>52.15</v>
      </c>
      <c r="BK546" s="3">
        <f ca="1">IFERROR(__xludf.DUMMYFUNCTION("""COMPUTED_VALUE"""),52.22)</f>
        <v>52.22</v>
      </c>
      <c r="BL546" s="3">
        <f ca="1">IFERROR(__xludf.DUMMYFUNCTION("""COMPUTED_VALUE"""),51.84)</f>
        <v>51.84</v>
      </c>
      <c r="BM546" s="3">
        <f ca="1">IFERROR(__xludf.DUMMYFUNCTION("""COMPUTED_VALUE"""),52.04)</f>
        <v>52.04</v>
      </c>
      <c r="BN546" s="3">
        <f ca="1">IFERROR(__xludf.DUMMYFUNCTION("""COMPUTED_VALUE"""),20595651)</f>
        <v>20595651</v>
      </c>
    </row>
    <row r="547" spans="7:66" ht="13" x14ac:dyDescent="0.15">
      <c r="G547" s="4">
        <f ca="1">IFERROR(__xludf.DUMMYFUNCTION("""COMPUTED_VALUE"""),42916.6666666666)</f>
        <v>42916.666666666599</v>
      </c>
      <c r="H547" s="3">
        <f ca="1">IFERROR(__xludf.DUMMYFUNCTION("""COMPUTED_VALUE"""),89.6)</f>
        <v>89.6</v>
      </c>
      <c r="I547" s="3">
        <f ca="1">IFERROR(__xludf.DUMMYFUNCTION("""COMPUTED_VALUE"""),90.02)</f>
        <v>90.02</v>
      </c>
      <c r="J547" s="3">
        <f ca="1">IFERROR(__xludf.DUMMYFUNCTION("""COMPUTED_VALUE"""),89.44)</f>
        <v>89.44</v>
      </c>
      <c r="K547" s="3">
        <f ca="1">IFERROR(__xludf.DUMMYFUNCTION("""COMPUTED_VALUE"""),89.63)</f>
        <v>89.63</v>
      </c>
      <c r="L547" s="3">
        <f ca="1">IFERROR(__xludf.DUMMYFUNCTION("""COMPUTED_VALUE"""),4656803)</f>
        <v>4656803</v>
      </c>
      <c r="M547" s="4">
        <f ca="1">IFERROR(__xludf.DUMMYFUNCTION("""COMPUTED_VALUE"""),42916.6666666666)</f>
        <v>42916.666666666599</v>
      </c>
      <c r="N547" s="3">
        <f ca="1">IFERROR(__xludf.DUMMYFUNCTION("""COMPUTED_VALUE"""),55.05)</f>
        <v>55.05</v>
      </c>
      <c r="O547" s="3">
        <f ca="1">IFERROR(__xludf.DUMMYFUNCTION("""COMPUTED_VALUE"""),55.15)</f>
        <v>55.15</v>
      </c>
      <c r="P547" s="3">
        <f ca="1">IFERROR(__xludf.DUMMYFUNCTION("""COMPUTED_VALUE"""),54.93)</f>
        <v>54.93</v>
      </c>
      <c r="Q547" s="3">
        <f ca="1">IFERROR(__xludf.DUMMYFUNCTION("""COMPUTED_VALUE"""),54.94)</f>
        <v>54.94</v>
      </c>
      <c r="R547" s="3">
        <f ca="1">IFERROR(__xludf.DUMMYFUNCTION("""COMPUTED_VALUE"""),11222574)</f>
        <v>11222574</v>
      </c>
      <c r="S547" s="4">
        <f ca="1">IFERROR(__xludf.DUMMYFUNCTION("""COMPUTED_VALUE"""),42916.6666666666)</f>
        <v>42916.666666666599</v>
      </c>
      <c r="T547" s="3">
        <f ca="1">IFERROR(__xludf.DUMMYFUNCTION("""COMPUTED_VALUE"""),65.1)</f>
        <v>65.099999999999994</v>
      </c>
      <c r="U547" s="3">
        <f ca="1">IFERROR(__xludf.DUMMYFUNCTION("""COMPUTED_VALUE"""),65.22)</f>
        <v>65.22</v>
      </c>
      <c r="V547" s="3">
        <f ca="1">IFERROR(__xludf.DUMMYFUNCTION("""COMPUTED_VALUE"""),64.5)</f>
        <v>64.5</v>
      </c>
      <c r="W547" s="3">
        <f ca="1">IFERROR(__xludf.DUMMYFUNCTION("""COMPUTED_VALUE"""),64.92)</f>
        <v>64.92</v>
      </c>
      <c r="X547" s="3">
        <f ca="1">IFERROR(__xludf.DUMMYFUNCTION("""COMPUTED_VALUE"""),19643151)</f>
        <v>19643151</v>
      </c>
      <c r="Y547" s="4">
        <f ca="1">IFERROR(__xludf.DUMMYFUNCTION("""COMPUTED_VALUE"""),42916.6666666666)</f>
        <v>42916.666666666599</v>
      </c>
      <c r="Z547" s="3">
        <f ca="1">IFERROR(__xludf.DUMMYFUNCTION("""COMPUTED_VALUE"""),24.87)</f>
        <v>24.87</v>
      </c>
      <c r="AA547" s="3">
        <f ca="1">IFERROR(__xludf.DUMMYFUNCTION("""COMPUTED_VALUE"""),24.88)</f>
        <v>24.88</v>
      </c>
      <c r="AB547" s="3">
        <f ca="1">IFERROR(__xludf.DUMMYFUNCTION("""COMPUTED_VALUE"""),24.62)</f>
        <v>24.62</v>
      </c>
      <c r="AC547" s="3">
        <f ca="1">IFERROR(__xludf.DUMMYFUNCTION("""COMPUTED_VALUE"""),24.67)</f>
        <v>24.67</v>
      </c>
      <c r="AD547" s="3">
        <f ca="1">IFERROR(__xludf.DUMMYFUNCTION("""COMPUTED_VALUE"""),72754878)</f>
        <v>72754878</v>
      </c>
      <c r="AE547" s="4">
        <f ca="1">IFERROR(__xludf.DUMMYFUNCTION("""COMPUTED_VALUE"""),42916.6666666666)</f>
        <v>42916.666666666599</v>
      </c>
      <c r="AF547" s="3">
        <f ca="1">IFERROR(__xludf.DUMMYFUNCTION("""COMPUTED_VALUE"""),79.66)</f>
        <v>79.66</v>
      </c>
      <c r="AG547" s="3">
        <f ca="1">IFERROR(__xludf.DUMMYFUNCTION("""COMPUTED_VALUE"""),79.66)</f>
        <v>79.66</v>
      </c>
      <c r="AH547" s="3">
        <f ca="1">IFERROR(__xludf.DUMMYFUNCTION("""COMPUTED_VALUE"""),79.24)</f>
        <v>79.239999999999995</v>
      </c>
      <c r="AI547" s="3">
        <f ca="1">IFERROR(__xludf.DUMMYFUNCTION("""COMPUTED_VALUE"""),79.24)</f>
        <v>79.239999999999995</v>
      </c>
      <c r="AJ547" s="3">
        <f ca="1">IFERROR(__xludf.DUMMYFUNCTION("""COMPUTED_VALUE"""),7817416)</f>
        <v>7817416</v>
      </c>
      <c r="AK547" s="4">
        <f ca="1">IFERROR(__xludf.DUMMYFUNCTION("""COMPUTED_VALUE"""),42916.6666666666)</f>
        <v>42916.666666666599</v>
      </c>
      <c r="AL547" s="3">
        <f ca="1">IFERROR(__xludf.DUMMYFUNCTION("""COMPUTED_VALUE"""),67.81)</f>
        <v>67.81</v>
      </c>
      <c r="AM547" s="3">
        <f ca="1">IFERROR(__xludf.DUMMYFUNCTION("""COMPUTED_VALUE"""),68.44)</f>
        <v>68.44</v>
      </c>
      <c r="AN547" s="3">
        <f ca="1">IFERROR(__xludf.DUMMYFUNCTION("""COMPUTED_VALUE"""),67.81)</f>
        <v>67.81</v>
      </c>
      <c r="AO547" s="3">
        <f ca="1">IFERROR(__xludf.DUMMYFUNCTION("""COMPUTED_VALUE"""),68.11)</f>
        <v>68.11</v>
      </c>
      <c r="AP547" s="3">
        <f ca="1">IFERROR(__xludf.DUMMYFUNCTION("""COMPUTED_VALUE"""),6748532)</f>
        <v>6748532</v>
      </c>
      <c r="AQ547" s="4">
        <f ca="1">IFERROR(__xludf.DUMMYFUNCTION("""COMPUTED_VALUE"""),42916.6666666666)</f>
        <v>42916.666666666599</v>
      </c>
      <c r="AR547" s="3">
        <f ca="1">IFERROR(__xludf.DUMMYFUNCTION("""COMPUTED_VALUE"""),53.61)</f>
        <v>53.61</v>
      </c>
      <c r="AS547" s="3">
        <f ca="1">IFERROR(__xludf.DUMMYFUNCTION("""COMPUTED_VALUE"""),54.05)</f>
        <v>54.05</v>
      </c>
      <c r="AT547" s="3">
        <f ca="1">IFERROR(__xludf.DUMMYFUNCTION("""COMPUTED_VALUE"""),53.6)</f>
        <v>53.6</v>
      </c>
      <c r="AU547" s="3">
        <f ca="1">IFERROR(__xludf.DUMMYFUNCTION("""COMPUTED_VALUE"""),53.81)</f>
        <v>53.81</v>
      </c>
      <c r="AV547" s="3">
        <f ca="1">IFERROR(__xludf.DUMMYFUNCTION("""COMPUTED_VALUE"""),3129348)</f>
        <v>3129348</v>
      </c>
      <c r="BC547" s="4">
        <f ca="1">IFERROR(__xludf.DUMMYFUNCTION("""COMPUTED_VALUE"""),42916.6666666666)</f>
        <v>42916.666666666599</v>
      </c>
      <c r="BD547" s="3">
        <f ca="1">IFERROR(__xludf.DUMMYFUNCTION("""COMPUTED_VALUE"""),55)</f>
        <v>55</v>
      </c>
      <c r="BE547" s="3">
        <f ca="1">IFERROR(__xludf.DUMMYFUNCTION("""COMPUTED_VALUE"""),55.09)</f>
        <v>55.09</v>
      </c>
      <c r="BF547" s="3">
        <f ca="1">IFERROR(__xludf.DUMMYFUNCTION("""COMPUTED_VALUE"""),54.67)</f>
        <v>54.67</v>
      </c>
      <c r="BG547" s="3">
        <f ca="1">IFERROR(__xludf.DUMMYFUNCTION("""COMPUTED_VALUE"""),54.72)</f>
        <v>54.72</v>
      </c>
      <c r="BH547" s="3">
        <f ca="1">IFERROR(__xludf.DUMMYFUNCTION("""COMPUTED_VALUE"""),15371868)</f>
        <v>15371868</v>
      </c>
      <c r="BI547" s="4">
        <f ca="1">IFERROR(__xludf.DUMMYFUNCTION("""COMPUTED_VALUE"""),42916.6666666666)</f>
        <v>42916.666666666599</v>
      </c>
      <c r="BJ547" s="3">
        <f ca="1">IFERROR(__xludf.DUMMYFUNCTION("""COMPUTED_VALUE"""),52.1)</f>
        <v>52.1</v>
      </c>
      <c r="BK547" s="3">
        <f ca="1">IFERROR(__xludf.DUMMYFUNCTION("""COMPUTED_VALUE"""),52.38)</f>
        <v>52.38</v>
      </c>
      <c r="BL547" s="3">
        <f ca="1">IFERROR(__xludf.DUMMYFUNCTION("""COMPUTED_VALUE"""),51.96)</f>
        <v>51.96</v>
      </c>
      <c r="BM547" s="3">
        <f ca="1">IFERROR(__xludf.DUMMYFUNCTION("""COMPUTED_VALUE"""),51.96)</f>
        <v>51.96</v>
      </c>
      <c r="BN547" s="3">
        <f ca="1">IFERROR(__xludf.DUMMYFUNCTION("""COMPUTED_VALUE"""),15112943)</f>
        <v>15112943</v>
      </c>
    </row>
    <row r="548" spans="7:66" ht="13" x14ac:dyDescent="0.15">
      <c r="G548" s="4">
        <f ca="1">IFERROR(__xludf.DUMMYFUNCTION("""COMPUTED_VALUE"""),42919.6666666666)</f>
        <v>42919.666666666599</v>
      </c>
      <c r="H548" s="3">
        <f ca="1">IFERROR(__xludf.DUMMYFUNCTION("""COMPUTED_VALUE"""),89.88)</f>
        <v>89.88</v>
      </c>
      <c r="I548" s="3">
        <f ca="1">IFERROR(__xludf.DUMMYFUNCTION("""COMPUTED_VALUE"""),90.32)</f>
        <v>90.32</v>
      </c>
      <c r="J548" s="3">
        <f ca="1">IFERROR(__xludf.DUMMYFUNCTION("""COMPUTED_VALUE"""),89.5)</f>
        <v>89.5</v>
      </c>
      <c r="K548" s="3">
        <f ca="1">IFERROR(__xludf.DUMMYFUNCTION("""COMPUTED_VALUE"""),89.54)</f>
        <v>89.54</v>
      </c>
      <c r="L548" s="3">
        <f ca="1">IFERROR(__xludf.DUMMYFUNCTION("""COMPUTED_VALUE"""),2807322)</f>
        <v>2807322</v>
      </c>
      <c r="M548" s="4">
        <f ca="1">IFERROR(__xludf.DUMMYFUNCTION("""COMPUTED_VALUE"""),42919.6666666666)</f>
        <v>42919.666666666599</v>
      </c>
      <c r="N548" s="3">
        <f ca="1">IFERROR(__xludf.DUMMYFUNCTION("""COMPUTED_VALUE"""),54.98)</f>
        <v>54.98</v>
      </c>
      <c r="O548" s="3">
        <f ca="1">IFERROR(__xludf.DUMMYFUNCTION("""COMPUTED_VALUE"""),55.21)</f>
        <v>55.21</v>
      </c>
      <c r="P548" s="3">
        <f ca="1">IFERROR(__xludf.DUMMYFUNCTION("""COMPUTED_VALUE"""),54.87)</f>
        <v>54.87</v>
      </c>
      <c r="Q548" s="3">
        <f ca="1">IFERROR(__xludf.DUMMYFUNCTION("""COMPUTED_VALUE"""),54.89)</f>
        <v>54.89</v>
      </c>
      <c r="R548" s="3">
        <f ca="1">IFERROR(__xludf.DUMMYFUNCTION("""COMPUTED_VALUE"""),5782551)</f>
        <v>5782551</v>
      </c>
      <c r="S548" s="4">
        <f ca="1">IFERROR(__xludf.DUMMYFUNCTION("""COMPUTED_VALUE"""),42919.6666666666)</f>
        <v>42919.666666666599</v>
      </c>
      <c r="T548" s="3">
        <f ca="1">IFERROR(__xludf.DUMMYFUNCTION("""COMPUTED_VALUE"""),65.15)</f>
        <v>65.150000000000006</v>
      </c>
      <c r="U548" s="3">
        <f ca="1">IFERROR(__xludf.DUMMYFUNCTION("""COMPUTED_VALUE"""),66.48)</f>
        <v>66.48</v>
      </c>
      <c r="V548" s="3">
        <f ca="1">IFERROR(__xludf.DUMMYFUNCTION("""COMPUTED_VALUE"""),65.08)</f>
        <v>65.08</v>
      </c>
      <c r="W548" s="3">
        <f ca="1">IFERROR(__xludf.DUMMYFUNCTION("""COMPUTED_VALUE"""),66.17)</f>
        <v>66.17</v>
      </c>
      <c r="X548" s="3">
        <f ca="1">IFERROR(__xludf.DUMMYFUNCTION("""COMPUTED_VALUE"""),18402800)</f>
        <v>18402800</v>
      </c>
      <c r="Y548" s="4">
        <f ca="1">IFERROR(__xludf.DUMMYFUNCTION("""COMPUTED_VALUE"""),42919.6666666666)</f>
        <v>42919.666666666599</v>
      </c>
      <c r="Z548" s="3">
        <f ca="1">IFERROR(__xludf.DUMMYFUNCTION("""COMPUTED_VALUE"""),24.81)</f>
        <v>24.81</v>
      </c>
      <c r="AA548" s="3">
        <f ca="1">IFERROR(__xludf.DUMMYFUNCTION("""COMPUTED_VALUE"""),25.19)</f>
        <v>25.19</v>
      </c>
      <c r="AB548" s="3">
        <f ca="1">IFERROR(__xludf.DUMMYFUNCTION("""COMPUTED_VALUE"""),24.78)</f>
        <v>24.78</v>
      </c>
      <c r="AC548" s="3">
        <f ca="1">IFERROR(__xludf.DUMMYFUNCTION("""COMPUTED_VALUE"""),25.03)</f>
        <v>25.03</v>
      </c>
      <c r="AD548" s="3">
        <f ca="1">IFERROR(__xludf.DUMMYFUNCTION("""COMPUTED_VALUE"""),61454445)</f>
        <v>61454445</v>
      </c>
      <c r="AE548" s="4">
        <f ca="1">IFERROR(__xludf.DUMMYFUNCTION("""COMPUTED_VALUE"""),42919.6666666666)</f>
        <v>42919.666666666599</v>
      </c>
      <c r="AF548" s="3">
        <f ca="1">IFERROR(__xludf.DUMMYFUNCTION("""COMPUTED_VALUE"""),79.51)</f>
        <v>79.510000000000005</v>
      </c>
      <c r="AG548" s="3">
        <f ca="1">IFERROR(__xludf.DUMMYFUNCTION("""COMPUTED_VALUE"""),79.75)</f>
        <v>79.75</v>
      </c>
      <c r="AH548" s="3">
        <f ca="1">IFERROR(__xludf.DUMMYFUNCTION("""COMPUTED_VALUE"""),79.37)</f>
        <v>79.37</v>
      </c>
      <c r="AI548" s="3">
        <f ca="1">IFERROR(__xludf.DUMMYFUNCTION("""COMPUTED_VALUE"""),79.38)</f>
        <v>79.38</v>
      </c>
      <c r="AJ548" s="3">
        <f ca="1">IFERROR(__xludf.DUMMYFUNCTION("""COMPUTED_VALUE"""),5904203)</f>
        <v>5904203</v>
      </c>
      <c r="AK548" s="4">
        <f ca="1">IFERROR(__xludf.DUMMYFUNCTION("""COMPUTED_VALUE"""),42919.6666666666)</f>
        <v>42919.666666666599</v>
      </c>
      <c r="AL548" s="3">
        <f ca="1">IFERROR(__xludf.DUMMYFUNCTION("""COMPUTED_VALUE"""),68.42)</f>
        <v>68.42</v>
      </c>
      <c r="AM548" s="3">
        <f ca="1">IFERROR(__xludf.DUMMYFUNCTION("""COMPUTED_VALUE"""),68.77)</f>
        <v>68.77</v>
      </c>
      <c r="AN548" s="3">
        <f ca="1">IFERROR(__xludf.DUMMYFUNCTION("""COMPUTED_VALUE"""),68.32)</f>
        <v>68.319999999999993</v>
      </c>
      <c r="AO548" s="3">
        <f ca="1">IFERROR(__xludf.DUMMYFUNCTION("""COMPUTED_VALUE"""),68.53)</f>
        <v>68.53</v>
      </c>
      <c r="AP548" s="3">
        <f ca="1">IFERROR(__xludf.DUMMYFUNCTION("""COMPUTED_VALUE"""),5553136)</f>
        <v>5553136</v>
      </c>
      <c r="AQ548" s="4">
        <f ca="1">IFERROR(__xludf.DUMMYFUNCTION("""COMPUTED_VALUE"""),42919.6666666666)</f>
        <v>42919.666666666599</v>
      </c>
      <c r="AR548" s="3">
        <f ca="1">IFERROR(__xludf.DUMMYFUNCTION("""COMPUTED_VALUE"""),53.94)</f>
        <v>53.94</v>
      </c>
      <c r="AS548" s="3">
        <f ca="1">IFERROR(__xludf.DUMMYFUNCTION("""COMPUTED_VALUE"""),54.42)</f>
        <v>54.42</v>
      </c>
      <c r="AT548" s="3">
        <f ca="1">IFERROR(__xludf.DUMMYFUNCTION("""COMPUTED_VALUE"""),53.89)</f>
        <v>53.89</v>
      </c>
      <c r="AU548" s="3">
        <f ca="1">IFERROR(__xludf.DUMMYFUNCTION("""COMPUTED_VALUE"""),54.28)</f>
        <v>54.28</v>
      </c>
      <c r="AV548" s="3">
        <f ca="1">IFERROR(__xludf.DUMMYFUNCTION("""COMPUTED_VALUE"""),3108488)</f>
        <v>3108488</v>
      </c>
      <c r="BC548" s="4">
        <f ca="1">IFERROR(__xludf.DUMMYFUNCTION("""COMPUTED_VALUE"""),42919.6666666666)</f>
        <v>42919.666666666599</v>
      </c>
      <c r="BD548" s="3">
        <f ca="1">IFERROR(__xludf.DUMMYFUNCTION("""COMPUTED_VALUE"""),54.95)</f>
        <v>54.95</v>
      </c>
      <c r="BE548" s="3">
        <f ca="1">IFERROR(__xludf.DUMMYFUNCTION("""COMPUTED_VALUE"""),55.05)</f>
        <v>55.05</v>
      </c>
      <c r="BF548" s="3">
        <f ca="1">IFERROR(__xludf.DUMMYFUNCTION("""COMPUTED_VALUE"""),54.28)</f>
        <v>54.28</v>
      </c>
      <c r="BG548" s="3">
        <f ca="1">IFERROR(__xludf.DUMMYFUNCTION("""COMPUTED_VALUE"""),54.34)</f>
        <v>54.34</v>
      </c>
      <c r="BH548" s="3">
        <f ca="1">IFERROR(__xludf.DUMMYFUNCTION("""COMPUTED_VALUE"""),16552937)</f>
        <v>16552937</v>
      </c>
      <c r="BI548" s="4">
        <f ca="1">IFERROR(__xludf.DUMMYFUNCTION("""COMPUTED_VALUE"""),42919.6666666666)</f>
        <v>42919.666666666599</v>
      </c>
      <c r="BJ548" s="3">
        <f ca="1">IFERROR(__xludf.DUMMYFUNCTION("""COMPUTED_VALUE"""),52.04)</f>
        <v>52.04</v>
      </c>
      <c r="BK548" s="3">
        <f ca="1">IFERROR(__xludf.DUMMYFUNCTION("""COMPUTED_VALUE"""),52.18)</f>
        <v>52.18</v>
      </c>
      <c r="BL548" s="3">
        <f ca="1">IFERROR(__xludf.DUMMYFUNCTION("""COMPUTED_VALUE"""),51.65)</f>
        <v>51.65</v>
      </c>
      <c r="BM548" s="3">
        <f ca="1">IFERROR(__xludf.DUMMYFUNCTION("""COMPUTED_VALUE"""),51.72)</f>
        <v>51.72</v>
      </c>
      <c r="BN548" s="3">
        <f ca="1">IFERROR(__xludf.DUMMYFUNCTION("""COMPUTED_VALUE"""),12704710)</f>
        <v>12704710</v>
      </c>
    </row>
    <row r="549" spans="7:66" ht="13" x14ac:dyDescent="0.15">
      <c r="G549" s="4">
        <f ca="1">IFERROR(__xludf.DUMMYFUNCTION("""COMPUTED_VALUE"""),42921.6666666666)</f>
        <v>42921.666666666599</v>
      </c>
      <c r="H549" s="3">
        <f ca="1">IFERROR(__xludf.DUMMYFUNCTION("""COMPUTED_VALUE"""),89.53)</f>
        <v>89.53</v>
      </c>
      <c r="I549" s="3">
        <f ca="1">IFERROR(__xludf.DUMMYFUNCTION("""COMPUTED_VALUE"""),89.55)</f>
        <v>89.55</v>
      </c>
      <c r="J549" s="3">
        <f ca="1">IFERROR(__xludf.DUMMYFUNCTION("""COMPUTED_VALUE"""),88.9)</f>
        <v>88.9</v>
      </c>
      <c r="K549" s="3">
        <f ca="1">IFERROR(__xludf.DUMMYFUNCTION("""COMPUTED_VALUE"""),89.32)</f>
        <v>89.32</v>
      </c>
      <c r="L549" s="3">
        <f ca="1">IFERROR(__xludf.DUMMYFUNCTION("""COMPUTED_VALUE"""),3985053)</f>
        <v>3985053</v>
      </c>
      <c r="M549" s="4">
        <f ca="1">IFERROR(__xludf.DUMMYFUNCTION("""COMPUTED_VALUE"""),42921.6666666666)</f>
        <v>42921.666666666599</v>
      </c>
      <c r="N549" s="3">
        <f ca="1">IFERROR(__xludf.DUMMYFUNCTION("""COMPUTED_VALUE"""),54.88)</f>
        <v>54.88</v>
      </c>
      <c r="O549" s="3">
        <f ca="1">IFERROR(__xludf.DUMMYFUNCTION("""COMPUTED_VALUE"""),55)</f>
        <v>55</v>
      </c>
      <c r="P549" s="3">
        <f ca="1">IFERROR(__xludf.DUMMYFUNCTION("""COMPUTED_VALUE"""),54.79)</f>
        <v>54.79</v>
      </c>
      <c r="Q549" s="3">
        <f ca="1">IFERROR(__xludf.DUMMYFUNCTION("""COMPUTED_VALUE"""),54.85)</f>
        <v>54.85</v>
      </c>
      <c r="R549" s="3">
        <f ca="1">IFERROR(__xludf.DUMMYFUNCTION("""COMPUTED_VALUE"""),15837003)</f>
        <v>15837003</v>
      </c>
      <c r="S549" s="4">
        <f ca="1">IFERROR(__xludf.DUMMYFUNCTION("""COMPUTED_VALUE"""),42921.6666666666)</f>
        <v>42921.666666666599</v>
      </c>
      <c r="T549" s="3">
        <f ca="1">IFERROR(__xludf.DUMMYFUNCTION("""COMPUTED_VALUE"""),65.84)</f>
        <v>65.84</v>
      </c>
      <c r="U549" s="3">
        <f ca="1">IFERROR(__xludf.DUMMYFUNCTION("""COMPUTED_VALUE"""),65.9)</f>
        <v>65.900000000000006</v>
      </c>
      <c r="V549" s="3">
        <f ca="1">IFERROR(__xludf.DUMMYFUNCTION("""COMPUTED_VALUE"""),64.58)</f>
        <v>64.58</v>
      </c>
      <c r="W549" s="3">
        <f ca="1">IFERROR(__xludf.DUMMYFUNCTION("""COMPUTED_VALUE"""),64.83)</f>
        <v>64.83</v>
      </c>
      <c r="X549" s="3">
        <f ca="1">IFERROR(__xludf.DUMMYFUNCTION("""COMPUTED_VALUE"""),20988215)</f>
        <v>20988215</v>
      </c>
      <c r="Y549" s="4">
        <f ca="1">IFERROR(__xludf.DUMMYFUNCTION("""COMPUTED_VALUE"""),42921.6666666666)</f>
        <v>42921.666666666599</v>
      </c>
      <c r="Z549" s="3">
        <f ca="1">IFERROR(__xludf.DUMMYFUNCTION("""COMPUTED_VALUE"""),25.1)</f>
        <v>25.1</v>
      </c>
      <c r="AA549" s="3">
        <f ca="1">IFERROR(__xludf.DUMMYFUNCTION("""COMPUTED_VALUE"""),25.13)</f>
        <v>25.13</v>
      </c>
      <c r="AB549" s="3">
        <f ca="1">IFERROR(__xludf.DUMMYFUNCTION("""COMPUTED_VALUE"""),24.92)</f>
        <v>24.92</v>
      </c>
      <c r="AC549" s="3">
        <f ca="1">IFERROR(__xludf.DUMMYFUNCTION("""COMPUTED_VALUE"""),25.07)</f>
        <v>25.07</v>
      </c>
      <c r="AD549" s="3">
        <f ca="1">IFERROR(__xludf.DUMMYFUNCTION("""COMPUTED_VALUE"""),78100184)</f>
        <v>78100184</v>
      </c>
      <c r="AE549" s="4">
        <f ca="1">IFERROR(__xludf.DUMMYFUNCTION("""COMPUTED_VALUE"""),42921.6666666666)</f>
        <v>42921.666666666599</v>
      </c>
      <c r="AF549" s="3">
        <f ca="1">IFERROR(__xludf.DUMMYFUNCTION("""COMPUTED_VALUE"""),79.49)</f>
        <v>79.489999999999995</v>
      </c>
      <c r="AG549" s="3">
        <f ca="1">IFERROR(__xludf.DUMMYFUNCTION("""COMPUTED_VALUE"""),79.95)</f>
        <v>79.95</v>
      </c>
      <c r="AH549" s="3">
        <f ca="1">IFERROR(__xludf.DUMMYFUNCTION("""COMPUTED_VALUE"""),79.21)</f>
        <v>79.209999999999994</v>
      </c>
      <c r="AI549" s="3">
        <f ca="1">IFERROR(__xludf.DUMMYFUNCTION("""COMPUTED_VALUE"""),79.85)</f>
        <v>79.849999999999994</v>
      </c>
      <c r="AJ549" s="3">
        <f ca="1">IFERROR(__xludf.DUMMYFUNCTION("""COMPUTED_VALUE"""),8955511)</f>
        <v>8955511</v>
      </c>
      <c r="AK549" s="4">
        <f ca="1">IFERROR(__xludf.DUMMYFUNCTION("""COMPUTED_VALUE"""),42921.6666666666)</f>
        <v>42921.666666666599</v>
      </c>
      <c r="AL549" s="3">
        <f ca="1">IFERROR(__xludf.DUMMYFUNCTION("""COMPUTED_VALUE"""),68.71)</f>
        <v>68.709999999999994</v>
      </c>
      <c r="AM549" s="3">
        <f ca="1">IFERROR(__xludf.DUMMYFUNCTION("""COMPUTED_VALUE"""),68.82)</f>
        <v>68.819999999999993</v>
      </c>
      <c r="AN549" s="3">
        <f ca="1">IFERROR(__xludf.DUMMYFUNCTION("""COMPUTED_VALUE"""),68.42)</f>
        <v>68.42</v>
      </c>
      <c r="AO549" s="3">
        <f ca="1">IFERROR(__xludf.DUMMYFUNCTION("""COMPUTED_VALUE"""),68.73)</f>
        <v>68.73</v>
      </c>
      <c r="AP549" s="3">
        <f ca="1">IFERROR(__xludf.DUMMYFUNCTION("""COMPUTED_VALUE"""),7235950)</f>
        <v>7235950</v>
      </c>
      <c r="AQ549" s="4">
        <f ca="1">IFERROR(__xludf.DUMMYFUNCTION("""COMPUTED_VALUE"""),42921.6666666666)</f>
        <v>42921.666666666599</v>
      </c>
      <c r="AR549" s="3">
        <f ca="1">IFERROR(__xludf.DUMMYFUNCTION("""COMPUTED_VALUE"""),54.34)</f>
        <v>54.34</v>
      </c>
      <c r="AS549" s="3">
        <f ca="1">IFERROR(__xludf.DUMMYFUNCTION("""COMPUTED_VALUE"""),54.36)</f>
        <v>54.36</v>
      </c>
      <c r="AT549" s="3">
        <f ca="1">IFERROR(__xludf.DUMMYFUNCTION("""COMPUTED_VALUE"""),53.92)</f>
        <v>53.92</v>
      </c>
      <c r="AU549" s="3">
        <f ca="1">IFERROR(__xludf.DUMMYFUNCTION("""COMPUTED_VALUE"""),54.1)</f>
        <v>54.1</v>
      </c>
      <c r="AV549" s="3">
        <f ca="1">IFERROR(__xludf.DUMMYFUNCTION("""COMPUTED_VALUE"""),5705736)</f>
        <v>5705736</v>
      </c>
      <c r="BC549" s="4">
        <f ca="1">IFERROR(__xludf.DUMMYFUNCTION("""COMPUTED_VALUE"""),42921.6666666666)</f>
        <v>42921.666666666599</v>
      </c>
      <c r="BD549" s="3">
        <f ca="1">IFERROR(__xludf.DUMMYFUNCTION("""COMPUTED_VALUE"""),54.54)</f>
        <v>54.54</v>
      </c>
      <c r="BE549" s="3">
        <f ca="1">IFERROR(__xludf.DUMMYFUNCTION("""COMPUTED_VALUE"""),54.99)</f>
        <v>54.99</v>
      </c>
      <c r="BF549" s="3">
        <f ca="1">IFERROR(__xludf.DUMMYFUNCTION("""COMPUTED_VALUE"""),54.36)</f>
        <v>54.36</v>
      </c>
      <c r="BG549" s="3">
        <f ca="1">IFERROR(__xludf.DUMMYFUNCTION("""COMPUTED_VALUE"""),54.88)</f>
        <v>54.88</v>
      </c>
      <c r="BH549" s="3">
        <f ca="1">IFERROR(__xludf.DUMMYFUNCTION("""COMPUTED_VALUE"""),14809389)</f>
        <v>14809389</v>
      </c>
      <c r="BI549" s="4">
        <f ca="1">IFERROR(__xludf.DUMMYFUNCTION("""COMPUTED_VALUE"""),42921.6666666666)</f>
        <v>42921.666666666599</v>
      </c>
      <c r="BJ549" s="3">
        <f ca="1">IFERROR(__xludf.DUMMYFUNCTION("""COMPUTED_VALUE"""),51.89)</f>
        <v>51.89</v>
      </c>
      <c r="BK549" s="3">
        <f ca="1">IFERROR(__xludf.DUMMYFUNCTION("""COMPUTED_VALUE"""),51.89)</f>
        <v>51.89</v>
      </c>
      <c r="BL549" s="3">
        <f ca="1">IFERROR(__xludf.DUMMYFUNCTION("""COMPUTED_VALUE"""),51.33)</f>
        <v>51.33</v>
      </c>
      <c r="BM549" s="3">
        <f ca="1">IFERROR(__xludf.DUMMYFUNCTION("""COMPUTED_VALUE"""),51.47)</f>
        <v>51.47</v>
      </c>
      <c r="BN549" s="3">
        <f ca="1">IFERROR(__xludf.DUMMYFUNCTION("""COMPUTED_VALUE"""),14002597)</f>
        <v>14002597</v>
      </c>
    </row>
    <row r="550" spans="7:66" ht="13" x14ac:dyDescent="0.15">
      <c r="G550" s="4">
        <f ca="1">IFERROR(__xludf.DUMMYFUNCTION("""COMPUTED_VALUE"""),42922.6666666666)</f>
        <v>42922.666666666599</v>
      </c>
      <c r="H550" s="3">
        <f ca="1">IFERROR(__xludf.DUMMYFUNCTION("""COMPUTED_VALUE"""),88.77)</f>
        <v>88.77</v>
      </c>
      <c r="I550" s="3">
        <f ca="1">IFERROR(__xludf.DUMMYFUNCTION("""COMPUTED_VALUE"""),89.04)</f>
        <v>89.04</v>
      </c>
      <c r="J550" s="3">
        <f ca="1">IFERROR(__xludf.DUMMYFUNCTION("""COMPUTED_VALUE"""),88.35)</f>
        <v>88.35</v>
      </c>
      <c r="K550" s="3">
        <f ca="1">IFERROR(__xludf.DUMMYFUNCTION("""COMPUTED_VALUE"""),88.41)</f>
        <v>88.41</v>
      </c>
      <c r="L550" s="3">
        <f ca="1">IFERROR(__xludf.DUMMYFUNCTION("""COMPUTED_VALUE"""),3797421)</f>
        <v>3797421</v>
      </c>
      <c r="M550" s="4">
        <f ca="1">IFERROR(__xludf.DUMMYFUNCTION("""COMPUTED_VALUE"""),42922.6666666666)</f>
        <v>42922.666666666599</v>
      </c>
      <c r="N550" s="3">
        <f ca="1">IFERROR(__xludf.DUMMYFUNCTION("""COMPUTED_VALUE"""),54.66)</f>
        <v>54.66</v>
      </c>
      <c r="O550" s="3">
        <f ca="1">IFERROR(__xludf.DUMMYFUNCTION("""COMPUTED_VALUE"""),54.83)</f>
        <v>54.83</v>
      </c>
      <c r="P550" s="3">
        <f ca="1">IFERROR(__xludf.DUMMYFUNCTION("""COMPUTED_VALUE"""),54.53)</f>
        <v>54.53</v>
      </c>
      <c r="Q550" s="3">
        <f ca="1">IFERROR(__xludf.DUMMYFUNCTION("""COMPUTED_VALUE"""),54.54)</f>
        <v>54.54</v>
      </c>
      <c r="R550" s="3">
        <f ca="1">IFERROR(__xludf.DUMMYFUNCTION("""COMPUTED_VALUE"""),7942458)</f>
        <v>7942458</v>
      </c>
      <c r="S550" s="4">
        <f ca="1">IFERROR(__xludf.DUMMYFUNCTION("""COMPUTED_VALUE"""),42922.6666666666)</f>
        <v>42922.666666666599</v>
      </c>
      <c r="T550" s="3">
        <f ca="1">IFERROR(__xludf.DUMMYFUNCTION("""COMPUTED_VALUE"""),64.94)</f>
        <v>64.94</v>
      </c>
      <c r="U550" s="3">
        <f ca="1">IFERROR(__xludf.DUMMYFUNCTION("""COMPUTED_VALUE"""),65.13)</f>
        <v>65.13</v>
      </c>
      <c r="V550" s="3">
        <f ca="1">IFERROR(__xludf.DUMMYFUNCTION("""COMPUTED_VALUE"""),63.97)</f>
        <v>63.97</v>
      </c>
      <c r="W550" s="3">
        <f ca="1">IFERROR(__xludf.DUMMYFUNCTION("""COMPUTED_VALUE"""),64.11)</f>
        <v>64.11</v>
      </c>
      <c r="X550" s="3">
        <f ca="1">IFERROR(__xludf.DUMMYFUNCTION("""COMPUTED_VALUE"""),20788943)</f>
        <v>20788943</v>
      </c>
      <c r="Y550" s="4">
        <f ca="1">IFERROR(__xludf.DUMMYFUNCTION("""COMPUTED_VALUE"""),42922.6666666666)</f>
        <v>42922.666666666599</v>
      </c>
      <c r="Z550" s="3">
        <f ca="1">IFERROR(__xludf.DUMMYFUNCTION("""COMPUTED_VALUE"""),25.06)</f>
        <v>25.06</v>
      </c>
      <c r="AA550" s="3">
        <f ca="1">IFERROR(__xludf.DUMMYFUNCTION("""COMPUTED_VALUE"""),25.17)</f>
        <v>25.17</v>
      </c>
      <c r="AB550" s="3">
        <f ca="1">IFERROR(__xludf.DUMMYFUNCTION("""COMPUTED_VALUE"""),24.88)</f>
        <v>24.88</v>
      </c>
      <c r="AC550" s="3">
        <f ca="1">IFERROR(__xludf.DUMMYFUNCTION("""COMPUTED_VALUE"""),24.88)</f>
        <v>24.88</v>
      </c>
      <c r="AD550" s="3">
        <f ca="1">IFERROR(__xludf.DUMMYFUNCTION("""COMPUTED_VALUE"""),98353765)</f>
        <v>98353765</v>
      </c>
      <c r="AE550" s="4">
        <f ca="1">IFERROR(__xludf.DUMMYFUNCTION("""COMPUTED_VALUE"""),42922.6666666666)</f>
        <v>42922.666666666599</v>
      </c>
      <c r="AF550" s="3">
        <f ca="1">IFERROR(__xludf.DUMMYFUNCTION("""COMPUTED_VALUE"""),79.51)</f>
        <v>79.510000000000005</v>
      </c>
      <c r="AG550" s="3">
        <f ca="1">IFERROR(__xludf.DUMMYFUNCTION("""COMPUTED_VALUE"""),79.66)</f>
        <v>79.66</v>
      </c>
      <c r="AH550" s="3">
        <f ca="1">IFERROR(__xludf.DUMMYFUNCTION("""COMPUTED_VALUE"""),78.71)</f>
        <v>78.709999999999994</v>
      </c>
      <c r="AI550" s="3">
        <f ca="1">IFERROR(__xludf.DUMMYFUNCTION("""COMPUTED_VALUE"""),78.82)</f>
        <v>78.819999999999993</v>
      </c>
      <c r="AJ550" s="3">
        <f ca="1">IFERROR(__xludf.DUMMYFUNCTION("""COMPUTED_VALUE"""),6421711)</f>
        <v>6421711</v>
      </c>
      <c r="AK550" s="4">
        <f ca="1">IFERROR(__xludf.DUMMYFUNCTION("""COMPUTED_VALUE"""),42922.6666666666)</f>
        <v>42922.666666666599</v>
      </c>
      <c r="AL550" s="3">
        <f ca="1">IFERROR(__xludf.DUMMYFUNCTION("""COMPUTED_VALUE"""),68.56)</f>
        <v>68.56</v>
      </c>
      <c r="AM550" s="3">
        <f ca="1">IFERROR(__xludf.DUMMYFUNCTION("""COMPUTED_VALUE"""),68.65)</f>
        <v>68.650000000000006</v>
      </c>
      <c r="AN550" s="3">
        <f ca="1">IFERROR(__xludf.DUMMYFUNCTION("""COMPUTED_VALUE"""),68.05)</f>
        <v>68.05</v>
      </c>
      <c r="AO550" s="3">
        <f ca="1">IFERROR(__xludf.DUMMYFUNCTION("""COMPUTED_VALUE"""),68.13)</f>
        <v>68.13</v>
      </c>
      <c r="AP550" s="3">
        <f ca="1">IFERROR(__xludf.DUMMYFUNCTION("""COMPUTED_VALUE"""),5599858)</f>
        <v>5599858</v>
      </c>
      <c r="AQ550" s="4">
        <f ca="1">IFERROR(__xludf.DUMMYFUNCTION("""COMPUTED_VALUE"""),42922.6666666666)</f>
        <v>42922.666666666599</v>
      </c>
      <c r="AR550" s="3">
        <f ca="1">IFERROR(__xludf.DUMMYFUNCTION("""COMPUTED_VALUE"""),53.8)</f>
        <v>53.8</v>
      </c>
      <c r="AS550" s="3">
        <f ca="1">IFERROR(__xludf.DUMMYFUNCTION("""COMPUTED_VALUE"""),54.15)</f>
        <v>54.15</v>
      </c>
      <c r="AT550" s="3">
        <f ca="1">IFERROR(__xludf.DUMMYFUNCTION("""COMPUTED_VALUE"""),53.7)</f>
        <v>53.7</v>
      </c>
      <c r="AU550" s="3">
        <f ca="1">IFERROR(__xludf.DUMMYFUNCTION("""COMPUTED_VALUE"""),53.86)</f>
        <v>53.86</v>
      </c>
      <c r="AV550" s="3">
        <f ca="1">IFERROR(__xludf.DUMMYFUNCTION("""COMPUTED_VALUE"""),4929441)</f>
        <v>4929441</v>
      </c>
      <c r="BC550" s="4">
        <f ca="1">IFERROR(__xludf.DUMMYFUNCTION("""COMPUTED_VALUE"""),42922.6666666666)</f>
        <v>42922.666666666599</v>
      </c>
      <c r="BD550" s="3">
        <f ca="1">IFERROR(__xludf.DUMMYFUNCTION("""COMPUTED_VALUE"""),54.4)</f>
        <v>54.4</v>
      </c>
      <c r="BE550" s="3">
        <f ca="1">IFERROR(__xludf.DUMMYFUNCTION("""COMPUTED_VALUE"""),54.68)</f>
        <v>54.68</v>
      </c>
      <c r="BF550" s="3">
        <f ca="1">IFERROR(__xludf.DUMMYFUNCTION("""COMPUTED_VALUE"""),54.25)</f>
        <v>54.25</v>
      </c>
      <c r="BG550" s="3">
        <f ca="1">IFERROR(__xludf.DUMMYFUNCTION("""COMPUTED_VALUE"""),54.38)</f>
        <v>54.38</v>
      </c>
      <c r="BH550" s="3">
        <f ca="1">IFERROR(__xludf.DUMMYFUNCTION("""COMPUTED_VALUE"""),12793357)</f>
        <v>12793357</v>
      </c>
      <c r="BI550" s="4">
        <f ca="1">IFERROR(__xludf.DUMMYFUNCTION("""COMPUTED_VALUE"""),42922.6666666666)</f>
        <v>42922.666666666599</v>
      </c>
      <c r="BJ550" s="3">
        <f ca="1">IFERROR(__xludf.DUMMYFUNCTION("""COMPUTED_VALUE"""),51.26)</f>
        <v>51.26</v>
      </c>
      <c r="BK550" s="3">
        <f ca="1">IFERROR(__xludf.DUMMYFUNCTION("""COMPUTED_VALUE"""),51.51)</f>
        <v>51.51</v>
      </c>
      <c r="BL550" s="3">
        <f ca="1">IFERROR(__xludf.DUMMYFUNCTION("""COMPUTED_VALUE"""),51.26)</f>
        <v>51.26</v>
      </c>
      <c r="BM550" s="3">
        <f ca="1">IFERROR(__xludf.DUMMYFUNCTION("""COMPUTED_VALUE"""),51.45)</f>
        <v>51.45</v>
      </c>
      <c r="BN550" s="3">
        <f ca="1">IFERROR(__xludf.DUMMYFUNCTION("""COMPUTED_VALUE"""),14058002)</f>
        <v>14058002</v>
      </c>
    </row>
    <row r="551" spans="7:66" ht="13" x14ac:dyDescent="0.15">
      <c r="G551" s="4">
        <f ca="1">IFERROR(__xludf.DUMMYFUNCTION("""COMPUTED_VALUE"""),42923.6666666666)</f>
        <v>42923.666666666599</v>
      </c>
      <c r="H551" s="3">
        <f ca="1">IFERROR(__xludf.DUMMYFUNCTION("""COMPUTED_VALUE"""),88.6)</f>
        <v>88.6</v>
      </c>
      <c r="I551" s="3">
        <f ca="1">IFERROR(__xludf.DUMMYFUNCTION("""COMPUTED_VALUE"""),89.27)</f>
        <v>89.27</v>
      </c>
      <c r="J551" s="3">
        <f ca="1">IFERROR(__xludf.DUMMYFUNCTION("""COMPUTED_VALUE"""),88.6)</f>
        <v>88.6</v>
      </c>
      <c r="K551" s="3">
        <f ca="1">IFERROR(__xludf.DUMMYFUNCTION("""COMPUTED_VALUE"""),89.2)</f>
        <v>89.2</v>
      </c>
      <c r="L551" s="3">
        <f ca="1">IFERROR(__xludf.DUMMYFUNCTION("""COMPUTED_VALUE"""),2579747)</f>
        <v>2579747</v>
      </c>
      <c r="M551" s="4">
        <f ca="1">IFERROR(__xludf.DUMMYFUNCTION("""COMPUTED_VALUE"""),42923.6666666666)</f>
        <v>42923.666666666599</v>
      </c>
      <c r="N551" s="3">
        <f ca="1">IFERROR(__xludf.DUMMYFUNCTION("""COMPUTED_VALUE"""),54.59)</f>
        <v>54.59</v>
      </c>
      <c r="O551" s="3">
        <f ca="1">IFERROR(__xludf.DUMMYFUNCTION("""COMPUTED_VALUE"""),54.7)</f>
        <v>54.7</v>
      </c>
      <c r="P551" s="3">
        <f ca="1">IFERROR(__xludf.DUMMYFUNCTION("""COMPUTED_VALUE"""),54.36)</f>
        <v>54.36</v>
      </c>
      <c r="Q551" s="3">
        <f ca="1">IFERROR(__xludf.DUMMYFUNCTION("""COMPUTED_VALUE"""),54.51)</f>
        <v>54.51</v>
      </c>
      <c r="R551" s="3">
        <f ca="1">IFERROR(__xludf.DUMMYFUNCTION("""COMPUTED_VALUE"""),9841537)</f>
        <v>9841537</v>
      </c>
      <c r="S551" s="4">
        <f ca="1">IFERROR(__xludf.DUMMYFUNCTION("""COMPUTED_VALUE"""),42923.6666666666)</f>
        <v>42923.666666666599</v>
      </c>
      <c r="T551" s="3">
        <f ca="1">IFERROR(__xludf.DUMMYFUNCTION("""COMPUTED_VALUE"""),63.9)</f>
        <v>63.9</v>
      </c>
      <c r="U551" s="3">
        <f ca="1">IFERROR(__xludf.DUMMYFUNCTION("""COMPUTED_VALUE"""),64.1)</f>
        <v>64.099999999999994</v>
      </c>
      <c r="V551" s="3">
        <f ca="1">IFERROR(__xludf.DUMMYFUNCTION("""COMPUTED_VALUE"""),63.29)</f>
        <v>63.29</v>
      </c>
      <c r="W551" s="3">
        <f ca="1">IFERROR(__xludf.DUMMYFUNCTION("""COMPUTED_VALUE"""),64.01)</f>
        <v>64.010000000000005</v>
      </c>
      <c r="X551" s="3">
        <f ca="1">IFERROR(__xludf.DUMMYFUNCTION("""COMPUTED_VALUE"""),16036745)</f>
        <v>16036745</v>
      </c>
      <c r="Y551" s="4">
        <f ca="1">IFERROR(__xludf.DUMMYFUNCTION("""COMPUTED_VALUE"""),42923.6666666666)</f>
        <v>42923.666666666599</v>
      </c>
      <c r="Z551" s="3">
        <f ca="1">IFERROR(__xludf.DUMMYFUNCTION("""COMPUTED_VALUE"""),25.01)</f>
        <v>25.01</v>
      </c>
      <c r="AA551" s="3">
        <f ca="1">IFERROR(__xludf.DUMMYFUNCTION("""COMPUTED_VALUE"""),25.1)</f>
        <v>25.1</v>
      </c>
      <c r="AB551" s="3">
        <f ca="1">IFERROR(__xludf.DUMMYFUNCTION("""COMPUTED_VALUE"""),24.88)</f>
        <v>24.88</v>
      </c>
      <c r="AC551" s="3">
        <f ca="1">IFERROR(__xludf.DUMMYFUNCTION("""COMPUTED_VALUE"""),25.05)</f>
        <v>25.05</v>
      </c>
      <c r="AD551" s="3">
        <f ca="1">IFERROR(__xludf.DUMMYFUNCTION("""COMPUTED_VALUE"""),59432444)</f>
        <v>59432444</v>
      </c>
      <c r="AE551" s="4">
        <f ca="1">IFERROR(__xludf.DUMMYFUNCTION("""COMPUTED_VALUE"""),42923.6666666666)</f>
        <v>42923.666666666599</v>
      </c>
      <c r="AF551" s="3">
        <f ca="1">IFERROR(__xludf.DUMMYFUNCTION("""COMPUTED_VALUE"""),79.1)</f>
        <v>79.099999999999994</v>
      </c>
      <c r="AG551" s="3">
        <f ca="1">IFERROR(__xludf.DUMMYFUNCTION("""COMPUTED_VALUE"""),79.31)</f>
        <v>79.31</v>
      </c>
      <c r="AH551" s="3">
        <f ca="1">IFERROR(__xludf.DUMMYFUNCTION("""COMPUTED_VALUE"""),78.9)</f>
        <v>78.900000000000006</v>
      </c>
      <c r="AI551" s="3">
        <f ca="1">IFERROR(__xludf.DUMMYFUNCTION("""COMPUTED_VALUE"""),79.22)</f>
        <v>79.22</v>
      </c>
      <c r="AJ551" s="3">
        <f ca="1">IFERROR(__xludf.DUMMYFUNCTION("""COMPUTED_VALUE"""),4371418)</f>
        <v>4371418</v>
      </c>
      <c r="AK551" s="4">
        <f ca="1">IFERROR(__xludf.DUMMYFUNCTION("""COMPUTED_VALUE"""),42923.6666666666)</f>
        <v>42923.666666666599</v>
      </c>
      <c r="AL551" s="3">
        <f ca="1">IFERROR(__xludf.DUMMYFUNCTION("""COMPUTED_VALUE"""),68.3)</f>
        <v>68.3</v>
      </c>
      <c r="AM551" s="3">
        <f ca="1">IFERROR(__xludf.DUMMYFUNCTION("""COMPUTED_VALUE"""),68.87)</f>
        <v>68.87</v>
      </c>
      <c r="AN551" s="3">
        <f ca="1">IFERROR(__xludf.DUMMYFUNCTION("""COMPUTED_VALUE"""),68.24)</f>
        <v>68.239999999999995</v>
      </c>
      <c r="AO551" s="3">
        <f ca="1">IFERROR(__xludf.DUMMYFUNCTION("""COMPUTED_VALUE"""),68.66)</f>
        <v>68.66</v>
      </c>
      <c r="AP551" s="3">
        <f ca="1">IFERROR(__xludf.DUMMYFUNCTION("""COMPUTED_VALUE"""),4166680)</f>
        <v>4166680</v>
      </c>
      <c r="AQ551" s="4">
        <f ca="1">IFERROR(__xludf.DUMMYFUNCTION("""COMPUTED_VALUE"""),42923.6666666666)</f>
        <v>42923.666666666599</v>
      </c>
      <c r="AR551" s="3">
        <f ca="1">IFERROR(__xludf.DUMMYFUNCTION("""COMPUTED_VALUE"""),53.95)</f>
        <v>53.95</v>
      </c>
      <c r="AS551" s="3">
        <f ca="1">IFERROR(__xludf.DUMMYFUNCTION("""COMPUTED_VALUE"""),54.2)</f>
        <v>54.2</v>
      </c>
      <c r="AT551" s="3">
        <f ca="1">IFERROR(__xludf.DUMMYFUNCTION("""COMPUTED_VALUE"""),53.74)</f>
        <v>53.74</v>
      </c>
      <c r="AU551" s="3">
        <f ca="1">IFERROR(__xludf.DUMMYFUNCTION("""COMPUTED_VALUE"""),54.14)</f>
        <v>54.14</v>
      </c>
      <c r="AV551" s="3">
        <f ca="1">IFERROR(__xludf.DUMMYFUNCTION("""COMPUTED_VALUE"""),2623391)</f>
        <v>2623391</v>
      </c>
      <c r="BC551" s="4">
        <f ca="1">IFERROR(__xludf.DUMMYFUNCTION("""COMPUTED_VALUE"""),42923.6666666666)</f>
        <v>42923.666666666599</v>
      </c>
      <c r="BD551" s="3">
        <f ca="1">IFERROR(__xludf.DUMMYFUNCTION("""COMPUTED_VALUE"""),54.58)</f>
        <v>54.58</v>
      </c>
      <c r="BE551" s="3">
        <f ca="1">IFERROR(__xludf.DUMMYFUNCTION("""COMPUTED_VALUE"""),55.19)</f>
        <v>55.19</v>
      </c>
      <c r="BF551" s="3">
        <f ca="1">IFERROR(__xludf.DUMMYFUNCTION("""COMPUTED_VALUE"""),54.54)</f>
        <v>54.54</v>
      </c>
      <c r="BG551" s="3">
        <f ca="1">IFERROR(__xludf.DUMMYFUNCTION("""COMPUTED_VALUE"""),55.01)</f>
        <v>55.01</v>
      </c>
      <c r="BH551" s="3">
        <f ca="1">IFERROR(__xludf.DUMMYFUNCTION("""COMPUTED_VALUE"""),8818162)</f>
        <v>8818162</v>
      </c>
      <c r="BI551" s="4">
        <f ca="1">IFERROR(__xludf.DUMMYFUNCTION("""COMPUTED_VALUE"""),42923.6666666666)</f>
        <v>42923.666666666599</v>
      </c>
      <c r="BJ551" s="3">
        <f ca="1">IFERROR(__xludf.DUMMYFUNCTION("""COMPUTED_VALUE"""),51.44)</f>
        <v>51.44</v>
      </c>
      <c r="BK551" s="3">
        <f ca="1">IFERROR(__xludf.DUMMYFUNCTION("""COMPUTED_VALUE"""),51.74)</f>
        <v>51.74</v>
      </c>
      <c r="BL551" s="3">
        <f ca="1">IFERROR(__xludf.DUMMYFUNCTION("""COMPUTED_VALUE"""),51.39)</f>
        <v>51.39</v>
      </c>
      <c r="BM551" s="3">
        <f ca="1">IFERROR(__xludf.DUMMYFUNCTION("""COMPUTED_VALUE"""),51.49)</f>
        <v>51.49</v>
      </c>
      <c r="BN551" s="3">
        <f ca="1">IFERROR(__xludf.DUMMYFUNCTION("""COMPUTED_VALUE"""),13262983)</f>
        <v>13262983</v>
      </c>
    </row>
    <row r="552" spans="7:66" ht="13" x14ac:dyDescent="0.15">
      <c r="G552" s="4">
        <f ca="1">IFERROR(__xludf.DUMMYFUNCTION("""COMPUTED_VALUE"""),42926.6666666666)</f>
        <v>42926.666666666599</v>
      </c>
      <c r="H552" s="3">
        <f ca="1">IFERROR(__xludf.DUMMYFUNCTION("""COMPUTED_VALUE"""),89.27)</f>
        <v>89.27</v>
      </c>
      <c r="I552" s="3">
        <f ca="1">IFERROR(__xludf.DUMMYFUNCTION("""COMPUTED_VALUE"""),89.53)</f>
        <v>89.53</v>
      </c>
      <c r="J552" s="3">
        <f ca="1">IFERROR(__xludf.DUMMYFUNCTION("""COMPUTED_VALUE"""),89.01)</f>
        <v>89.01</v>
      </c>
      <c r="K552" s="3">
        <f ca="1">IFERROR(__xludf.DUMMYFUNCTION("""COMPUTED_VALUE"""),89.39)</f>
        <v>89.39</v>
      </c>
      <c r="L552" s="3">
        <f ca="1">IFERROR(__xludf.DUMMYFUNCTION("""COMPUTED_VALUE"""),2700116)</f>
        <v>2700116</v>
      </c>
      <c r="M552" s="4">
        <f ca="1">IFERROR(__xludf.DUMMYFUNCTION("""COMPUTED_VALUE"""),42926.6666666666)</f>
        <v>42926.666666666599</v>
      </c>
      <c r="N552" s="3">
        <f ca="1">IFERROR(__xludf.DUMMYFUNCTION("""COMPUTED_VALUE"""),54.56)</f>
        <v>54.56</v>
      </c>
      <c r="O552" s="3">
        <f ca="1">IFERROR(__xludf.DUMMYFUNCTION("""COMPUTED_VALUE"""),54.56)</f>
        <v>54.56</v>
      </c>
      <c r="P552" s="3">
        <f ca="1">IFERROR(__xludf.DUMMYFUNCTION("""COMPUTED_VALUE"""),54.06)</f>
        <v>54.06</v>
      </c>
      <c r="Q552" s="3">
        <f ca="1">IFERROR(__xludf.DUMMYFUNCTION("""COMPUTED_VALUE"""),54.13)</f>
        <v>54.13</v>
      </c>
      <c r="R552" s="3">
        <f ca="1">IFERROR(__xludf.DUMMYFUNCTION("""COMPUTED_VALUE"""),9119230)</f>
        <v>9119230</v>
      </c>
      <c r="S552" s="4">
        <f ca="1">IFERROR(__xludf.DUMMYFUNCTION("""COMPUTED_VALUE"""),42926.6666666666)</f>
        <v>42926.666666666599</v>
      </c>
      <c r="T552" s="3">
        <f ca="1">IFERROR(__xludf.DUMMYFUNCTION("""COMPUTED_VALUE"""),63.92)</f>
        <v>63.92</v>
      </c>
      <c r="U552" s="3">
        <f ca="1">IFERROR(__xludf.DUMMYFUNCTION("""COMPUTED_VALUE"""),64.37)</f>
        <v>64.37</v>
      </c>
      <c r="V552" s="3">
        <f ca="1">IFERROR(__xludf.DUMMYFUNCTION("""COMPUTED_VALUE"""),63.78)</f>
        <v>63.78</v>
      </c>
      <c r="W552" s="3">
        <f ca="1">IFERROR(__xludf.DUMMYFUNCTION("""COMPUTED_VALUE"""),64.22)</f>
        <v>64.22</v>
      </c>
      <c r="X552" s="3">
        <f ca="1">IFERROR(__xludf.DUMMYFUNCTION("""COMPUTED_VALUE"""),14153837)</f>
        <v>14153837</v>
      </c>
      <c r="Y552" s="4">
        <f ca="1">IFERROR(__xludf.DUMMYFUNCTION("""COMPUTED_VALUE"""),42926.6666666666)</f>
        <v>42926.666666666599</v>
      </c>
      <c r="Z552" s="3">
        <f ca="1">IFERROR(__xludf.DUMMYFUNCTION("""COMPUTED_VALUE"""),25.01)</f>
        <v>25.01</v>
      </c>
      <c r="AA552" s="3">
        <f ca="1">IFERROR(__xludf.DUMMYFUNCTION("""COMPUTED_VALUE"""),25.08)</f>
        <v>25.08</v>
      </c>
      <c r="AB552" s="3">
        <f ca="1">IFERROR(__xludf.DUMMYFUNCTION("""COMPUTED_VALUE"""),24.93)</f>
        <v>24.93</v>
      </c>
      <c r="AC552" s="3">
        <f ca="1">IFERROR(__xludf.DUMMYFUNCTION("""COMPUTED_VALUE"""),25.02)</f>
        <v>25.02</v>
      </c>
      <c r="AD552" s="3">
        <f ca="1">IFERROR(__xludf.DUMMYFUNCTION("""COMPUTED_VALUE"""),55022450)</f>
        <v>55022450</v>
      </c>
      <c r="AE552" s="4">
        <f ca="1">IFERROR(__xludf.DUMMYFUNCTION("""COMPUTED_VALUE"""),42926.6666666666)</f>
        <v>42926.666666666599</v>
      </c>
      <c r="AF552" s="3">
        <f ca="1">IFERROR(__xludf.DUMMYFUNCTION("""COMPUTED_VALUE"""),79.25)</f>
        <v>79.25</v>
      </c>
      <c r="AG552" s="3">
        <f ca="1">IFERROR(__xludf.DUMMYFUNCTION("""COMPUTED_VALUE"""),79.28)</f>
        <v>79.28</v>
      </c>
      <c r="AH552" s="3">
        <f ca="1">IFERROR(__xludf.DUMMYFUNCTION("""COMPUTED_VALUE"""),78.87)</f>
        <v>78.87</v>
      </c>
      <c r="AI552" s="3">
        <f ca="1">IFERROR(__xludf.DUMMYFUNCTION("""COMPUTED_VALUE"""),79.07)</f>
        <v>79.069999999999993</v>
      </c>
      <c r="AJ552" s="3">
        <f ca="1">IFERROR(__xludf.DUMMYFUNCTION("""COMPUTED_VALUE"""),3580016)</f>
        <v>3580016</v>
      </c>
      <c r="AK552" s="4">
        <f ca="1">IFERROR(__xludf.DUMMYFUNCTION("""COMPUTED_VALUE"""),42926.6666666666)</f>
        <v>42926.666666666599</v>
      </c>
      <c r="AL552" s="3">
        <f ca="1">IFERROR(__xludf.DUMMYFUNCTION("""COMPUTED_VALUE"""),68.61)</f>
        <v>68.61</v>
      </c>
      <c r="AM552" s="3">
        <f ca="1">IFERROR(__xludf.DUMMYFUNCTION("""COMPUTED_VALUE"""),69.18)</f>
        <v>69.180000000000007</v>
      </c>
      <c r="AN552" s="3">
        <f ca="1">IFERROR(__xludf.DUMMYFUNCTION("""COMPUTED_VALUE"""),68.53)</f>
        <v>68.53</v>
      </c>
      <c r="AO552" s="3">
        <f ca="1">IFERROR(__xludf.DUMMYFUNCTION("""COMPUTED_VALUE"""),68.86)</f>
        <v>68.86</v>
      </c>
      <c r="AP552" s="3">
        <f ca="1">IFERROR(__xludf.DUMMYFUNCTION("""COMPUTED_VALUE"""),7919515)</f>
        <v>7919515</v>
      </c>
      <c r="AQ552" s="4">
        <f ca="1">IFERROR(__xludf.DUMMYFUNCTION("""COMPUTED_VALUE"""),42926.6666666666)</f>
        <v>42926.666666666599</v>
      </c>
      <c r="AR552" s="3">
        <f ca="1">IFERROR(__xludf.DUMMYFUNCTION("""COMPUTED_VALUE"""),54.13)</f>
        <v>54.13</v>
      </c>
      <c r="AS552" s="3">
        <f ca="1">IFERROR(__xludf.DUMMYFUNCTION("""COMPUTED_VALUE"""),54.7)</f>
        <v>54.7</v>
      </c>
      <c r="AT552" s="3">
        <f ca="1">IFERROR(__xludf.DUMMYFUNCTION("""COMPUTED_VALUE"""),53.91)</f>
        <v>53.91</v>
      </c>
      <c r="AU552" s="3">
        <f ca="1">IFERROR(__xludf.DUMMYFUNCTION("""COMPUTED_VALUE"""),54.48)</f>
        <v>54.48</v>
      </c>
      <c r="AV552" s="3">
        <f ca="1">IFERROR(__xludf.DUMMYFUNCTION("""COMPUTED_VALUE"""),3855861)</f>
        <v>3855861</v>
      </c>
      <c r="BC552" s="4">
        <f ca="1">IFERROR(__xludf.DUMMYFUNCTION("""COMPUTED_VALUE"""),42926.6666666666)</f>
        <v>42926.666666666599</v>
      </c>
      <c r="BD552" s="3">
        <f ca="1">IFERROR(__xludf.DUMMYFUNCTION("""COMPUTED_VALUE"""),55.02)</f>
        <v>55.02</v>
      </c>
      <c r="BE552" s="3">
        <f ca="1">IFERROR(__xludf.DUMMYFUNCTION("""COMPUTED_VALUE"""),55.54)</f>
        <v>55.54</v>
      </c>
      <c r="BF552" s="3">
        <f ca="1">IFERROR(__xludf.DUMMYFUNCTION("""COMPUTED_VALUE"""),54.94)</f>
        <v>54.94</v>
      </c>
      <c r="BG552" s="3">
        <f ca="1">IFERROR(__xludf.DUMMYFUNCTION("""COMPUTED_VALUE"""),55.41)</f>
        <v>55.41</v>
      </c>
      <c r="BH552" s="3">
        <f ca="1">IFERROR(__xludf.DUMMYFUNCTION("""COMPUTED_VALUE"""),5594233)</f>
        <v>5594233</v>
      </c>
      <c r="BI552" s="4">
        <f ca="1">IFERROR(__xludf.DUMMYFUNCTION("""COMPUTED_VALUE"""),42926.6666666666)</f>
        <v>42926.666666666599</v>
      </c>
      <c r="BJ552" s="3">
        <f ca="1">IFERROR(__xludf.DUMMYFUNCTION("""COMPUTED_VALUE"""),51.64)</f>
        <v>51.64</v>
      </c>
      <c r="BK552" s="3">
        <f ca="1">IFERROR(__xludf.DUMMYFUNCTION("""COMPUTED_VALUE"""),51.76)</f>
        <v>51.76</v>
      </c>
      <c r="BL552" s="3">
        <f ca="1">IFERROR(__xludf.DUMMYFUNCTION("""COMPUTED_VALUE"""),51.41)</f>
        <v>51.41</v>
      </c>
      <c r="BM552" s="3">
        <f ca="1">IFERROR(__xludf.DUMMYFUNCTION("""COMPUTED_VALUE"""),51.45)</f>
        <v>51.45</v>
      </c>
      <c r="BN552" s="3">
        <f ca="1">IFERROR(__xludf.DUMMYFUNCTION("""COMPUTED_VALUE"""),16313813)</f>
        <v>16313813</v>
      </c>
    </row>
    <row r="553" spans="7:66" ht="13" x14ac:dyDescent="0.15">
      <c r="G553" s="4">
        <f ca="1">IFERROR(__xludf.DUMMYFUNCTION("""COMPUTED_VALUE"""),42927.6666666666)</f>
        <v>42927.666666666599</v>
      </c>
      <c r="H553" s="3">
        <f ca="1">IFERROR(__xludf.DUMMYFUNCTION("""COMPUTED_VALUE"""),89.29)</f>
        <v>89.29</v>
      </c>
      <c r="I553" s="3">
        <f ca="1">IFERROR(__xludf.DUMMYFUNCTION("""COMPUTED_VALUE"""),89.35)</f>
        <v>89.35</v>
      </c>
      <c r="J553" s="3">
        <f ca="1">IFERROR(__xludf.DUMMYFUNCTION("""COMPUTED_VALUE"""),88.72)</f>
        <v>88.72</v>
      </c>
      <c r="K553" s="3">
        <f ca="1">IFERROR(__xludf.DUMMYFUNCTION("""COMPUTED_VALUE"""),89.21)</f>
        <v>89.21</v>
      </c>
      <c r="L553" s="3">
        <f ca="1">IFERROR(__xludf.DUMMYFUNCTION("""COMPUTED_VALUE"""),3212276)</f>
        <v>3212276</v>
      </c>
      <c r="M553" s="4">
        <f ca="1">IFERROR(__xludf.DUMMYFUNCTION("""COMPUTED_VALUE"""),42927.6666666666)</f>
        <v>42927.666666666599</v>
      </c>
      <c r="N553" s="3">
        <f ca="1">IFERROR(__xludf.DUMMYFUNCTION("""COMPUTED_VALUE"""),54.18)</f>
        <v>54.18</v>
      </c>
      <c r="O553" s="3">
        <f ca="1">IFERROR(__xludf.DUMMYFUNCTION("""COMPUTED_VALUE"""),54.2)</f>
        <v>54.2</v>
      </c>
      <c r="P553" s="3">
        <f ca="1">IFERROR(__xludf.DUMMYFUNCTION("""COMPUTED_VALUE"""),53.86)</f>
        <v>53.86</v>
      </c>
      <c r="Q553" s="3">
        <f ca="1">IFERROR(__xludf.DUMMYFUNCTION("""COMPUTED_VALUE"""),53.98)</f>
        <v>53.98</v>
      </c>
      <c r="R553" s="3">
        <f ca="1">IFERROR(__xludf.DUMMYFUNCTION("""COMPUTED_VALUE"""),11256392)</f>
        <v>11256392</v>
      </c>
      <c r="S553" s="4">
        <f ca="1">IFERROR(__xludf.DUMMYFUNCTION("""COMPUTED_VALUE"""),42927.6666666666)</f>
        <v>42927.666666666599</v>
      </c>
      <c r="T553" s="3">
        <f ca="1">IFERROR(__xludf.DUMMYFUNCTION("""COMPUTED_VALUE"""),64.33)</f>
        <v>64.33</v>
      </c>
      <c r="U553" s="3">
        <f ca="1">IFERROR(__xludf.DUMMYFUNCTION("""COMPUTED_VALUE"""),64.8)</f>
        <v>64.8</v>
      </c>
      <c r="V553" s="3">
        <f ca="1">IFERROR(__xludf.DUMMYFUNCTION("""COMPUTED_VALUE"""),63.93)</f>
        <v>63.93</v>
      </c>
      <c r="W553" s="3">
        <f ca="1">IFERROR(__xludf.DUMMYFUNCTION("""COMPUTED_VALUE"""),64.57)</f>
        <v>64.569999999999993</v>
      </c>
      <c r="X553" s="3">
        <f ca="1">IFERROR(__xludf.DUMMYFUNCTION("""COMPUTED_VALUE"""),11899827)</f>
        <v>11899827</v>
      </c>
      <c r="Y553" s="4">
        <f ca="1">IFERROR(__xludf.DUMMYFUNCTION("""COMPUTED_VALUE"""),42927.6666666666)</f>
        <v>42927.666666666599</v>
      </c>
      <c r="Z553" s="3">
        <f ca="1">IFERROR(__xludf.DUMMYFUNCTION("""COMPUTED_VALUE"""),25)</f>
        <v>25</v>
      </c>
      <c r="AA553" s="3">
        <f ca="1">IFERROR(__xludf.DUMMYFUNCTION("""COMPUTED_VALUE"""),25.01)</f>
        <v>25.01</v>
      </c>
      <c r="AB553" s="3">
        <f ca="1">IFERROR(__xludf.DUMMYFUNCTION("""COMPUTED_VALUE"""),24.73)</f>
        <v>24.73</v>
      </c>
      <c r="AC553" s="3">
        <f ca="1">IFERROR(__xludf.DUMMYFUNCTION("""COMPUTED_VALUE"""),24.8)</f>
        <v>24.8</v>
      </c>
      <c r="AD553" s="3">
        <f ca="1">IFERROR(__xludf.DUMMYFUNCTION("""COMPUTED_VALUE"""),49857176)</f>
        <v>49857176</v>
      </c>
      <c r="AE553" s="4">
        <f ca="1">IFERROR(__xludf.DUMMYFUNCTION("""COMPUTED_VALUE"""),42927.6666666666)</f>
        <v>42927.666666666599</v>
      </c>
      <c r="AF553" s="3">
        <f ca="1">IFERROR(__xludf.DUMMYFUNCTION("""COMPUTED_VALUE"""),79.02)</f>
        <v>79.02</v>
      </c>
      <c r="AG553" s="3">
        <f ca="1">IFERROR(__xludf.DUMMYFUNCTION("""COMPUTED_VALUE"""),79.19)</f>
        <v>79.19</v>
      </c>
      <c r="AH553" s="3">
        <f ca="1">IFERROR(__xludf.DUMMYFUNCTION("""COMPUTED_VALUE"""),78.58)</f>
        <v>78.58</v>
      </c>
      <c r="AI553" s="3">
        <f ca="1">IFERROR(__xludf.DUMMYFUNCTION("""COMPUTED_VALUE"""),78.98)</f>
        <v>78.98</v>
      </c>
      <c r="AJ553" s="3">
        <f ca="1">IFERROR(__xludf.DUMMYFUNCTION("""COMPUTED_VALUE"""),4117501)</f>
        <v>4117501</v>
      </c>
      <c r="AK553" s="4">
        <f ca="1">IFERROR(__xludf.DUMMYFUNCTION("""COMPUTED_VALUE"""),42927.6666666666)</f>
        <v>42927.666666666599</v>
      </c>
      <c r="AL553" s="3">
        <f ca="1">IFERROR(__xludf.DUMMYFUNCTION("""COMPUTED_VALUE"""),68.86)</f>
        <v>68.86</v>
      </c>
      <c r="AM553" s="3">
        <f ca="1">IFERROR(__xludf.DUMMYFUNCTION("""COMPUTED_VALUE"""),68.91)</f>
        <v>68.91</v>
      </c>
      <c r="AN553" s="3">
        <f ca="1">IFERROR(__xludf.DUMMYFUNCTION("""COMPUTED_VALUE"""),68.32)</f>
        <v>68.319999999999993</v>
      </c>
      <c r="AO553" s="3">
        <f ca="1">IFERROR(__xludf.DUMMYFUNCTION("""COMPUTED_VALUE"""),68.8)</f>
        <v>68.8</v>
      </c>
      <c r="AP553" s="3">
        <f ca="1">IFERROR(__xludf.DUMMYFUNCTION("""COMPUTED_VALUE"""),7683534)</f>
        <v>7683534</v>
      </c>
      <c r="AQ553" s="4">
        <f ca="1">IFERROR(__xludf.DUMMYFUNCTION("""COMPUTED_VALUE"""),42927.6666666666)</f>
        <v>42927.666666666599</v>
      </c>
      <c r="AR553" s="3">
        <f ca="1">IFERROR(__xludf.DUMMYFUNCTION("""COMPUTED_VALUE"""),54.48)</f>
        <v>54.48</v>
      </c>
      <c r="AS553" s="3">
        <f ca="1">IFERROR(__xludf.DUMMYFUNCTION("""COMPUTED_VALUE"""),54.54)</f>
        <v>54.54</v>
      </c>
      <c r="AT553" s="3">
        <f ca="1">IFERROR(__xludf.DUMMYFUNCTION("""COMPUTED_VALUE"""),54.07)</f>
        <v>54.07</v>
      </c>
      <c r="AU553" s="3">
        <f ca="1">IFERROR(__xludf.DUMMYFUNCTION("""COMPUTED_VALUE"""),54.4)</f>
        <v>54.4</v>
      </c>
      <c r="AV553" s="3">
        <f ca="1">IFERROR(__xludf.DUMMYFUNCTION("""COMPUTED_VALUE"""),2008603)</f>
        <v>2008603</v>
      </c>
      <c r="BC553" s="4">
        <f ca="1">IFERROR(__xludf.DUMMYFUNCTION("""COMPUTED_VALUE"""),42927.6666666666)</f>
        <v>42927.666666666599</v>
      </c>
      <c r="BD553" s="3">
        <f ca="1">IFERROR(__xludf.DUMMYFUNCTION("""COMPUTED_VALUE"""),55.35)</f>
        <v>55.35</v>
      </c>
      <c r="BE553" s="3">
        <f ca="1">IFERROR(__xludf.DUMMYFUNCTION("""COMPUTED_VALUE"""),55.62)</f>
        <v>55.62</v>
      </c>
      <c r="BF553" s="3">
        <f ca="1">IFERROR(__xludf.DUMMYFUNCTION("""COMPUTED_VALUE"""),55.14)</f>
        <v>55.14</v>
      </c>
      <c r="BG553" s="3">
        <f ca="1">IFERROR(__xludf.DUMMYFUNCTION("""COMPUTED_VALUE"""),55.53)</f>
        <v>55.53</v>
      </c>
      <c r="BH553" s="3">
        <f ca="1">IFERROR(__xludf.DUMMYFUNCTION("""COMPUTED_VALUE"""),6856538)</f>
        <v>6856538</v>
      </c>
      <c r="BI553" s="4">
        <f ca="1">IFERROR(__xludf.DUMMYFUNCTION("""COMPUTED_VALUE"""),42927.6666666666)</f>
        <v>42927.666666666599</v>
      </c>
      <c r="BJ553" s="3">
        <f ca="1">IFERROR(__xludf.DUMMYFUNCTION("""COMPUTED_VALUE"""),51.53)</f>
        <v>51.53</v>
      </c>
      <c r="BK553" s="3">
        <f ca="1">IFERROR(__xludf.DUMMYFUNCTION("""COMPUTED_VALUE"""),51.53)</f>
        <v>51.53</v>
      </c>
      <c r="BL553" s="3">
        <f ca="1">IFERROR(__xludf.DUMMYFUNCTION("""COMPUTED_VALUE"""),51.17)</f>
        <v>51.17</v>
      </c>
      <c r="BM553" s="3">
        <f ca="1">IFERROR(__xludf.DUMMYFUNCTION("""COMPUTED_VALUE"""),51.42)</f>
        <v>51.42</v>
      </c>
      <c r="BN553" s="3">
        <f ca="1">IFERROR(__xludf.DUMMYFUNCTION("""COMPUTED_VALUE"""),9055879)</f>
        <v>9055879</v>
      </c>
    </row>
    <row r="554" spans="7:66" ht="13" x14ac:dyDescent="0.15">
      <c r="G554" s="4">
        <f ca="1">IFERROR(__xludf.DUMMYFUNCTION("""COMPUTED_VALUE"""),42928.6666666666)</f>
        <v>42928.666666666599</v>
      </c>
      <c r="H554" s="3">
        <f ca="1">IFERROR(__xludf.DUMMYFUNCTION("""COMPUTED_VALUE"""),89.71)</f>
        <v>89.71</v>
      </c>
      <c r="I554" s="3">
        <f ca="1">IFERROR(__xludf.DUMMYFUNCTION("""COMPUTED_VALUE"""),90.02)</f>
        <v>90.02</v>
      </c>
      <c r="J554" s="3">
        <f ca="1">IFERROR(__xludf.DUMMYFUNCTION("""COMPUTED_VALUE"""),89.65)</f>
        <v>89.65</v>
      </c>
      <c r="K554" s="3">
        <f ca="1">IFERROR(__xludf.DUMMYFUNCTION("""COMPUTED_VALUE"""),89.89)</f>
        <v>89.89</v>
      </c>
      <c r="L554" s="3">
        <f ca="1">IFERROR(__xludf.DUMMYFUNCTION("""COMPUTED_VALUE"""),3033865)</f>
        <v>3033865</v>
      </c>
      <c r="M554" s="4">
        <f ca="1">IFERROR(__xludf.DUMMYFUNCTION("""COMPUTED_VALUE"""),42928.6666666666)</f>
        <v>42928.666666666599</v>
      </c>
      <c r="N554" s="3">
        <f ca="1">IFERROR(__xludf.DUMMYFUNCTION("""COMPUTED_VALUE"""),54.32)</f>
        <v>54.32</v>
      </c>
      <c r="O554" s="3">
        <f ca="1">IFERROR(__xludf.DUMMYFUNCTION("""COMPUTED_VALUE"""),54.47)</f>
        <v>54.47</v>
      </c>
      <c r="P554" s="3">
        <f ca="1">IFERROR(__xludf.DUMMYFUNCTION("""COMPUTED_VALUE"""),54.24)</f>
        <v>54.24</v>
      </c>
      <c r="Q554" s="3">
        <f ca="1">IFERROR(__xludf.DUMMYFUNCTION("""COMPUTED_VALUE"""),54.28)</f>
        <v>54.28</v>
      </c>
      <c r="R554" s="3">
        <f ca="1">IFERROR(__xludf.DUMMYFUNCTION("""COMPUTED_VALUE"""),8100821)</f>
        <v>8100821</v>
      </c>
      <c r="S554" s="4">
        <f ca="1">IFERROR(__xludf.DUMMYFUNCTION("""COMPUTED_VALUE"""),42928.6666666666)</f>
        <v>42928.666666666599</v>
      </c>
      <c r="T554" s="3">
        <f ca="1">IFERROR(__xludf.DUMMYFUNCTION("""COMPUTED_VALUE"""),65.21)</f>
        <v>65.209999999999994</v>
      </c>
      <c r="U554" s="3">
        <f ca="1">IFERROR(__xludf.DUMMYFUNCTION("""COMPUTED_VALUE"""),65.37)</f>
        <v>65.37</v>
      </c>
      <c r="V554" s="3">
        <f ca="1">IFERROR(__xludf.DUMMYFUNCTION("""COMPUTED_VALUE"""),64.47)</f>
        <v>64.47</v>
      </c>
      <c r="W554" s="3">
        <f ca="1">IFERROR(__xludf.DUMMYFUNCTION("""COMPUTED_VALUE"""),64.75)</f>
        <v>64.75</v>
      </c>
      <c r="X554" s="3">
        <f ca="1">IFERROR(__xludf.DUMMYFUNCTION("""COMPUTED_VALUE"""),14818635)</f>
        <v>14818635</v>
      </c>
      <c r="Y554" s="4">
        <f ca="1">IFERROR(__xludf.DUMMYFUNCTION("""COMPUTED_VALUE"""),42928.6666666666)</f>
        <v>42928.666666666599</v>
      </c>
      <c r="Z554" s="3">
        <f ca="1">IFERROR(__xludf.DUMMYFUNCTION("""COMPUTED_VALUE"""),24.77)</f>
        <v>24.77</v>
      </c>
      <c r="AA554" s="3">
        <f ca="1">IFERROR(__xludf.DUMMYFUNCTION("""COMPUTED_VALUE"""),24.9)</f>
        <v>24.9</v>
      </c>
      <c r="AB554" s="3">
        <f ca="1">IFERROR(__xludf.DUMMYFUNCTION("""COMPUTED_VALUE"""),24.73)</f>
        <v>24.73</v>
      </c>
      <c r="AC554" s="3">
        <f ca="1">IFERROR(__xludf.DUMMYFUNCTION("""COMPUTED_VALUE"""),24.88)</f>
        <v>24.88</v>
      </c>
      <c r="AD554" s="3">
        <f ca="1">IFERROR(__xludf.DUMMYFUNCTION("""COMPUTED_VALUE"""),47818560)</f>
        <v>47818560</v>
      </c>
      <c r="AE554" s="4">
        <f ca="1">IFERROR(__xludf.DUMMYFUNCTION("""COMPUTED_VALUE"""),42928.6666666666)</f>
        <v>42928.666666666599</v>
      </c>
      <c r="AF554" s="3">
        <f ca="1">IFERROR(__xludf.DUMMYFUNCTION("""COMPUTED_VALUE"""),79.37)</f>
        <v>79.37</v>
      </c>
      <c r="AG554" s="3">
        <f ca="1">IFERROR(__xludf.DUMMYFUNCTION("""COMPUTED_VALUE"""),79.78)</f>
        <v>79.78</v>
      </c>
      <c r="AH554" s="3">
        <f ca="1">IFERROR(__xludf.DUMMYFUNCTION("""COMPUTED_VALUE"""),79.35)</f>
        <v>79.349999999999994</v>
      </c>
      <c r="AI554" s="3">
        <f ca="1">IFERROR(__xludf.DUMMYFUNCTION("""COMPUTED_VALUE"""),79.52)</f>
        <v>79.52</v>
      </c>
      <c r="AJ554" s="3">
        <f ca="1">IFERROR(__xludf.DUMMYFUNCTION("""COMPUTED_VALUE"""),8808227)</f>
        <v>8808227</v>
      </c>
      <c r="AK554" s="4">
        <f ca="1">IFERROR(__xludf.DUMMYFUNCTION("""COMPUTED_VALUE"""),42928.6666666666)</f>
        <v>42928.666666666599</v>
      </c>
      <c r="AL554" s="3">
        <f ca="1">IFERROR(__xludf.DUMMYFUNCTION("""COMPUTED_VALUE"""),69.19)</f>
        <v>69.19</v>
      </c>
      <c r="AM554" s="3">
        <f ca="1">IFERROR(__xludf.DUMMYFUNCTION("""COMPUTED_VALUE"""),69.5)</f>
        <v>69.5</v>
      </c>
      <c r="AN554" s="3">
        <f ca="1">IFERROR(__xludf.DUMMYFUNCTION("""COMPUTED_VALUE"""),69.1)</f>
        <v>69.099999999999994</v>
      </c>
      <c r="AO554" s="3">
        <f ca="1">IFERROR(__xludf.DUMMYFUNCTION("""COMPUTED_VALUE"""),69.18)</f>
        <v>69.180000000000007</v>
      </c>
      <c r="AP554" s="3">
        <f ca="1">IFERROR(__xludf.DUMMYFUNCTION("""COMPUTED_VALUE"""),5821774)</f>
        <v>5821774</v>
      </c>
      <c r="AQ554" s="4">
        <f ca="1">IFERROR(__xludf.DUMMYFUNCTION("""COMPUTED_VALUE"""),42928.6666666666)</f>
        <v>42928.666666666599</v>
      </c>
      <c r="AR554" s="3">
        <f ca="1">IFERROR(__xludf.DUMMYFUNCTION("""COMPUTED_VALUE"""),54.69)</f>
        <v>54.69</v>
      </c>
      <c r="AS554" s="3">
        <f ca="1">IFERROR(__xludf.DUMMYFUNCTION("""COMPUTED_VALUE"""),55.08)</f>
        <v>55.08</v>
      </c>
      <c r="AT554" s="3">
        <f ca="1">IFERROR(__xludf.DUMMYFUNCTION("""COMPUTED_VALUE"""),54.6)</f>
        <v>54.6</v>
      </c>
      <c r="AU554" s="3">
        <f ca="1">IFERROR(__xludf.DUMMYFUNCTION("""COMPUTED_VALUE"""),55.03)</f>
        <v>55.03</v>
      </c>
      <c r="AV554" s="3">
        <f ca="1">IFERROR(__xludf.DUMMYFUNCTION("""COMPUTED_VALUE"""),2901222)</f>
        <v>2901222</v>
      </c>
      <c r="BC554" s="4">
        <f ca="1">IFERROR(__xludf.DUMMYFUNCTION("""COMPUTED_VALUE"""),42928.6666666666)</f>
        <v>42928.666666666599</v>
      </c>
      <c r="BD554" s="3">
        <f ca="1">IFERROR(__xludf.DUMMYFUNCTION("""COMPUTED_VALUE"""),55.91)</f>
        <v>55.91</v>
      </c>
      <c r="BE554" s="3">
        <f ca="1">IFERROR(__xludf.DUMMYFUNCTION("""COMPUTED_VALUE"""),56.3)</f>
        <v>56.3</v>
      </c>
      <c r="BF554" s="3">
        <f ca="1">IFERROR(__xludf.DUMMYFUNCTION("""COMPUTED_VALUE"""),55.88)</f>
        <v>55.88</v>
      </c>
      <c r="BG554" s="3">
        <f ca="1">IFERROR(__xludf.DUMMYFUNCTION("""COMPUTED_VALUE"""),56.25)</f>
        <v>56.25</v>
      </c>
      <c r="BH554" s="3">
        <f ca="1">IFERROR(__xludf.DUMMYFUNCTION("""COMPUTED_VALUE"""),16551936)</f>
        <v>16551936</v>
      </c>
      <c r="BI554" s="4">
        <f ca="1">IFERROR(__xludf.DUMMYFUNCTION("""COMPUTED_VALUE"""),42928.6666666666)</f>
        <v>42928.666666666599</v>
      </c>
      <c r="BJ554" s="3">
        <f ca="1">IFERROR(__xludf.DUMMYFUNCTION("""COMPUTED_VALUE"""),51.87)</f>
        <v>51.87</v>
      </c>
      <c r="BK554" s="3">
        <f ca="1">IFERROR(__xludf.DUMMYFUNCTION("""COMPUTED_VALUE"""),52.01)</f>
        <v>52.01</v>
      </c>
      <c r="BL554" s="3">
        <f ca="1">IFERROR(__xludf.DUMMYFUNCTION("""COMPUTED_VALUE"""),51.77)</f>
        <v>51.77</v>
      </c>
      <c r="BM554" s="3">
        <f ca="1">IFERROR(__xludf.DUMMYFUNCTION("""COMPUTED_VALUE"""),51.86)</f>
        <v>51.86</v>
      </c>
      <c r="BN554" s="3">
        <f ca="1">IFERROR(__xludf.DUMMYFUNCTION("""COMPUTED_VALUE"""),12142987)</f>
        <v>12142987</v>
      </c>
    </row>
    <row r="555" spans="7:66" ht="13" x14ac:dyDescent="0.15">
      <c r="G555" s="4">
        <f ca="1">IFERROR(__xludf.DUMMYFUNCTION("""COMPUTED_VALUE"""),42929.6666666666)</f>
        <v>42929.666666666599</v>
      </c>
      <c r="H555" s="3">
        <f ca="1">IFERROR(__xludf.DUMMYFUNCTION("""COMPUTED_VALUE"""),90.15)</f>
        <v>90.15</v>
      </c>
      <c r="I555" s="3">
        <f ca="1">IFERROR(__xludf.DUMMYFUNCTION("""COMPUTED_VALUE"""),90.25)</f>
        <v>90.25</v>
      </c>
      <c r="J555" s="3">
        <f ca="1">IFERROR(__xludf.DUMMYFUNCTION("""COMPUTED_VALUE"""),89.83)</f>
        <v>89.83</v>
      </c>
      <c r="K555" s="3">
        <f ca="1">IFERROR(__xludf.DUMMYFUNCTION("""COMPUTED_VALUE"""),89.9)</f>
        <v>89.9</v>
      </c>
      <c r="L555" s="3">
        <f ca="1">IFERROR(__xludf.DUMMYFUNCTION("""COMPUTED_VALUE"""),3311710)</f>
        <v>3311710</v>
      </c>
      <c r="M555" s="4">
        <f ca="1">IFERROR(__xludf.DUMMYFUNCTION("""COMPUTED_VALUE"""),42929.6666666666)</f>
        <v>42929.666666666599</v>
      </c>
      <c r="N555" s="3">
        <f ca="1">IFERROR(__xludf.DUMMYFUNCTION("""COMPUTED_VALUE"""),54.35)</f>
        <v>54.35</v>
      </c>
      <c r="O555" s="3">
        <f ca="1">IFERROR(__xludf.DUMMYFUNCTION("""COMPUTED_VALUE"""),54.41)</f>
        <v>54.41</v>
      </c>
      <c r="P555" s="3">
        <f ca="1">IFERROR(__xludf.DUMMYFUNCTION("""COMPUTED_VALUE"""),54.24)</f>
        <v>54.24</v>
      </c>
      <c r="Q555" s="3">
        <f ca="1">IFERROR(__xludf.DUMMYFUNCTION("""COMPUTED_VALUE"""),54.29)</f>
        <v>54.29</v>
      </c>
      <c r="R555" s="3">
        <f ca="1">IFERROR(__xludf.DUMMYFUNCTION("""COMPUTED_VALUE"""),10008222)</f>
        <v>10008222</v>
      </c>
      <c r="S555" s="4">
        <f ca="1">IFERROR(__xludf.DUMMYFUNCTION("""COMPUTED_VALUE"""),42929.6666666666)</f>
        <v>42929.666666666599</v>
      </c>
      <c r="T555" s="3">
        <f ca="1">IFERROR(__xludf.DUMMYFUNCTION("""COMPUTED_VALUE"""),64.8)</f>
        <v>64.8</v>
      </c>
      <c r="U555" s="3">
        <f ca="1">IFERROR(__xludf.DUMMYFUNCTION("""COMPUTED_VALUE"""),65.06)</f>
        <v>65.06</v>
      </c>
      <c r="V555" s="3">
        <f ca="1">IFERROR(__xludf.DUMMYFUNCTION("""COMPUTED_VALUE"""),64.44)</f>
        <v>64.44</v>
      </c>
      <c r="W555" s="3">
        <f ca="1">IFERROR(__xludf.DUMMYFUNCTION("""COMPUTED_VALUE"""),65.01)</f>
        <v>65.010000000000005</v>
      </c>
      <c r="X555" s="3">
        <f ca="1">IFERROR(__xludf.DUMMYFUNCTION("""COMPUTED_VALUE"""),10056779)</f>
        <v>10056779</v>
      </c>
      <c r="Y555" s="4">
        <f ca="1">IFERROR(__xludf.DUMMYFUNCTION("""COMPUTED_VALUE"""),42929.6666666666)</f>
        <v>42929.666666666599</v>
      </c>
      <c r="Z555" s="3">
        <f ca="1">IFERROR(__xludf.DUMMYFUNCTION("""COMPUTED_VALUE"""),24.88)</f>
        <v>24.88</v>
      </c>
      <c r="AA555" s="3">
        <f ca="1">IFERROR(__xludf.DUMMYFUNCTION("""COMPUTED_VALUE"""),25.03)</f>
        <v>25.03</v>
      </c>
      <c r="AB555" s="3">
        <f ca="1">IFERROR(__xludf.DUMMYFUNCTION("""COMPUTED_VALUE"""),24.86)</f>
        <v>24.86</v>
      </c>
      <c r="AC555" s="3">
        <f ca="1">IFERROR(__xludf.DUMMYFUNCTION("""COMPUTED_VALUE"""),25.03)</f>
        <v>25.03</v>
      </c>
      <c r="AD555" s="3">
        <f ca="1">IFERROR(__xludf.DUMMYFUNCTION("""COMPUTED_VALUE"""),48875853)</f>
        <v>48875853</v>
      </c>
      <c r="AE555" s="4">
        <f ca="1">IFERROR(__xludf.DUMMYFUNCTION("""COMPUTED_VALUE"""),42929.6666666666)</f>
        <v>42929.666666666599</v>
      </c>
      <c r="AF555" s="3">
        <f ca="1">IFERROR(__xludf.DUMMYFUNCTION("""COMPUTED_VALUE"""),79.59)</f>
        <v>79.59</v>
      </c>
      <c r="AG555" s="3">
        <f ca="1">IFERROR(__xludf.DUMMYFUNCTION("""COMPUTED_VALUE"""),79.84)</f>
        <v>79.84</v>
      </c>
      <c r="AH555" s="3">
        <f ca="1">IFERROR(__xludf.DUMMYFUNCTION("""COMPUTED_VALUE"""),79.05)</f>
        <v>79.05</v>
      </c>
      <c r="AI555" s="3">
        <f ca="1">IFERROR(__xludf.DUMMYFUNCTION("""COMPUTED_VALUE"""),79.59)</f>
        <v>79.59</v>
      </c>
      <c r="AJ555" s="3">
        <f ca="1">IFERROR(__xludf.DUMMYFUNCTION("""COMPUTED_VALUE"""),9437737)</f>
        <v>9437737</v>
      </c>
      <c r="AK555" s="4">
        <f ca="1">IFERROR(__xludf.DUMMYFUNCTION("""COMPUTED_VALUE"""),42929.6666666666)</f>
        <v>42929.666666666599</v>
      </c>
      <c r="AL555" s="3">
        <f ca="1">IFERROR(__xludf.DUMMYFUNCTION("""COMPUTED_VALUE"""),69.25)</f>
        <v>69.25</v>
      </c>
      <c r="AM555" s="3">
        <f ca="1">IFERROR(__xludf.DUMMYFUNCTION("""COMPUTED_VALUE"""),69.4)</f>
        <v>69.400000000000006</v>
      </c>
      <c r="AN555" s="3">
        <f ca="1">IFERROR(__xludf.DUMMYFUNCTION("""COMPUTED_VALUE"""),68.97)</f>
        <v>68.97</v>
      </c>
      <c r="AO555" s="3">
        <f ca="1">IFERROR(__xludf.DUMMYFUNCTION("""COMPUTED_VALUE"""),69.13)</f>
        <v>69.13</v>
      </c>
      <c r="AP555" s="3">
        <f ca="1">IFERROR(__xludf.DUMMYFUNCTION("""COMPUTED_VALUE"""),3938756)</f>
        <v>3938756</v>
      </c>
      <c r="AQ555" s="4">
        <f ca="1">IFERROR(__xludf.DUMMYFUNCTION("""COMPUTED_VALUE"""),42929.6666666666)</f>
        <v>42929.666666666599</v>
      </c>
      <c r="AR555" s="3">
        <f ca="1">IFERROR(__xludf.DUMMYFUNCTION("""COMPUTED_VALUE"""),55.08)</f>
        <v>55.08</v>
      </c>
      <c r="AS555" s="3">
        <f ca="1">IFERROR(__xludf.DUMMYFUNCTION("""COMPUTED_VALUE"""),55.18)</f>
        <v>55.18</v>
      </c>
      <c r="AT555" s="3">
        <f ca="1">IFERROR(__xludf.DUMMYFUNCTION("""COMPUTED_VALUE"""),54.89)</f>
        <v>54.89</v>
      </c>
      <c r="AU555" s="3">
        <f ca="1">IFERROR(__xludf.DUMMYFUNCTION("""COMPUTED_VALUE"""),54.97)</f>
        <v>54.97</v>
      </c>
      <c r="AV555" s="3">
        <f ca="1">IFERROR(__xludf.DUMMYFUNCTION("""COMPUTED_VALUE"""),2133388)</f>
        <v>2133388</v>
      </c>
      <c r="BC555" s="4">
        <f ca="1">IFERROR(__xludf.DUMMYFUNCTION("""COMPUTED_VALUE"""),42929.6666666666)</f>
        <v>42929.666666666599</v>
      </c>
      <c r="BD555" s="3">
        <f ca="1">IFERROR(__xludf.DUMMYFUNCTION("""COMPUTED_VALUE"""),56.33)</f>
        <v>56.33</v>
      </c>
      <c r="BE555" s="3">
        <f ca="1">IFERROR(__xludf.DUMMYFUNCTION("""COMPUTED_VALUE"""),56.56)</f>
        <v>56.56</v>
      </c>
      <c r="BF555" s="3">
        <f ca="1">IFERROR(__xludf.DUMMYFUNCTION("""COMPUTED_VALUE"""),56.23)</f>
        <v>56.23</v>
      </c>
      <c r="BG555" s="3">
        <f ca="1">IFERROR(__xludf.DUMMYFUNCTION("""COMPUTED_VALUE"""),56.36)</f>
        <v>56.36</v>
      </c>
      <c r="BH555" s="3">
        <f ca="1">IFERROR(__xludf.DUMMYFUNCTION("""COMPUTED_VALUE"""),8125081)</f>
        <v>8125081</v>
      </c>
      <c r="BI555" s="4">
        <f ca="1">IFERROR(__xludf.DUMMYFUNCTION("""COMPUTED_VALUE"""),42929.6666666666)</f>
        <v>42929.666666666599</v>
      </c>
      <c r="BJ555" s="3">
        <f ca="1">IFERROR(__xludf.DUMMYFUNCTION("""COMPUTED_VALUE"""),51.83)</f>
        <v>51.83</v>
      </c>
      <c r="BK555" s="3">
        <f ca="1">IFERROR(__xludf.DUMMYFUNCTION("""COMPUTED_VALUE"""),51.97)</f>
        <v>51.97</v>
      </c>
      <c r="BL555" s="3">
        <f ca="1">IFERROR(__xludf.DUMMYFUNCTION("""COMPUTED_VALUE"""),51.64)</f>
        <v>51.64</v>
      </c>
      <c r="BM555" s="3">
        <f ca="1">IFERROR(__xludf.DUMMYFUNCTION("""COMPUTED_VALUE"""),51.68)</f>
        <v>51.68</v>
      </c>
      <c r="BN555" s="3">
        <f ca="1">IFERROR(__xludf.DUMMYFUNCTION("""COMPUTED_VALUE"""),6920975)</f>
        <v>6920975</v>
      </c>
    </row>
    <row r="556" spans="7:66" ht="13" x14ac:dyDescent="0.15">
      <c r="G556" s="4">
        <f ca="1">IFERROR(__xludf.DUMMYFUNCTION("""COMPUTED_VALUE"""),42930.6666666666)</f>
        <v>42930.666666666599</v>
      </c>
      <c r="H556" s="3">
        <f ca="1">IFERROR(__xludf.DUMMYFUNCTION("""COMPUTED_VALUE"""),90.18)</f>
        <v>90.18</v>
      </c>
      <c r="I556" s="3">
        <f ca="1">IFERROR(__xludf.DUMMYFUNCTION("""COMPUTED_VALUE"""),90.3)</f>
        <v>90.3</v>
      </c>
      <c r="J556" s="3">
        <f ca="1">IFERROR(__xludf.DUMMYFUNCTION("""COMPUTED_VALUE"""),89.79)</f>
        <v>89.79</v>
      </c>
      <c r="K556" s="3">
        <f ca="1">IFERROR(__xludf.DUMMYFUNCTION("""COMPUTED_VALUE"""),90.19)</f>
        <v>90.19</v>
      </c>
      <c r="L556" s="3">
        <f ca="1">IFERROR(__xludf.DUMMYFUNCTION("""COMPUTED_VALUE"""),4139975)</f>
        <v>4139975</v>
      </c>
      <c r="M556" s="4">
        <f ca="1">IFERROR(__xludf.DUMMYFUNCTION("""COMPUTED_VALUE"""),42930.6666666666)</f>
        <v>42930.666666666599</v>
      </c>
      <c r="N556" s="3">
        <f ca="1">IFERROR(__xludf.DUMMYFUNCTION("""COMPUTED_VALUE"""),54.54)</f>
        <v>54.54</v>
      </c>
      <c r="O556" s="3">
        <f ca="1">IFERROR(__xludf.DUMMYFUNCTION("""COMPUTED_VALUE"""),54.8)</f>
        <v>54.8</v>
      </c>
      <c r="P556" s="3">
        <f ca="1">IFERROR(__xludf.DUMMYFUNCTION("""COMPUTED_VALUE"""),54.52)</f>
        <v>54.52</v>
      </c>
      <c r="Q556" s="3">
        <f ca="1">IFERROR(__xludf.DUMMYFUNCTION("""COMPUTED_VALUE"""),54.72)</f>
        <v>54.72</v>
      </c>
      <c r="R556" s="3">
        <f ca="1">IFERROR(__xludf.DUMMYFUNCTION("""COMPUTED_VALUE"""),6341071)</f>
        <v>6341071</v>
      </c>
      <c r="S556" s="4">
        <f ca="1">IFERROR(__xludf.DUMMYFUNCTION("""COMPUTED_VALUE"""),42930.6666666666)</f>
        <v>42930.666666666599</v>
      </c>
      <c r="T556" s="3">
        <f ca="1">IFERROR(__xludf.DUMMYFUNCTION("""COMPUTED_VALUE"""),65.05)</f>
        <v>65.05</v>
      </c>
      <c r="U556" s="3">
        <f ca="1">IFERROR(__xludf.DUMMYFUNCTION("""COMPUTED_VALUE"""),65.52)</f>
        <v>65.52</v>
      </c>
      <c r="V556" s="3">
        <f ca="1">IFERROR(__xludf.DUMMYFUNCTION("""COMPUTED_VALUE"""),64.99)</f>
        <v>64.989999999999995</v>
      </c>
      <c r="W556" s="3">
        <f ca="1">IFERROR(__xludf.DUMMYFUNCTION("""COMPUTED_VALUE"""),65.4)</f>
        <v>65.400000000000006</v>
      </c>
      <c r="X556" s="3">
        <f ca="1">IFERROR(__xludf.DUMMYFUNCTION("""COMPUTED_VALUE"""),10272535)</f>
        <v>10272535</v>
      </c>
      <c r="Y556" s="4">
        <f ca="1">IFERROR(__xludf.DUMMYFUNCTION("""COMPUTED_VALUE"""),42930.6666666666)</f>
        <v>42930.666666666599</v>
      </c>
      <c r="Z556" s="3">
        <f ca="1">IFERROR(__xludf.DUMMYFUNCTION("""COMPUTED_VALUE"""),24.72)</f>
        <v>24.72</v>
      </c>
      <c r="AA556" s="3">
        <f ca="1">IFERROR(__xludf.DUMMYFUNCTION("""COMPUTED_VALUE"""),24.96)</f>
        <v>24.96</v>
      </c>
      <c r="AB556" s="3">
        <f ca="1">IFERROR(__xludf.DUMMYFUNCTION("""COMPUTED_VALUE"""),24.59)</f>
        <v>24.59</v>
      </c>
      <c r="AC556" s="3">
        <f ca="1">IFERROR(__xludf.DUMMYFUNCTION("""COMPUTED_VALUE"""),24.92)</f>
        <v>24.92</v>
      </c>
      <c r="AD556" s="3">
        <f ca="1">IFERROR(__xludf.DUMMYFUNCTION("""COMPUTED_VALUE"""),61742329)</f>
        <v>61742329</v>
      </c>
      <c r="AE556" s="4">
        <f ca="1">IFERROR(__xludf.DUMMYFUNCTION("""COMPUTED_VALUE"""),42930.6666666666)</f>
        <v>42930.666666666599</v>
      </c>
      <c r="AF556" s="3">
        <f ca="1">IFERROR(__xludf.DUMMYFUNCTION("""COMPUTED_VALUE"""),79.76)</f>
        <v>79.760000000000005</v>
      </c>
      <c r="AG556" s="3">
        <f ca="1">IFERROR(__xludf.DUMMYFUNCTION("""COMPUTED_VALUE"""),80.3)</f>
        <v>80.3</v>
      </c>
      <c r="AH556" s="3">
        <f ca="1">IFERROR(__xludf.DUMMYFUNCTION("""COMPUTED_VALUE"""),79.6)</f>
        <v>79.599999999999994</v>
      </c>
      <c r="AI556" s="3">
        <f ca="1">IFERROR(__xludf.DUMMYFUNCTION("""COMPUTED_VALUE"""),80.13)</f>
        <v>80.13</v>
      </c>
      <c r="AJ556" s="3">
        <f ca="1">IFERROR(__xludf.DUMMYFUNCTION("""COMPUTED_VALUE"""),5749986)</f>
        <v>5749986</v>
      </c>
      <c r="AK556" s="4">
        <f ca="1">IFERROR(__xludf.DUMMYFUNCTION("""COMPUTED_VALUE"""),42930.6666666666)</f>
        <v>42930.666666666599</v>
      </c>
      <c r="AL556" s="3">
        <f ca="1">IFERROR(__xludf.DUMMYFUNCTION("""COMPUTED_VALUE"""),69.24)</f>
        <v>69.239999999999995</v>
      </c>
      <c r="AM556" s="3">
        <f ca="1">IFERROR(__xludf.DUMMYFUNCTION("""COMPUTED_VALUE"""),69.58)</f>
        <v>69.58</v>
      </c>
      <c r="AN556" s="3">
        <f ca="1">IFERROR(__xludf.DUMMYFUNCTION("""COMPUTED_VALUE"""),69.11)</f>
        <v>69.11</v>
      </c>
      <c r="AO556" s="3">
        <f ca="1">IFERROR(__xludf.DUMMYFUNCTION("""COMPUTED_VALUE"""),69.43)</f>
        <v>69.430000000000007</v>
      </c>
      <c r="AP556" s="3">
        <f ca="1">IFERROR(__xludf.DUMMYFUNCTION("""COMPUTED_VALUE"""),5519169)</f>
        <v>5519169</v>
      </c>
      <c r="AQ556" s="4">
        <f ca="1">IFERROR(__xludf.DUMMYFUNCTION("""COMPUTED_VALUE"""),42930.6666666666)</f>
        <v>42930.666666666599</v>
      </c>
      <c r="AR556" s="3">
        <f ca="1">IFERROR(__xludf.DUMMYFUNCTION("""COMPUTED_VALUE"""),55.17)</f>
        <v>55.17</v>
      </c>
      <c r="AS556" s="3">
        <f ca="1">IFERROR(__xludf.DUMMYFUNCTION("""COMPUTED_VALUE"""),55.36)</f>
        <v>55.36</v>
      </c>
      <c r="AT556" s="3">
        <f ca="1">IFERROR(__xludf.DUMMYFUNCTION("""COMPUTED_VALUE"""),55.02)</f>
        <v>55.02</v>
      </c>
      <c r="AU556" s="3">
        <f ca="1">IFERROR(__xludf.DUMMYFUNCTION("""COMPUTED_VALUE"""),55.25)</f>
        <v>55.25</v>
      </c>
      <c r="AV556" s="3">
        <f ca="1">IFERROR(__xludf.DUMMYFUNCTION("""COMPUTED_VALUE"""),3254406)</f>
        <v>3254406</v>
      </c>
      <c r="BC556" s="4">
        <f ca="1">IFERROR(__xludf.DUMMYFUNCTION("""COMPUTED_VALUE"""),42930.6666666666)</f>
        <v>42930.666666666599</v>
      </c>
      <c r="BD556" s="3">
        <f ca="1">IFERROR(__xludf.DUMMYFUNCTION("""COMPUTED_VALUE"""),56.6)</f>
        <v>56.6</v>
      </c>
      <c r="BE556" s="3">
        <f ca="1">IFERROR(__xludf.DUMMYFUNCTION("""COMPUTED_VALUE"""),56.92)</f>
        <v>56.92</v>
      </c>
      <c r="BF556" s="3">
        <f ca="1">IFERROR(__xludf.DUMMYFUNCTION("""COMPUTED_VALUE"""),56.52)</f>
        <v>56.52</v>
      </c>
      <c r="BG556" s="3">
        <f ca="1">IFERROR(__xludf.DUMMYFUNCTION("""COMPUTED_VALUE"""),56.86)</f>
        <v>56.86</v>
      </c>
      <c r="BH556" s="3">
        <f ca="1">IFERROR(__xludf.DUMMYFUNCTION("""COMPUTED_VALUE"""),6689615)</f>
        <v>6689615</v>
      </c>
      <c r="BI556" s="4">
        <f ca="1">IFERROR(__xludf.DUMMYFUNCTION("""COMPUTED_VALUE"""),42930.6666666666)</f>
        <v>42930.666666666599</v>
      </c>
      <c r="BJ556" s="3">
        <f ca="1">IFERROR(__xludf.DUMMYFUNCTION("""COMPUTED_VALUE"""),52.02)</f>
        <v>52.02</v>
      </c>
      <c r="BK556" s="3">
        <f ca="1">IFERROR(__xludf.DUMMYFUNCTION("""COMPUTED_VALUE"""),52.16)</f>
        <v>52.16</v>
      </c>
      <c r="BL556" s="3">
        <f ca="1">IFERROR(__xludf.DUMMYFUNCTION("""COMPUTED_VALUE"""),51.86)</f>
        <v>51.86</v>
      </c>
      <c r="BM556" s="3">
        <f ca="1">IFERROR(__xludf.DUMMYFUNCTION("""COMPUTED_VALUE"""),51.92)</f>
        <v>51.92</v>
      </c>
      <c r="BN556" s="3">
        <f ca="1">IFERROR(__xludf.DUMMYFUNCTION("""COMPUTED_VALUE"""),12607547)</f>
        <v>12607547</v>
      </c>
    </row>
    <row r="557" spans="7:66" ht="13" x14ac:dyDescent="0.15">
      <c r="G557" s="4">
        <f ca="1">IFERROR(__xludf.DUMMYFUNCTION("""COMPUTED_VALUE"""),42933.6666666666)</f>
        <v>42933.666666666599</v>
      </c>
      <c r="H557" s="3">
        <f ca="1">IFERROR(__xludf.DUMMYFUNCTION("""COMPUTED_VALUE"""),90.19)</f>
        <v>90.19</v>
      </c>
      <c r="I557" s="3">
        <f ca="1">IFERROR(__xludf.DUMMYFUNCTION("""COMPUTED_VALUE"""),90.56)</f>
        <v>90.56</v>
      </c>
      <c r="J557" s="3">
        <f ca="1">IFERROR(__xludf.DUMMYFUNCTION("""COMPUTED_VALUE"""),90.19)</f>
        <v>90.19</v>
      </c>
      <c r="K557" s="3">
        <f ca="1">IFERROR(__xludf.DUMMYFUNCTION("""COMPUTED_VALUE"""),90.41)</f>
        <v>90.41</v>
      </c>
      <c r="L557" s="3">
        <f ca="1">IFERROR(__xludf.DUMMYFUNCTION("""COMPUTED_VALUE"""),3177182)</f>
        <v>3177182</v>
      </c>
      <c r="M557" s="4">
        <f ca="1">IFERROR(__xludf.DUMMYFUNCTION("""COMPUTED_VALUE"""),42933.6666666666)</f>
        <v>42933.666666666599</v>
      </c>
      <c r="N557" s="3">
        <f ca="1">IFERROR(__xludf.DUMMYFUNCTION("""COMPUTED_VALUE"""),54.82)</f>
        <v>54.82</v>
      </c>
      <c r="O557" s="3">
        <f ca="1">IFERROR(__xludf.DUMMYFUNCTION("""COMPUTED_VALUE"""),54.84)</f>
        <v>54.84</v>
      </c>
      <c r="P557" s="3">
        <f ca="1">IFERROR(__xludf.DUMMYFUNCTION("""COMPUTED_VALUE"""),54.62)</f>
        <v>54.62</v>
      </c>
      <c r="Q557" s="3">
        <f ca="1">IFERROR(__xludf.DUMMYFUNCTION("""COMPUTED_VALUE"""),54.78)</f>
        <v>54.78</v>
      </c>
      <c r="R557" s="3">
        <f ca="1">IFERROR(__xludf.DUMMYFUNCTION("""COMPUTED_VALUE"""),7902171)</f>
        <v>7902171</v>
      </c>
      <c r="S557" s="4">
        <f ca="1">IFERROR(__xludf.DUMMYFUNCTION("""COMPUTED_VALUE"""),42933.6666666666)</f>
        <v>42933.666666666599</v>
      </c>
      <c r="T557" s="3">
        <f ca="1">IFERROR(__xludf.DUMMYFUNCTION("""COMPUTED_VALUE"""),65.28)</f>
        <v>65.28</v>
      </c>
      <c r="U557" s="3">
        <f ca="1">IFERROR(__xludf.DUMMYFUNCTION("""COMPUTED_VALUE"""),65.77)</f>
        <v>65.77</v>
      </c>
      <c r="V557" s="3">
        <f ca="1">IFERROR(__xludf.DUMMYFUNCTION("""COMPUTED_VALUE"""),65.22)</f>
        <v>65.22</v>
      </c>
      <c r="W557" s="3">
        <f ca="1">IFERROR(__xludf.DUMMYFUNCTION("""COMPUTED_VALUE"""),65.32)</f>
        <v>65.319999999999993</v>
      </c>
      <c r="X557" s="3">
        <f ca="1">IFERROR(__xludf.DUMMYFUNCTION("""COMPUTED_VALUE"""),12214943)</f>
        <v>12214943</v>
      </c>
      <c r="Y557" s="4">
        <f ca="1">IFERROR(__xludf.DUMMYFUNCTION("""COMPUTED_VALUE"""),42933.6666666666)</f>
        <v>42933.666666666599</v>
      </c>
      <c r="Z557" s="3">
        <f ca="1">IFERROR(__xludf.DUMMYFUNCTION("""COMPUTED_VALUE"""),24.85)</f>
        <v>24.85</v>
      </c>
      <c r="AA557" s="3">
        <f ca="1">IFERROR(__xludf.DUMMYFUNCTION("""COMPUTED_VALUE"""),24.9)</f>
        <v>24.9</v>
      </c>
      <c r="AB557" s="3">
        <f ca="1">IFERROR(__xludf.DUMMYFUNCTION("""COMPUTED_VALUE"""),24.74)</f>
        <v>24.74</v>
      </c>
      <c r="AC557" s="3">
        <f ca="1">IFERROR(__xludf.DUMMYFUNCTION("""COMPUTED_VALUE"""),24.84)</f>
        <v>24.84</v>
      </c>
      <c r="AD557" s="3">
        <f ca="1">IFERROR(__xludf.DUMMYFUNCTION("""COMPUTED_VALUE"""),43257045)</f>
        <v>43257045</v>
      </c>
      <c r="AE557" s="4">
        <f ca="1">IFERROR(__xludf.DUMMYFUNCTION("""COMPUTED_VALUE"""),42933.6666666666)</f>
        <v>42933.666666666599</v>
      </c>
      <c r="AF557" s="3">
        <f ca="1">IFERROR(__xludf.DUMMYFUNCTION("""COMPUTED_VALUE"""),80.23)</f>
        <v>80.23</v>
      </c>
      <c r="AG557" s="3">
        <f ca="1">IFERROR(__xludf.DUMMYFUNCTION("""COMPUTED_VALUE"""),80.29)</f>
        <v>80.290000000000006</v>
      </c>
      <c r="AH557" s="3">
        <f ca="1">IFERROR(__xludf.DUMMYFUNCTION("""COMPUTED_VALUE"""),79.82)</f>
        <v>79.819999999999993</v>
      </c>
      <c r="AI557" s="3">
        <f ca="1">IFERROR(__xludf.DUMMYFUNCTION("""COMPUTED_VALUE"""),79.84)</f>
        <v>79.84</v>
      </c>
      <c r="AJ557" s="3">
        <f ca="1">IFERROR(__xludf.DUMMYFUNCTION("""COMPUTED_VALUE"""),5743659)</f>
        <v>5743659</v>
      </c>
      <c r="AK557" s="4">
        <f ca="1">IFERROR(__xludf.DUMMYFUNCTION("""COMPUTED_VALUE"""),42933.6666666666)</f>
        <v>42933.666666666599</v>
      </c>
      <c r="AL557" s="3">
        <f ca="1">IFERROR(__xludf.DUMMYFUNCTION("""COMPUTED_VALUE"""),69.38)</f>
        <v>69.38</v>
      </c>
      <c r="AM557" s="3">
        <f ca="1">IFERROR(__xludf.DUMMYFUNCTION("""COMPUTED_VALUE"""),69.5)</f>
        <v>69.5</v>
      </c>
      <c r="AN557" s="3">
        <f ca="1">IFERROR(__xludf.DUMMYFUNCTION("""COMPUTED_VALUE"""),69.19)</f>
        <v>69.19</v>
      </c>
      <c r="AO557" s="3">
        <f ca="1">IFERROR(__xludf.DUMMYFUNCTION("""COMPUTED_VALUE"""),69.39)</f>
        <v>69.39</v>
      </c>
      <c r="AP557" s="3">
        <f ca="1">IFERROR(__xludf.DUMMYFUNCTION("""COMPUTED_VALUE"""),5113416)</f>
        <v>5113416</v>
      </c>
      <c r="AQ557" s="4">
        <f ca="1">IFERROR(__xludf.DUMMYFUNCTION("""COMPUTED_VALUE"""),42933.6666666666)</f>
        <v>42933.666666666599</v>
      </c>
      <c r="AR557" s="3">
        <f ca="1">IFERROR(__xludf.DUMMYFUNCTION("""COMPUTED_VALUE"""),55.28)</f>
        <v>55.28</v>
      </c>
      <c r="AS557" s="3">
        <f ca="1">IFERROR(__xludf.DUMMYFUNCTION("""COMPUTED_VALUE"""),55.5)</f>
        <v>55.5</v>
      </c>
      <c r="AT557" s="3">
        <f ca="1">IFERROR(__xludf.DUMMYFUNCTION("""COMPUTED_VALUE"""),55.16)</f>
        <v>55.16</v>
      </c>
      <c r="AU557" s="3">
        <f ca="1">IFERROR(__xludf.DUMMYFUNCTION("""COMPUTED_VALUE"""),55.36)</f>
        <v>55.36</v>
      </c>
      <c r="AV557" s="3">
        <f ca="1">IFERROR(__xludf.DUMMYFUNCTION("""COMPUTED_VALUE"""),2989834)</f>
        <v>2989834</v>
      </c>
      <c r="BC557" s="4">
        <f ca="1">IFERROR(__xludf.DUMMYFUNCTION("""COMPUTED_VALUE"""),42933.6666666666)</f>
        <v>42933.666666666599</v>
      </c>
      <c r="BD557" s="3">
        <f ca="1">IFERROR(__xludf.DUMMYFUNCTION("""COMPUTED_VALUE"""),56.91)</f>
        <v>56.91</v>
      </c>
      <c r="BE557" s="3">
        <f ca="1">IFERROR(__xludf.DUMMYFUNCTION("""COMPUTED_VALUE"""),57.03)</f>
        <v>57.03</v>
      </c>
      <c r="BF557" s="3">
        <f ca="1">IFERROR(__xludf.DUMMYFUNCTION("""COMPUTED_VALUE"""),56.76)</f>
        <v>56.76</v>
      </c>
      <c r="BG557" s="3">
        <f ca="1">IFERROR(__xludf.DUMMYFUNCTION("""COMPUTED_VALUE"""),56.87)</f>
        <v>56.87</v>
      </c>
      <c r="BH557" s="3">
        <f ca="1">IFERROR(__xludf.DUMMYFUNCTION("""COMPUTED_VALUE"""),9837090)</f>
        <v>9837090</v>
      </c>
      <c r="BI557" s="4">
        <f ca="1">IFERROR(__xludf.DUMMYFUNCTION("""COMPUTED_VALUE"""),42933.6666666666)</f>
        <v>42933.666666666599</v>
      </c>
      <c r="BJ557" s="3">
        <f ca="1">IFERROR(__xludf.DUMMYFUNCTION("""COMPUTED_VALUE"""),51.95)</f>
        <v>51.95</v>
      </c>
      <c r="BK557" s="3">
        <f ca="1">IFERROR(__xludf.DUMMYFUNCTION("""COMPUTED_VALUE"""),52.16)</f>
        <v>52.16</v>
      </c>
      <c r="BL557" s="3">
        <f ca="1">IFERROR(__xludf.DUMMYFUNCTION("""COMPUTED_VALUE"""),51.84)</f>
        <v>51.84</v>
      </c>
      <c r="BM557" s="3">
        <f ca="1">IFERROR(__xludf.DUMMYFUNCTION("""COMPUTED_VALUE"""),52.16)</f>
        <v>52.16</v>
      </c>
      <c r="BN557" s="3">
        <f ca="1">IFERROR(__xludf.DUMMYFUNCTION("""COMPUTED_VALUE"""),7668995)</f>
        <v>7668995</v>
      </c>
    </row>
    <row r="558" spans="7:66" ht="13" x14ac:dyDescent="0.15">
      <c r="G558" s="4">
        <f ca="1">IFERROR(__xludf.DUMMYFUNCTION("""COMPUTED_VALUE"""),42934.6666666666)</f>
        <v>42934.666666666599</v>
      </c>
      <c r="H558" s="3">
        <f ca="1">IFERROR(__xludf.DUMMYFUNCTION("""COMPUTED_VALUE"""),90.33)</f>
        <v>90.33</v>
      </c>
      <c r="I558" s="3">
        <f ca="1">IFERROR(__xludf.DUMMYFUNCTION("""COMPUTED_VALUE"""),90.83)</f>
        <v>90.83</v>
      </c>
      <c r="J558" s="3">
        <f ca="1">IFERROR(__xludf.DUMMYFUNCTION("""COMPUTED_VALUE"""),90.26)</f>
        <v>90.26</v>
      </c>
      <c r="K558" s="3">
        <f ca="1">IFERROR(__xludf.DUMMYFUNCTION("""COMPUTED_VALUE"""),90.82)</f>
        <v>90.82</v>
      </c>
      <c r="L558" s="3">
        <f ca="1">IFERROR(__xludf.DUMMYFUNCTION("""COMPUTED_VALUE"""),3489985)</f>
        <v>3489985</v>
      </c>
      <c r="M558" s="4">
        <f ca="1">IFERROR(__xludf.DUMMYFUNCTION("""COMPUTED_VALUE"""),42934.6666666666)</f>
        <v>42934.666666666599</v>
      </c>
      <c r="N558" s="3">
        <f ca="1">IFERROR(__xludf.DUMMYFUNCTION("""COMPUTED_VALUE"""),54.74)</f>
        <v>54.74</v>
      </c>
      <c r="O558" s="3">
        <f ca="1">IFERROR(__xludf.DUMMYFUNCTION("""COMPUTED_VALUE"""),54.87)</f>
        <v>54.87</v>
      </c>
      <c r="P558" s="3">
        <f ca="1">IFERROR(__xludf.DUMMYFUNCTION("""COMPUTED_VALUE"""),54.61)</f>
        <v>54.61</v>
      </c>
      <c r="Q558" s="3">
        <f ca="1">IFERROR(__xludf.DUMMYFUNCTION("""COMPUTED_VALUE"""),54.78)</f>
        <v>54.78</v>
      </c>
      <c r="R558" s="3">
        <f ca="1">IFERROR(__xludf.DUMMYFUNCTION("""COMPUTED_VALUE"""),5310799)</f>
        <v>5310799</v>
      </c>
      <c r="S558" s="4">
        <f ca="1">IFERROR(__xludf.DUMMYFUNCTION("""COMPUTED_VALUE"""),42934.6666666666)</f>
        <v>42934.666666666599</v>
      </c>
      <c r="T558" s="3">
        <f ca="1">IFERROR(__xludf.DUMMYFUNCTION("""COMPUTED_VALUE"""),65.65)</f>
        <v>65.650000000000006</v>
      </c>
      <c r="U558" s="3">
        <f ca="1">IFERROR(__xludf.DUMMYFUNCTION("""COMPUTED_VALUE"""),65.67)</f>
        <v>65.67</v>
      </c>
      <c r="V558" s="3">
        <f ca="1">IFERROR(__xludf.DUMMYFUNCTION("""COMPUTED_VALUE"""),64.74)</f>
        <v>64.739999999999995</v>
      </c>
      <c r="W558" s="3">
        <f ca="1">IFERROR(__xludf.DUMMYFUNCTION("""COMPUTED_VALUE"""),65.01)</f>
        <v>65.010000000000005</v>
      </c>
      <c r="X558" s="3">
        <f ca="1">IFERROR(__xludf.DUMMYFUNCTION("""COMPUTED_VALUE"""),14956758)</f>
        <v>14956758</v>
      </c>
      <c r="Y558" s="4">
        <f ca="1">IFERROR(__xludf.DUMMYFUNCTION("""COMPUTED_VALUE"""),42934.6666666666)</f>
        <v>42934.666666666599</v>
      </c>
      <c r="Z558" s="3">
        <f ca="1">IFERROR(__xludf.DUMMYFUNCTION("""COMPUTED_VALUE"""),24.67)</f>
        <v>24.67</v>
      </c>
      <c r="AA558" s="3">
        <f ca="1">IFERROR(__xludf.DUMMYFUNCTION("""COMPUTED_VALUE"""),24.84)</f>
        <v>24.84</v>
      </c>
      <c r="AB558" s="3">
        <f ca="1">IFERROR(__xludf.DUMMYFUNCTION("""COMPUTED_VALUE"""),24.64)</f>
        <v>24.64</v>
      </c>
      <c r="AC558" s="3">
        <f ca="1">IFERROR(__xludf.DUMMYFUNCTION("""COMPUTED_VALUE"""),24.8)</f>
        <v>24.8</v>
      </c>
      <c r="AD558" s="3">
        <f ca="1">IFERROR(__xludf.DUMMYFUNCTION("""COMPUTED_VALUE"""),63210692)</f>
        <v>63210692</v>
      </c>
      <c r="AE558" s="4">
        <f ca="1">IFERROR(__xludf.DUMMYFUNCTION("""COMPUTED_VALUE"""),42934.6666666666)</f>
        <v>42934.666666666599</v>
      </c>
      <c r="AF558" s="3">
        <f ca="1">IFERROR(__xludf.DUMMYFUNCTION("""COMPUTED_VALUE"""),79.74)</f>
        <v>79.739999999999995</v>
      </c>
      <c r="AG558" s="3">
        <f ca="1">IFERROR(__xludf.DUMMYFUNCTION("""COMPUTED_VALUE"""),79.98)</f>
        <v>79.98</v>
      </c>
      <c r="AH558" s="3">
        <f ca="1">IFERROR(__xludf.DUMMYFUNCTION("""COMPUTED_VALUE"""),79.36)</f>
        <v>79.36</v>
      </c>
      <c r="AI558" s="3">
        <f ca="1">IFERROR(__xludf.DUMMYFUNCTION("""COMPUTED_VALUE"""),79.9)</f>
        <v>79.900000000000006</v>
      </c>
      <c r="AJ558" s="3">
        <f ca="1">IFERROR(__xludf.DUMMYFUNCTION("""COMPUTED_VALUE"""),8042690)</f>
        <v>8042690</v>
      </c>
      <c r="AK558" s="4">
        <f ca="1">IFERROR(__xludf.DUMMYFUNCTION("""COMPUTED_VALUE"""),42934.6666666666)</f>
        <v>42934.666666666599</v>
      </c>
      <c r="AL558" s="3">
        <f ca="1">IFERROR(__xludf.DUMMYFUNCTION("""COMPUTED_VALUE"""),69.28)</f>
        <v>69.28</v>
      </c>
      <c r="AM558" s="3">
        <f ca="1">IFERROR(__xludf.DUMMYFUNCTION("""COMPUTED_VALUE"""),69.37)</f>
        <v>69.37</v>
      </c>
      <c r="AN558" s="3">
        <f ca="1">IFERROR(__xludf.DUMMYFUNCTION("""COMPUTED_VALUE"""),69.03)</f>
        <v>69.03</v>
      </c>
      <c r="AO558" s="3">
        <f ca="1">IFERROR(__xludf.DUMMYFUNCTION("""COMPUTED_VALUE"""),69.23)</f>
        <v>69.23</v>
      </c>
      <c r="AP558" s="3">
        <f ca="1">IFERROR(__xludf.DUMMYFUNCTION("""COMPUTED_VALUE"""),6891118)</f>
        <v>6891118</v>
      </c>
      <c r="AQ558" s="4">
        <f ca="1">IFERROR(__xludf.DUMMYFUNCTION("""COMPUTED_VALUE"""),42934.6666666666)</f>
        <v>42934.666666666599</v>
      </c>
      <c r="AR558" s="3">
        <f ca="1">IFERROR(__xludf.DUMMYFUNCTION("""COMPUTED_VALUE"""),55.21)</f>
        <v>55.21</v>
      </c>
      <c r="AS558" s="3">
        <f ca="1">IFERROR(__xludf.DUMMYFUNCTION("""COMPUTED_VALUE"""),55.22)</f>
        <v>55.22</v>
      </c>
      <c r="AT558" s="3">
        <f ca="1">IFERROR(__xludf.DUMMYFUNCTION("""COMPUTED_VALUE"""),54.92)</f>
        <v>54.92</v>
      </c>
      <c r="AU558" s="3">
        <f ca="1">IFERROR(__xludf.DUMMYFUNCTION("""COMPUTED_VALUE"""),55.13)</f>
        <v>55.13</v>
      </c>
      <c r="AV558" s="3">
        <f ca="1">IFERROR(__xludf.DUMMYFUNCTION("""COMPUTED_VALUE"""),2317272)</f>
        <v>2317272</v>
      </c>
      <c r="BC558" s="4">
        <f ca="1">IFERROR(__xludf.DUMMYFUNCTION("""COMPUTED_VALUE"""),42934.6666666666)</f>
        <v>42934.666666666599</v>
      </c>
      <c r="BD558" s="3">
        <f ca="1">IFERROR(__xludf.DUMMYFUNCTION("""COMPUTED_VALUE"""),56.76)</f>
        <v>56.76</v>
      </c>
      <c r="BE558" s="3">
        <f ca="1">IFERROR(__xludf.DUMMYFUNCTION("""COMPUTED_VALUE"""),57.13)</f>
        <v>57.13</v>
      </c>
      <c r="BF558" s="3">
        <f ca="1">IFERROR(__xludf.DUMMYFUNCTION("""COMPUTED_VALUE"""),56.62)</f>
        <v>56.62</v>
      </c>
      <c r="BG558" s="3">
        <f ca="1">IFERROR(__xludf.DUMMYFUNCTION("""COMPUTED_VALUE"""),57.13)</f>
        <v>57.13</v>
      </c>
      <c r="BH558" s="3">
        <f ca="1">IFERROR(__xludf.DUMMYFUNCTION("""COMPUTED_VALUE"""),9920176)</f>
        <v>9920176</v>
      </c>
      <c r="BI558" s="4">
        <f ca="1">IFERROR(__xludf.DUMMYFUNCTION("""COMPUTED_VALUE"""),42934.6666666666)</f>
        <v>42934.666666666599</v>
      </c>
      <c r="BJ558" s="3">
        <f ca="1">IFERROR(__xludf.DUMMYFUNCTION("""COMPUTED_VALUE"""),52.28)</f>
        <v>52.28</v>
      </c>
      <c r="BK558" s="3">
        <f ca="1">IFERROR(__xludf.DUMMYFUNCTION("""COMPUTED_VALUE"""),52.37)</f>
        <v>52.37</v>
      </c>
      <c r="BL558" s="3">
        <f ca="1">IFERROR(__xludf.DUMMYFUNCTION("""COMPUTED_VALUE"""),52.14)</f>
        <v>52.14</v>
      </c>
      <c r="BM558" s="3">
        <f ca="1">IFERROR(__xludf.DUMMYFUNCTION("""COMPUTED_VALUE"""),52.31)</f>
        <v>52.31</v>
      </c>
      <c r="BN558" s="3">
        <f ca="1">IFERROR(__xludf.DUMMYFUNCTION("""COMPUTED_VALUE"""),7890497)</f>
        <v>7890497</v>
      </c>
    </row>
    <row r="559" spans="7:66" ht="13" x14ac:dyDescent="0.15">
      <c r="G559" s="4">
        <f ca="1">IFERROR(__xludf.DUMMYFUNCTION("""COMPUTED_VALUE"""),42935.6666666666)</f>
        <v>42935.666666666599</v>
      </c>
      <c r="H559" s="3">
        <f ca="1">IFERROR(__xludf.DUMMYFUNCTION("""COMPUTED_VALUE"""),90.99)</f>
        <v>90.99</v>
      </c>
      <c r="I559" s="3">
        <f ca="1">IFERROR(__xludf.DUMMYFUNCTION("""COMPUTED_VALUE"""),91.36)</f>
        <v>91.36</v>
      </c>
      <c r="J559" s="3">
        <f ca="1">IFERROR(__xludf.DUMMYFUNCTION("""COMPUTED_VALUE"""),90.92)</f>
        <v>90.92</v>
      </c>
      <c r="K559" s="3">
        <f ca="1">IFERROR(__xludf.DUMMYFUNCTION("""COMPUTED_VALUE"""),91.26)</f>
        <v>91.26</v>
      </c>
      <c r="L559" s="3">
        <f ca="1">IFERROR(__xludf.DUMMYFUNCTION("""COMPUTED_VALUE"""),2656159)</f>
        <v>2656159</v>
      </c>
      <c r="M559" s="4">
        <f ca="1">IFERROR(__xludf.DUMMYFUNCTION("""COMPUTED_VALUE"""),42935.6666666666)</f>
        <v>42935.666666666599</v>
      </c>
      <c r="N559" s="3">
        <f ca="1">IFERROR(__xludf.DUMMYFUNCTION("""COMPUTED_VALUE"""),54.76)</f>
        <v>54.76</v>
      </c>
      <c r="O559" s="3">
        <f ca="1">IFERROR(__xludf.DUMMYFUNCTION("""COMPUTED_VALUE"""),54.98)</f>
        <v>54.98</v>
      </c>
      <c r="P559" s="3">
        <f ca="1">IFERROR(__xludf.DUMMYFUNCTION("""COMPUTED_VALUE"""),54.69)</f>
        <v>54.69</v>
      </c>
      <c r="Q559" s="3">
        <f ca="1">IFERROR(__xludf.DUMMYFUNCTION("""COMPUTED_VALUE"""),54.98)</f>
        <v>54.98</v>
      </c>
      <c r="R559" s="3">
        <f ca="1">IFERROR(__xludf.DUMMYFUNCTION("""COMPUTED_VALUE"""),5591984)</f>
        <v>5591984</v>
      </c>
      <c r="S559" s="4">
        <f ca="1">IFERROR(__xludf.DUMMYFUNCTION("""COMPUTED_VALUE"""),42935.6666666666)</f>
        <v>42935.666666666599</v>
      </c>
      <c r="T559" s="3">
        <f ca="1">IFERROR(__xludf.DUMMYFUNCTION("""COMPUTED_VALUE"""),64.94)</f>
        <v>64.94</v>
      </c>
      <c r="U559" s="3">
        <f ca="1">IFERROR(__xludf.DUMMYFUNCTION("""COMPUTED_VALUE"""),66.02)</f>
        <v>66.02</v>
      </c>
      <c r="V559" s="3">
        <f ca="1">IFERROR(__xludf.DUMMYFUNCTION("""COMPUTED_VALUE"""),64.89)</f>
        <v>64.89</v>
      </c>
      <c r="W559" s="3">
        <f ca="1">IFERROR(__xludf.DUMMYFUNCTION("""COMPUTED_VALUE"""),65.96)</f>
        <v>65.959999999999994</v>
      </c>
      <c r="X559" s="3">
        <f ca="1">IFERROR(__xludf.DUMMYFUNCTION("""COMPUTED_VALUE"""),24802698)</f>
        <v>24802698</v>
      </c>
      <c r="Y559" s="4">
        <f ca="1">IFERROR(__xludf.DUMMYFUNCTION("""COMPUTED_VALUE"""),42935.6666666666)</f>
        <v>42935.666666666599</v>
      </c>
      <c r="Z559" s="3">
        <f ca="1">IFERROR(__xludf.DUMMYFUNCTION("""COMPUTED_VALUE"""),24.85)</f>
        <v>24.85</v>
      </c>
      <c r="AA559" s="3">
        <f ca="1">IFERROR(__xludf.DUMMYFUNCTION("""COMPUTED_VALUE"""),24.92)</f>
        <v>24.92</v>
      </c>
      <c r="AB559" s="3">
        <f ca="1">IFERROR(__xludf.DUMMYFUNCTION("""COMPUTED_VALUE"""),24.72)</f>
        <v>24.72</v>
      </c>
      <c r="AC559" s="3">
        <f ca="1">IFERROR(__xludf.DUMMYFUNCTION("""COMPUTED_VALUE"""),24.81)</f>
        <v>24.81</v>
      </c>
      <c r="AD559" s="3">
        <f ca="1">IFERROR(__xludf.DUMMYFUNCTION("""COMPUTED_VALUE"""),48259409)</f>
        <v>48259409</v>
      </c>
      <c r="AE559" s="4">
        <f ca="1">IFERROR(__xludf.DUMMYFUNCTION("""COMPUTED_VALUE"""),42935.6666666666)</f>
        <v>42935.666666666599</v>
      </c>
      <c r="AF559" s="3">
        <f ca="1">IFERROR(__xludf.DUMMYFUNCTION("""COMPUTED_VALUE"""),80.24)</f>
        <v>80.239999999999995</v>
      </c>
      <c r="AG559" s="3">
        <f ca="1">IFERROR(__xludf.DUMMYFUNCTION("""COMPUTED_VALUE"""),80.55)</f>
        <v>80.55</v>
      </c>
      <c r="AH559" s="3">
        <f ca="1">IFERROR(__xludf.DUMMYFUNCTION("""COMPUTED_VALUE"""),80.24)</f>
        <v>80.239999999999995</v>
      </c>
      <c r="AI559" s="3">
        <f ca="1">IFERROR(__xludf.DUMMYFUNCTION("""COMPUTED_VALUE"""),80.55)</f>
        <v>80.55</v>
      </c>
      <c r="AJ559" s="3">
        <f ca="1">IFERROR(__xludf.DUMMYFUNCTION("""COMPUTED_VALUE"""),8177869)</f>
        <v>8177869</v>
      </c>
      <c r="AK559" s="4">
        <f ca="1">IFERROR(__xludf.DUMMYFUNCTION("""COMPUTED_VALUE"""),42935.6666666666)</f>
        <v>42935.666666666599</v>
      </c>
      <c r="AL559" s="3">
        <f ca="1">IFERROR(__xludf.DUMMYFUNCTION("""COMPUTED_VALUE"""),69.11)</f>
        <v>69.11</v>
      </c>
      <c r="AM559" s="3">
        <f ca="1">IFERROR(__xludf.DUMMYFUNCTION("""COMPUTED_VALUE"""),69.3)</f>
        <v>69.3</v>
      </c>
      <c r="AN559" s="3">
        <f ca="1">IFERROR(__xludf.DUMMYFUNCTION("""COMPUTED_VALUE"""),69)</f>
        <v>69</v>
      </c>
      <c r="AO559" s="3">
        <f ca="1">IFERROR(__xludf.DUMMYFUNCTION("""COMPUTED_VALUE"""),69.3)</f>
        <v>69.3</v>
      </c>
      <c r="AP559" s="3">
        <f ca="1">IFERROR(__xludf.DUMMYFUNCTION("""COMPUTED_VALUE"""),8864581)</f>
        <v>8864581</v>
      </c>
      <c r="AQ559" s="4">
        <f ca="1">IFERROR(__xludf.DUMMYFUNCTION("""COMPUTED_VALUE"""),42935.6666666666)</f>
        <v>42935.666666666599</v>
      </c>
      <c r="AR559" s="3">
        <f ca="1">IFERROR(__xludf.DUMMYFUNCTION("""COMPUTED_VALUE"""),55.15)</f>
        <v>55.15</v>
      </c>
      <c r="AS559" s="3">
        <f ca="1">IFERROR(__xludf.DUMMYFUNCTION("""COMPUTED_VALUE"""),55.7)</f>
        <v>55.7</v>
      </c>
      <c r="AT559" s="3">
        <f ca="1">IFERROR(__xludf.DUMMYFUNCTION("""COMPUTED_VALUE"""),55.15)</f>
        <v>55.15</v>
      </c>
      <c r="AU559" s="3">
        <f ca="1">IFERROR(__xludf.DUMMYFUNCTION("""COMPUTED_VALUE"""),55.66)</f>
        <v>55.66</v>
      </c>
      <c r="AV559" s="3">
        <f ca="1">IFERROR(__xludf.DUMMYFUNCTION("""COMPUTED_VALUE"""),3423050)</f>
        <v>3423050</v>
      </c>
      <c r="BC559" s="4">
        <f ca="1">IFERROR(__xludf.DUMMYFUNCTION("""COMPUTED_VALUE"""),42935.6666666666)</f>
        <v>42935.666666666599</v>
      </c>
      <c r="BD559" s="3">
        <f ca="1">IFERROR(__xludf.DUMMYFUNCTION("""COMPUTED_VALUE"""),57.22)</f>
        <v>57.22</v>
      </c>
      <c r="BE559" s="3">
        <f ca="1">IFERROR(__xludf.DUMMYFUNCTION("""COMPUTED_VALUE"""),57.47)</f>
        <v>57.47</v>
      </c>
      <c r="BF559" s="3">
        <f ca="1">IFERROR(__xludf.DUMMYFUNCTION("""COMPUTED_VALUE"""),57.17)</f>
        <v>57.17</v>
      </c>
      <c r="BG559" s="3">
        <f ca="1">IFERROR(__xludf.DUMMYFUNCTION("""COMPUTED_VALUE"""),57.42)</f>
        <v>57.42</v>
      </c>
      <c r="BH559" s="3">
        <f ca="1">IFERROR(__xludf.DUMMYFUNCTION("""COMPUTED_VALUE"""),6673574)</f>
        <v>6673574</v>
      </c>
      <c r="BI559" s="4">
        <f ca="1">IFERROR(__xludf.DUMMYFUNCTION("""COMPUTED_VALUE"""),42935.6666666666)</f>
        <v>42935.666666666599</v>
      </c>
      <c r="BJ559" s="3">
        <f ca="1">IFERROR(__xludf.DUMMYFUNCTION("""COMPUTED_VALUE"""),52.4)</f>
        <v>52.4</v>
      </c>
      <c r="BK559" s="3">
        <f ca="1">IFERROR(__xludf.DUMMYFUNCTION("""COMPUTED_VALUE"""),52.55)</f>
        <v>52.55</v>
      </c>
      <c r="BL559" s="3">
        <f ca="1">IFERROR(__xludf.DUMMYFUNCTION("""COMPUTED_VALUE"""),52.25)</f>
        <v>52.25</v>
      </c>
      <c r="BM559" s="3">
        <f ca="1">IFERROR(__xludf.DUMMYFUNCTION("""COMPUTED_VALUE"""),52.53)</f>
        <v>52.53</v>
      </c>
      <c r="BN559" s="3">
        <f ca="1">IFERROR(__xludf.DUMMYFUNCTION("""COMPUTED_VALUE"""),10669353)</f>
        <v>10669353</v>
      </c>
    </row>
    <row r="560" spans="7:66" ht="13" x14ac:dyDescent="0.15">
      <c r="G560" s="4">
        <f ca="1">IFERROR(__xludf.DUMMYFUNCTION("""COMPUTED_VALUE"""),42936.6666666666)</f>
        <v>42936.666666666599</v>
      </c>
      <c r="H560" s="3">
        <f ca="1">IFERROR(__xludf.DUMMYFUNCTION("""COMPUTED_VALUE"""),91.35)</f>
        <v>91.35</v>
      </c>
      <c r="I560" s="3">
        <f ca="1">IFERROR(__xludf.DUMMYFUNCTION("""COMPUTED_VALUE"""),91.42)</f>
        <v>91.42</v>
      </c>
      <c r="J560" s="3">
        <f ca="1">IFERROR(__xludf.DUMMYFUNCTION("""COMPUTED_VALUE"""),90.76)</f>
        <v>90.76</v>
      </c>
      <c r="K560" s="3">
        <f ca="1">IFERROR(__xludf.DUMMYFUNCTION("""COMPUTED_VALUE"""),91.07)</f>
        <v>91.07</v>
      </c>
      <c r="L560" s="3">
        <f ca="1">IFERROR(__xludf.DUMMYFUNCTION("""COMPUTED_VALUE"""),4599489)</f>
        <v>4599489</v>
      </c>
      <c r="M560" s="4">
        <f ca="1">IFERROR(__xludf.DUMMYFUNCTION("""COMPUTED_VALUE"""),42936.6666666666)</f>
        <v>42936.666666666599</v>
      </c>
      <c r="N560" s="3">
        <f ca="1">IFERROR(__xludf.DUMMYFUNCTION("""COMPUTED_VALUE"""),54.94)</f>
        <v>54.94</v>
      </c>
      <c r="O560" s="3">
        <f ca="1">IFERROR(__xludf.DUMMYFUNCTION("""COMPUTED_VALUE"""),55.16)</f>
        <v>55.16</v>
      </c>
      <c r="P560" s="3">
        <f ca="1">IFERROR(__xludf.DUMMYFUNCTION("""COMPUTED_VALUE"""),54.84)</f>
        <v>54.84</v>
      </c>
      <c r="Q560" s="3">
        <f ca="1">IFERROR(__xludf.DUMMYFUNCTION("""COMPUTED_VALUE"""),54.99)</f>
        <v>54.99</v>
      </c>
      <c r="R560" s="3">
        <f ca="1">IFERROR(__xludf.DUMMYFUNCTION("""COMPUTED_VALUE"""),9816651)</f>
        <v>9816651</v>
      </c>
      <c r="S560" s="4">
        <f ca="1">IFERROR(__xludf.DUMMYFUNCTION("""COMPUTED_VALUE"""),42936.6666666666)</f>
        <v>42936.666666666599</v>
      </c>
      <c r="T560" s="3">
        <f ca="1">IFERROR(__xludf.DUMMYFUNCTION("""COMPUTED_VALUE"""),66.33)</f>
        <v>66.33</v>
      </c>
      <c r="U560" s="3">
        <f ca="1">IFERROR(__xludf.DUMMYFUNCTION("""COMPUTED_VALUE"""),66.57)</f>
        <v>66.569999999999993</v>
      </c>
      <c r="V560" s="3">
        <f ca="1">IFERROR(__xludf.DUMMYFUNCTION("""COMPUTED_VALUE"""),65.58)</f>
        <v>65.58</v>
      </c>
      <c r="W560" s="3">
        <f ca="1">IFERROR(__xludf.DUMMYFUNCTION("""COMPUTED_VALUE"""),65.76)</f>
        <v>65.760000000000005</v>
      </c>
      <c r="X560" s="3">
        <f ca="1">IFERROR(__xludf.DUMMYFUNCTION("""COMPUTED_VALUE"""),17159291)</f>
        <v>17159291</v>
      </c>
      <c r="Y560" s="4">
        <f ca="1">IFERROR(__xludf.DUMMYFUNCTION("""COMPUTED_VALUE"""),42936.6666666666)</f>
        <v>42936.666666666599</v>
      </c>
      <c r="Z560" s="3">
        <f ca="1">IFERROR(__xludf.DUMMYFUNCTION("""COMPUTED_VALUE"""),24.83)</f>
        <v>24.83</v>
      </c>
      <c r="AA560" s="3">
        <f ca="1">IFERROR(__xludf.DUMMYFUNCTION("""COMPUTED_VALUE"""),24.94)</f>
        <v>24.94</v>
      </c>
      <c r="AB560" s="3">
        <f ca="1">IFERROR(__xludf.DUMMYFUNCTION("""COMPUTED_VALUE"""),24.75)</f>
        <v>24.75</v>
      </c>
      <c r="AC560" s="3">
        <f ca="1">IFERROR(__xludf.DUMMYFUNCTION("""COMPUTED_VALUE"""),24.8)</f>
        <v>24.8</v>
      </c>
      <c r="AD560" s="3">
        <f ca="1">IFERROR(__xludf.DUMMYFUNCTION("""COMPUTED_VALUE"""),40163535)</f>
        <v>40163535</v>
      </c>
      <c r="AE560" s="4">
        <f ca="1">IFERROR(__xludf.DUMMYFUNCTION("""COMPUTED_VALUE"""),42936.6666666666)</f>
        <v>42936.666666666599</v>
      </c>
      <c r="AF560" s="3">
        <f ca="1">IFERROR(__xludf.DUMMYFUNCTION("""COMPUTED_VALUE"""),80.74)</f>
        <v>80.739999999999995</v>
      </c>
      <c r="AG560" s="3">
        <f ca="1">IFERROR(__xludf.DUMMYFUNCTION("""COMPUTED_VALUE"""),81.21)</f>
        <v>81.209999999999994</v>
      </c>
      <c r="AH560" s="3">
        <f ca="1">IFERROR(__xludf.DUMMYFUNCTION("""COMPUTED_VALUE"""),80.61)</f>
        <v>80.61</v>
      </c>
      <c r="AI560" s="3">
        <f ca="1">IFERROR(__xludf.DUMMYFUNCTION("""COMPUTED_VALUE"""),81.08)</f>
        <v>81.08</v>
      </c>
      <c r="AJ560" s="3">
        <f ca="1">IFERROR(__xludf.DUMMYFUNCTION("""COMPUTED_VALUE"""),8276829)</f>
        <v>8276829</v>
      </c>
      <c r="AK560" s="4">
        <f ca="1">IFERROR(__xludf.DUMMYFUNCTION("""COMPUTED_VALUE"""),42936.6666666666)</f>
        <v>42936.666666666599</v>
      </c>
      <c r="AL560" s="3">
        <f ca="1">IFERROR(__xludf.DUMMYFUNCTION("""COMPUTED_VALUE"""),69.36)</f>
        <v>69.36</v>
      </c>
      <c r="AM560" s="3">
        <f ca="1">IFERROR(__xludf.DUMMYFUNCTION("""COMPUTED_VALUE"""),69.4)</f>
        <v>69.400000000000006</v>
      </c>
      <c r="AN560" s="3">
        <f ca="1">IFERROR(__xludf.DUMMYFUNCTION("""COMPUTED_VALUE"""),68.82)</f>
        <v>68.819999999999993</v>
      </c>
      <c r="AO560" s="3">
        <f ca="1">IFERROR(__xludf.DUMMYFUNCTION("""COMPUTED_VALUE"""),68.91)</f>
        <v>68.91</v>
      </c>
      <c r="AP560" s="3">
        <f ca="1">IFERROR(__xludf.DUMMYFUNCTION("""COMPUTED_VALUE"""),7428029)</f>
        <v>7428029</v>
      </c>
      <c r="AQ560" s="4">
        <f ca="1">IFERROR(__xludf.DUMMYFUNCTION("""COMPUTED_VALUE"""),42936.6666666666)</f>
        <v>42936.666666666599</v>
      </c>
      <c r="AR560" s="3">
        <f ca="1">IFERROR(__xludf.DUMMYFUNCTION("""COMPUTED_VALUE"""),55.53)</f>
        <v>55.53</v>
      </c>
      <c r="AS560" s="3">
        <f ca="1">IFERROR(__xludf.DUMMYFUNCTION("""COMPUTED_VALUE"""),55.55)</f>
        <v>55.55</v>
      </c>
      <c r="AT560" s="3">
        <f ca="1">IFERROR(__xludf.DUMMYFUNCTION("""COMPUTED_VALUE"""),55.08)</f>
        <v>55.08</v>
      </c>
      <c r="AU560" s="3">
        <f ca="1">IFERROR(__xludf.DUMMYFUNCTION("""COMPUTED_VALUE"""),55.25)</f>
        <v>55.25</v>
      </c>
      <c r="AV560" s="3">
        <f ca="1">IFERROR(__xludf.DUMMYFUNCTION("""COMPUTED_VALUE"""),4520545)</f>
        <v>4520545</v>
      </c>
      <c r="BC560" s="4">
        <f ca="1">IFERROR(__xludf.DUMMYFUNCTION("""COMPUTED_VALUE"""),42936.6666666666)</f>
        <v>42936.666666666599</v>
      </c>
      <c r="BD560" s="3">
        <f ca="1">IFERROR(__xludf.DUMMYFUNCTION("""COMPUTED_VALUE"""),57.58)</f>
        <v>57.58</v>
      </c>
      <c r="BE560" s="3">
        <f ca="1">IFERROR(__xludf.DUMMYFUNCTION("""COMPUTED_VALUE"""),57.6)</f>
        <v>57.6</v>
      </c>
      <c r="BF560" s="3">
        <f ca="1">IFERROR(__xludf.DUMMYFUNCTION("""COMPUTED_VALUE"""),57.21)</f>
        <v>57.21</v>
      </c>
      <c r="BG560" s="3">
        <f ca="1">IFERROR(__xludf.DUMMYFUNCTION("""COMPUTED_VALUE"""),57.54)</f>
        <v>57.54</v>
      </c>
      <c r="BH560" s="3">
        <f ca="1">IFERROR(__xludf.DUMMYFUNCTION("""COMPUTED_VALUE"""),10372868)</f>
        <v>10372868</v>
      </c>
      <c r="BI560" s="4">
        <f ca="1">IFERROR(__xludf.DUMMYFUNCTION("""COMPUTED_VALUE"""),42936.6666666666)</f>
        <v>42936.666666666599</v>
      </c>
      <c r="BJ560" s="3">
        <f ca="1">IFERROR(__xludf.DUMMYFUNCTION("""COMPUTED_VALUE"""),52.67)</f>
        <v>52.67</v>
      </c>
      <c r="BK560" s="3">
        <f ca="1">IFERROR(__xludf.DUMMYFUNCTION("""COMPUTED_VALUE"""),52.92)</f>
        <v>52.92</v>
      </c>
      <c r="BL560" s="3">
        <f ca="1">IFERROR(__xludf.DUMMYFUNCTION("""COMPUTED_VALUE"""),52.54)</f>
        <v>52.54</v>
      </c>
      <c r="BM560" s="3">
        <f ca="1">IFERROR(__xludf.DUMMYFUNCTION("""COMPUTED_VALUE"""),52.91)</f>
        <v>52.91</v>
      </c>
      <c r="BN560" s="3">
        <f ca="1">IFERROR(__xludf.DUMMYFUNCTION("""COMPUTED_VALUE"""),8462529)</f>
        <v>8462529</v>
      </c>
    </row>
    <row r="561" spans="7:66" ht="13" x14ac:dyDescent="0.15">
      <c r="G561" s="4">
        <f ca="1">IFERROR(__xludf.DUMMYFUNCTION("""COMPUTED_VALUE"""),42937.6666666666)</f>
        <v>42937.666666666599</v>
      </c>
      <c r="H561" s="3">
        <f ca="1">IFERROR(__xludf.DUMMYFUNCTION("""COMPUTED_VALUE"""),90.64)</f>
        <v>90.64</v>
      </c>
      <c r="I561" s="3">
        <f ca="1">IFERROR(__xludf.DUMMYFUNCTION("""COMPUTED_VALUE"""),91.13)</f>
        <v>91.13</v>
      </c>
      <c r="J561" s="3">
        <f ca="1">IFERROR(__xludf.DUMMYFUNCTION("""COMPUTED_VALUE"""),90.64)</f>
        <v>90.64</v>
      </c>
      <c r="K561" s="3">
        <f ca="1">IFERROR(__xludf.DUMMYFUNCTION("""COMPUTED_VALUE"""),91.13)</f>
        <v>91.13</v>
      </c>
      <c r="L561" s="3">
        <f ca="1">IFERROR(__xludf.DUMMYFUNCTION("""COMPUTED_VALUE"""),3324429)</f>
        <v>3324429</v>
      </c>
      <c r="M561" s="4">
        <f ca="1">IFERROR(__xludf.DUMMYFUNCTION("""COMPUTED_VALUE"""),42937.6666666666)</f>
        <v>42937.666666666599</v>
      </c>
      <c r="N561" s="3">
        <f ca="1">IFERROR(__xludf.DUMMYFUNCTION("""COMPUTED_VALUE"""),54.8)</f>
        <v>54.8</v>
      </c>
      <c r="O561" s="3">
        <f ca="1">IFERROR(__xludf.DUMMYFUNCTION("""COMPUTED_VALUE"""),55.1)</f>
        <v>55.1</v>
      </c>
      <c r="P561" s="3">
        <f ca="1">IFERROR(__xludf.DUMMYFUNCTION("""COMPUTED_VALUE"""),54.75)</f>
        <v>54.75</v>
      </c>
      <c r="Q561" s="3">
        <f ca="1">IFERROR(__xludf.DUMMYFUNCTION("""COMPUTED_VALUE"""),55.08)</f>
        <v>55.08</v>
      </c>
      <c r="R561" s="3">
        <f ca="1">IFERROR(__xludf.DUMMYFUNCTION("""COMPUTED_VALUE"""),7772496)</f>
        <v>7772496</v>
      </c>
      <c r="S561" s="4">
        <f ca="1">IFERROR(__xludf.DUMMYFUNCTION("""COMPUTED_VALUE"""),42937.6666666666)</f>
        <v>42937.666666666599</v>
      </c>
      <c r="T561" s="3">
        <f ca="1">IFERROR(__xludf.DUMMYFUNCTION("""COMPUTED_VALUE"""),65.54)</f>
        <v>65.540000000000006</v>
      </c>
      <c r="U561" s="3">
        <f ca="1">IFERROR(__xludf.DUMMYFUNCTION("""COMPUTED_VALUE"""),65.85)</f>
        <v>65.849999999999994</v>
      </c>
      <c r="V561" s="3">
        <f ca="1">IFERROR(__xludf.DUMMYFUNCTION("""COMPUTED_VALUE"""),65.02)</f>
        <v>65.02</v>
      </c>
      <c r="W561" s="3">
        <f ca="1">IFERROR(__xludf.DUMMYFUNCTION("""COMPUTED_VALUE"""),65.11)</f>
        <v>65.11</v>
      </c>
      <c r="X561" s="3">
        <f ca="1">IFERROR(__xludf.DUMMYFUNCTION("""COMPUTED_VALUE"""),13861342)</f>
        <v>13861342</v>
      </c>
      <c r="Y561" s="4">
        <f ca="1">IFERROR(__xludf.DUMMYFUNCTION("""COMPUTED_VALUE"""),42937.6666666666)</f>
        <v>42937.666666666599</v>
      </c>
      <c r="Z561" s="3">
        <f ca="1">IFERROR(__xludf.DUMMYFUNCTION("""COMPUTED_VALUE"""),24.73)</f>
        <v>24.73</v>
      </c>
      <c r="AA561" s="3">
        <f ca="1">IFERROR(__xludf.DUMMYFUNCTION("""COMPUTED_VALUE"""),24.88)</f>
        <v>24.88</v>
      </c>
      <c r="AB561" s="3">
        <f ca="1">IFERROR(__xludf.DUMMYFUNCTION("""COMPUTED_VALUE"""),24.73)</f>
        <v>24.73</v>
      </c>
      <c r="AC561" s="3">
        <f ca="1">IFERROR(__xludf.DUMMYFUNCTION("""COMPUTED_VALUE"""),24.8)</f>
        <v>24.8</v>
      </c>
      <c r="AD561" s="3">
        <f ca="1">IFERROR(__xludf.DUMMYFUNCTION("""COMPUTED_VALUE"""),43888447)</f>
        <v>43888447</v>
      </c>
      <c r="AE561" s="4">
        <f ca="1">IFERROR(__xludf.DUMMYFUNCTION("""COMPUTED_VALUE"""),42937.6666666666)</f>
        <v>42937.666666666599</v>
      </c>
      <c r="AF561" s="3">
        <f ca="1">IFERROR(__xludf.DUMMYFUNCTION("""COMPUTED_VALUE"""),80.91)</f>
        <v>80.91</v>
      </c>
      <c r="AG561" s="3">
        <f ca="1">IFERROR(__xludf.DUMMYFUNCTION("""COMPUTED_VALUE"""),81.11)</f>
        <v>81.11</v>
      </c>
      <c r="AH561" s="3">
        <f ca="1">IFERROR(__xludf.DUMMYFUNCTION("""COMPUTED_VALUE"""),80.85)</f>
        <v>80.849999999999994</v>
      </c>
      <c r="AI561" s="3">
        <f ca="1">IFERROR(__xludf.DUMMYFUNCTION("""COMPUTED_VALUE"""),80.99)</f>
        <v>80.989999999999995</v>
      </c>
      <c r="AJ561" s="3">
        <f ca="1">IFERROR(__xludf.DUMMYFUNCTION("""COMPUTED_VALUE"""),4796849)</f>
        <v>4796849</v>
      </c>
      <c r="AK561" s="4">
        <f ca="1">IFERROR(__xludf.DUMMYFUNCTION("""COMPUTED_VALUE"""),42937.6666666666)</f>
        <v>42937.666666666599</v>
      </c>
      <c r="AL561" s="3">
        <f ca="1">IFERROR(__xludf.DUMMYFUNCTION("""COMPUTED_VALUE"""),68.57)</f>
        <v>68.569999999999993</v>
      </c>
      <c r="AM561" s="3">
        <f ca="1">IFERROR(__xludf.DUMMYFUNCTION("""COMPUTED_VALUE"""),68.81)</f>
        <v>68.81</v>
      </c>
      <c r="AN561" s="3">
        <f ca="1">IFERROR(__xludf.DUMMYFUNCTION("""COMPUTED_VALUE"""),68.34)</f>
        <v>68.34</v>
      </c>
      <c r="AO561" s="3">
        <f ca="1">IFERROR(__xludf.DUMMYFUNCTION("""COMPUTED_VALUE"""),68.78)</f>
        <v>68.78</v>
      </c>
      <c r="AP561" s="3">
        <f ca="1">IFERROR(__xludf.DUMMYFUNCTION("""COMPUTED_VALUE"""),7643811)</f>
        <v>7643811</v>
      </c>
      <c r="AQ561" s="4">
        <f ca="1">IFERROR(__xludf.DUMMYFUNCTION("""COMPUTED_VALUE"""),42937.6666666666)</f>
        <v>42937.666666666599</v>
      </c>
      <c r="AR561" s="3">
        <f ca="1">IFERROR(__xludf.DUMMYFUNCTION("""COMPUTED_VALUE"""),55.09)</f>
        <v>55.09</v>
      </c>
      <c r="AS561" s="3">
        <f ca="1">IFERROR(__xludf.DUMMYFUNCTION("""COMPUTED_VALUE"""),55.27)</f>
        <v>55.27</v>
      </c>
      <c r="AT561" s="3">
        <f ca="1">IFERROR(__xludf.DUMMYFUNCTION("""COMPUTED_VALUE"""),55.01)</f>
        <v>55.01</v>
      </c>
      <c r="AU561" s="3">
        <f ca="1">IFERROR(__xludf.DUMMYFUNCTION("""COMPUTED_VALUE"""),55.26)</f>
        <v>55.26</v>
      </c>
      <c r="AV561" s="3">
        <f ca="1">IFERROR(__xludf.DUMMYFUNCTION("""COMPUTED_VALUE"""),2723463)</f>
        <v>2723463</v>
      </c>
      <c r="BC561" s="4">
        <f ca="1">IFERROR(__xludf.DUMMYFUNCTION("""COMPUTED_VALUE"""),42937.6666666666)</f>
        <v>42937.666666666599</v>
      </c>
      <c r="BD561" s="3">
        <f ca="1">IFERROR(__xludf.DUMMYFUNCTION("""COMPUTED_VALUE"""),57.29)</f>
        <v>57.29</v>
      </c>
      <c r="BE561" s="3">
        <f ca="1">IFERROR(__xludf.DUMMYFUNCTION("""COMPUTED_VALUE"""),57.48)</f>
        <v>57.48</v>
      </c>
      <c r="BF561" s="3">
        <f ca="1">IFERROR(__xludf.DUMMYFUNCTION("""COMPUTED_VALUE"""),57.23)</f>
        <v>57.23</v>
      </c>
      <c r="BG561" s="3">
        <f ca="1">IFERROR(__xludf.DUMMYFUNCTION("""COMPUTED_VALUE"""),57.47)</f>
        <v>57.47</v>
      </c>
      <c r="BH561" s="3">
        <f ca="1">IFERROR(__xludf.DUMMYFUNCTION("""COMPUTED_VALUE"""),5919823)</f>
        <v>5919823</v>
      </c>
      <c r="BI561" s="4">
        <f ca="1">IFERROR(__xludf.DUMMYFUNCTION("""COMPUTED_VALUE"""),42937.6666666666)</f>
        <v>42937.666666666599</v>
      </c>
      <c r="BJ561" s="3">
        <f ca="1">IFERROR(__xludf.DUMMYFUNCTION("""COMPUTED_VALUE"""),52.92)</f>
        <v>52.92</v>
      </c>
      <c r="BK561" s="3">
        <f ca="1">IFERROR(__xludf.DUMMYFUNCTION("""COMPUTED_VALUE"""),53.29)</f>
        <v>53.29</v>
      </c>
      <c r="BL561" s="3">
        <f ca="1">IFERROR(__xludf.DUMMYFUNCTION("""COMPUTED_VALUE"""),52.74)</f>
        <v>52.74</v>
      </c>
      <c r="BM561" s="3">
        <f ca="1">IFERROR(__xludf.DUMMYFUNCTION("""COMPUTED_VALUE"""),53.29)</f>
        <v>53.29</v>
      </c>
      <c r="BN561" s="3">
        <f ca="1">IFERROR(__xludf.DUMMYFUNCTION("""COMPUTED_VALUE"""),9265195)</f>
        <v>9265195</v>
      </c>
    </row>
    <row r="562" spans="7:66" ht="13" x14ac:dyDescent="0.15">
      <c r="G562" s="4">
        <f ca="1">IFERROR(__xludf.DUMMYFUNCTION("""COMPUTED_VALUE"""),42940.6666666666)</f>
        <v>42940.666666666599</v>
      </c>
      <c r="H562" s="3">
        <f ca="1">IFERROR(__xludf.DUMMYFUNCTION("""COMPUTED_VALUE"""),91.16)</f>
        <v>91.16</v>
      </c>
      <c r="I562" s="3">
        <f ca="1">IFERROR(__xludf.DUMMYFUNCTION("""COMPUTED_VALUE"""),91.16)</f>
        <v>91.16</v>
      </c>
      <c r="J562" s="3">
        <f ca="1">IFERROR(__xludf.DUMMYFUNCTION("""COMPUTED_VALUE"""),90.72)</f>
        <v>90.72</v>
      </c>
      <c r="K562" s="3">
        <f ca="1">IFERROR(__xludf.DUMMYFUNCTION("""COMPUTED_VALUE"""),90.82)</f>
        <v>90.82</v>
      </c>
      <c r="L562" s="3">
        <f ca="1">IFERROR(__xludf.DUMMYFUNCTION("""COMPUTED_VALUE"""),2040899)</f>
        <v>2040899</v>
      </c>
      <c r="M562" s="4">
        <f ca="1">IFERROR(__xludf.DUMMYFUNCTION("""COMPUTED_VALUE"""),42940.6666666666)</f>
        <v>42940.666666666599</v>
      </c>
      <c r="N562" s="3">
        <f ca="1">IFERROR(__xludf.DUMMYFUNCTION("""COMPUTED_VALUE"""),55.06)</f>
        <v>55.06</v>
      </c>
      <c r="O562" s="3">
        <f ca="1">IFERROR(__xludf.DUMMYFUNCTION("""COMPUTED_VALUE"""),55.09)</f>
        <v>55.09</v>
      </c>
      <c r="P562" s="3">
        <f ca="1">IFERROR(__xludf.DUMMYFUNCTION("""COMPUTED_VALUE"""),54.86)</f>
        <v>54.86</v>
      </c>
      <c r="Q562" s="3">
        <f ca="1">IFERROR(__xludf.DUMMYFUNCTION("""COMPUTED_VALUE"""),54.9)</f>
        <v>54.9</v>
      </c>
      <c r="R562" s="3">
        <f ca="1">IFERROR(__xludf.DUMMYFUNCTION("""COMPUTED_VALUE"""),9302362)</f>
        <v>9302362</v>
      </c>
      <c r="S562" s="4">
        <f ca="1">IFERROR(__xludf.DUMMYFUNCTION("""COMPUTED_VALUE"""),42940.6666666666)</f>
        <v>42940.666666666599</v>
      </c>
      <c r="T562" s="3">
        <f ca="1">IFERROR(__xludf.DUMMYFUNCTION("""COMPUTED_VALUE"""),65.25)</f>
        <v>65.25</v>
      </c>
      <c r="U562" s="3">
        <f ca="1">IFERROR(__xludf.DUMMYFUNCTION("""COMPUTED_VALUE"""),65.35)</f>
        <v>65.349999999999994</v>
      </c>
      <c r="V562" s="3">
        <f ca="1">IFERROR(__xludf.DUMMYFUNCTION("""COMPUTED_VALUE"""),64.84)</f>
        <v>64.84</v>
      </c>
      <c r="W562" s="3">
        <f ca="1">IFERROR(__xludf.DUMMYFUNCTION("""COMPUTED_VALUE"""),64.99)</f>
        <v>64.989999999999995</v>
      </c>
      <c r="X562" s="3">
        <f ca="1">IFERROR(__xludf.DUMMYFUNCTION("""COMPUTED_VALUE"""),10433371)</f>
        <v>10433371</v>
      </c>
      <c r="Y562" s="4">
        <f ca="1">IFERROR(__xludf.DUMMYFUNCTION("""COMPUTED_VALUE"""),42940.6666666666)</f>
        <v>42940.666666666599</v>
      </c>
      <c r="Z562" s="3">
        <f ca="1">IFERROR(__xludf.DUMMYFUNCTION("""COMPUTED_VALUE"""),24.79)</f>
        <v>24.79</v>
      </c>
      <c r="AA562" s="3">
        <f ca="1">IFERROR(__xludf.DUMMYFUNCTION("""COMPUTED_VALUE"""),24.94)</f>
        <v>24.94</v>
      </c>
      <c r="AB562" s="3">
        <f ca="1">IFERROR(__xludf.DUMMYFUNCTION("""COMPUTED_VALUE"""),24.79)</f>
        <v>24.79</v>
      </c>
      <c r="AC562" s="3">
        <f ca="1">IFERROR(__xludf.DUMMYFUNCTION("""COMPUTED_VALUE"""),24.91)</f>
        <v>24.91</v>
      </c>
      <c r="AD562" s="3">
        <f ca="1">IFERROR(__xludf.DUMMYFUNCTION("""COMPUTED_VALUE"""),26364776)</f>
        <v>26364776</v>
      </c>
      <c r="AE562" s="4">
        <f ca="1">IFERROR(__xludf.DUMMYFUNCTION("""COMPUTED_VALUE"""),42940.6666666666)</f>
        <v>42940.666666666599</v>
      </c>
      <c r="AF562" s="3">
        <f ca="1">IFERROR(__xludf.DUMMYFUNCTION("""COMPUTED_VALUE"""),80.92)</f>
        <v>80.92</v>
      </c>
      <c r="AG562" s="3">
        <f ca="1">IFERROR(__xludf.DUMMYFUNCTION("""COMPUTED_VALUE"""),81.04)</f>
        <v>81.040000000000006</v>
      </c>
      <c r="AH562" s="3">
        <f ca="1">IFERROR(__xludf.DUMMYFUNCTION("""COMPUTED_VALUE"""),80.61)</f>
        <v>80.61</v>
      </c>
      <c r="AI562" s="3">
        <f ca="1">IFERROR(__xludf.DUMMYFUNCTION("""COMPUTED_VALUE"""),80.96)</f>
        <v>80.959999999999994</v>
      </c>
      <c r="AJ562" s="3">
        <f ca="1">IFERROR(__xludf.DUMMYFUNCTION("""COMPUTED_VALUE"""),4476835)</f>
        <v>4476835</v>
      </c>
      <c r="AK562" s="4">
        <f ca="1">IFERROR(__xludf.DUMMYFUNCTION("""COMPUTED_VALUE"""),42940.6666666666)</f>
        <v>42940.666666666599</v>
      </c>
      <c r="AL562" s="3">
        <f ca="1">IFERROR(__xludf.DUMMYFUNCTION("""COMPUTED_VALUE"""),68.71)</f>
        <v>68.709999999999994</v>
      </c>
      <c r="AM562" s="3">
        <f ca="1">IFERROR(__xludf.DUMMYFUNCTION("""COMPUTED_VALUE"""),68.81)</f>
        <v>68.81</v>
      </c>
      <c r="AN562" s="3">
        <f ca="1">IFERROR(__xludf.DUMMYFUNCTION("""COMPUTED_VALUE"""),68.53)</f>
        <v>68.53</v>
      </c>
      <c r="AO562" s="3">
        <f ca="1">IFERROR(__xludf.DUMMYFUNCTION("""COMPUTED_VALUE"""),68.63)</f>
        <v>68.63</v>
      </c>
      <c r="AP562" s="3">
        <f ca="1">IFERROR(__xludf.DUMMYFUNCTION("""COMPUTED_VALUE"""),7551671)</f>
        <v>7551671</v>
      </c>
      <c r="AQ562" s="4">
        <f ca="1">IFERROR(__xludf.DUMMYFUNCTION("""COMPUTED_VALUE"""),42940.6666666666)</f>
        <v>42940.666666666599</v>
      </c>
      <c r="AR562" s="3">
        <f ca="1">IFERROR(__xludf.DUMMYFUNCTION("""COMPUTED_VALUE"""),55.2)</f>
        <v>55.2</v>
      </c>
      <c r="AS562" s="3">
        <f ca="1">IFERROR(__xludf.DUMMYFUNCTION("""COMPUTED_VALUE"""),55.29)</f>
        <v>55.29</v>
      </c>
      <c r="AT562" s="3">
        <f ca="1">IFERROR(__xludf.DUMMYFUNCTION("""COMPUTED_VALUE"""),54.98)</f>
        <v>54.98</v>
      </c>
      <c r="AU562" s="3">
        <f ca="1">IFERROR(__xludf.DUMMYFUNCTION("""COMPUTED_VALUE"""),55.21)</f>
        <v>55.21</v>
      </c>
      <c r="AV562" s="3">
        <f ca="1">IFERROR(__xludf.DUMMYFUNCTION("""COMPUTED_VALUE"""),2761074)</f>
        <v>2761074</v>
      </c>
      <c r="BC562" s="4">
        <f ca="1">IFERROR(__xludf.DUMMYFUNCTION("""COMPUTED_VALUE"""),42940.6666666666)</f>
        <v>42940.666666666599</v>
      </c>
      <c r="BD562" s="3">
        <f ca="1">IFERROR(__xludf.DUMMYFUNCTION("""COMPUTED_VALUE"""),57.44)</f>
        <v>57.44</v>
      </c>
      <c r="BE562" s="3">
        <f ca="1">IFERROR(__xludf.DUMMYFUNCTION("""COMPUTED_VALUE"""),57.66)</f>
        <v>57.66</v>
      </c>
      <c r="BF562" s="3">
        <f ca="1">IFERROR(__xludf.DUMMYFUNCTION("""COMPUTED_VALUE"""),57.32)</f>
        <v>57.32</v>
      </c>
      <c r="BG562" s="3">
        <f ca="1">IFERROR(__xludf.DUMMYFUNCTION("""COMPUTED_VALUE"""),57.61)</f>
        <v>57.61</v>
      </c>
      <c r="BH562" s="3">
        <f ca="1">IFERROR(__xludf.DUMMYFUNCTION("""COMPUTED_VALUE"""),5378125)</f>
        <v>5378125</v>
      </c>
      <c r="BI562" s="4">
        <f ca="1">IFERROR(__xludf.DUMMYFUNCTION("""COMPUTED_VALUE"""),42940.6666666666)</f>
        <v>42940.666666666599</v>
      </c>
      <c r="BJ562" s="3">
        <f ca="1">IFERROR(__xludf.DUMMYFUNCTION("""COMPUTED_VALUE"""),53.32)</f>
        <v>53.32</v>
      </c>
      <c r="BK562" s="3">
        <f ca="1">IFERROR(__xludf.DUMMYFUNCTION("""COMPUTED_VALUE"""),53.32)</f>
        <v>53.32</v>
      </c>
      <c r="BL562" s="3">
        <f ca="1">IFERROR(__xludf.DUMMYFUNCTION("""COMPUTED_VALUE"""),52.71)</f>
        <v>52.71</v>
      </c>
      <c r="BM562" s="3">
        <f ca="1">IFERROR(__xludf.DUMMYFUNCTION("""COMPUTED_VALUE"""),52.79)</f>
        <v>52.79</v>
      </c>
      <c r="BN562" s="3">
        <f ca="1">IFERROR(__xludf.DUMMYFUNCTION("""COMPUTED_VALUE"""),10534756)</f>
        <v>10534756</v>
      </c>
    </row>
    <row r="563" spans="7:66" ht="13" x14ac:dyDescent="0.15">
      <c r="G563" s="4">
        <f ca="1">IFERROR(__xludf.DUMMYFUNCTION("""COMPUTED_VALUE"""),42941.6666666666)</f>
        <v>42941.666666666599</v>
      </c>
      <c r="H563" s="3">
        <f ca="1">IFERROR(__xludf.DUMMYFUNCTION("""COMPUTED_VALUE"""),91.16)</f>
        <v>91.16</v>
      </c>
      <c r="I563" s="3">
        <f ca="1">IFERROR(__xludf.DUMMYFUNCTION("""COMPUTED_VALUE"""),91.7)</f>
        <v>91.7</v>
      </c>
      <c r="J563" s="3">
        <f ca="1">IFERROR(__xludf.DUMMYFUNCTION("""COMPUTED_VALUE"""),91.01)</f>
        <v>91.01</v>
      </c>
      <c r="K563" s="3">
        <f ca="1">IFERROR(__xludf.DUMMYFUNCTION("""COMPUTED_VALUE"""),91.46)</f>
        <v>91.46</v>
      </c>
      <c r="L563" s="3">
        <f ca="1">IFERROR(__xludf.DUMMYFUNCTION("""COMPUTED_VALUE"""),5048411)</f>
        <v>5048411</v>
      </c>
      <c r="M563" s="4">
        <f ca="1">IFERROR(__xludf.DUMMYFUNCTION("""COMPUTED_VALUE"""),42941.6666666666)</f>
        <v>42941.666666666599</v>
      </c>
      <c r="N563" s="3">
        <f ca="1">IFERROR(__xludf.DUMMYFUNCTION("""COMPUTED_VALUE"""),55.09)</f>
        <v>55.09</v>
      </c>
      <c r="O563" s="3">
        <f ca="1">IFERROR(__xludf.DUMMYFUNCTION("""COMPUTED_VALUE"""),55.32)</f>
        <v>55.32</v>
      </c>
      <c r="P563" s="3">
        <f ca="1">IFERROR(__xludf.DUMMYFUNCTION("""COMPUTED_VALUE"""),55.04)</f>
        <v>55.04</v>
      </c>
      <c r="Q563" s="3">
        <f ca="1">IFERROR(__xludf.DUMMYFUNCTION("""COMPUTED_VALUE"""),55.28)</f>
        <v>55.28</v>
      </c>
      <c r="R563" s="3">
        <f ca="1">IFERROR(__xludf.DUMMYFUNCTION("""COMPUTED_VALUE"""),13799891)</f>
        <v>13799891</v>
      </c>
      <c r="S563" s="4">
        <f ca="1">IFERROR(__xludf.DUMMYFUNCTION("""COMPUTED_VALUE"""),42941.6666666666)</f>
        <v>42941.666666666599</v>
      </c>
      <c r="T563" s="3">
        <f ca="1">IFERROR(__xludf.DUMMYFUNCTION("""COMPUTED_VALUE"""),65.77)</f>
        <v>65.77</v>
      </c>
      <c r="U563" s="3">
        <f ca="1">IFERROR(__xludf.DUMMYFUNCTION("""COMPUTED_VALUE"""),66.28)</f>
        <v>66.28</v>
      </c>
      <c r="V563" s="3">
        <f ca="1">IFERROR(__xludf.DUMMYFUNCTION("""COMPUTED_VALUE"""),65.62)</f>
        <v>65.62</v>
      </c>
      <c r="W563" s="3">
        <f ca="1">IFERROR(__xludf.DUMMYFUNCTION("""COMPUTED_VALUE"""),65.81)</f>
        <v>65.81</v>
      </c>
      <c r="X563" s="3">
        <f ca="1">IFERROR(__xludf.DUMMYFUNCTION("""COMPUTED_VALUE"""),15479286)</f>
        <v>15479286</v>
      </c>
      <c r="Y563" s="4">
        <f ca="1">IFERROR(__xludf.DUMMYFUNCTION("""COMPUTED_VALUE"""),42941.6666666666)</f>
        <v>42941.666666666599</v>
      </c>
      <c r="Z563" s="3">
        <f ca="1">IFERROR(__xludf.DUMMYFUNCTION("""COMPUTED_VALUE"""),25.19)</f>
        <v>25.19</v>
      </c>
      <c r="AA563" s="3">
        <f ca="1">IFERROR(__xludf.DUMMYFUNCTION("""COMPUTED_VALUE"""),25.32)</f>
        <v>25.32</v>
      </c>
      <c r="AB563" s="3">
        <f ca="1">IFERROR(__xludf.DUMMYFUNCTION("""COMPUTED_VALUE"""),25.15)</f>
        <v>25.15</v>
      </c>
      <c r="AC563" s="3">
        <f ca="1">IFERROR(__xludf.DUMMYFUNCTION("""COMPUTED_VALUE"""),25.22)</f>
        <v>25.22</v>
      </c>
      <c r="AD563" s="3">
        <f ca="1">IFERROR(__xludf.DUMMYFUNCTION("""COMPUTED_VALUE"""),75786820)</f>
        <v>75786820</v>
      </c>
      <c r="AE563" s="4">
        <f ca="1">IFERROR(__xludf.DUMMYFUNCTION("""COMPUTED_VALUE"""),42941.6666666666)</f>
        <v>42941.666666666599</v>
      </c>
      <c r="AF563" s="3">
        <f ca="1">IFERROR(__xludf.DUMMYFUNCTION("""COMPUTED_VALUE"""),81.15)</f>
        <v>81.150000000000006</v>
      </c>
      <c r="AG563" s="3">
        <f ca="1">IFERROR(__xludf.DUMMYFUNCTION("""COMPUTED_VALUE"""),81.21)</f>
        <v>81.209999999999994</v>
      </c>
      <c r="AH563" s="3">
        <f ca="1">IFERROR(__xludf.DUMMYFUNCTION("""COMPUTED_VALUE"""),80.26)</f>
        <v>80.260000000000005</v>
      </c>
      <c r="AI563" s="3">
        <f ca="1">IFERROR(__xludf.DUMMYFUNCTION("""COMPUTED_VALUE"""),80.38)</f>
        <v>80.38</v>
      </c>
      <c r="AJ563" s="3">
        <f ca="1">IFERROR(__xludf.DUMMYFUNCTION("""COMPUTED_VALUE"""),8485963)</f>
        <v>8485963</v>
      </c>
      <c r="AK563" s="4">
        <f ca="1">IFERROR(__xludf.DUMMYFUNCTION("""COMPUTED_VALUE"""),42941.6666666666)</f>
        <v>42941.666666666599</v>
      </c>
      <c r="AL563" s="3">
        <f ca="1">IFERROR(__xludf.DUMMYFUNCTION("""COMPUTED_VALUE"""),68.98)</f>
        <v>68.98</v>
      </c>
      <c r="AM563" s="3">
        <f ca="1">IFERROR(__xludf.DUMMYFUNCTION("""COMPUTED_VALUE"""),68.98)</f>
        <v>68.98</v>
      </c>
      <c r="AN563" s="3">
        <f ca="1">IFERROR(__xludf.DUMMYFUNCTION("""COMPUTED_VALUE"""),68.34)</f>
        <v>68.34</v>
      </c>
      <c r="AO563" s="3">
        <f ca="1">IFERROR(__xludf.DUMMYFUNCTION("""COMPUTED_VALUE"""),68.54)</f>
        <v>68.540000000000006</v>
      </c>
      <c r="AP563" s="3">
        <f ca="1">IFERROR(__xludf.DUMMYFUNCTION("""COMPUTED_VALUE"""),9077140)</f>
        <v>9077140</v>
      </c>
      <c r="AQ563" s="4">
        <f ca="1">IFERROR(__xludf.DUMMYFUNCTION("""COMPUTED_VALUE"""),42941.6666666666)</f>
        <v>42941.666666666599</v>
      </c>
      <c r="AR563" s="3">
        <f ca="1">IFERROR(__xludf.DUMMYFUNCTION("""COMPUTED_VALUE"""),55.69)</f>
        <v>55.69</v>
      </c>
      <c r="AS563" s="3">
        <f ca="1">IFERROR(__xludf.DUMMYFUNCTION("""COMPUTED_VALUE"""),55.92)</f>
        <v>55.92</v>
      </c>
      <c r="AT563" s="3">
        <f ca="1">IFERROR(__xludf.DUMMYFUNCTION("""COMPUTED_VALUE"""),55.62)</f>
        <v>55.62</v>
      </c>
      <c r="AU563" s="3">
        <f ca="1">IFERROR(__xludf.DUMMYFUNCTION("""COMPUTED_VALUE"""),55.8)</f>
        <v>55.8</v>
      </c>
      <c r="AV563" s="3">
        <f ca="1">IFERROR(__xludf.DUMMYFUNCTION("""COMPUTED_VALUE"""),4555217)</f>
        <v>4555217</v>
      </c>
      <c r="BC563" s="4">
        <f ca="1">IFERROR(__xludf.DUMMYFUNCTION("""COMPUTED_VALUE"""),42941.6666666666)</f>
        <v>42941.666666666599</v>
      </c>
      <c r="BD563" s="3">
        <f ca="1">IFERROR(__xludf.DUMMYFUNCTION("""COMPUTED_VALUE"""),57.43)</f>
        <v>57.43</v>
      </c>
      <c r="BE563" s="3">
        <f ca="1">IFERROR(__xludf.DUMMYFUNCTION("""COMPUTED_VALUE"""),57.62)</f>
        <v>57.62</v>
      </c>
      <c r="BF563" s="3">
        <f ca="1">IFERROR(__xludf.DUMMYFUNCTION("""COMPUTED_VALUE"""),57.25)</f>
        <v>57.25</v>
      </c>
      <c r="BG563" s="3">
        <f ca="1">IFERROR(__xludf.DUMMYFUNCTION("""COMPUTED_VALUE"""),57.5)</f>
        <v>57.5</v>
      </c>
      <c r="BH563" s="3">
        <f ca="1">IFERROR(__xludf.DUMMYFUNCTION("""COMPUTED_VALUE"""),6880283)</f>
        <v>6880283</v>
      </c>
      <c r="BI563" s="4">
        <f ca="1">IFERROR(__xludf.DUMMYFUNCTION("""COMPUTED_VALUE"""),42941.6666666666)</f>
        <v>42941.666666666599</v>
      </c>
      <c r="BJ563" s="3">
        <f ca="1">IFERROR(__xludf.DUMMYFUNCTION("""COMPUTED_VALUE"""),52.68)</f>
        <v>52.68</v>
      </c>
      <c r="BK563" s="3">
        <f ca="1">IFERROR(__xludf.DUMMYFUNCTION("""COMPUTED_VALUE"""),52.83)</f>
        <v>52.83</v>
      </c>
      <c r="BL563" s="3">
        <f ca="1">IFERROR(__xludf.DUMMYFUNCTION("""COMPUTED_VALUE"""),52.43)</f>
        <v>52.43</v>
      </c>
      <c r="BM563" s="3">
        <f ca="1">IFERROR(__xludf.DUMMYFUNCTION("""COMPUTED_VALUE"""),52.49)</f>
        <v>52.49</v>
      </c>
      <c r="BN563" s="3">
        <f ca="1">IFERROR(__xludf.DUMMYFUNCTION("""COMPUTED_VALUE"""),10568057)</f>
        <v>10568057</v>
      </c>
    </row>
    <row r="564" spans="7:66" ht="13" x14ac:dyDescent="0.15">
      <c r="G564" s="4">
        <f ca="1">IFERROR(__xludf.DUMMYFUNCTION("""COMPUTED_VALUE"""),42942.6666666666)</f>
        <v>42942.666666666599</v>
      </c>
      <c r="H564" s="3">
        <f ca="1">IFERROR(__xludf.DUMMYFUNCTION("""COMPUTED_VALUE"""),91.61)</f>
        <v>91.61</v>
      </c>
      <c r="I564" s="3">
        <f ca="1">IFERROR(__xludf.DUMMYFUNCTION("""COMPUTED_VALUE"""),91.63)</f>
        <v>91.63</v>
      </c>
      <c r="J564" s="3">
        <f ca="1">IFERROR(__xludf.DUMMYFUNCTION("""COMPUTED_VALUE"""),91.32)</f>
        <v>91.32</v>
      </c>
      <c r="K564" s="3">
        <f ca="1">IFERROR(__xludf.DUMMYFUNCTION("""COMPUTED_VALUE"""),91.42)</f>
        <v>91.42</v>
      </c>
      <c r="L564" s="3">
        <f ca="1">IFERROR(__xludf.DUMMYFUNCTION("""COMPUTED_VALUE"""),2864393)</f>
        <v>2864393</v>
      </c>
      <c r="M564" s="4">
        <f ca="1">IFERROR(__xludf.DUMMYFUNCTION("""COMPUTED_VALUE"""),42942.6666666666)</f>
        <v>42942.666666666599</v>
      </c>
      <c r="N564" s="3">
        <f ca="1">IFERROR(__xludf.DUMMYFUNCTION("""COMPUTED_VALUE"""),55.29)</f>
        <v>55.29</v>
      </c>
      <c r="O564" s="3">
        <f ca="1">IFERROR(__xludf.DUMMYFUNCTION("""COMPUTED_VALUE"""),55.41)</f>
        <v>55.41</v>
      </c>
      <c r="P564" s="3">
        <f ca="1">IFERROR(__xludf.DUMMYFUNCTION("""COMPUTED_VALUE"""),55.1)</f>
        <v>55.1</v>
      </c>
      <c r="Q564" s="3">
        <f ca="1">IFERROR(__xludf.DUMMYFUNCTION("""COMPUTED_VALUE"""),55.27)</f>
        <v>55.27</v>
      </c>
      <c r="R564" s="3">
        <f ca="1">IFERROR(__xludf.DUMMYFUNCTION("""COMPUTED_VALUE"""),7593978)</f>
        <v>7593978</v>
      </c>
      <c r="S564" s="4">
        <f ca="1">IFERROR(__xludf.DUMMYFUNCTION("""COMPUTED_VALUE"""),42942.6666666666)</f>
        <v>42942.666666666599</v>
      </c>
      <c r="T564" s="3">
        <f ca="1">IFERROR(__xludf.DUMMYFUNCTION("""COMPUTED_VALUE"""),66.18)</f>
        <v>66.180000000000007</v>
      </c>
      <c r="U564" s="3">
        <f ca="1">IFERROR(__xludf.DUMMYFUNCTION("""COMPUTED_VALUE"""),66.64)</f>
        <v>66.64</v>
      </c>
      <c r="V564" s="3">
        <f ca="1">IFERROR(__xludf.DUMMYFUNCTION("""COMPUTED_VALUE"""),65.7)</f>
        <v>65.7</v>
      </c>
      <c r="W564" s="3">
        <f ca="1">IFERROR(__xludf.DUMMYFUNCTION("""COMPUTED_VALUE"""),65.88)</f>
        <v>65.88</v>
      </c>
      <c r="X564" s="3">
        <f ca="1">IFERROR(__xludf.DUMMYFUNCTION("""COMPUTED_VALUE"""),21211410)</f>
        <v>21211410</v>
      </c>
      <c r="Y564" s="4">
        <f ca="1">IFERROR(__xludf.DUMMYFUNCTION("""COMPUTED_VALUE"""),42942.6666666666)</f>
        <v>42942.666666666599</v>
      </c>
      <c r="Z564" s="3">
        <f ca="1">IFERROR(__xludf.DUMMYFUNCTION("""COMPUTED_VALUE"""),25.25)</f>
        <v>25.25</v>
      </c>
      <c r="AA564" s="3">
        <f ca="1">IFERROR(__xludf.DUMMYFUNCTION("""COMPUTED_VALUE"""),25.29)</f>
        <v>25.29</v>
      </c>
      <c r="AB564" s="3">
        <f ca="1">IFERROR(__xludf.DUMMYFUNCTION("""COMPUTED_VALUE"""),24.99)</f>
        <v>24.99</v>
      </c>
      <c r="AC564" s="3">
        <f ca="1">IFERROR(__xludf.DUMMYFUNCTION("""COMPUTED_VALUE"""),25.05)</f>
        <v>25.05</v>
      </c>
      <c r="AD564" s="3">
        <f ca="1">IFERROR(__xludf.DUMMYFUNCTION("""COMPUTED_VALUE"""),56086548)</f>
        <v>56086548</v>
      </c>
      <c r="AE564" s="4">
        <f ca="1">IFERROR(__xludf.DUMMYFUNCTION("""COMPUTED_VALUE"""),42942.6666666666)</f>
        <v>42942.666666666599</v>
      </c>
      <c r="AF564" s="3">
        <f ca="1">IFERROR(__xludf.DUMMYFUNCTION("""COMPUTED_VALUE"""),80.2)</f>
        <v>80.2</v>
      </c>
      <c r="AG564" s="3">
        <f ca="1">IFERROR(__xludf.DUMMYFUNCTION("""COMPUTED_VALUE"""),80.28)</f>
        <v>80.28</v>
      </c>
      <c r="AH564" s="3">
        <f ca="1">IFERROR(__xludf.DUMMYFUNCTION("""COMPUTED_VALUE"""),79.89)</f>
        <v>79.89</v>
      </c>
      <c r="AI564" s="3">
        <f ca="1">IFERROR(__xludf.DUMMYFUNCTION("""COMPUTED_VALUE"""),80.11)</f>
        <v>80.11</v>
      </c>
      <c r="AJ564" s="3">
        <f ca="1">IFERROR(__xludf.DUMMYFUNCTION("""COMPUTED_VALUE"""),4964146)</f>
        <v>4964146</v>
      </c>
      <c r="AK564" s="4">
        <f ca="1">IFERROR(__xludf.DUMMYFUNCTION("""COMPUTED_VALUE"""),42942.6666666666)</f>
        <v>42942.666666666599</v>
      </c>
      <c r="AL564" s="3">
        <f ca="1">IFERROR(__xludf.DUMMYFUNCTION("""COMPUTED_VALUE"""),68.74)</f>
        <v>68.739999999999995</v>
      </c>
      <c r="AM564" s="3">
        <f ca="1">IFERROR(__xludf.DUMMYFUNCTION("""COMPUTED_VALUE"""),68.74)</f>
        <v>68.739999999999995</v>
      </c>
      <c r="AN564" s="3">
        <f ca="1">IFERROR(__xludf.DUMMYFUNCTION("""COMPUTED_VALUE"""),68.47)</f>
        <v>68.47</v>
      </c>
      <c r="AO564" s="3">
        <f ca="1">IFERROR(__xludf.DUMMYFUNCTION("""COMPUTED_VALUE"""),68.63)</f>
        <v>68.63</v>
      </c>
      <c r="AP564" s="3">
        <f ca="1">IFERROR(__xludf.DUMMYFUNCTION("""COMPUTED_VALUE"""),6803993)</f>
        <v>6803993</v>
      </c>
      <c r="AQ564" s="4">
        <f ca="1">IFERROR(__xludf.DUMMYFUNCTION("""COMPUTED_VALUE"""),42942.6666666666)</f>
        <v>42942.666666666599</v>
      </c>
      <c r="AR564" s="3">
        <f ca="1">IFERROR(__xludf.DUMMYFUNCTION("""COMPUTED_VALUE"""),55.76)</f>
        <v>55.76</v>
      </c>
      <c r="AS564" s="3">
        <f ca="1">IFERROR(__xludf.DUMMYFUNCTION("""COMPUTED_VALUE"""),55.76)</f>
        <v>55.76</v>
      </c>
      <c r="AT564" s="3">
        <f ca="1">IFERROR(__xludf.DUMMYFUNCTION("""COMPUTED_VALUE"""),55.38)</f>
        <v>55.38</v>
      </c>
      <c r="AU564" s="3">
        <f ca="1">IFERROR(__xludf.DUMMYFUNCTION("""COMPUTED_VALUE"""),55.46)</f>
        <v>55.46</v>
      </c>
      <c r="AV564" s="3">
        <f ca="1">IFERROR(__xludf.DUMMYFUNCTION("""COMPUTED_VALUE"""),3811965)</f>
        <v>3811965</v>
      </c>
      <c r="BC564" s="4">
        <f ca="1">IFERROR(__xludf.DUMMYFUNCTION("""COMPUTED_VALUE"""),42942.6666666666)</f>
        <v>42942.666666666599</v>
      </c>
      <c r="BD564" s="3">
        <f ca="1">IFERROR(__xludf.DUMMYFUNCTION("""COMPUTED_VALUE"""),57.81)</f>
        <v>57.81</v>
      </c>
      <c r="BE564" s="3">
        <f ca="1">IFERROR(__xludf.DUMMYFUNCTION("""COMPUTED_VALUE"""),57.82)</f>
        <v>57.82</v>
      </c>
      <c r="BF564" s="3">
        <f ca="1">IFERROR(__xludf.DUMMYFUNCTION("""COMPUTED_VALUE"""),57.53)</f>
        <v>57.53</v>
      </c>
      <c r="BG564" s="3">
        <f ca="1">IFERROR(__xludf.DUMMYFUNCTION("""COMPUTED_VALUE"""),57.72)</f>
        <v>57.72</v>
      </c>
      <c r="BH564" s="3">
        <f ca="1">IFERROR(__xludf.DUMMYFUNCTION("""COMPUTED_VALUE"""),10602647)</f>
        <v>10602647</v>
      </c>
      <c r="BI564" s="4">
        <f ca="1">IFERROR(__xludf.DUMMYFUNCTION("""COMPUTED_VALUE"""),42942.6666666666)</f>
        <v>42942.666666666599</v>
      </c>
      <c r="BJ564" s="3">
        <f ca="1">IFERROR(__xludf.DUMMYFUNCTION("""COMPUTED_VALUE"""),52.48)</f>
        <v>52.48</v>
      </c>
      <c r="BK564" s="3">
        <f ca="1">IFERROR(__xludf.DUMMYFUNCTION("""COMPUTED_VALUE"""),52.99)</f>
        <v>52.99</v>
      </c>
      <c r="BL564" s="3">
        <f ca="1">IFERROR(__xludf.DUMMYFUNCTION("""COMPUTED_VALUE"""),52.4)</f>
        <v>52.4</v>
      </c>
      <c r="BM564" s="3">
        <f ca="1">IFERROR(__xludf.DUMMYFUNCTION("""COMPUTED_VALUE"""),52.99)</f>
        <v>52.99</v>
      </c>
      <c r="BN564" s="3">
        <f ca="1">IFERROR(__xludf.DUMMYFUNCTION("""COMPUTED_VALUE"""),8631220)</f>
        <v>8631220</v>
      </c>
    </row>
    <row r="565" spans="7:66" ht="13" x14ac:dyDescent="0.15">
      <c r="G565" s="4">
        <f ca="1">IFERROR(__xludf.DUMMYFUNCTION("""COMPUTED_VALUE"""),42943.6666666666)</f>
        <v>42943.666666666599</v>
      </c>
      <c r="H565" s="3">
        <f ca="1">IFERROR(__xludf.DUMMYFUNCTION("""COMPUTED_VALUE"""),91.81)</f>
        <v>91.81</v>
      </c>
      <c r="I565" s="3">
        <f ca="1">IFERROR(__xludf.DUMMYFUNCTION("""COMPUTED_VALUE"""),92.55)</f>
        <v>92.55</v>
      </c>
      <c r="J565" s="3">
        <f ca="1">IFERROR(__xludf.DUMMYFUNCTION("""COMPUTED_VALUE"""),91.32)</f>
        <v>91.32</v>
      </c>
      <c r="K565" s="3">
        <f ca="1">IFERROR(__xludf.DUMMYFUNCTION("""COMPUTED_VALUE"""),92.09)</f>
        <v>92.09</v>
      </c>
      <c r="L565" s="3">
        <f ca="1">IFERROR(__xludf.DUMMYFUNCTION("""COMPUTED_VALUE"""),6637638)</f>
        <v>6637638</v>
      </c>
      <c r="M565" s="4">
        <f ca="1">IFERROR(__xludf.DUMMYFUNCTION("""COMPUTED_VALUE"""),42943.6666666666)</f>
        <v>42943.666666666599</v>
      </c>
      <c r="N565" s="3">
        <f ca="1">IFERROR(__xludf.DUMMYFUNCTION("""COMPUTED_VALUE"""),55.31)</f>
        <v>55.31</v>
      </c>
      <c r="O565" s="3">
        <f ca="1">IFERROR(__xludf.DUMMYFUNCTION("""COMPUTED_VALUE"""),55.82)</f>
        <v>55.82</v>
      </c>
      <c r="P565" s="3">
        <f ca="1">IFERROR(__xludf.DUMMYFUNCTION("""COMPUTED_VALUE"""),55.28)</f>
        <v>55.28</v>
      </c>
      <c r="Q565" s="3">
        <f ca="1">IFERROR(__xludf.DUMMYFUNCTION("""COMPUTED_VALUE"""),55.81)</f>
        <v>55.81</v>
      </c>
      <c r="R565" s="3">
        <f ca="1">IFERROR(__xludf.DUMMYFUNCTION("""COMPUTED_VALUE"""),12859013)</f>
        <v>12859013</v>
      </c>
      <c r="S565" s="4">
        <f ca="1">IFERROR(__xludf.DUMMYFUNCTION("""COMPUTED_VALUE"""),42943.6666666666)</f>
        <v>42943.666666666599</v>
      </c>
      <c r="T565" s="3">
        <f ca="1">IFERROR(__xludf.DUMMYFUNCTION("""COMPUTED_VALUE"""),65.9)</f>
        <v>65.900000000000006</v>
      </c>
      <c r="U565" s="3">
        <f ca="1">IFERROR(__xludf.DUMMYFUNCTION("""COMPUTED_VALUE"""),66.58)</f>
        <v>66.58</v>
      </c>
      <c r="V565" s="3">
        <f ca="1">IFERROR(__xludf.DUMMYFUNCTION("""COMPUTED_VALUE"""),65.6)</f>
        <v>65.599999999999994</v>
      </c>
      <c r="W565" s="3">
        <f ca="1">IFERROR(__xludf.DUMMYFUNCTION("""COMPUTED_VALUE"""),66.55)</f>
        <v>66.55</v>
      </c>
      <c r="X565" s="3">
        <f ca="1">IFERROR(__xludf.DUMMYFUNCTION("""COMPUTED_VALUE"""),15815914)</f>
        <v>15815914</v>
      </c>
      <c r="Y565" s="4">
        <f ca="1">IFERROR(__xludf.DUMMYFUNCTION("""COMPUTED_VALUE"""),42943.6666666666)</f>
        <v>42943.666666666599</v>
      </c>
      <c r="Z565" s="3">
        <f ca="1">IFERROR(__xludf.DUMMYFUNCTION("""COMPUTED_VALUE"""),25.1)</f>
        <v>25.1</v>
      </c>
      <c r="AA565" s="3">
        <f ca="1">IFERROR(__xludf.DUMMYFUNCTION("""COMPUTED_VALUE"""),25.11)</f>
        <v>25.11</v>
      </c>
      <c r="AB565" s="3">
        <f ca="1">IFERROR(__xludf.DUMMYFUNCTION("""COMPUTED_VALUE"""),24.8)</f>
        <v>24.8</v>
      </c>
      <c r="AC565" s="3">
        <f ca="1">IFERROR(__xludf.DUMMYFUNCTION("""COMPUTED_VALUE"""),24.91)</f>
        <v>24.91</v>
      </c>
      <c r="AD565" s="3">
        <f ca="1">IFERROR(__xludf.DUMMYFUNCTION("""COMPUTED_VALUE"""),67826171)</f>
        <v>67826171</v>
      </c>
      <c r="AE565" s="4">
        <f ca="1">IFERROR(__xludf.DUMMYFUNCTION("""COMPUTED_VALUE"""),42943.6666666666)</f>
        <v>42943.666666666599</v>
      </c>
      <c r="AF565" s="3">
        <f ca="1">IFERROR(__xludf.DUMMYFUNCTION("""COMPUTED_VALUE"""),80.19)</f>
        <v>80.19</v>
      </c>
      <c r="AG565" s="3">
        <f ca="1">IFERROR(__xludf.DUMMYFUNCTION("""COMPUTED_VALUE"""),80.19)</f>
        <v>80.19</v>
      </c>
      <c r="AH565" s="3">
        <f ca="1">IFERROR(__xludf.DUMMYFUNCTION("""COMPUTED_VALUE"""),79.23)</f>
        <v>79.23</v>
      </c>
      <c r="AI565" s="3">
        <f ca="1">IFERROR(__xludf.DUMMYFUNCTION("""COMPUTED_VALUE"""),79.56)</f>
        <v>79.56</v>
      </c>
      <c r="AJ565" s="3">
        <f ca="1">IFERROR(__xludf.DUMMYFUNCTION("""COMPUTED_VALUE"""),12536833)</f>
        <v>12536833</v>
      </c>
      <c r="AK565" s="4">
        <f ca="1">IFERROR(__xludf.DUMMYFUNCTION("""COMPUTED_VALUE"""),42943.6666666666)</f>
        <v>42943.666666666599</v>
      </c>
      <c r="AL565" s="3">
        <f ca="1">IFERROR(__xludf.DUMMYFUNCTION("""COMPUTED_VALUE"""),68.56)</f>
        <v>68.56</v>
      </c>
      <c r="AM565" s="3">
        <f ca="1">IFERROR(__xludf.DUMMYFUNCTION("""COMPUTED_VALUE"""),68.56)</f>
        <v>68.56</v>
      </c>
      <c r="AN565" s="3">
        <f ca="1">IFERROR(__xludf.DUMMYFUNCTION("""COMPUTED_VALUE"""),67.91)</f>
        <v>67.91</v>
      </c>
      <c r="AO565" s="3">
        <f ca="1">IFERROR(__xludf.DUMMYFUNCTION("""COMPUTED_VALUE"""),68.24)</f>
        <v>68.239999999999995</v>
      </c>
      <c r="AP565" s="3">
        <f ca="1">IFERROR(__xludf.DUMMYFUNCTION("""COMPUTED_VALUE"""),9900940)</f>
        <v>9900940</v>
      </c>
      <c r="AQ565" s="4">
        <f ca="1">IFERROR(__xludf.DUMMYFUNCTION("""COMPUTED_VALUE"""),42943.6666666666)</f>
        <v>42943.666666666599</v>
      </c>
      <c r="AR565" s="3">
        <f ca="1">IFERROR(__xludf.DUMMYFUNCTION("""COMPUTED_VALUE"""),55.52)</f>
        <v>55.52</v>
      </c>
      <c r="AS565" s="3">
        <f ca="1">IFERROR(__xludf.DUMMYFUNCTION("""COMPUTED_VALUE"""),55.62)</f>
        <v>55.62</v>
      </c>
      <c r="AT565" s="3">
        <f ca="1">IFERROR(__xludf.DUMMYFUNCTION("""COMPUTED_VALUE"""),55)</f>
        <v>55</v>
      </c>
      <c r="AU565" s="3">
        <f ca="1">IFERROR(__xludf.DUMMYFUNCTION("""COMPUTED_VALUE"""),55.26)</f>
        <v>55.26</v>
      </c>
      <c r="AV565" s="3">
        <f ca="1">IFERROR(__xludf.DUMMYFUNCTION("""COMPUTED_VALUE"""),3789289)</f>
        <v>3789289</v>
      </c>
      <c r="BC565" s="4">
        <f ca="1">IFERROR(__xludf.DUMMYFUNCTION("""COMPUTED_VALUE"""),42943.6666666666)</f>
        <v>42943.666666666599</v>
      </c>
      <c r="BD565" s="3">
        <f ca="1">IFERROR(__xludf.DUMMYFUNCTION("""COMPUTED_VALUE"""),58.13)</f>
        <v>58.13</v>
      </c>
      <c r="BE565" s="3">
        <f ca="1">IFERROR(__xludf.DUMMYFUNCTION("""COMPUTED_VALUE"""),58.2)</f>
        <v>58.2</v>
      </c>
      <c r="BF565" s="3">
        <f ca="1">IFERROR(__xludf.DUMMYFUNCTION("""COMPUTED_VALUE"""),56.79)</f>
        <v>56.79</v>
      </c>
      <c r="BG565" s="3">
        <f ca="1">IFERROR(__xludf.DUMMYFUNCTION("""COMPUTED_VALUE"""),57.5)</f>
        <v>57.5</v>
      </c>
      <c r="BH565" s="3">
        <f ca="1">IFERROR(__xludf.DUMMYFUNCTION("""COMPUTED_VALUE"""),23047172)</f>
        <v>23047172</v>
      </c>
      <c r="BI565" s="4">
        <f ca="1">IFERROR(__xludf.DUMMYFUNCTION("""COMPUTED_VALUE"""),42943.6666666666)</f>
        <v>42943.666666666599</v>
      </c>
      <c r="BJ565" s="3">
        <f ca="1">IFERROR(__xludf.DUMMYFUNCTION("""COMPUTED_VALUE"""),52.84)</f>
        <v>52.84</v>
      </c>
      <c r="BK565" s="3">
        <f ca="1">IFERROR(__xludf.DUMMYFUNCTION("""COMPUTED_VALUE"""),53.12)</f>
        <v>53.12</v>
      </c>
      <c r="BL565" s="3">
        <f ca="1">IFERROR(__xludf.DUMMYFUNCTION("""COMPUTED_VALUE"""),52.78)</f>
        <v>52.78</v>
      </c>
      <c r="BM565" s="3">
        <f ca="1">IFERROR(__xludf.DUMMYFUNCTION("""COMPUTED_VALUE"""),53.12)</f>
        <v>53.12</v>
      </c>
      <c r="BN565" s="3">
        <f ca="1">IFERROR(__xludf.DUMMYFUNCTION("""COMPUTED_VALUE"""),9586920)</f>
        <v>9586920</v>
      </c>
    </row>
    <row r="566" spans="7:66" ht="13" x14ac:dyDescent="0.15">
      <c r="G566" s="4">
        <f ca="1">IFERROR(__xludf.DUMMYFUNCTION("""COMPUTED_VALUE"""),42944.6666666666)</f>
        <v>42944.666666666599</v>
      </c>
      <c r="H566" s="3">
        <f ca="1">IFERROR(__xludf.DUMMYFUNCTION("""COMPUTED_VALUE"""),91.19)</f>
        <v>91.19</v>
      </c>
      <c r="I566" s="3">
        <f ca="1">IFERROR(__xludf.DUMMYFUNCTION("""COMPUTED_VALUE"""),91.5)</f>
        <v>91.5</v>
      </c>
      <c r="J566" s="3">
        <f ca="1">IFERROR(__xludf.DUMMYFUNCTION("""COMPUTED_VALUE"""),91.04)</f>
        <v>91.04</v>
      </c>
      <c r="K566" s="3">
        <f ca="1">IFERROR(__xludf.DUMMYFUNCTION("""COMPUTED_VALUE"""),91.39)</f>
        <v>91.39</v>
      </c>
      <c r="L566" s="3">
        <f ca="1">IFERROR(__xludf.DUMMYFUNCTION("""COMPUTED_VALUE"""),3916736)</f>
        <v>3916736</v>
      </c>
      <c r="M566" s="4">
        <f ca="1">IFERROR(__xludf.DUMMYFUNCTION("""COMPUTED_VALUE"""),42944.6666666666)</f>
        <v>42944.666666666599</v>
      </c>
      <c r="N566" s="3">
        <f ca="1">IFERROR(__xludf.DUMMYFUNCTION("""COMPUTED_VALUE"""),55.64)</f>
        <v>55.64</v>
      </c>
      <c r="O566" s="3">
        <f ca="1">IFERROR(__xludf.DUMMYFUNCTION("""COMPUTED_VALUE"""),55.87)</f>
        <v>55.87</v>
      </c>
      <c r="P566" s="3">
        <f ca="1">IFERROR(__xludf.DUMMYFUNCTION("""COMPUTED_VALUE"""),54.57)</f>
        <v>54.57</v>
      </c>
      <c r="Q566" s="3">
        <f ca="1">IFERROR(__xludf.DUMMYFUNCTION("""COMPUTED_VALUE"""),55.34)</f>
        <v>55.34</v>
      </c>
      <c r="R566" s="3">
        <f ca="1">IFERROR(__xludf.DUMMYFUNCTION("""COMPUTED_VALUE"""),18412186)</f>
        <v>18412186</v>
      </c>
      <c r="S566" s="4">
        <f ca="1">IFERROR(__xludf.DUMMYFUNCTION("""COMPUTED_VALUE"""),42944.6666666666)</f>
        <v>42944.666666666599</v>
      </c>
      <c r="T566" s="3">
        <f ca="1">IFERROR(__xludf.DUMMYFUNCTION("""COMPUTED_VALUE"""),66.33)</f>
        <v>66.33</v>
      </c>
      <c r="U566" s="3">
        <f ca="1">IFERROR(__xludf.DUMMYFUNCTION("""COMPUTED_VALUE"""),67.13)</f>
        <v>67.13</v>
      </c>
      <c r="V566" s="3">
        <f ca="1">IFERROR(__xludf.DUMMYFUNCTION("""COMPUTED_VALUE"""),66.22)</f>
        <v>66.22</v>
      </c>
      <c r="W566" s="3">
        <f ca="1">IFERROR(__xludf.DUMMYFUNCTION("""COMPUTED_VALUE"""),66.47)</f>
        <v>66.47</v>
      </c>
      <c r="X566" s="3">
        <f ca="1">IFERROR(__xludf.DUMMYFUNCTION("""COMPUTED_VALUE"""),14765006)</f>
        <v>14765006</v>
      </c>
      <c r="Y566" s="4">
        <f ca="1">IFERROR(__xludf.DUMMYFUNCTION("""COMPUTED_VALUE"""),42944.6666666666)</f>
        <v>42944.666666666599</v>
      </c>
      <c r="Z566" s="3">
        <f ca="1">IFERROR(__xludf.DUMMYFUNCTION("""COMPUTED_VALUE"""),24.87)</f>
        <v>24.87</v>
      </c>
      <c r="AA566" s="3">
        <f ca="1">IFERROR(__xludf.DUMMYFUNCTION("""COMPUTED_VALUE"""),24.98)</f>
        <v>24.98</v>
      </c>
      <c r="AB566" s="3">
        <f ca="1">IFERROR(__xludf.DUMMYFUNCTION("""COMPUTED_VALUE"""),24.77)</f>
        <v>24.77</v>
      </c>
      <c r="AC566" s="3">
        <f ca="1">IFERROR(__xludf.DUMMYFUNCTION("""COMPUTED_VALUE"""),24.91)</f>
        <v>24.91</v>
      </c>
      <c r="AD566" s="3">
        <f ca="1">IFERROR(__xludf.DUMMYFUNCTION("""COMPUTED_VALUE"""),43735806)</f>
        <v>43735806</v>
      </c>
      <c r="AE566" s="4">
        <f ca="1">IFERROR(__xludf.DUMMYFUNCTION("""COMPUTED_VALUE"""),42944.6666666666)</f>
        <v>42944.666666666599</v>
      </c>
      <c r="AF566" s="3">
        <f ca="1">IFERROR(__xludf.DUMMYFUNCTION("""COMPUTED_VALUE"""),79.59)</f>
        <v>79.59</v>
      </c>
      <c r="AG566" s="3">
        <f ca="1">IFERROR(__xludf.DUMMYFUNCTION("""COMPUTED_VALUE"""),80.06)</f>
        <v>80.06</v>
      </c>
      <c r="AH566" s="3">
        <f ca="1">IFERROR(__xludf.DUMMYFUNCTION("""COMPUTED_VALUE"""),79.25)</f>
        <v>79.25</v>
      </c>
      <c r="AI566" s="3">
        <f ca="1">IFERROR(__xludf.DUMMYFUNCTION("""COMPUTED_VALUE"""),79.96)</f>
        <v>79.959999999999994</v>
      </c>
      <c r="AJ566" s="3">
        <f ca="1">IFERROR(__xludf.DUMMYFUNCTION("""COMPUTED_VALUE"""),6426095)</f>
        <v>6426095</v>
      </c>
      <c r="AK566" s="4">
        <f ca="1">IFERROR(__xludf.DUMMYFUNCTION("""COMPUTED_VALUE"""),42944.6666666666)</f>
        <v>42944.666666666599</v>
      </c>
      <c r="AL566" s="3">
        <f ca="1">IFERROR(__xludf.DUMMYFUNCTION("""COMPUTED_VALUE"""),68.17)</f>
        <v>68.17</v>
      </c>
      <c r="AM566" s="3">
        <f ca="1">IFERROR(__xludf.DUMMYFUNCTION("""COMPUTED_VALUE"""),68.45)</f>
        <v>68.45</v>
      </c>
      <c r="AN566" s="3">
        <f ca="1">IFERROR(__xludf.DUMMYFUNCTION("""COMPUTED_VALUE"""),68.02)</f>
        <v>68.02</v>
      </c>
      <c r="AO566" s="3">
        <f ca="1">IFERROR(__xludf.DUMMYFUNCTION("""COMPUTED_VALUE"""),68.4)</f>
        <v>68.400000000000006</v>
      </c>
      <c r="AP566" s="3">
        <f ca="1">IFERROR(__xludf.DUMMYFUNCTION("""COMPUTED_VALUE"""),11435656)</f>
        <v>11435656</v>
      </c>
      <c r="AQ566" s="4">
        <f ca="1">IFERROR(__xludf.DUMMYFUNCTION("""COMPUTED_VALUE"""),42944.6666666666)</f>
        <v>42944.666666666599</v>
      </c>
      <c r="AR566" s="3">
        <f ca="1">IFERROR(__xludf.DUMMYFUNCTION("""COMPUTED_VALUE"""),55.31)</f>
        <v>55.31</v>
      </c>
      <c r="AS566" s="3">
        <f ca="1">IFERROR(__xludf.DUMMYFUNCTION("""COMPUTED_VALUE"""),55.48)</f>
        <v>55.48</v>
      </c>
      <c r="AT566" s="3">
        <f ca="1">IFERROR(__xludf.DUMMYFUNCTION("""COMPUTED_VALUE"""),54.85)</f>
        <v>54.85</v>
      </c>
      <c r="AU566" s="3">
        <f ca="1">IFERROR(__xludf.DUMMYFUNCTION("""COMPUTED_VALUE"""),55.06)</f>
        <v>55.06</v>
      </c>
      <c r="AV566" s="3">
        <f ca="1">IFERROR(__xludf.DUMMYFUNCTION("""COMPUTED_VALUE"""),4691189)</f>
        <v>4691189</v>
      </c>
      <c r="BC566" s="4">
        <f ca="1">IFERROR(__xludf.DUMMYFUNCTION("""COMPUTED_VALUE"""),42944.6666666666)</f>
        <v>42944.666666666599</v>
      </c>
      <c r="BD566" s="3">
        <f ca="1">IFERROR(__xludf.DUMMYFUNCTION("""COMPUTED_VALUE"""),57.21)</f>
        <v>57.21</v>
      </c>
      <c r="BE566" s="3">
        <f ca="1">IFERROR(__xludf.DUMMYFUNCTION("""COMPUTED_VALUE"""),57.55)</f>
        <v>57.55</v>
      </c>
      <c r="BF566" s="3">
        <f ca="1">IFERROR(__xludf.DUMMYFUNCTION("""COMPUTED_VALUE"""),57.16)</f>
        <v>57.16</v>
      </c>
      <c r="BG566" s="3">
        <f ca="1">IFERROR(__xludf.DUMMYFUNCTION("""COMPUTED_VALUE"""),57.44)</f>
        <v>57.44</v>
      </c>
      <c r="BH566" s="3">
        <f ca="1">IFERROR(__xludf.DUMMYFUNCTION("""COMPUTED_VALUE"""),10293081)</f>
        <v>10293081</v>
      </c>
      <c r="BI566" s="4">
        <f ca="1">IFERROR(__xludf.DUMMYFUNCTION("""COMPUTED_VALUE"""),42944.6666666666)</f>
        <v>42944.666666666599</v>
      </c>
      <c r="BJ566" s="3">
        <f ca="1">IFERROR(__xludf.DUMMYFUNCTION("""COMPUTED_VALUE"""),53.04)</f>
        <v>53.04</v>
      </c>
      <c r="BK566" s="3">
        <f ca="1">IFERROR(__xludf.DUMMYFUNCTION("""COMPUTED_VALUE"""),53.19)</f>
        <v>53.19</v>
      </c>
      <c r="BL566" s="3">
        <f ca="1">IFERROR(__xludf.DUMMYFUNCTION("""COMPUTED_VALUE"""),52.79)</f>
        <v>52.79</v>
      </c>
      <c r="BM566" s="3">
        <f ca="1">IFERROR(__xludf.DUMMYFUNCTION("""COMPUTED_VALUE"""),53.04)</f>
        <v>53.04</v>
      </c>
      <c r="BN566" s="3">
        <f ca="1">IFERROR(__xludf.DUMMYFUNCTION("""COMPUTED_VALUE"""),9638979)</f>
        <v>9638979</v>
      </c>
    </row>
    <row r="567" spans="7:66" ht="13" x14ac:dyDescent="0.15">
      <c r="G567" s="4">
        <f ca="1">IFERROR(__xludf.DUMMYFUNCTION("""COMPUTED_VALUE"""),42947.6666666666)</f>
        <v>42947.666666666599</v>
      </c>
      <c r="H567" s="3">
        <f ca="1">IFERROR(__xludf.DUMMYFUNCTION("""COMPUTED_VALUE"""),91.72)</f>
        <v>91.72</v>
      </c>
      <c r="I567" s="3">
        <f ca="1">IFERROR(__xludf.DUMMYFUNCTION("""COMPUTED_VALUE"""),91.85)</f>
        <v>91.85</v>
      </c>
      <c r="J567" s="3">
        <f ca="1">IFERROR(__xludf.DUMMYFUNCTION("""COMPUTED_VALUE"""),91.06)</f>
        <v>91.06</v>
      </c>
      <c r="K567" s="3">
        <f ca="1">IFERROR(__xludf.DUMMYFUNCTION("""COMPUTED_VALUE"""),91.36)</f>
        <v>91.36</v>
      </c>
      <c r="L567" s="3">
        <f ca="1">IFERROR(__xludf.DUMMYFUNCTION("""COMPUTED_VALUE"""),3130649)</f>
        <v>3130649</v>
      </c>
      <c r="M567" s="4">
        <f ca="1">IFERROR(__xludf.DUMMYFUNCTION("""COMPUTED_VALUE"""),42947.6666666666)</f>
        <v>42947.666666666599</v>
      </c>
      <c r="N567" s="3">
        <f ca="1">IFERROR(__xludf.DUMMYFUNCTION("""COMPUTED_VALUE"""),55.2)</f>
        <v>55.2</v>
      </c>
      <c r="O567" s="3">
        <f ca="1">IFERROR(__xludf.DUMMYFUNCTION("""COMPUTED_VALUE"""),55.45)</f>
        <v>55.45</v>
      </c>
      <c r="P567" s="3">
        <f ca="1">IFERROR(__xludf.DUMMYFUNCTION("""COMPUTED_VALUE"""),55.19)</f>
        <v>55.19</v>
      </c>
      <c r="Q567" s="3">
        <f ca="1">IFERROR(__xludf.DUMMYFUNCTION("""COMPUTED_VALUE"""),55.32)</f>
        <v>55.32</v>
      </c>
      <c r="R567" s="3">
        <f ca="1">IFERROR(__xludf.DUMMYFUNCTION("""COMPUTED_VALUE"""),7279311)</f>
        <v>7279311</v>
      </c>
      <c r="S567" s="4">
        <f ca="1">IFERROR(__xludf.DUMMYFUNCTION("""COMPUTED_VALUE"""),42947.6666666666)</f>
        <v>42947.666666666599</v>
      </c>
      <c r="T567" s="3">
        <f ca="1">IFERROR(__xludf.DUMMYFUNCTION("""COMPUTED_VALUE"""),66.49)</f>
        <v>66.489999999999995</v>
      </c>
      <c r="U567" s="3">
        <f ca="1">IFERROR(__xludf.DUMMYFUNCTION("""COMPUTED_VALUE"""),67)</f>
        <v>67</v>
      </c>
      <c r="V567" s="3">
        <f ca="1">IFERROR(__xludf.DUMMYFUNCTION("""COMPUTED_VALUE"""),66.31)</f>
        <v>66.31</v>
      </c>
      <c r="W567" s="3">
        <f ca="1">IFERROR(__xludf.DUMMYFUNCTION("""COMPUTED_VALUE"""),66.62)</f>
        <v>66.62</v>
      </c>
      <c r="X567" s="3">
        <f ca="1">IFERROR(__xludf.DUMMYFUNCTION("""COMPUTED_VALUE"""),13519501)</f>
        <v>13519501</v>
      </c>
      <c r="Y567" s="4">
        <f ca="1">IFERROR(__xludf.DUMMYFUNCTION("""COMPUTED_VALUE"""),42947.6666666666)</f>
        <v>42947.666666666599</v>
      </c>
      <c r="Z567" s="3">
        <f ca="1">IFERROR(__xludf.DUMMYFUNCTION("""COMPUTED_VALUE"""),25)</f>
        <v>25</v>
      </c>
      <c r="AA567" s="3">
        <f ca="1">IFERROR(__xludf.DUMMYFUNCTION("""COMPUTED_VALUE"""),25.18)</f>
        <v>25.18</v>
      </c>
      <c r="AB567" s="3">
        <f ca="1">IFERROR(__xludf.DUMMYFUNCTION("""COMPUTED_VALUE"""),24.97)</f>
        <v>24.97</v>
      </c>
      <c r="AC567" s="3">
        <f ca="1">IFERROR(__xludf.DUMMYFUNCTION("""COMPUTED_VALUE"""),25.09)</f>
        <v>25.09</v>
      </c>
      <c r="AD567" s="3">
        <f ca="1">IFERROR(__xludf.DUMMYFUNCTION("""COMPUTED_VALUE"""),43039260)</f>
        <v>43039260</v>
      </c>
      <c r="AE567" s="4">
        <f ca="1">IFERROR(__xludf.DUMMYFUNCTION("""COMPUTED_VALUE"""),42947.6666666666)</f>
        <v>42947.666666666599</v>
      </c>
      <c r="AF567" s="3">
        <f ca="1">IFERROR(__xludf.DUMMYFUNCTION("""COMPUTED_VALUE"""),80.06)</f>
        <v>80.06</v>
      </c>
      <c r="AG567" s="3">
        <f ca="1">IFERROR(__xludf.DUMMYFUNCTION("""COMPUTED_VALUE"""),80.22)</f>
        <v>80.22</v>
      </c>
      <c r="AH567" s="3">
        <f ca="1">IFERROR(__xludf.DUMMYFUNCTION("""COMPUTED_VALUE"""),79.88)</f>
        <v>79.88</v>
      </c>
      <c r="AI567" s="3">
        <f ca="1">IFERROR(__xludf.DUMMYFUNCTION("""COMPUTED_VALUE"""),79.89)</f>
        <v>79.89</v>
      </c>
      <c r="AJ567" s="3">
        <f ca="1">IFERROR(__xludf.DUMMYFUNCTION("""COMPUTED_VALUE"""),5516781)</f>
        <v>5516781</v>
      </c>
      <c r="AK567" s="4">
        <f ca="1">IFERROR(__xludf.DUMMYFUNCTION("""COMPUTED_VALUE"""),42947.6666666666)</f>
        <v>42947.666666666599</v>
      </c>
      <c r="AL567" s="3">
        <f ca="1">IFERROR(__xludf.DUMMYFUNCTION("""COMPUTED_VALUE"""),68.72)</f>
        <v>68.72</v>
      </c>
      <c r="AM567" s="3">
        <f ca="1">IFERROR(__xludf.DUMMYFUNCTION("""COMPUTED_VALUE"""),68.75)</f>
        <v>68.75</v>
      </c>
      <c r="AN567" s="3">
        <f ca="1">IFERROR(__xludf.DUMMYFUNCTION("""COMPUTED_VALUE"""),68.29)</f>
        <v>68.290000000000006</v>
      </c>
      <c r="AO567" s="3">
        <f ca="1">IFERROR(__xludf.DUMMYFUNCTION("""COMPUTED_VALUE"""),68.31)</f>
        <v>68.31</v>
      </c>
      <c r="AP567" s="3">
        <f ca="1">IFERROR(__xludf.DUMMYFUNCTION("""COMPUTED_VALUE"""),6787348)</f>
        <v>6787348</v>
      </c>
      <c r="AQ567" s="4">
        <f ca="1">IFERROR(__xludf.DUMMYFUNCTION("""COMPUTED_VALUE"""),42947.6666666666)</f>
        <v>42947.666666666599</v>
      </c>
      <c r="AR567" s="3">
        <f ca="1">IFERROR(__xludf.DUMMYFUNCTION("""COMPUTED_VALUE"""),55.18)</f>
        <v>55.18</v>
      </c>
      <c r="AS567" s="3">
        <f ca="1">IFERROR(__xludf.DUMMYFUNCTION("""COMPUTED_VALUE"""),55.25)</f>
        <v>55.25</v>
      </c>
      <c r="AT567" s="3">
        <f ca="1">IFERROR(__xludf.DUMMYFUNCTION("""COMPUTED_VALUE"""),54.61)</f>
        <v>54.61</v>
      </c>
      <c r="AU567" s="3">
        <f ca="1">IFERROR(__xludf.DUMMYFUNCTION("""COMPUTED_VALUE"""),54.64)</f>
        <v>54.64</v>
      </c>
      <c r="AV567" s="3">
        <f ca="1">IFERROR(__xludf.DUMMYFUNCTION("""COMPUTED_VALUE"""),4509838)</f>
        <v>4509838</v>
      </c>
      <c r="BC567" s="4">
        <f ca="1">IFERROR(__xludf.DUMMYFUNCTION("""COMPUTED_VALUE"""),42947.6666666666)</f>
        <v>42947.666666666599</v>
      </c>
      <c r="BD567" s="3">
        <f ca="1">IFERROR(__xludf.DUMMYFUNCTION("""COMPUTED_VALUE"""),57.53)</f>
        <v>57.53</v>
      </c>
      <c r="BE567" s="3">
        <f ca="1">IFERROR(__xludf.DUMMYFUNCTION("""COMPUTED_VALUE"""),57.66)</f>
        <v>57.66</v>
      </c>
      <c r="BF567" s="3">
        <f ca="1">IFERROR(__xludf.DUMMYFUNCTION("""COMPUTED_VALUE"""),57.1)</f>
        <v>57.1</v>
      </c>
      <c r="BG567" s="3">
        <f ca="1">IFERROR(__xludf.DUMMYFUNCTION("""COMPUTED_VALUE"""),57.16)</f>
        <v>57.16</v>
      </c>
      <c r="BH567" s="3">
        <f ca="1">IFERROR(__xludf.DUMMYFUNCTION("""COMPUTED_VALUE"""),10982828)</f>
        <v>10982828</v>
      </c>
      <c r="BI567" s="4">
        <f ca="1">IFERROR(__xludf.DUMMYFUNCTION("""COMPUTED_VALUE"""),42947.6666666666)</f>
        <v>42947.666666666599</v>
      </c>
      <c r="BJ567" s="3">
        <f ca="1">IFERROR(__xludf.DUMMYFUNCTION("""COMPUTED_VALUE"""),52.98)</f>
        <v>52.98</v>
      </c>
      <c r="BK567" s="3">
        <f ca="1">IFERROR(__xludf.DUMMYFUNCTION("""COMPUTED_VALUE"""),53.34)</f>
        <v>53.34</v>
      </c>
      <c r="BL567" s="3">
        <f ca="1">IFERROR(__xludf.DUMMYFUNCTION("""COMPUTED_VALUE"""),52.9)</f>
        <v>52.9</v>
      </c>
      <c r="BM567" s="3">
        <f ca="1">IFERROR(__xludf.DUMMYFUNCTION("""COMPUTED_VALUE"""),53.22)</f>
        <v>53.22</v>
      </c>
      <c r="BN567" s="3">
        <f ca="1">IFERROR(__xludf.DUMMYFUNCTION("""COMPUTED_VALUE"""),11861324)</f>
        <v>11861324</v>
      </c>
    </row>
    <row r="568" spans="7:66" ht="13" x14ac:dyDescent="0.15">
      <c r="G568" s="4">
        <f ca="1">IFERROR(__xludf.DUMMYFUNCTION("""COMPUTED_VALUE"""),42948.6666666666)</f>
        <v>42948.666666666599</v>
      </c>
      <c r="H568" s="3">
        <f ca="1">IFERROR(__xludf.DUMMYFUNCTION("""COMPUTED_VALUE"""),91.63)</f>
        <v>91.63</v>
      </c>
      <c r="I568" s="3">
        <f ca="1">IFERROR(__xludf.DUMMYFUNCTION("""COMPUTED_VALUE"""),91.7)</f>
        <v>91.7</v>
      </c>
      <c r="J568" s="3">
        <f ca="1">IFERROR(__xludf.DUMMYFUNCTION("""COMPUTED_VALUE"""),91.23)</f>
        <v>91.23</v>
      </c>
      <c r="K568" s="3">
        <f ca="1">IFERROR(__xludf.DUMMYFUNCTION("""COMPUTED_VALUE"""),91.52)</f>
        <v>91.52</v>
      </c>
      <c r="L568" s="3">
        <f ca="1">IFERROR(__xludf.DUMMYFUNCTION("""COMPUTED_VALUE"""),4375438)</f>
        <v>4375438</v>
      </c>
      <c r="M568" s="4">
        <f ca="1">IFERROR(__xludf.DUMMYFUNCTION("""COMPUTED_VALUE"""),42948.6666666666)</f>
        <v>42948.666666666599</v>
      </c>
      <c r="N568" s="3">
        <f ca="1">IFERROR(__xludf.DUMMYFUNCTION("""COMPUTED_VALUE"""),55.38)</f>
        <v>55.38</v>
      </c>
      <c r="O568" s="3">
        <f ca="1">IFERROR(__xludf.DUMMYFUNCTION("""COMPUTED_VALUE"""),55.53)</f>
        <v>55.53</v>
      </c>
      <c r="P568" s="3">
        <f ca="1">IFERROR(__xludf.DUMMYFUNCTION("""COMPUTED_VALUE"""),55.23)</f>
        <v>55.23</v>
      </c>
      <c r="Q568" s="3">
        <f ca="1">IFERROR(__xludf.DUMMYFUNCTION("""COMPUTED_VALUE"""),55.26)</f>
        <v>55.26</v>
      </c>
      <c r="R568" s="3">
        <f ca="1">IFERROR(__xludf.DUMMYFUNCTION("""COMPUTED_VALUE"""),19015257)</f>
        <v>19015257</v>
      </c>
      <c r="S568" s="4">
        <f ca="1">IFERROR(__xludf.DUMMYFUNCTION("""COMPUTED_VALUE"""),42948.6666666666)</f>
        <v>42948.666666666599</v>
      </c>
      <c r="T568" s="3">
        <f ca="1">IFERROR(__xludf.DUMMYFUNCTION("""COMPUTED_VALUE"""),66.66)</f>
        <v>66.66</v>
      </c>
      <c r="U568" s="3">
        <f ca="1">IFERROR(__xludf.DUMMYFUNCTION("""COMPUTED_VALUE"""),66.99)</f>
        <v>66.989999999999995</v>
      </c>
      <c r="V568" s="3">
        <f ca="1">IFERROR(__xludf.DUMMYFUNCTION("""COMPUTED_VALUE"""),66.32)</f>
        <v>66.319999999999993</v>
      </c>
      <c r="W568" s="3">
        <f ca="1">IFERROR(__xludf.DUMMYFUNCTION("""COMPUTED_VALUE"""),66.61)</f>
        <v>66.61</v>
      </c>
      <c r="X568" s="3">
        <f ca="1">IFERROR(__xludf.DUMMYFUNCTION("""COMPUTED_VALUE"""),12668684)</f>
        <v>12668684</v>
      </c>
      <c r="Y568" s="4">
        <f ca="1">IFERROR(__xludf.DUMMYFUNCTION("""COMPUTED_VALUE"""),42948.6666666666)</f>
        <v>42948.666666666599</v>
      </c>
      <c r="Z568" s="3">
        <f ca="1">IFERROR(__xludf.DUMMYFUNCTION("""COMPUTED_VALUE"""),25.26)</f>
        <v>25.26</v>
      </c>
      <c r="AA568" s="3">
        <f ca="1">IFERROR(__xludf.DUMMYFUNCTION("""COMPUTED_VALUE"""),25.29)</f>
        <v>25.29</v>
      </c>
      <c r="AB568" s="3">
        <f ca="1">IFERROR(__xludf.DUMMYFUNCTION("""COMPUTED_VALUE"""),25.14)</f>
        <v>25.14</v>
      </c>
      <c r="AC568" s="3">
        <f ca="1">IFERROR(__xludf.DUMMYFUNCTION("""COMPUTED_VALUE"""),25.27)</f>
        <v>25.27</v>
      </c>
      <c r="AD568" s="3">
        <f ca="1">IFERROR(__xludf.DUMMYFUNCTION("""COMPUTED_VALUE"""),60987497)</f>
        <v>60987497</v>
      </c>
      <c r="AE568" s="4">
        <f ca="1">IFERROR(__xludf.DUMMYFUNCTION("""COMPUTED_VALUE"""),42948.6666666666)</f>
        <v>42948.666666666599</v>
      </c>
      <c r="AF568" s="3">
        <f ca="1">IFERROR(__xludf.DUMMYFUNCTION("""COMPUTED_VALUE"""),80.18)</f>
        <v>80.180000000000007</v>
      </c>
      <c r="AG568" s="3">
        <f ca="1">IFERROR(__xludf.DUMMYFUNCTION("""COMPUTED_VALUE"""),80.18)</f>
        <v>80.180000000000007</v>
      </c>
      <c r="AH568" s="3">
        <f ca="1">IFERROR(__xludf.DUMMYFUNCTION("""COMPUTED_VALUE"""),79.61)</f>
        <v>79.61</v>
      </c>
      <c r="AI568" s="3">
        <f ca="1">IFERROR(__xludf.DUMMYFUNCTION("""COMPUTED_VALUE"""),79.71)</f>
        <v>79.709999999999994</v>
      </c>
      <c r="AJ568" s="3">
        <f ca="1">IFERROR(__xludf.DUMMYFUNCTION("""COMPUTED_VALUE"""),8678807)</f>
        <v>8678807</v>
      </c>
      <c r="AK568" s="4">
        <f ca="1">IFERROR(__xludf.DUMMYFUNCTION("""COMPUTED_VALUE"""),42948.6666666666)</f>
        <v>42948.666666666599</v>
      </c>
      <c r="AL568" s="3">
        <f ca="1">IFERROR(__xludf.DUMMYFUNCTION("""COMPUTED_VALUE"""),68.37)</f>
        <v>68.37</v>
      </c>
      <c r="AM568" s="3">
        <f ca="1">IFERROR(__xludf.DUMMYFUNCTION("""COMPUTED_VALUE"""),68.49)</f>
        <v>68.489999999999995</v>
      </c>
      <c r="AN568" s="3">
        <f ca="1">IFERROR(__xludf.DUMMYFUNCTION("""COMPUTED_VALUE"""),67.91)</f>
        <v>67.91</v>
      </c>
      <c r="AO568" s="3">
        <f ca="1">IFERROR(__xludf.DUMMYFUNCTION("""COMPUTED_VALUE"""),68.11)</f>
        <v>68.11</v>
      </c>
      <c r="AP568" s="3">
        <f ca="1">IFERROR(__xludf.DUMMYFUNCTION("""COMPUTED_VALUE"""),16893671)</f>
        <v>16893671</v>
      </c>
      <c r="AQ568" s="4">
        <f ca="1">IFERROR(__xludf.DUMMYFUNCTION("""COMPUTED_VALUE"""),42948.6666666666)</f>
        <v>42948.666666666599</v>
      </c>
      <c r="AR568" s="3">
        <f ca="1">IFERROR(__xludf.DUMMYFUNCTION("""COMPUTED_VALUE"""),54.87)</f>
        <v>54.87</v>
      </c>
      <c r="AS568" s="3">
        <f ca="1">IFERROR(__xludf.DUMMYFUNCTION("""COMPUTED_VALUE"""),54.87)</f>
        <v>54.87</v>
      </c>
      <c r="AT568" s="3">
        <f ca="1">IFERROR(__xludf.DUMMYFUNCTION("""COMPUTED_VALUE"""),54.41)</f>
        <v>54.41</v>
      </c>
      <c r="AU568" s="3">
        <f ca="1">IFERROR(__xludf.DUMMYFUNCTION("""COMPUTED_VALUE"""),54.68)</f>
        <v>54.68</v>
      </c>
      <c r="AV568" s="3">
        <f ca="1">IFERROR(__xludf.DUMMYFUNCTION("""COMPUTED_VALUE"""),10532153)</f>
        <v>10532153</v>
      </c>
      <c r="BC568" s="4">
        <f ca="1">IFERROR(__xludf.DUMMYFUNCTION("""COMPUTED_VALUE"""),42948.6666666666)</f>
        <v>42948.666666666599</v>
      </c>
      <c r="BD568" s="3">
        <f ca="1">IFERROR(__xludf.DUMMYFUNCTION("""COMPUTED_VALUE"""),57.45)</f>
        <v>57.45</v>
      </c>
      <c r="BE568" s="3">
        <f ca="1">IFERROR(__xludf.DUMMYFUNCTION("""COMPUTED_VALUE"""),57.5)</f>
        <v>57.5</v>
      </c>
      <c r="BF568" s="3">
        <f ca="1">IFERROR(__xludf.DUMMYFUNCTION("""COMPUTED_VALUE"""),57.24)</f>
        <v>57.24</v>
      </c>
      <c r="BG568" s="3">
        <f ca="1">IFERROR(__xludf.DUMMYFUNCTION("""COMPUTED_VALUE"""),57.45)</f>
        <v>57.45</v>
      </c>
      <c r="BH568" s="3">
        <f ca="1">IFERROR(__xludf.DUMMYFUNCTION("""COMPUTED_VALUE"""),8307155)</f>
        <v>8307155</v>
      </c>
      <c r="BI568" s="4">
        <f ca="1">IFERROR(__xludf.DUMMYFUNCTION("""COMPUTED_VALUE"""),42948.6666666666)</f>
        <v>42948.666666666599</v>
      </c>
      <c r="BJ568" s="3">
        <f ca="1">IFERROR(__xludf.DUMMYFUNCTION("""COMPUTED_VALUE"""),53.3)</f>
        <v>53.3</v>
      </c>
      <c r="BK568" s="3">
        <f ca="1">IFERROR(__xludf.DUMMYFUNCTION("""COMPUTED_VALUE"""),53.62)</f>
        <v>53.62</v>
      </c>
      <c r="BL568" s="3">
        <f ca="1">IFERROR(__xludf.DUMMYFUNCTION("""COMPUTED_VALUE"""),53.25)</f>
        <v>53.25</v>
      </c>
      <c r="BM568" s="3">
        <f ca="1">IFERROR(__xludf.DUMMYFUNCTION("""COMPUTED_VALUE"""),53.52)</f>
        <v>53.52</v>
      </c>
      <c r="BN568" s="3">
        <f ca="1">IFERROR(__xludf.DUMMYFUNCTION("""COMPUTED_VALUE"""),10823091)</f>
        <v>10823091</v>
      </c>
    </row>
    <row r="569" spans="7:66" ht="13" x14ac:dyDescent="0.15">
      <c r="G569" s="4">
        <f ca="1">IFERROR(__xludf.DUMMYFUNCTION("""COMPUTED_VALUE"""),42949.6666666666)</f>
        <v>42949.666666666599</v>
      </c>
      <c r="H569" s="3">
        <f ca="1">IFERROR(__xludf.DUMMYFUNCTION("""COMPUTED_VALUE"""),91.48)</f>
        <v>91.48</v>
      </c>
      <c r="I569" s="3">
        <f ca="1">IFERROR(__xludf.DUMMYFUNCTION("""COMPUTED_VALUE"""),91.52)</f>
        <v>91.52</v>
      </c>
      <c r="J569" s="3">
        <f ca="1">IFERROR(__xludf.DUMMYFUNCTION("""COMPUTED_VALUE"""),90.73)</f>
        <v>90.73</v>
      </c>
      <c r="K569" s="3">
        <f ca="1">IFERROR(__xludf.DUMMYFUNCTION("""COMPUTED_VALUE"""),91.27)</f>
        <v>91.27</v>
      </c>
      <c r="L569" s="3">
        <f ca="1">IFERROR(__xludf.DUMMYFUNCTION("""COMPUTED_VALUE"""),2888005)</f>
        <v>2888005</v>
      </c>
      <c r="M569" s="4">
        <f ca="1">IFERROR(__xludf.DUMMYFUNCTION("""COMPUTED_VALUE"""),42949.6666666666)</f>
        <v>42949.666666666599</v>
      </c>
      <c r="N569" s="3">
        <f ca="1">IFERROR(__xludf.DUMMYFUNCTION("""COMPUTED_VALUE"""),55.15)</f>
        <v>55.15</v>
      </c>
      <c r="O569" s="3">
        <f ca="1">IFERROR(__xludf.DUMMYFUNCTION("""COMPUTED_VALUE"""),55.31)</f>
        <v>55.31</v>
      </c>
      <c r="P569" s="3">
        <f ca="1">IFERROR(__xludf.DUMMYFUNCTION("""COMPUTED_VALUE"""),54.97)</f>
        <v>54.97</v>
      </c>
      <c r="Q569" s="3">
        <f ca="1">IFERROR(__xludf.DUMMYFUNCTION("""COMPUTED_VALUE"""),55.22)</f>
        <v>55.22</v>
      </c>
      <c r="R569" s="3">
        <f ca="1">IFERROR(__xludf.DUMMYFUNCTION("""COMPUTED_VALUE"""),17133677)</f>
        <v>17133677</v>
      </c>
      <c r="S569" s="4">
        <f ca="1">IFERROR(__xludf.DUMMYFUNCTION("""COMPUTED_VALUE"""),42949.6666666666)</f>
        <v>42949.666666666599</v>
      </c>
      <c r="T569" s="3">
        <f ca="1">IFERROR(__xludf.DUMMYFUNCTION("""COMPUTED_VALUE"""),66.27)</f>
        <v>66.27</v>
      </c>
      <c r="U569" s="3">
        <f ca="1">IFERROR(__xludf.DUMMYFUNCTION("""COMPUTED_VALUE"""),66.63)</f>
        <v>66.63</v>
      </c>
      <c r="V569" s="3">
        <f ca="1">IFERROR(__xludf.DUMMYFUNCTION("""COMPUTED_VALUE"""),65.68)</f>
        <v>65.680000000000007</v>
      </c>
      <c r="W569" s="3">
        <f ca="1">IFERROR(__xludf.DUMMYFUNCTION("""COMPUTED_VALUE"""),66.36)</f>
        <v>66.36</v>
      </c>
      <c r="X569" s="3">
        <f ca="1">IFERROR(__xludf.DUMMYFUNCTION("""COMPUTED_VALUE"""),15118528)</f>
        <v>15118528</v>
      </c>
      <c r="Y569" s="4">
        <f ca="1">IFERROR(__xludf.DUMMYFUNCTION("""COMPUTED_VALUE"""),42949.6666666666)</f>
        <v>42949.666666666599</v>
      </c>
      <c r="Z569" s="3">
        <f ca="1">IFERROR(__xludf.DUMMYFUNCTION("""COMPUTED_VALUE"""),25.3)</f>
        <v>25.3</v>
      </c>
      <c r="AA569" s="3">
        <f ca="1">IFERROR(__xludf.DUMMYFUNCTION("""COMPUTED_VALUE"""),25.33)</f>
        <v>25.33</v>
      </c>
      <c r="AB569" s="3">
        <f ca="1">IFERROR(__xludf.DUMMYFUNCTION("""COMPUTED_VALUE"""),25.18)</f>
        <v>25.18</v>
      </c>
      <c r="AC569" s="3">
        <f ca="1">IFERROR(__xludf.DUMMYFUNCTION("""COMPUTED_VALUE"""),25.31)</f>
        <v>25.31</v>
      </c>
      <c r="AD569" s="3">
        <f ca="1">IFERROR(__xludf.DUMMYFUNCTION("""COMPUTED_VALUE"""),43341507)</f>
        <v>43341507</v>
      </c>
      <c r="AE569" s="4">
        <f ca="1">IFERROR(__xludf.DUMMYFUNCTION("""COMPUTED_VALUE"""),42949.6666666666)</f>
        <v>42949.666666666599</v>
      </c>
      <c r="AF569" s="3">
        <f ca="1">IFERROR(__xludf.DUMMYFUNCTION("""COMPUTED_VALUE"""),79.7)</f>
        <v>79.7</v>
      </c>
      <c r="AG569" s="3">
        <f ca="1">IFERROR(__xludf.DUMMYFUNCTION("""COMPUTED_VALUE"""),79.7)</f>
        <v>79.7</v>
      </c>
      <c r="AH569" s="3">
        <f ca="1">IFERROR(__xludf.DUMMYFUNCTION("""COMPUTED_VALUE"""),79.25)</f>
        <v>79.25</v>
      </c>
      <c r="AI569" s="3">
        <f ca="1">IFERROR(__xludf.DUMMYFUNCTION("""COMPUTED_VALUE"""),79.53)</f>
        <v>79.53</v>
      </c>
      <c r="AJ569" s="3">
        <f ca="1">IFERROR(__xludf.DUMMYFUNCTION("""COMPUTED_VALUE"""),7718482)</f>
        <v>7718482</v>
      </c>
      <c r="AK569" s="4">
        <f ca="1">IFERROR(__xludf.DUMMYFUNCTION("""COMPUTED_VALUE"""),42949.6666666666)</f>
        <v>42949.666666666599</v>
      </c>
      <c r="AL569" s="3">
        <f ca="1">IFERROR(__xludf.DUMMYFUNCTION("""COMPUTED_VALUE"""),68.11)</f>
        <v>68.11</v>
      </c>
      <c r="AM569" s="3">
        <f ca="1">IFERROR(__xludf.DUMMYFUNCTION("""COMPUTED_VALUE"""),68.43)</f>
        <v>68.430000000000007</v>
      </c>
      <c r="AN569" s="3">
        <f ca="1">IFERROR(__xludf.DUMMYFUNCTION("""COMPUTED_VALUE"""),68)</f>
        <v>68</v>
      </c>
      <c r="AO569" s="3">
        <f ca="1">IFERROR(__xludf.DUMMYFUNCTION("""COMPUTED_VALUE"""),68.41)</f>
        <v>68.41</v>
      </c>
      <c r="AP569" s="3">
        <f ca="1">IFERROR(__xludf.DUMMYFUNCTION("""COMPUTED_VALUE"""),17642855)</f>
        <v>17642855</v>
      </c>
      <c r="AQ569" s="4">
        <f ca="1">IFERROR(__xludf.DUMMYFUNCTION("""COMPUTED_VALUE"""),42949.6666666666)</f>
        <v>42949.666666666599</v>
      </c>
      <c r="AR569" s="3">
        <f ca="1">IFERROR(__xludf.DUMMYFUNCTION("""COMPUTED_VALUE"""),54.52)</f>
        <v>54.52</v>
      </c>
      <c r="AS569" s="3">
        <f ca="1">IFERROR(__xludf.DUMMYFUNCTION("""COMPUTED_VALUE"""),54.81)</f>
        <v>54.81</v>
      </c>
      <c r="AT569" s="3">
        <f ca="1">IFERROR(__xludf.DUMMYFUNCTION("""COMPUTED_VALUE"""),54.28)</f>
        <v>54.28</v>
      </c>
      <c r="AU569" s="3">
        <f ca="1">IFERROR(__xludf.DUMMYFUNCTION("""COMPUTED_VALUE"""),54.73)</f>
        <v>54.73</v>
      </c>
      <c r="AV569" s="3">
        <f ca="1">IFERROR(__xludf.DUMMYFUNCTION("""COMPUTED_VALUE"""),3219458)</f>
        <v>3219458</v>
      </c>
      <c r="BC569" s="4">
        <f ca="1">IFERROR(__xludf.DUMMYFUNCTION("""COMPUTED_VALUE"""),42949.6666666666)</f>
        <v>42949.666666666599</v>
      </c>
      <c r="BD569" s="3">
        <f ca="1">IFERROR(__xludf.DUMMYFUNCTION("""COMPUTED_VALUE"""),58.04)</f>
        <v>58.04</v>
      </c>
      <c r="BE569" s="3">
        <f ca="1">IFERROR(__xludf.DUMMYFUNCTION("""COMPUTED_VALUE"""),58.05)</f>
        <v>58.05</v>
      </c>
      <c r="BF569" s="3">
        <f ca="1">IFERROR(__xludf.DUMMYFUNCTION("""COMPUTED_VALUE"""),57.25)</f>
        <v>57.25</v>
      </c>
      <c r="BG569" s="3">
        <f ca="1">IFERROR(__xludf.DUMMYFUNCTION("""COMPUTED_VALUE"""),57.61)</f>
        <v>57.61</v>
      </c>
      <c r="BH569" s="3">
        <f ca="1">IFERROR(__xludf.DUMMYFUNCTION("""COMPUTED_VALUE"""),12573937)</f>
        <v>12573937</v>
      </c>
      <c r="BI569" s="4">
        <f ca="1">IFERROR(__xludf.DUMMYFUNCTION("""COMPUTED_VALUE"""),42949.6666666666)</f>
        <v>42949.666666666599</v>
      </c>
      <c r="BJ569" s="3">
        <f ca="1">IFERROR(__xludf.DUMMYFUNCTION("""COMPUTED_VALUE"""),53.41)</f>
        <v>53.41</v>
      </c>
      <c r="BK569" s="3">
        <f ca="1">IFERROR(__xludf.DUMMYFUNCTION("""COMPUTED_VALUE"""),53.76)</f>
        <v>53.76</v>
      </c>
      <c r="BL569" s="3">
        <f ca="1">IFERROR(__xludf.DUMMYFUNCTION("""COMPUTED_VALUE"""),53.09)</f>
        <v>53.09</v>
      </c>
      <c r="BM569" s="3">
        <f ca="1">IFERROR(__xludf.DUMMYFUNCTION("""COMPUTED_VALUE"""),53.75)</f>
        <v>53.75</v>
      </c>
      <c r="BN569" s="3">
        <f ca="1">IFERROR(__xludf.DUMMYFUNCTION("""COMPUTED_VALUE"""),8015869)</f>
        <v>8015869</v>
      </c>
    </row>
    <row r="570" spans="7:66" ht="13" x14ac:dyDescent="0.15">
      <c r="G570" s="4">
        <f ca="1">IFERROR(__xludf.DUMMYFUNCTION("""COMPUTED_VALUE"""),42950.6666666666)</f>
        <v>42950.666666666599</v>
      </c>
      <c r="H570" s="3">
        <f ca="1">IFERROR(__xludf.DUMMYFUNCTION("""COMPUTED_VALUE"""),91.18)</f>
        <v>91.18</v>
      </c>
      <c r="I570" s="3">
        <f ca="1">IFERROR(__xludf.DUMMYFUNCTION("""COMPUTED_VALUE"""),91.5)</f>
        <v>91.5</v>
      </c>
      <c r="J570" s="3">
        <f ca="1">IFERROR(__xludf.DUMMYFUNCTION("""COMPUTED_VALUE"""),90.99)</f>
        <v>90.99</v>
      </c>
      <c r="K570" s="3">
        <f ca="1">IFERROR(__xludf.DUMMYFUNCTION("""COMPUTED_VALUE"""),91.02)</f>
        <v>91.02</v>
      </c>
      <c r="L570" s="3">
        <f ca="1">IFERROR(__xludf.DUMMYFUNCTION("""COMPUTED_VALUE"""),3595719)</f>
        <v>3595719</v>
      </c>
      <c r="M570" s="4">
        <f ca="1">IFERROR(__xludf.DUMMYFUNCTION("""COMPUTED_VALUE"""),42950.6666666666)</f>
        <v>42950.666666666599</v>
      </c>
      <c r="N570" s="3">
        <f ca="1">IFERROR(__xludf.DUMMYFUNCTION("""COMPUTED_VALUE"""),55.21)</f>
        <v>55.21</v>
      </c>
      <c r="O570" s="3">
        <f ca="1">IFERROR(__xludf.DUMMYFUNCTION("""COMPUTED_VALUE"""),55.5)</f>
        <v>55.5</v>
      </c>
      <c r="P570" s="3">
        <f ca="1">IFERROR(__xludf.DUMMYFUNCTION("""COMPUTED_VALUE"""),55.1)</f>
        <v>55.1</v>
      </c>
      <c r="Q570" s="3">
        <f ca="1">IFERROR(__xludf.DUMMYFUNCTION("""COMPUTED_VALUE"""),55.17)</f>
        <v>55.17</v>
      </c>
      <c r="R570" s="3">
        <f ca="1">IFERROR(__xludf.DUMMYFUNCTION("""COMPUTED_VALUE"""),17803439)</f>
        <v>17803439</v>
      </c>
      <c r="S570" s="4">
        <f ca="1">IFERROR(__xludf.DUMMYFUNCTION("""COMPUTED_VALUE"""),42950.6666666666)</f>
        <v>42950.666666666599</v>
      </c>
      <c r="T570" s="3">
        <f ca="1">IFERROR(__xludf.DUMMYFUNCTION("""COMPUTED_VALUE"""),66.25)</f>
        <v>66.25</v>
      </c>
      <c r="U570" s="3">
        <f ca="1">IFERROR(__xludf.DUMMYFUNCTION("""COMPUTED_VALUE"""),66.36)</f>
        <v>66.36</v>
      </c>
      <c r="V570" s="3">
        <f ca="1">IFERROR(__xludf.DUMMYFUNCTION("""COMPUTED_VALUE"""),65.14)</f>
        <v>65.14</v>
      </c>
      <c r="W570" s="3">
        <f ca="1">IFERROR(__xludf.DUMMYFUNCTION("""COMPUTED_VALUE"""),65.43)</f>
        <v>65.430000000000007</v>
      </c>
      <c r="X570" s="3">
        <f ca="1">IFERROR(__xludf.DUMMYFUNCTION("""COMPUTED_VALUE"""),15327803)</f>
        <v>15327803</v>
      </c>
      <c r="Y570" s="4">
        <f ca="1">IFERROR(__xludf.DUMMYFUNCTION("""COMPUTED_VALUE"""),42950.6666666666)</f>
        <v>42950.666666666599</v>
      </c>
      <c r="Z570" s="3">
        <f ca="1">IFERROR(__xludf.DUMMYFUNCTION("""COMPUTED_VALUE"""),25.27)</f>
        <v>25.27</v>
      </c>
      <c r="AA570" s="3">
        <f ca="1">IFERROR(__xludf.DUMMYFUNCTION("""COMPUTED_VALUE"""),25.31)</f>
        <v>25.31</v>
      </c>
      <c r="AB570" s="3">
        <f ca="1">IFERROR(__xludf.DUMMYFUNCTION("""COMPUTED_VALUE"""),25.18)</f>
        <v>25.18</v>
      </c>
      <c r="AC570" s="3">
        <f ca="1">IFERROR(__xludf.DUMMYFUNCTION("""COMPUTED_VALUE"""),25.22)</f>
        <v>25.22</v>
      </c>
      <c r="AD570" s="3">
        <f ca="1">IFERROR(__xludf.DUMMYFUNCTION("""COMPUTED_VALUE"""),40816841)</f>
        <v>40816841</v>
      </c>
      <c r="AE570" s="4">
        <f ca="1">IFERROR(__xludf.DUMMYFUNCTION("""COMPUTED_VALUE"""),42950.6666666666)</f>
        <v>42950.666666666599</v>
      </c>
      <c r="AF570" s="3">
        <f ca="1">IFERROR(__xludf.DUMMYFUNCTION("""COMPUTED_VALUE"""),79.57)</f>
        <v>79.569999999999993</v>
      </c>
      <c r="AG570" s="3">
        <f ca="1">IFERROR(__xludf.DUMMYFUNCTION("""COMPUTED_VALUE"""),79.82)</f>
        <v>79.819999999999993</v>
      </c>
      <c r="AH570" s="3">
        <f ca="1">IFERROR(__xludf.DUMMYFUNCTION("""COMPUTED_VALUE"""),79.31)</f>
        <v>79.31</v>
      </c>
      <c r="AI570" s="3">
        <f ca="1">IFERROR(__xludf.DUMMYFUNCTION("""COMPUTED_VALUE"""),79.66)</f>
        <v>79.66</v>
      </c>
      <c r="AJ570" s="3">
        <f ca="1">IFERROR(__xludf.DUMMYFUNCTION("""COMPUTED_VALUE"""),8003584)</f>
        <v>8003584</v>
      </c>
      <c r="AK570" s="4">
        <f ca="1">IFERROR(__xludf.DUMMYFUNCTION("""COMPUTED_VALUE"""),42950.6666666666)</f>
        <v>42950.666666666599</v>
      </c>
      <c r="AL570" s="3">
        <f ca="1">IFERROR(__xludf.DUMMYFUNCTION("""COMPUTED_VALUE"""),68.28)</f>
        <v>68.28</v>
      </c>
      <c r="AM570" s="3">
        <f ca="1">IFERROR(__xludf.DUMMYFUNCTION("""COMPUTED_VALUE"""),68.75)</f>
        <v>68.75</v>
      </c>
      <c r="AN570" s="3">
        <f ca="1">IFERROR(__xludf.DUMMYFUNCTION("""COMPUTED_VALUE"""),68.28)</f>
        <v>68.28</v>
      </c>
      <c r="AO570" s="3">
        <f ca="1">IFERROR(__xludf.DUMMYFUNCTION("""COMPUTED_VALUE"""),68.75)</f>
        <v>68.75</v>
      </c>
      <c r="AP570" s="3">
        <f ca="1">IFERROR(__xludf.DUMMYFUNCTION("""COMPUTED_VALUE"""),13298775)</f>
        <v>13298775</v>
      </c>
      <c r="AQ570" s="4">
        <f ca="1">IFERROR(__xludf.DUMMYFUNCTION("""COMPUTED_VALUE"""),42950.6666666666)</f>
        <v>42950.666666666599</v>
      </c>
      <c r="AR570" s="3">
        <f ca="1">IFERROR(__xludf.DUMMYFUNCTION("""COMPUTED_VALUE"""),54.91)</f>
        <v>54.91</v>
      </c>
      <c r="AS570" s="3">
        <f ca="1">IFERROR(__xludf.DUMMYFUNCTION("""COMPUTED_VALUE"""),54.91)</f>
        <v>54.91</v>
      </c>
      <c r="AT570" s="3">
        <f ca="1">IFERROR(__xludf.DUMMYFUNCTION("""COMPUTED_VALUE"""),54.26)</f>
        <v>54.26</v>
      </c>
      <c r="AU570" s="3">
        <f ca="1">IFERROR(__xludf.DUMMYFUNCTION("""COMPUTED_VALUE"""),54.32)</f>
        <v>54.32</v>
      </c>
      <c r="AV570" s="3">
        <f ca="1">IFERROR(__xludf.DUMMYFUNCTION("""COMPUTED_VALUE"""),3991785)</f>
        <v>3991785</v>
      </c>
      <c r="BC570" s="4">
        <f ca="1">IFERROR(__xludf.DUMMYFUNCTION("""COMPUTED_VALUE"""),42950.6666666666)</f>
        <v>42950.666666666599</v>
      </c>
      <c r="BD570" s="3">
        <f ca="1">IFERROR(__xludf.DUMMYFUNCTION("""COMPUTED_VALUE"""),57.69)</f>
        <v>57.69</v>
      </c>
      <c r="BE570" s="3">
        <f ca="1">IFERROR(__xludf.DUMMYFUNCTION("""COMPUTED_VALUE"""),57.69)</f>
        <v>57.69</v>
      </c>
      <c r="BF570" s="3">
        <f ca="1">IFERROR(__xludf.DUMMYFUNCTION("""COMPUTED_VALUE"""),57.31)</f>
        <v>57.31</v>
      </c>
      <c r="BG570" s="3">
        <f ca="1">IFERROR(__xludf.DUMMYFUNCTION("""COMPUTED_VALUE"""),57.48)</f>
        <v>57.48</v>
      </c>
      <c r="BH570" s="3">
        <f ca="1">IFERROR(__xludf.DUMMYFUNCTION("""COMPUTED_VALUE"""),10687844)</f>
        <v>10687844</v>
      </c>
      <c r="BI570" s="4">
        <f ca="1">IFERROR(__xludf.DUMMYFUNCTION("""COMPUTED_VALUE"""),42950.6666666666)</f>
        <v>42950.666666666599</v>
      </c>
      <c r="BJ570" s="3">
        <f ca="1">IFERROR(__xludf.DUMMYFUNCTION("""COMPUTED_VALUE"""),53.82)</f>
        <v>53.82</v>
      </c>
      <c r="BK570" s="3">
        <f ca="1">IFERROR(__xludf.DUMMYFUNCTION("""COMPUTED_VALUE"""),54.02)</f>
        <v>54.02</v>
      </c>
      <c r="BL570" s="3">
        <f ca="1">IFERROR(__xludf.DUMMYFUNCTION("""COMPUTED_VALUE"""),53.58)</f>
        <v>53.58</v>
      </c>
      <c r="BM570" s="3">
        <f ca="1">IFERROR(__xludf.DUMMYFUNCTION("""COMPUTED_VALUE"""),54.02)</f>
        <v>54.02</v>
      </c>
      <c r="BN570" s="3">
        <f ca="1">IFERROR(__xludf.DUMMYFUNCTION("""COMPUTED_VALUE"""),10464730)</f>
        <v>10464730</v>
      </c>
    </row>
    <row r="571" spans="7:66" ht="13" x14ac:dyDescent="0.15">
      <c r="G571" s="4">
        <f ca="1">IFERROR(__xludf.DUMMYFUNCTION("""COMPUTED_VALUE"""),42951.6666666666)</f>
        <v>42951.666666666599</v>
      </c>
      <c r="H571" s="3">
        <f ca="1">IFERROR(__xludf.DUMMYFUNCTION("""COMPUTED_VALUE"""),91.22)</f>
        <v>91.22</v>
      </c>
      <c r="I571" s="3">
        <f ca="1">IFERROR(__xludf.DUMMYFUNCTION("""COMPUTED_VALUE"""),91.22)</f>
        <v>91.22</v>
      </c>
      <c r="J571" s="3">
        <f ca="1">IFERROR(__xludf.DUMMYFUNCTION("""COMPUTED_VALUE"""),90.66)</f>
        <v>90.66</v>
      </c>
      <c r="K571" s="3">
        <f ca="1">IFERROR(__xludf.DUMMYFUNCTION("""COMPUTED_VALUE"""),91.03)</f>
        <v>91.03</v>
      </c>
      <c r="L571" s="3">
        <f ca="1">IFERROR(__xludf.DUMMYFUNCTION("""COMPUTED_VALUE"""),2449353)</f>
        <v>2449353</v>
      </c>
      <c r="M571" s="4">
        <f ca="1">IFERROR(__xludf.DUMMYFUNCTION("""COMPUTED_VALUE"""),42951.6666666666)</f>
        <v>42951.666666666599</v>
      </c>
      <c r="N571" s="3">
        <f ca="1">IFERROR(__xludf.DUMMYFUNCTION("""COMPUTED_VALUE"""),55.14)</f>
        <v>55.14</v>
      </c>
      <c r="O571" s="3">
        <f ca="1">IFERROR(__xludf.DUMMYFUNCTION("""COMPUTED_VALUE"""),55.32)</f>
        <v>55.32</v>
      </c>
      <c r="P571" s="3">
        <f ca="1">IFERROR(__xludf.DUMMYFUNCTION("""COMPUTED_VALUE"""),54.94)</f>
        <v>54.94</v>
      </c>
      <c r="Q571" s="3">
        <f ca="1">IFERROR(__xludf.DUMMYFUNCTION("""COMPUTED_VALUE"""),55.02)</f>
        <v>55.02</v>
      </c>
      <c r="R571" s="3">
        <f ca="1">IFERROR(__xludf.DUMMYFUNCTION("""COMPUTED_VALUE"""),17063732)</f>
        <v>17063732</v>
      </c>
      <c r="S571" s="4">
        <f ca="1">IFERROR(__xludf.DUMMYFUNCTION("""COMPUTED_VALUE"""),42951.6666666666)</f>
        <v>42951.666666666599</v>
      </c>
      <c r="T571" s="3">
        <f ca="1">IFERROR(__xludf.DUMMYFUNCTION("""COMPUTED_VALUE"""),65.46)</f>
        <v>65.459999999999994</v>
      </c>
      <c r="U571" s="3">
        <f ca="1">IFERROR(__xludf.DUMMYFUNCTION("""COMPUTED_VALUE"""),65.82)</f>
        <v>65.819999999999993</v>
      </c>
      <c r="V571" s="3">
        <f ca="1">IFERROR(__xludf.DUMMYFUNCTION("""COMPUTED_VALUE"""),65.31)</f>
        <v>65.31</v>
      </c>
      <c r="W571" s="3">
        <f ca="1">IFERROR(__xludf.DUMMYFUNCTION("""COMPUTED_VALUE"""),65.64)</f>
        <v>65.64</v>
      </c>
      <c r="X571" s="3">
        <f ca="1">IFERROR(__xludf.DUMMYFUNCTION("""COMPUTED_VALUE"""),9370985)</f>
        <v>9370985</v>
      </c>
      <c r="Y571" s="4">
        <f ca="1">IFERROR(__xludf.DUMMYFUNCTION("""COMPUTED_VALUE"""),42951.6666666666)</f>
        <v>42951.666666666599</v>
      </c>
      <c r="Z571" s="3">
        <f ca="1">IFERROR(__xludf.DUMMYFUNCTION("""COMPUTED_VALUE"""),25.45)</f>
        <v>25.45</v>
      </c>
      <c r="AA571" s="3">
        <f ca="1">IFERROR(__xludf.DUMMYFUNCTION("""COMPUTED_VALUE"""),25.49)</f>
        <v>25.49</v>
      </c>
      <c r="AB571" s="3">
        <f ca="1">IFERROR(__xludf.DUMMYFUNCTION("""COMPUTED_VALUE"""),25.34)</f>
        <v>25.34</v>
      </c>
      <c r="AC571" s="3">
        <f ca="1">IFERROR(__xludf.DUMMYFUNCTION("""COMPUTED_VALUE"""),25.39)</f>
        <v>25.39</v>
      </c>
      <c r="AD571" s="3">
        <f ca="1">IFERROR(__xludf.DUMMYFUNCTION("""COMPUTED_VALUE"""),50792914)</f>
        <v>50792914</v>
      </c>
      <c r="AE571" s="4">
        <f ca="1">IFERROR(__xludf.DUMMYFUNCTION("""COMPUTED_VALUE"""),42951.6666666666)</f>
        <v>42951.666666666599</v>
      </c>
      <c r="AF571" s="3">
        <f ca="1">IFERROR(__xludf.DUMMYFUNCTION("""COMPUTED_VALUE"""),80.03)</f>
        <v>80.03</v>
      </c>
      <c r="AG571" s="3">
        <f ca="1">IFERROR(__xludf.DUMMYFUNCTION("""COMPUTED_VALUE"""),80.03)</f>
        <v>80.03</v>
      </c>
      <c r="AH571" s="3">
        <f ca="1">IFERROR(__xludf.DUMMYFUNCTION("""COMPUTED_VALUE"""),79.38)</f>
        <v>79.38</v>
      </c>
      <c r="AI571" s="3">
        <f ca="1">IFERROR(__xludf.DUMMYFUNCTION("""COMPUTED_VALUE"""),79.48)</f>
        <v>79.48</v>
      </c>
      <c r="AJ571" s="3">
        <f ca="1">IFERROR(__xludf.DUMMYFUNCTION("""COMPUTED_VALUE"""),3930128)</f>
        <v>3930128</v>
      </c>
      <c r="AK571" s="4">
        <f ca="1">IFERROR(__xludf.DUMMYFUNCTION("""COMPUTED_VALUE"""),42951.6666666666)</f>
        <v>42951.666666666599</v>
      </c>
      <c r="AL571" s="3">
        <f ca="1">IFERROR(__xludf.DUMMYFUNCTION("""COMPUTED_VALUE"""),68.72)</f>
        <v>68.72</v>
      </c>
      <c r="AM571" s="3">
        <f ca="1">IFERROR(__xludf.DUMMYFUNCTION("""COMPUTED_VALUE"""),68.91)</f>
        <v>68.91</v>
      </c>
      <c r="AN571" s="3">
        <f ca="1">IFERROR(__xludf.DUMMYFUNCTION("""COMPUTED_VALUE"""),68.6)</f>
        <v>68.599999999999994</v>
      </c>
      <c r="AO571" s="3">
        <f ca="1">IFERROR(__xludf.DUMMYFUNCTION("""COMPUTED_VALUE"""),68.88)</f>
        <v>68.88</v>
      </c>
      <c r="AP571" s="3">
        <f ca="1">IFERROR(__xludf.DUMMYFUNCTION("""COMPUTED_VALUE"""),12746046)</f>
        <v>12746046</v>
      </c>
      <c r="AQ571" s="4">
        <f ca="1">IFERROR(__xludf.DUMMYFUNCTION("""COMPUTED_VALUE"""),42951.6666666666)</f>
        <v>42951.666666666599</v>
      </c>
      <c r="AR571" s="3">
        <f ca="1">IFERROR(__xludf.DUMMYFUNCTION("""COMPUTED_VALUE"""),54.48)</f>
        <v>54.48</v>
      </c>
      <c r="AS571" s="3">
        <f ca="1">IFERROR(__xludf.DUMMYFUNCTION("""COMPUTED_VALUE"""),54.64)</f>
        <v>54.64</v>
      </c>
      <c r="AT571" s="3">
        <f ca="1">IFERROR(__xludf.DUMMYFUNCTION("""COMPUTED_VALUE"""),54.45)</f>
        <v>54.45</v>
      </c>
      <c r="AU571" s="3">
        <f ca="1">IFERROR(__xludf.DUMMYFUNCTION("""COMPUTED_VALUE"""),54.58)</f>
        <v>54.58</v>
      </c>
      <c r="AV571" s="3">
        <f ca="1">IFERROR(__xludf.DUMMYFUNCTION("""COMPUTED_VALUE"""),2636333)</f>
        <v>2636333</v>
      </c>
      <c r="BC571" s="4">
        <f ca="1">IFERROR(__xludf.DUMMYFUNCTION("""COMPUTED_VALUE"""),42951.6666666666)</f>
        <v>42951.666666666599</v>
      </c>
      <c r="BD571" s="3">
        <f ca="1">IFERROR(__xludf.DUMMYFUNCTION("""COMPUTED_VALUE"""),57.6)</f>
        <v>57.6</v>
      </c>
      <c r="BE571" s="3">
        <f ca="1">IFERROR(__xludf.DUMMYFUNCTION("""COMPUTED_VALUE"""),57.79)</f>
        <v>57.79</v>
      </c>
      <c r="BF571" s="3">
        <f ca="1">IFERROR(__xludf.DUMMYFUNCTION("""COMPUTED_VALUE"""),57.48)</f>
        <v>57.48</v>
      </c>
      <c r="BG571" s="3">
        <f ca="1">IFERROR(__xludf.DUMMYFUNCTION("""COMPUTED_VALUE"""),57.61)</f>
        <v>57.61</v>
      </c>
      <c r="BH571" s="3">
        <f ca="1">IFERROR(__xludf.DUMMYFUNCTION("""COMPUTED_VALUE"""),4756919)</f>
        <v>4756919</v>
      </c>
      <c r="BI571" s="4">
        <f ca="1">IFERROR(__xludf.DUMMYFUNCTION("""COMPUTED_VALUE"""),42951.6666666666)</f>
        <v>42951.666666666599</v>
      </c>
      <c r="BJ571" s="3">
        <f ca="1">IFERROR(__xludf.DUMMYFUNCTION("""COMPUTED_VALUE"""),53.74)</f>
        <v>53.74</v>
      </c>
      <c r="BK571" s="3">
        <f ca="1">IFERROR(__xludf.DUMMYFUNCTION("""COMPUTED_VALUE"""),53.9)</f>
        <v>53.9</v>
      </c>
      <c r="BL571" s="3">
        <f ca="1">IFERROR(__xludf.DUMMYFUNCTION("""COMPUTED_VALUE"""),53.49)</f>
        <v>53.49</v>
      </c>
      <c r="BM571" s="3">
        <f ca="1">IFERROR(__xludf.DUMMYFUNCTION("""COMPUTED_VALUE"""),53.78)</f>
        <v>53.78</v>
      </c>
      <c r="BN571" s="3">
        <f ca="1">IFERROR(__xludf.DUMMYFUNCTION("""COMPUTED_VALUE"""),17465441)</f>
        <v>17465441</v>
      </c>
    </row>
    <row r="572" spans="7:66" ht="13" x14ac:dyDescent="0.15">
      <c r="G572" s="4">
        <f ca="1">IFERROR(__xludf.DUMMYFUNCTION("""COMPUTED_VALUE"""),42954.6666666666)</f>
        <v>42954.666666666599</v>
      </c>
      <c r="H572" s="3">
        <f ca="1">IFERROR(__xludf.DUMMYFUNCTION("""COMPUTED_VALUE"""),91.19)</f>
        <v>91.19</v>
      </c>
      <c r="I572" s="3">
        <f ca="1">IFERROR(__xludf.DUMMYFUNCTION("""COMPUTED_VALUE"""),91.37)</f>
        <v>91.37</v>
      </c>
      <c r="J572" s="3">
        <f ca="1">IFERROR(__xludf.DUMMYFUNCTION("""COMPUTED_VALUE"""),91.07)</f>
        <v>91.07</v>
      </c>
      <c r="K572" s="3">
        <f ca="1">IFERROR(__xludf.DUMMYFUNCTION("""COMPUTED_VALUE"""),91.24)</f>
        <v>91.24</v>
      </c>
      <c r="L572" s="3">
        <f ca="1">IFERROR(__xludf.DUMMYFUNCTION("""COMPUTED_VALUE"""),3469717)</f>
        <v>3469717</v>
      </c>
      <c r="M572" s="4">
        <f ca="1">IFERROR(__xludf.DUMMYFUNCTION("""COMPUTED_VALUE"""),42954.6666666666)</f>
        <v>42954.666666666599</v>
      </c>
      <c r="N572" s="3">
        <f ca="1">IFERROR(__xludf.DUMMYFUNCTION("""COMPUTED_VALUE"""),55.03)</f>
        <v>55.03</v>
      </c>
      <c r="O572" s="3">
        <f ca="1">IFERROR(__xludf.DUMMYFUNCTION("""COMPUTED_VALUE"""),55.47)</f>
        <v>55.47</v>
      </c>
      <c r="P572" s="3">
        <f ca="1">IFERROR(__xludf.DUMMYFUNCTION("""COMPUTED_VALUE"""),55.03)</f>
        <v>55.03</v>
      </c>
      <c r="Q572" s="3">
        <f ca="1">IFERROR(__xludf.DUMMYFUNCTION("""COMPUTED_VALUE"""),55.43)</f>
        <v>55.43</v>
      </c>
      <c r="R572" s="3">
        <f ca="1">IFERROR(__xludf.DUMMYFUNCTION("""COMPUTED_VALUE"""),16853974)</f>
        <v>16853974</v>
      </c>
      <c r="S572" s="4">
        <f ca="1">IFERROR(__xludf.DUMMYFUNCTION("""COMPUTED_VALUE"""),42954.6666666666)</f>
        <v>42954.666666666599</v>
      </c>
      <c r="T572" s="3">
        <f ca="1">IFERROR(__xludf.DUMMYFUNCTION("""COMPUTED_VALUE"""),65.36)</f>
        <v>65.36</v>
      </c>
      <c r="U572" s="3">
        <f ca="1">IFERROR(__xludf.DUMMYFUNCTION("""COMPUTED_VALUE"""),65.48)</f>
        <v>65.48</v>
      </c>
      <c r="V572" s="3">
        <f ca="1">IFERROR(__xludf.DUMMYFUNCTION("""COMPUTED_VALUE"""),64.94)</f>
        <v>64.94</v>
      </c>
      <c r="W572" s="3">
        <f ca="1">IFERROR(__xludf.DUMMYFUNCTION("""COMPUTED_VALUE"""),65.14)</f>
        <v>65.14</v>
      </c>
      <c r="X572" s="3">
        <f ca="1">IFERROR(__xludf.DUMMYFUNCTION("""COMPUTED_VALUE"""),11437264)</f>
        <v>11437264</v>
      </c>
      <c r="Y572" s="4">
        <f ca="1">IFERROR(__xludf.DUMMYFUNCTION("""COMPUTED_VALUE"""),42954.6666666666)</f>
        <v>42954.666666666599</v>
      </c>
      <c r="Z572" s="3">
        <f ca="1">IFERROR(__xludf.DUMMYFUNCTION("""COMPUTED_VALUE"""),25.39)</f>
        <v>25.39</v>
      </c>
      <c r="AA572" s="3">
        <f ca="1">IFERROR(__xludf.DUMMYFUNCTION("""COMPUTED_VALUE"""),25.4)</f>
        <v>25.4</v>
      </c>
      <c r="AB572" s="3">
        <f ca="1">IFERROR(__xludf.DUMMYFUNCTION("""COMPUTED_VALUE"""),25.31)</f>
        <v>25.31</v>
      </c>
      <c r="AC572" s="3">
        <f ca="1">IFERROR(__xludf.DUMMYFUNCTION("""COMPUTED_VALUE"""),25.35)</f>
        <v>25.35</v>
      </c>
      <c r="AD572" s="3">
        <f ca="1">IFERROR(__xludf.DUMMYFUNCTION("""COMPUTED_VALUE"""),39486769)</f>
        <v>39486769</v>
      </c>
      <c r="AE572" s="4">
        <f ca="1">IFERROR(__xludf.DUMMYFUNCTION("""COMPUTED_VALUE"""),42954.6666666666)</f>
        <v>42954.666666666599</v>
      </c>
      <c r="AF572" s="3">
        <f ca="1">IFERROR(__xludf.DUMMYFUNCTION("""COMPUTED_VALUE"""),79.4)</f>
        <v>79.400000000000006</v>
      </c>
      <c r="AG572" s="3">
        <f ca="1">IFERROR(__xludf.DUMMYFUNCTION("""COMPUTED_VALUE"""),79.66)</f>
        <v>79.66</v>
      </c>
      <c r="AH572" s="3">
        <f ca="1">IFERROR(__xludf.DUMMYFUNCTION("""COMPUTED_VALUE"""),79.33)</f>
        <v>79.33</v>
      </c>
      <c r="AI572" s="3">
        <f ca="1">IFERROR(__xludf.DUMMYFUNCTION("""COMPUTED_VALUE"""),79.65)</f>
        <v>79.650000000000006</v>
      </c>
      <c r="AJ572" s="3">
        <f ca="1">IFERROR(__xludf.DUMMYFUNCTION("""COMPUTED_VALUE"""),4583270)</f>
        <v>4583270</v>
      </c>
      <c r="AK572" s="4">
        <f ca="1">IFERROR(__xludf.DUMMYFUNCTION("""COMPUTED_VALUE"""),42954.6666666666)</f>
        <v>42954.666666666599</v>
      </c>
      <c r="AL572" s="3">
        <f ca="1">IFERROR(__xludf.DUMMYFUNCTION("""COMPUTED_VALUE"""),68.83)</f>
        <v>68.83</v>
      </c>
      <c r="AM572" s="3">
        <f ca="1">IFERROR(__xludf.DUMMYFUNCTION("""COMPUTED_VALUE"""),68.97)</f>
        <v>68.97</v>
      </c>
      <c r="AN572" s="3">
        <f ca="1">IFERROR(__xludf.DUMMYFUNCTION("""COMPUTED_VALUE"""),68.72)</f>
        <v>68.72</v>
      </c>
      <c r="AO572" s="3">
        <f ca="1">IFERROR(__xludf.DUMMYFUNCTION("""COMPUTED_VALUE"""),68.88)</f>
        <v>68.88</v>
      </c>
      <c r="AP572" s="3">
        <f ca="1">IFERROR(__xludf.DUMMYFUNCTION("""COMPUTED_VALUE"""),7753092)</f>
        <v>7753092</v>
      </c>
      <c r="AQ572" s="4">
        <f ca="1">IFERROR(__xludf.DUMMYFUNCTION("""COMPUTED_VALUE"""),42954.6666666666)</f>
        <v>42954.666666666599</v>
      </c>
      <c r="AR572" s="3">
        <f ca="1">IFERROR(__xludf.DUMMYFUNCTION("""COMPUTED_VALUE"""),54.66)</f>
        <v>54.66</v>
      </c>
      <c r="AS572" s="3">
        <f ca="1">IFERROR(__xludf.DUMMYFUNCTION("""COMPUTED_VALUE"""),54.81)</f>
        <v>54.81</v>
      </c>
      <c r="AT572" s="3">
        <f ca="1">IFERROR(__xludf.DUMMYFUNCTION("""COMPUTED_VALUE"""),54.57)</f>
        <v>54.57</v>
      </c>
      <c r="AU572" s="3">
        <f ca="1">IFERROR(__xludf.DUMMYFUNCTION("""COMPUTED_VALUE"""),54.61)</f>
        <v>54.61</v>
      </c>
      <c r="AV572" s="3">
        <f ca="1">IFERROR(__xludf.DUMMYFUNCTION("""COMPUTED_VALUE"""),2528128)</f>
        <v>2528128</v>
      </c>
      <c r="BC572" s="4">
        <f ca="1">IFERROR(__xludf.DUMMYFUNCTION("""COMPUTED_VALUE"""),42954.6666666666)</f>
        <v>42954.666666666599</v>
      </c>
      <c r="BD572" s="3">
        <f ca="1">IFERROR(__xludf.DUMMYFUNCTION("""COMPUTED_VALUE"""),57.69)</f>
        <v>57.69</v>
      </c>
      <c r="BE572" s="3">
        <f ca="1">IFERROR(__xludf.DUMMYFUNCTION("""COMPUTED_VALUE"""),57.96)</f>
        <v>57.96</v>
      </c>
      <c r="BF572" s="3">
        <f ca="1">IFERROR(__xludf.DUMMYFUNCTION("""COMPUTED_VALUE"""),57.67)</f>
        <v>57.67</v>
      </c>
      <c r="BG572" s="3">
        <f ca="1">IFERROR(__xludf.DUMMYFUNCTION("""COMPUTED_VALUE"""),57.96)</f>
        <v>57.96</v>
      </c>
      <c r="BH572" s="3">
        <f ca="1">IFERROR(__xludf.DUMMYFUNCTION("""COMPUTED_VALUE"""),7683006)</f>
        <v>7683006</v>
      </c>
      <c r="BI572" s="4">
        <f ca="1">IFERROR(__xludf.DUMMYFUNCTION("""COMPUTED_VALUE"""),42954.6666666666)</f>
        <v>42954.666666666599</v>
      </c>
      <c r="BJ572" s="3">
        <f ca="1">IFERROR(__xludf.DUMMYFUNCTION("""COMPUTED_VALUE"""),53.84)</f>
        <v>53.84</v>
      </c>
      <c r="BK572" s="3">
        <f ca="1">IFERROR(__xludf.DUMMYFUNCTION("""COMPUTED_VALUE"""),53.97)</f>
        <v>53.97</v>
      </c>
      <c r="BL572" s="3">
        <f ca="1">IFERROR(__xludf.DUMMYFUNCTION("""COMPUTED_VALUE"""),53.7)</f>
        <v>53.7</v>
      </c>
      <c r="BM572" s="3">
        <f ca="1">IFERROR(__xludf.DUMMYFUNCTION("""COMPUTED_VALUE"""),53.95)</f>
        <v>53.95</v>
      </c>
      <c r="BN572" s="3">
        <f ca="1">IFERROR(__xludf.DUMMYFUNCTION("""COMPUTED_VALUE"""),5161451)</f>
        <v>5161451</v>
      </c>
    </row>
    <row r="573" spans="7:66" ht="13" x14ac:dyDescent="0.15">
      <c r="G573" s="4">
        <f ca="1">IFERROR(__xludf.DUMMYFUNCTION("""COMPUTED_VALUE"""),42955.6666666666)</f>
        <v>42955.666666666599</v>
      </c>
      <c r="H573" s="3">
        <f ca="1">IFERROR(__xludf.DUMMYFUNCTION("""COMPUTED_VALUE"""),91.24)</f>
        <v>91.24</v>
      </c>
      <c r="I573" s="3">
        <f ca="1">IFERROR(__xludf.DUMMYFUNCTION("""COMPUTED_VALUE"""),91.77)</f>
        <v>91.77</v>
      </c>
      <c r="J573" s="3">
        <f ca="1">IFERROR(__xludf.DUMMYFUNCTION("""COMPUTED_VALUE"""),91.02)</f>
        <v>91.02</v>
      </c>
      <c r="K573" s="3">
        <f ca="1">IFERROR(__xludf.DUMMYFUNCTION("""COMPUTED_VALUE"""),91.29)</f>
        <v>91.29</v>
      </c>
      <c r="L573" s="3">
        <f ca="1">IFERROR(__xludf.DUMMYFUNCTION("""COMPUTED_VALUE"""),3025108)</f>
        <v>3025108</v>
      </c>
      <c r="M573" s="4">
        <f ca="1">IFERROR(__xludf.DUMMYFUNCTION("""COMPUTED_VALUE"""),42955.6666666666)</f>
        <v>42955.666666666599</v>
      </c>
      <c r="N573" s="3">
        <f ca="1">IFERROR(__xludf.DUMMYFUNCTION("""COMPUTED_VALUE"""),55.29)</f>
        <v>55.29</v>
      </c>
      <c r="O573" s="3">
        <f ca="1">IFERROR(__xludf.DUMMYFUNCTION("""COMPUTED_VALUE"""),55.45)</f>
        <v>55.45</v>
      </c>
      <c r="P573" s="3">
        <f ca="1">IFERROR(__xludf.DUMMYFUNCTION("""COMPUTED_VALUE"""),55.19)</f>
        <v>55.19</v>
      </c>
      <c r="Q573" s="3">
        <f ca="1">IFERROR(__xludf.DUMMYFUNCTION("""COMPUTED_VALUE"""),55.22)</f>
        <v>55.22</v>
      </c>
      <c r="R573" s="3">
        <f ca="1">IFERROR(__xludf.DUMMYFUNCTION("""COMPUTED_VALUE"""),9813162)</f>
        <v>9813162</v>
      </c>
      <c r="S573" s="4">
        <f ca="1">IFERROR(__xludf.DUMMYFUNCTION("""COMPUTED_VALUE"""),42955.6666666666)</f>
        <v>42955.666666666599</v>
      </c>
      <c r="T573" s="3">
        <f ca="1">IFERROR(__xludf.DUMMYFUNCTION("""COMPUTED_VALUE"""),64.95)</f>
        <v>64.95</v>
      </c>
      <c r="U573" s="3">
        <f ca="1">IFERROR(__xludf.DUMMYFUNCTION("""COMPUTED_VALUE"""),65.56)</f>
        <v>65.56</v>
      </c>
      <c r="V573" s="3">
        <f ca="1">IFERROR(__xludf.DUMMYFUNCTION("""COMPUTED_VALUE"""),64.8)</f>
        <v>64.8</v>
      </c>
      <c r="W573" s="3">
        <f ca="1">IFERROR(__xludf.DUMMYFUNCTION("""COMPUTED_VALUE"""),64.99)</f>
        <v>64.989999999999995</v>
      </c>
      <c r="X573" s="3">
        <f ca="1">IFERROR(__xludf.DUMMYFUNCTION("""COMPUTED_VALUE"""),10429131)</f>
        <v>10429131</v>
      </c>
      <c r="Y573" s="4">
        <f ca="1">IFERROR(__xludf.DUMMYFUNCTION("""COMPUTED_VALUE"""),42955.6666666666)</f>
        <v>42955.666666666599</v>
      </c>
      <c r="Z573" s="3">
        <f ca="1">IFERROR(__xludf.DUMMYFUNCTION("""COMPUTED_VALUE"""),25.31)</f>
        <v>25.31</v>
      </c>
      <c r="AA573" s="3">
        <f ca="1">IFERROR(__xludf.DUMMYFUNCTION("""COMPUTED_VALUE"""),25.59)</f>
        <v>25.59</v>
      </c>
      <c r="AB573" s="3">
        <f ca="1">IFERROR(__xludf.DUMMYFUNCTION("""COMPUTED_VALUE"""),25.27)</f>
        <v>25.27</v>
      </c>
      <c r="AC573" s="3">
        <f ca="1">IFERROR(__xludf.DUMMYFUNCTION("""COMPUTED_VALUE"""),25.28)</f>
        <v>25.28</v>
      </c>
      <c r="AD573" s="3">
        <f ca="1">IFERROR(__xludf.DUMMYFUNCTION("""COMPUTED_VALUE"""),52736465)</f>
        <v>52736465</v>
      </c>
      <c r="AE573" s="4">
        <f ca="1">IFERROR(__xludf.DUMMYFUNCTION("""COMPUTED_VALUE"""),42955.6666666666)</f>
        <v>42955.666666666599</v>
      </c>
      <c r="AF573" s="3">
        <f ca="1">IFERROR(__xludf.DUMMYFUNCTION("""COMPUTED_VALUE"""),79.55)</f>
        <v>79.55</v>
      </c>
      <c r="AG573" s="3">
        <f ca="1">IFERROR(__xludf.DUMMYFUNCTION("""COMPUTED_VALUE"""),79.69)</f>
        <v>79.69</v>
      </c>
      <c r="AH573" s="3">
        <f ca="1">IFERROR(__xludf.DUMMYFUNCTION("""COMPUTED_VALUE"""),79.12)</f>
        <v>79.12</v>
      </c>
      <c r="AI573" s="3">
        <f ca="1">IFERROR(__xludf.DUMMYFUNCTION("""COMPUTED_VALUE"""),79.28)</f>
        <v>79.28</v>
      </c>
      <c r="AJ573" s="3">
        <f ca="1">IFERROR(__xludf.DUMMYFUNCTION("""COMPUTED_VALUE"""),4423268)</f>
        <v>4423268</v>
      </c>
      <c r="AK573" s="4">
        <f ca="1">IFERROR(__xludf.DUMMYFUNCTION("""COMPUTED_VALUE"""),42955.6666666666)</f>
        <v>42955.666666666599</v>
      </c>
      <c r="AL573" s="3">
        <f ca="1">IFERROR(__xludf.DUMMYFUNCTION("""COMPUTED_VALUE"""),68.78)</f>
        <v>68.78</v>
      </c>
      <c r="AM573" s="3">
        <f ca="1">IFERROR(__xludf.DUMMYFUNCTION("""COMPUTED_VALUE"""),69.07)</f>
        <v>69.069999999999993</v>
      </c>
      <c r="AN573" s="3">
        <f ca="1">IFERROR(__xludf.DUMMYFUNCTION("""COMPUTED_VALUE"""),68.57)</f>
        <v>68.569999999999993</v>
      </c>
      <c r="AO573" s="3">
        <f ca="1">IFERROR(__xludf.DUMMYFUNCTION("""COMPUTED_VALUE"""),68.67)</f>
        <v>68.67</v>
      </c>
      <c r="AP573" s="3">
        <f ca="1">IFERROR(__xludf.DUMMYFUNCTION("""COMPUTED_VALUE"""),9136464)</f>
        <v>9136464</v>
      </c>
      <c r="AQ573" s="4">
        <f ca="1">IFERROR(__xludf.DUMMYFUNCTION("""COMPUTED_VALUE"""),42955.6666666666)</f>
        <v>42955.666666666599</v>
      </c>
      <c r="AR573" s="3">
        <f ca="1">IFERROR(__xludf.DUMMYFUNCTION("""COMPUTED_VALUE"""),54.5)</f>
        <v>54.5</v>
      </c>
      <c r="AS573" s="3">
        <f ca="1">IFERROR(__xludf.DUMMYFUNCTION("""COMPUTED_VALUE"""),54.55)</f>
        <v>54.55</v>
      </c>
      <c r="AT573" s="3">
        <f ca="1">IFERROR(__xludf.DUMMYFUNCTION("""COMPUTED_VALUE"""),54.07)</f>
        <v>54.07</v>
      </c>
      <c r="AU573" s="3">
        <f ca="1">IFERROR(__xludf.DUMMYFUNCTION("""COMPUTED_VALUE"""),54.18)</f>
        <v>54.18</v>
      </c>
      <c r="AV573" s="3">
        <f ca="1">IFERROR(__xludf.DUMMYFUNCTION("""COMPUTED_VALUE"""),4162009)</f>
        <v>4162009</v>
      </c>
      <c r="BC573" s="4">
        <f ca="1">IFERROR(__xludf.DUMMYFUNCTION("""COMPUTED_VALUE"""),42955.6666666666)</f>
        <v>42955.666666666599</v>
      </c>
      <c r="BD573" s="3">
        <f ca="1">IFERROR(__xludf.DUMMYFUNCTION("""COMPUTED_VALUE"""),57.88)</f>
        <v>57.88</v>
      </c>
      <c r="BE573" s="3">
        <f ca="1">IFERROR(__xludf.DUMMYFUNCTION("""COMPUTED_VALUE"""),58.33)</f>
        <v>58.33</v>
      </c>
      <c r="BF573" s="3">
        <f ca="1">IFERROR(__xludf.DUMMYFUNCTION("""COMPUTED_VALUE"""),57.72)</f>
        <v>57.72</v>
      </c>
      <c r="BG573" s="3">
        <f ca="1">IFERROR(__xludf.DUMMYFUNCTION("""COMPUTED_VALUE"""),57.88)</f>
        <v>57.88</v>
      </c>
      <c r="BH573" s="3">
        <f ca="1">IFERROR(__xludf.DUMMYFUNCTION("""COMPUTED_VALUE"""),10460698)</f>
        <v>10460698</v>
      </c>
      <c r="BI573" s="4">
        <f ca="1">IFERROR(__xludf.DUMMYFUNCTION("""COMPUTED_VALUE"""),42955.6666666666)</f>
        <v>42955.666666666599</v>
      </c>
      <c r="BJ573" s="3">
        <f ca="1">IFERROR(__xludf.DUMMYFUNCTION("""COMPUTED_VALUE"""),53.9)</f>
        <v>53.9</v>
      </c>
      <c r="BK573" s="3">
        <f ca="1">IFERROR(__xludf.DUMMYFUNCTION("""COMPUTED_VALUE"""),54.17)</f>
        <v>54.17</v>
      </c>
      <c r="BL573" s="3">
        <f ca="1">IFERROR(__xludf.DUMMYFUNCTION("""COMPUTED_VALUE"""),53.83)</f>
        <v>53.83</v>
      </c>
      <c r="BM573" s="3">
        <f ca="1">IFERROR(__xludf.DUMMYFUNCTION("""COMPUTED_VALUE"""),54.17)</f>
        <v>54.17</v>
      </c>
      <c r="BN573" s="3">
        <f ca="1">IFERROR(__xludf.DUMMYFUNCTION("""COMPUTED_VALUE"""),7568674)</f>
        <v>7568674</v>
      </c>
    </row>
    <row r="574" spans="7:66" ht="13" x14ac:dyDescent="0.15">
      <c r="G574" s="4">
        <f ca="1">IFERROR(__xludf.DUMMYFUNCTION("""COMPUTED_VALUE"""),42956.6666666666)</f>
        <v>42956.666666666599</v>
      </c>
      <c r="H574" s="3">
        <f ca="1">IFERROR(__xludf.DUMMYFUNCTION("""COMPUTED_VALUE"""),90.21)</f>
        <v>90.21</v>
      </c>
      <c r="I574" s="3">
        <f ca="1">IFERROR(__xludf.DUMMYFUNCTION("""COMPUTED_VALUE"""),90.82)</f>
        <v>90.82</v>
      </c>
      <c r="J574" s="3">
        <f ca="1">IFERROR(__xludf.DUMMYFUNCTION("""COMPUTED_VALUE"""),90.04)</f>
        <v>90.04</v>
      </c>
      <c r="K574" s="3">
        <f ca="1">IFERROR(__xludf.DUMMYFUNCTION("""COMPUTED_VALUE"""),90.76)</f>
        <v>90.76</v>
      </c>
      <c r="L574" s="3">
        <f ca="1">IFERROR(__xludf.DUMMYFUNCTION("""COMPUTED_VALUE"""),4898141)</f>
        <v>4898141</v>
      </c>
      <c r="M574" s="4">
        <f ca="1">IFERROR(__xludf.DUMMYFUNCTION("""COMPUTED_VALUE"""),42956.6666666666)</f>
        <v>42956.666666666599</v>
      </c>
      <c r="N574" s="3">
        <f ca="1">IFERROR(__xludf.DUMMYFUNCTION("""COMPUTED_VALUE"""),55.18)</f>
        <v>55.18</v>
      </c>
      <c r="O574" s="3">
        <f ca="1">IFERROR(__xludf.DUMMYFUNCTION("""COMPUTED_VALUE"""),55.35)</f>
        <v>55.35</v>
      </c>
      <c r="P574" s="3">
        <f ca="1">IFERROR(__xludf.DUMMYFUNCTION("""COMPUTED_VALUE"""),55.12)</f>
        <v>55.12</v>
      </c>
      <c r="Q574" s="3">
        <f ca="1">IFERROR(__xludf.DUMMYFUNCTION("""COMPUTED_VALUE"""),55.31)</f>
        <v>55.31</v>
      </c>
      <c r="R574" s="3">
        <f ca="1">IFERROR(__xludf.DUMMYFUNCTION("""COMPUTED_VALUE"""),7251819)</f>
        <v>7251819</v>
      </c>
      <c r="S574" s="4">
        <f ca="1">IFERROR(__xludf.DUMMYFUNCTION("""COMPUTED_VALUE"""),42956.6666666666)</f>
        <v>42956.666666666599</v>
      </c>
      <c r="T574" s="3">
        <f ca="1">IFERROR(__xludf.DUMMYFUNCTION("""COMPUTED_VALUE"""),65.09)</f>
        <v>65.09</v>
      </c>
      <c r="U574" s="3">
        <f ca="1">IFERROR(__xludf.DUMMYFUNCTION("""COMPUTED_VALUE"""),65.46)</f>
        <v>65.459999999999994</v>
      </c>
      <c r="V574" s="3">
        <f ca="1">IFERROR(__xludf.DUMMYFUNCTION("""COMPUTED_VALUE"""),64.81)</f>
        <v>64.81</v>
      </c>
      <c r="W574" s="3">
        <f ca="1">IFERROR(__xludf.DUMMYFUNCTION("""COMPUTED_VALUE"""),65.05)</f>
        <v>65.05</v>
      </c>
      <c r="X574" s="3">
        <f ca="1">IFERROR(__xludf.DUMMYFUNCTION("""COMPUTED_VALUE"""),10437867)</f>
        <v>10437867</v>
      </c>
      <c r="Y574" s="4">
        <f ca="1">IFERROR(__xludf.DUMMYFUNCTION("""COMPUTED_VALUE"""),42956.6666666666)</f>
        <v>42956.666666666599</v>
      </c>
      <c r="Z574" s="3">
        <f ca="1">IFERROR(__xludf.DUMMYFUNCTION("""COMPUTED_VALUE"""),25.07)</f>
        <v>25.07</v>
      </c>
      <c r="AA574" s="3">
        <f ca="1">IFERROR(__xludf.DUMMYFUNCTION("""COMPUTED_VALUE"""),25.3)</f>
        <v>25.3</v>
      </c>
      <c r="AB574" s="3">
        <f ca="1">IFERROR(__xludf.DUMMYFUNCTION("""COMPUTED_VALUE"""),25.07)</f>
        <v>25.07</v>
      </c>
      <c r="AC574" s="3">
        <f ca="1">IFERROR(__xludf.DUMMYFUNCTION("""COMPUTED_VALUE"""),25.28)</f>
        <v>25.28</v>
      </c>
      <c r="AD574" s="3">
        <f ca="1">IFERROR(__xludf.DUMMYFUNCTION("""COMPUTED_VALUE"""),46567038)</f>
        <v>46567038</v>
      </c>
      <c r="AE574" s="4">
        <f ca="1">IFERROR(__xludf.DUMMYFUNCTION("""COMPUTED_VALUE"""),42956.6666666666)</f>
        <v>42956.666666666599</v>
      </c>
      <c r="AF574" s="3">
        <f ca="1">IFERROR(__xludf.DUMMYFUNCTION("""COMPUTED_VALUE"""),79.09)</f>
        <v>79.09</v>
      </c>
      <c r="AG574" s="3">
        <f ca="1">IFERROR(__xludf.DUMMYFUNCTION("""COMPUTED_VALUE"""),79.45)</f>
        <v>79.45</v>
      </c>
      <c r="AH574" s="3">
        <f ca="1">IFERROR(__xludf.DUMMYFUNCTION("""COMPUTED_VALUE"""),78.95)</f>
        <v>78.95</v>
      </c>
      <c r="AI574" s="3">
        <f ca="1">IFERROR(__xludf.DUMMYFUNCTION("""COMPUTED_VALUE"""),79.37)</f>
        <v>79.37</v>
      </c>
      <c r="AJ574" s="3">
        <f ca="1">IFERROR(__xludf.DUMMYFUNCTION("""COMPUTED_VALUE"""),4886488)</f>
        <v>4886488</v>
      </c>
      <c r="AK574" s="4">
        <f ca="1">IFERROR(__xludf.DUMMYFUNCTION("""COMPUTED_VALUE"""),42956.6666666666)</f>
        <v>42956.666666666599</v>
      </c>
      <c r="AL574" s="3">
        <f ca="1">IFERROR(__xludf.DUMMYFUNCTION("""COMPUTED_VALUE"""),68.53)</f>
        <v>68.53</v>
      </c>
      <c r="AM574" s="3">
        <f ca="1">IFERROR(__xludf.DUMMYFUNCTION("""COMPUTED_VALUE"""),68.78)</f>
        <v>68.78</v>
      </c>
      <c r="AN574" s="3">
        <f ca="1">IFERROR(__xludf.DUMMYFUNCTION("""COMPUTED_VALUE"""),68.5)</f>
        <v>68.5</v>
      </c>
      <c r="AO574" s="3">
        <f ca="1">IFERROR(__xludf.DUMMYFUNCTION("""COMPUTED_VALUE"""),68.69)</f>
        <v>68.69</v>
      </c>
      <c r="AP574" s="3">
        <f ca="1">IFERROR(__xludf.DUMMYFUNCTION("""COMPUTED_VALUE"""),8088193)</f>
        <v>8088193</v>
      </c>
      <c r="AQ574" s="4">
        <f ca="1">IFERROR(__xludf.DUMMYFUNCTION("""COMPUTED_VALUE"""),42956.6666666666)</f>
        <v>42956.666666666599</v>
      </c>
      <c r="AR574" s="3">
        <f ca="1">IFERROR(__xludf.DUMMYFUNCTION("""COMPUTED_VALUE"""),54.14)</f>
        <v>54.14</v>
      </c>
      <c r="AS574" s="3">
        <f ca="1">IFERROR(__xludf.DUMMYFUNCTION("""COMPUTED_VALUE"""),54.3)</f>
        <v>54.3</v>
      </c>
      <c r="AT574" s="3">
        <f ca="1">IFERROR(__xludf.DUMMYFUNCTION("""COMPUTED_VALUE"""),54.05)</f>
        <v>54.05</v>
      </c>
      <c r="AU574" s="3">
        <f ca="1">IFERROR(__xludf.DUMMYFUNCTION("""COMPUTED_VALUE"""),54.23)</f>
        <v>54.23</v>
      </c>
      <c r="AV574" s="3">
        <f ca="1">IFERROR(__xludf.DUMMYFUNCTION("""COMPUTED_VALUE"""),3454863)</f>
        <v>3454863</v>
      </c>
      <c r="BC574" s="4">
        <f ca="1">IFERROR(__xludf.DUMMYFUNCTION("""COMPUTED_VALUE"""),42956.6666666666)</f>
        <v>42956.666666666599</v>
      </c>
      <c r="BD574" s="3">
        <f ca="1">IFERROR(__xludf.DUMMYFUNCTION("""COMPUTED_VALUE"""),57.51)</f>
        <v>57.51</v>
      </c>
      <c r="BE574" s="3">
        <f ca="1">IFERROR(__xludf.DUMMYFUNCTION("""COMPUTED_VALUE"""),57.89)</f>
        <v>57.89</v>
      </c>
      <c r="BF574" s="3">
        <f ca="1">IFERROR(__xludf.DUMMYFUNCTION("""COMPUTED_VALUE"""),57.48)</f>
        <v>57.48</v>
      </c>
      <c r="BG574" s="3">
        <f ca="1">IFERROR(__xludf.DUMMYFUNCTION("""COMPUTED_VALUE"""),57.85)</f>
        <v>57.85</v>
      </c>
      <c r="BH574" s="3">
        <f ca="1">IFERROR(__xludf.DUMMYFUNCTION("""COMPUTED_VALUE"""),6972812)</f>
        <v>6972812</v>
      </c>
      <c r="BI574" s="4">
        <f ca="1">IFERROR(__xludf.DUMMYFUNCTION("""COMPUTED_VALUE"""),42956.6666666666)</f>
        <v>42956.666666666599</v>
      </c>
      <c r="BJ574" s="3">
        <f ca="1">IFERROR(__xludf.DUMMYFUNCTION("""COMPUTED_VALUE"""),54.26)</f>
        <v>54.26</v>
      </c>
      <c r="BK574" s="3">
        <f ca="1">IFERROR(__xludf.DUMMYFUNCTION("""COMPUTED_VALUE"""),54.4)</f>
        <v>54.4</v>
      </c>
      <c r="BL574" s="3">
        <f ca="1">IFERROR(__xludf.DUMMYFUNCTION("""COMPUTED_VALUE"""),53.85)</f>
        <v>53.85</v>
      </c>
      <c r="BM574" s="3">
        <f ca="1">IFERROR(__xludf.DUMMYFUNCTION("""COMPUTED_VALUE"""),53.89)</f>
        <v>53.89</v>
      </c>
      <c r="BN574" s="3">
        <f ca="1">IFERROR(__xludf.DUMMYFUNCTION("""COMPUTED_VALUE"""),8852236)</f>
        <v>8852236</v>
      </c>
    </row>
    <row r="575" spans="7:66" ht="13" x14ac:dyDescent="0.15">
      <c r="G575" s="4">
        <f ca="1">IFERROR(__xludf.DUMMYFUNCTION("""COMPUTED_VALUE"""),42957.6666666666)</f>
        <v>42957.666666666599</v>
      </c>
      <c r="H575" s="3">
        <f ca="1">IFERROR(__xludf.DUMMYFUNCTION("""COMPUTED_VALUE"""),90.38)</f>
        <v>90.38</v>
      </c>
      <c r="I575" s="3">
        <f ca="1">IFERROR(__xludf.DUMMYFUNCTION("""COMPUTED_VALUE"""),90.53)</f>
        <v>90.53</v>
      </c>
      <c r="J575" s="3">
        <f ca="1">IFERROR(__xludf.DUMMYFUNCTION("""COMPUTED_VALUE"""),89.38)</f>
        <v>89.38</v>
      </c>
      <c r="K575" s="3">
        <f ca="1">IFERROR(__xludf.DUMMYFUNCTION("""COMPUTED_VALUE"""),89.4)</f>
        <v>89.4</v>
      </c>
      <c r="L575" s="3">
        <f ca="1">IFERROR(__xludf.DUMMYFUNCTION("""COMPUTED_VALUE"""),4904886)</f>
        <v>4904886</v>
      </c>
      <c r="M575" s="4">
        <f ca="1">IFERROR(__xludf.DUMMYFUNCTION("""COMPUTED_VALUE"""),42957.6666666666)</f>
        <v>42957.666666666599</v>
      </c>
      <c r="N575" s="3">
        <f ca="1">IFERROR(__xludf.DUMMYFUNCTION("""COMPUTED_VALUE"""),55.17)</f>
        <v>55.17</v>
      </c>
      <c r="O575" s="3">
        <f ca="1">IFERROR(__xludf.DUMMYFUNCTION("""COMPUTED_VALUE"""),55.34)</f>
        <v>55.34</v>
      </c>
      <c r="P575" s="3">
        <f ca="1">IFERROR(__xludf.DUMMYFUNCTION("""COMPUTED_VALUE"""),55.06)</f>
        <v>55.06</v>
      </c>
      <c r="Q575" s="3">
        <f ca="1">IFERROR(__xludf.DUMMYFUNCTION("""COMPUTED_VALUE"""),55.08)</f>
        <v>55.08</v>
      </c>
      <c r="R575" s="3">
        <f ca="1">IFERROR(__xludf.DUMMYFUNCTION("""COMPUTED_VALUE"""),6662766)</f>
        <v>6662766</v>
      </c>
      <c r="S575" s="4">
        <f ca="1">IFERROR(__xludf.DUMMYFUNCTION("""COMPUTED_VALUE"""),42957.6666666666)</f>
        <v>42957.666666666599</v>
      </c>
      <c r="T575" s="3">
        <f ca="1">IFERROR(__xludf.DUMMYFUNCTION("""COMPUTED_VALUE"""),65.16)</f>
        <v>65.16</v>
      </c>
      <c r="U575" s="3">
        <f ca="1">IFERROR(__xludf.DUMMYFUNCTION("""COMPUTED_VALUE"""),65.27)</f>
        <v>65.27</v>
      </c>
      <c r="V575" s="3">
        <f ca="1">IFERROR(__xludf.DUMMYFUNCTION("""COMPUTED_VALUE"""),64.25)</f>
        <v>64.25</v>
      </c>
      <c r="W575" s="3">
        <f ca="1">IFERROR(__xludf.DUMMYFUNCTION("""COMPUTED_VALUE"""),64.36)</f>
        <v>64.36</v>
      </c>
      <c r="X575" s="3">
        <f ca="1">IFERROR(__xludf.DUMMYFUNCTION("""COMPUTED_VALUE"""),15262091)</f>
        <v>15262091</v>
      </c>
      <c r="Y575" s="4">
        <f ca="1">IFERROR(__xludf.DUMMYFUNCTION("""COMPUTED_VALUE"""),42957.6666666666)</f>
        <v>42957.666666666599</v>
      </c>
      <c r="Z575" s="3">
        <f ca="1">IFERROR(__xludf.DUMMYFUNCTION("""COMPUTED_VALUE"""),25.12)</f>
        <v>25.12</v>
      </c>
      <c r="AA575" s="3">
        <f ca="1">IFERROR(__xludf.DUMMYFUNCTION("""COMPUTED_VALUE"""),25.18)</f>
        <v>25.18</v>
      </c>
      <c r="AB575" s="3">
        <f ca="1">IFERROR(__xludf.DUMMYFUNCTION("""COMPUTED_VALUE"""),24.83)</f>
        <v>24.83</v>
      </c>
      <c r="AC575" s="3">
        <f ca="1">IFERROR(__xludf.DUMMYFUNCTION("""COMPUTED_VALUE"""),24.83)</f>
        <v>24.83</v>
      </c>
      <c r="AD575" s="3">
        <f ca="1">IFERROR(__xludf.DUMMYFUNCTION("""COMPUTED_VALUE"""),71130286)</f>
        <v>71130286</v>
      </c>
      <c r="AE575" s="4">
        <f ca="1">IFERROR(__xludf.DUMMYFUNCTION("""COMPUTED_VALUE"""),42957.6666666666)</f>
        <v>42957.666666666599</v>
      </c>
      <c r="AF575" s="3">
        <f ca="1">IFERROR(__xludf.DUMMYFUNCTION("""COMPUTED_VALUE"""),79.13)</f>
        <v>79.13</v>
      </c>
      <c r="AG575" s="3">
        <f ca="1">IFERROR(__xludf.DUMMYFUNCTION("""COMPUTED_VALUE"""),79.2)</f>
        <v>79.2</v>
      </c>
      <c r="AH575" s="3">
        <f ca="1">IFERROR(__xludf.DUMMYFUNCTION("""COMPUTED_VALUE"""),78.37)</f>
        <v>78.37</v>
      </c>
      <c r="AI575" s="3">
        <f ca="1">IFERROR(__xludf.DUMMYFUNCTION("""COMPUTED_VALUE"""),78.38)</f>
        <v>78.38</v>
      </c>
      <c r="AJ575" s="3">
        <f ca="1">IFERROR(__xludf.DUMMYFUNCTION("""COMPUTED_VALUE"""),7054677)</f>
        <v>7054677</v>
      </c>
      <c r="AK575" s="4">
        <f ca="1">IFERROR(__xludf.DUMMYFUNCTION("""COMPUTED_VALUE"""),42957.6666666666)</f>
        <v>42957.666666666599</v>
      </c>
      <c r="AL575" s="3">
        <f ca="1">IFERROR(__xludf.DUMMYFUNCTION("""COMPUTED_VALUE"""),68.38)</f>
        <v>68.38</v>
      </c>
      <c r="AM575" s="3">
        <f ca="1">IFERROR(__xludf.DUMMYFUNCTION("""COMPUTED_VALUE"""),68.56)</f>
        <v>68.56</v>
      </c>
      <c r="AN575" s="3">
        <f ca="1">IFERROR(__xludf.DUMMYFUNCTION("""COMPUTED_VALUE"""),67.78)</f>
        <v>67.78</v>
      </c>
      <c r="AO575" s="3">
        <f ca="1">IFERROR(__xludf.DUMMYFUNCTION("""COMPUTED_VALUE"""),67.82)</f>
        <v>67.819999999999993</v>
      </c>
      <c r="AP575" s="3">
        <f ca="1">IFERROR(__xludf.DUMMYFUNCTION("""COMPUTED_VALUE"""),10779707)</f>
        <v>10779707</v>
      </c>
      <c r="AQ575" s="4">
        <f ca="1">IFERROR(__xludf.DUMMYFUNCTION("""COMPUTED_VALUE"""),42957.6666666666)</f>
        <v>42957.666666666599</v>
      </c>
      <c r="AR575" s="3">
        <f ca="1">IFERROR(__xludf.DUMMYFUNCTION("""COMPUTED_VALUE"""),54.03)</f>
        <v>54.03</v>
      </c>
      <c r="AS575" s="3">
        <f ca="1">IFERROR(__xludf.DUMMYFUNCTION("""COMPUTED_VALUE"""),54.12)</f>
        <v>54.12</v>
      </c>
      <c r="AT575" s="3">
        <f ca="1">IFERROR(__xludf.DUMMYFUNCTION("""COMPUTED_VALUE"""),53.56)</f>
        <v>53.56</v>
      </c>
      <c r="AU575" s="3">
        <f ca="1">IFERROR(__xludf.DUMMYFUNCTION("""COMPUTED_VALUE"""),53.61)</f>
        <v>53.61</v>
      </c>
      <c r="AV575" s="3">
        <f ca="1">IFERROR(__xludf.DUMMYFUNCTION("""COMPUTED_VALUE"""),6478822)</f>
        <v>6478822</v>
      </c>
      <c r="BC575" s="4">
        <f ca="1">IFERROR(__xludf.DUMMYFUNCTION("""COMPUTED_VALUE"""),42957.6666666666)</f>
        <v>42957.666666666599</v>
      </c>
      <c r="BD575" s="3">
        <f ca="1">IFERROR(__xludf.DUMMYFUNCTION("""COMPUTED_VALUE"""),57.54)</f>
        <v>57.54</v>
      </c>
      <c r="BE575" s="3">
        <f ca="1">IFERROR(__xludf.DUMMYFUNCTION("""COMPUTED_VALUE"""),57.6)</f>
        <v>57.6</v>
      </c>
      <c r="BF575" s="3">
        <f ca="1">IFERROR(__xludf.DUMMYFUNCTION("""COMPUTED_VALUE"""),56.68)</f>
        <v>56.68</v>
      </c>
      <c r="BG575" s="3">
        <f ca="1">IFERROR(__xludf.DUMMYFUNCTION("""COMPUTED_VALUE"""),56.71)</f>
        <v>56.71</v>
      </c>
      <c r="BH575" s="3">
        <f ca="1">IFERROR(__xludf.DUMMYFUNCTION("""COMPUTED_VALUE"""),14911852)</f>
        <v>14911852</v>
      </c>
      <c r="BI575" s="4">
        <f ca="1">IFERROR(__xludf.DUMMYFUNCTION("""COMPUTED_VALUE"""),42957.6666666666)</f>
        <v>42957.666666666599</v>
      </c>
      <c r="BJ575" s="3">
        <f ca="1">IFERROR(__xludf.DUMMYFUNCTION("""COMPUTED_VALUE"""),53.81)</f>
        <v>53.81</v>
      </c>
      <c r="BK575" s="3">
        <f ca="1">IFERROR(__xludf.DUMMYFUNCTION("""COMPUTED_VALUE"""),54.16)</f>
        <v>54.16</v>
      </c>
      <c r="BL575" s="3">
        <f ca="1">IFERROR(__xludf.DUMMYFUNCTION("""COMPUTED_VALUE"""),53.69)</f>
        <v>53.69</v>
      </c>
      <c r="BM575" s="3">
        <f ca="1">IFERROR(__xludf.DUMMYFUNCTION("""COMPUTED_VALUE"""),54.06)</f>
        <v>54.06</v>
      </c>
      <c r="BN575" s="3">
        <f ca="1">IFERROR(__xludf.DUMMYFUNCTION("""COMPUTED_VALUE"""),9614750)</f>
        <v>9614750</v>
      </c>
    </row>
    <row r="576" spans="7:66" ht="13" x14ac:dyDescent="0.15">
      <c r="G576" s="4">
        <f ca="1">IFERROR(__xludf.DUMMYFUNCTION("""COMPUTED_VALUE"""),42958.6666666666)</f>
        <v>42958.666666666599</v>
      </c>
      <c r="H576" s="3">
        <f ca="1">IFERROR(__xludf.DUMMYFUNCTION("""COMPUTED_VALUE"""),89.18)</f>
        <v>89.18</v>
      </c>
      <c r="I576" s="3">
        <f ca="1">IFERROR(__xludf.DUMMYFUNCTION("""COMPUTED_VALUE"""),90.05)</f>
        <v>90.05</v>
      </c>
      <c r="J576" s="3">
        <f ca="1">IFERROR(__xludf.DUMMYFUNCTION("""COMPUTED_VALUE"""),89.18)</f>
        <v>89.18</v>
      </c>
      <c r="K576" s="3">
        <f ca="1">IFERROR(__xludf.DUMMYFUNCTION("""COMPUTED_VALUE"""),89.86)</f>
        <v>89.86</v>
      </c>
      <c r="L576" s="3">
        <f ca="1">IFERROR(__xludf.DUMMYFUNCTION("""COMPUTED_VALUE"""),4919590)</f>
        <v>4919590</v>
      </c>
      <c r="M576" s="4">
        <f ca="1">IFERROR(__xludf.DUMMYFUNCTION("""COMPUTED_VALUE"""),42958.6666666666)</f>
        <v>42958.666666666599</v>
      </c>
      <c r="N576" s="3">
        <f ca="1">IFERROR(__xludf.DUMMYFUNCTION("""COMPUTED_VALUE"""),54.98)</f>
        <v>54.98</v>
      </c>
      <c r="O576" s="3">
        <f ca="1">IFERROR(__xludf.DUMMYFUNCTION("""COMPUTED_VALUE"""),55.35)</f>
        <v>55.35</v>
      </c>
      <c r="P576" s="3">
        <f ca="1">IFERROR(__xludf.DUMMYFUNCTION("""COMPUTED_VALUE"""),54.98)</f>
        <v>54.98</v>
      </c>
      <c r="Q576" s="3">
        <f ca="1">IFERROR(__xludf.DUMMYFUNCTION("""COMPUTED_VALUE"""),55.12)</f>
        <v>55.12</v>
      </c>
      <c r="R576" s="3">
        <f ca="1">IFERROR(__xludf.DUMMYFUNCTION("""COMPUTED_VALUE"""),4928434)</f>
        <v>4928434</v>
      </c>
      <c r="S576" s="4">
        <f ca="1">IFERROR(__xludf.DUMMYFUNCTION("""COMPUTED_VALUE"""),42958.6666666666)</f>
        <v>42958.666666666599</v>
      </c>
      <c r="T576" s="3">
        <f ca="1">IFERROR(__xludf.DUMMYFUNCTION("""COMPUTED_VALUE"""),64.16)</f>
        <v>64.16</v>
      </c>
      <c r="U576" s="3">
        <f ca="1">IFERROR(__xludf.DUMMYFUNCTION("""COMPUTED_VALUE"""),64.52)</f>
        <v>64.52</v>
      </c>
      <c r="V576" s="3">
        <f ca="1">IFERROR(__xludf.DUMMYFUNCTION("""COMPUTED_VALUE"""),63.88)</f>
        <v>63.88</v>
      </c>
      <c r="W576" s="3">
        <f ca="1">IFERROR(__xludf.DUMMYFUNCTION("""COMPUTED_VALUE"""),63.94)</f>
        <v>63.94</v>
      </c>
      <c r="X576" s="3">
        <f ca="1">IFERROR(__xludf.DUMMYFUNCTION("""COMPUTED_VALUE"""),15990942)</f>
        <v>15990942</v>
      </c>
      <c r="Y576" s="4">
        <f ca="1">IFERROR(__xludf.DUMMYFUNCTION("""COMPUTED_VALUE"""),42958.6666666666)</f>
        <v>42958.666666666599</v>
      </c>
      <c r="Z576" s="3">
        <f ca="1">IFERROR(__xludf.DUMMYFUNCTION("""COMPUTED_VALUE"""),24.83)</f>
        <v>24.83</v>
      </c>
      <c r="AA576" s="3">
        <f ca="1">IFERROR(__xludf.DUMMYFUNCTION("""COMPUTED_VALUE"""),24.96)</f>
        <v>24.96</v>
      </c>
      <c r="AB576" s="3">
        <f ca="1">IFERROR(__xludf.DUMMYFUNCTION("""COMPUTED_VALUE"""),24.67)</f>
        <v>24.67</v>
      </c>
      <c r="AC576" s="3">
        <f ca="1">IFERROR(__xludf.DUMMYFUNCTION("""COMPUTED_VALUE"""),24.73)</f>
        <v>24.73</v>
      </c>
      <c r="AD576" s="3">
        <f ca="1">IFERROR(__xludf.DUMMYFUNCTION("""COMPUTED_VALUE"""),50477789)</f>
        <v>50477789</v>
      </c>
      <c r="AE576" s="4">
        <f ca="1">IFERROR(__xludf.DUMMYFUNCTION("""COMPUTED_VALUE"""),42958.6666666666)</f>
        <v>42958.666666666599</v>
      </c>
      <c r="AF576" s="3">
        <f ca="1">IFERROR(__xludf.DUMMYFUNCTION("""COMPUTED_VALUE"""),78.42)</f>
        <v>78.42</v>
      </c>
      <c r="AG576" s="3">
        <f ca="1">IFERROR(__xludf.DUMMYFUNCTION("""COMPUTED_VALUE"""),78.99)</f>
        <v>78.989999999999995</v>
      </c>
      <c r="AH576" s="3">
        <f ca="1">IFERROR(__xludf.DUMMYFUNCTION("""COMPUTED_VALUE"""),78.42)</f>
        <v>78.42</v>
      </c>
      <c r="AI576" s="3">
        <f ca="1">IFERROR(__xludf.DUMMYFUNCTION("""COMPUTED_VALUE"""),78.6)</f>
        <v>78.599999999999994</v>
      </c>
      <c r="AJ576" s="3">
        <f ca="1">IFERROR(__xludf.DUMMYFUNCTION("""COMPUTED_VALUE"""),8318560)</f>
        <v>8318560</v>
      </c>
      <c r="AK576" s="4">
        <f ca="1">IFERROR(__xludf.DUMMYFUNCTION("""COMPUTED_VALUE"""),42958.6666666666)</f>
        <v>42958.666666666599</v>
      </c>
      <c r="AL576" s="3">
        <f ca="1">IFERROR(__xludf.DUMMYFUNCTION("""COMPUTED_VALUE"""),67.85)</f>
        <v>67.849999999999994</v>
      </c>
      <c r="AM576" s="3">
        <f ca="1">IFERROR(__xludf.DUMMYFUNCTION("""COMPUTED_VALUE"""),68.18)</f>
        <v>68.180000000000007</v>
      </c>
      <c r="AN576" s="3">
        <f ca="1">IFERROR(__xludf.DUMMYFUNCTION("""COMPUTED_VALUE"""),67.78)</f>
        <v>67.78</v>
      </c>
      <c r="AO576" s="3">
        <f ca="1">IFERROR(__xludf.DUMMYFUNCTION("""COMPUTED_VALUE"""),67.86)</f>
        <v>67.86</v>
      </c>
      <c r="AP576" s="3">
        <f ca="1">IFERROR(__xludf.DUMMYFUNCTION("""COMPUTED_VALUE"""),10501194)</f>
        <v>10501194</v>
      </c>
      <c r="AQ576" s="4">
        <f ca="1">IFERROR(__xludf.DUMMYFUNCTION("""COMPUTED_VALUE"""),42958.6666666666)</f>
        <v>42958.666666666599</v>
      </c>
      <c r="AR576" s="3">
        <f ca="1">IFERROR(__xludf.DUMMYFUNCTION("""COMPUTED_VALUE"""),53.45)</f>
        <v>53.45</v>
      </c>
      <c r="AS576" s="3">
        <f ca="1">IFERROR(__xludf.DUMMYFUNCTION("""COMPUTED_VALUE"""),53.68)</f>
        <v>53.68</v>
      </c>
      <c r="AT576" s="3">
        <f ca="1">IFERROR(__xludf.DUMMYFUNCTION("""COMPUTED_VALUE"""),53.41)</f>
        <v>53.41</v>
      </c>
      <c r="AU576" s="3">
        <f ca="1">IFERROR(__xludf.DUMMYFUNCTION("""COMPUTED_VALUE"""),53.48)</f>
        <v>53.48</v>
      </c>
      <c r="AV576" s="3">
        <f ca="1">IFERROR(__xludf.DUMMYFUNCTION("""COMPUTED_VALUE"""),3914992)</f>
        <v>3914992</v>
      </c>
      <c r="BC576" s="4">
        <f ca="1">IFERROR(__xludf.DUMMYFUNCTION("""COMPUTED_VALUE"""),42958.6666666666)</f>
        <v>42958.666666666599</v>
      </c>
      <c r="BD576" s="3">
        <f ca="1">IFERROR(__xludf.DUMMYFUNCTION("""COMPUTED_VALUE"""),56.8)</f>
        <v>56.8</v>
      </c>
      <c r="BE576" s="3">
        <f ca="1">IFERROR(__xludf.DUMMYFUNCTION("""COMPUTED_VALUE"""),57.29)</f>
        <v>57.29</v>
      </c>
      <c r="BF576" s="3">
        <f ca="1">IFERROR(__xludf.DUMMYFUNCTION("""COMPUTED_VALUE"""),56.73)</f>
        <v>56.73</v>
      </c>
      <c r="BG576" s="3">
        <f ca="1">IFERROR(__xludf.DUMMYFUNCTION("""COMPUTED_VALUE"""),57.1)</f>
        <v>57.1</v>
      </c>
      <c r="BH576" s="3">
        <f ca="1">IFERROR(__xludf.DUMMYFUNCTION("""COMPUTED_VALUE"""),14968108)</f>
        <v>14968108</v>
      </c>
      <c r="BI576" s="4">
        <f ca="1">IFERROR(__xludf.DUMMYFUNCTION("""COMPUTED_VALUE"""),42958.6666666666)</f>
        <v>42958.666666666599</v>
      </c>
      <c r="BJ576" s="3">
        <f ca="1">IFERROR(__xludf.DUMMYFUNCTION("""COMPUTED_VALUE"""),53.94)</f>
        <v>53.94</v>
      </c>
      <c r="BK576" s="3">
        <f ca="1">IFERROR(__xludf.DUMMYFUNCTION("""COMPUTED_VALUE"""),54.05)</f>
        <v>54.05</v>
      </c>
      <c r="BL576" s="3">
        <f ca="1">IFERROR(__xludf.DUMMYFUNCTION("""COMPUTED_VALUE"""),53.55)</f>
        <v>53.55</v>
      </c>
      <c r="BM576" s="3">
        <f ca="1">IFERROR(__xludf.DUMMYFUNCTION("""COMPUTED_VALUE"""),53.74)</f>
        <v>53.74</v>
      </c>
      <c r="BN576" s="3">
        <f ca="1">IFERROR(__xludf.DUMMYFUNCTION("""COMPUTED_VALUE"""),9336334)</f>
        <v>9336334</v>
      </c>
    </row>
    <row r="577" spans="7:66" ht="13" x14ac:dyDescent="0.15">
      <c r="G577" s="4">
        <f ca="1">IFERROR(__xludf.DUMMYFUNCTION("""COMPUTED_VALUE"""),42961.6666666666)</f>
        <v>42961.666666666599</v>
      </c>
      <c r="H577" s="3">
        <f ca="1">IFERROR(__xludf.DUMMYFUNCTION("""COMPUTED_VALUE"""),90.36)</f>
        <v>90.36</v>
      </c>
      <c r="I577" s="3">
        <f ca="1">IFERROR(__xludf.DUMMYFUNCTION("""COMPUTED_VALUE"""),90.8)</f>
        <v>90.8</v>
      </c>
      <c r="J577" s="3">
        <f ca="1">IFERROR(__xludf.DUMMYFUNCTION("""COMPUTED_VALUE"""),90.34)</f>
        <v>90.34</v>
      </c>
      <c r="K577" s="3">
        <f ca="1">IFERROR(__xludf.DUMMYFUNCTION("""COMPUTED_VALUE"""),90.5)</f>
        <v>90.5</v>
      </c>
      <c r="L577" s="3">
        <f ca="1">IFERROR(__xludf.DUMMYFUNCTION("""COMPUTED_VALUE"""),3754082)</f>
        <v>3754082</v>
      </c>
      <c r="M577" s="4">
        <f ca="1">IFERROR(__xludf.DUMMYFUNCTION("""COMPUTED_VALUE"""),42961.6666666666)</f>
        <v>42961.666666666599</v>
      </c>
      <c r="N577" s="3">
        <f ca="1">IFERROR(__xludf.DUMMYFUNCTION("""COMPUTED_VALUE"""),55.24)</f>
        <v>55.24</v>
      </c>
      <c r="O577" s="3">
        <f ca="1">IFERROR(__xludf.DUMMYFUNCTION("""COMPUTED_VALUE"""),55.52)</f>
        <v>55.52</v>
      </c>
      <c r="P577" s="3">
        <f ca="1">IFERROR(__xludf.DUMMYFUNCTION("""COMPUTED_VALUE"""),55.24)</f>
        <v>55.24</v>
      </c>
      <c r="Q577" s="3">
        <f ca="1">IFERROR(__xludf.DUMMYFUNCTION("""COMPUTED_VALUE"""),55.39)</f>
        <v>55.39</v>
      </c>
      <c r="R577" s="3">
        <f ca="1">IFERROR(__xludf.DUMMYFUNCTION("""COMPUTED_VALUE"""),10657802)</f>
        <v>10657802</v>
      </c>
      <c r="S577" s="4">
        <f ca="1">IFERROR(__xludf.DUMMYFUNCTION("""COMPUTED_VALUE"""),42961.6666666666)</f>
        <v>42961.666666666599</v>
      </c>
      <c r="T577" s="3">
        <f ca="1">IFERROR(__xludf.DUMMYFUNCTION("""COMPUTED_VALUE"""),64.06)</f>
        <v>64.06</v>
      </c>
      <c r="U577" s="3">
        <f ca="1">IFERROR(__xludf.DUMMYFUNCTION("""COMPUTED_VALUE"""),64.34)</f>
        <v>64.34</v>
      </c>
      <c r="V577" s="3">
        <f ca="1">IFERROR(__xludf.DUMMYFUNCTION("""COMPUTED_VALUE"""),63.67)</f>
        <v>63.67</v>
      </c>
      <c r="W577" s="3">
        <f ca="1">IFERROR(__xludf.DUMMYFUNCTION("""COMPUTED_VALUE"""),63.75)</f>
        <v>63.75</v>
      </c>
      <c r="X577" s="3">
        <f ca="1">IFERROR(__xludf.DUMMYFUNCTION("""COMPUTED_VALUE"""),11406699)</f>
        <v>11406699</v>
      </c>
      <c r="Y577" s="4">
        <f ca="1">IFERROR(__xludf.DUMMYFUNCTION("""COMPUTED_VALUE"""),42961.6666666666)</f>
        <v>42961.666666666599</v>
      </c>
      <c r="Z577" s="3">
        <f ca="1">IFERROR(__xludf.DUMMYFUNCTION("""COMPUTED_VALUE"""),24.93)</f>
        <v>24.93</v>
      </c>
      <c r="AA577" s="3">
        <f ca="1">IFERROR(__xludf.DUMMYFUNCTION("""COMPUTED_VALUE"""),25.14)</f>
        <v>25.14</v>
      </c>
      <c r="AB577" s="3">
        <f ca="1">IFERROR(__xludf.DUMMYFUNCTION("""COMPUTED_VALUE"""),24.92)</f>
        <v>24.92</v>
      </c>
      <c r="AC577" s="3">
        <f ca="1">IFERROR(__xludf.DUMMYFUNCTION("""COMPUTED_VALUE"""),25.07)</f>
        <v>25.07</v>
      </c>
      <c r="AD577" s="3">
        <f ca="1">IFERROR(__xludf.DUMMYFUNCTION("""COMPUTED_VALUE"""),49472883)</f>
        <v>49472883</v>
      </c>
      <c r="AE577" s="4">
        <f ca="1">IFERROR(__xludf.DUMMYFUNCTION("""COMPUTED_VALUE"""),42961.6666666666)</f>
        <v>42961.666666666599</v>
      </c>
      <c r="AF577" s="3">
        <f ca="1">IFERROR(__xludf.DUMMYFUNCTION("""COMPUTED_VALUE"""),78.94)</f>
        <v>78.94</v>
      </c>
      <c r="AG577" s="3">
        <f ca="1">IFERROR(__xludf.DUMMYFUNCTION("""COMPUTED_VALUE"""),79.26)</f>
        <v>79.260000000000005</v>
      </c>
      <c r="AH577" s="3">
        <f ca="1">IFERROR(__xludf.DUMMYFUNCTION("""COMPUTED_VALUE"""),78.94)</f>
        <v>78.94</v>
      </c>
      <c r="AI577" s="3">
        <f ca="1">IFERROR(__xludf.DUMMYFUNCTION("""COMPUTED_VALUE"""),79.13)</f>
        <v>79.13</v>
      </c>
      <c r="AJ577" s="3">
        <f ca="1">IFERROR(__xludf.DUMMYFUNCTION("""COMPUTED_VALUE"""),3955758)</f>
        <v>3955758</v>
      </c>
      <c r="AK577" s="4">
        <f ca="1">IFERROR(__xludf.DUMMYFUNCTION("""COMPUTED_VALUE"""),42961.6666666666)</f>
        <v>42961.666666666599</v>
      </c>
      <c r="AL577" s="3">
        <f ca="1">IFERROR(__xludf.DUMMYFUNCTION("""COMPUTED_VALUE"""),68.31)</f>
        <v>68.31</v>
      </c>
      <c r="AM577" s="3">
        <f ca="1">IFERROR(__xludf.DUMMYFUNCTION("""COMPUTED_VALUE"""),68.65)</f>
        <v>68.650000000000006</v>
      </c>
      <c r="AN577" s="3">
        <f ca="1">IFERROR(__xludf.DUMMYFUNCTION("""COMPUTED_VALUE"""),68.24)</f>
        <v>68.239999999999995</v>
      </c>
      <c r="AO577" s="3">
        <f ca="1">IFERROR(__xludf.DUMMYFUNCTION("""COMPUTED_VALUE"""),68.57)</f>
        <v>68.569999999999993</v>
      </c>
      <c r="AP577" s="3">
        <f ca="1">IFERROR(__xludf.DUMMYFUNCTION("""COMPUTED_VALUE"""),6680893)</f>
        <v>6680893</v>
      </c>
      <c r="AQ577" s="4">
        <f ca="1">IFERROR(__xludf.DUMMYFUNCTION("""COMPUTED_VALUE"""),42961.6666666666)</f>
        <v>42961.666666666599</v>
      </c>
      <c r="AR577" s="3">
        <f ca="1">IFERROR(__xludf.DUMMYFUNCTION("""COMPUTED_VALUE"""),53.76)</f>
        <v>53.76</v>
      </c>
      <c r="AS577" s="3">
        <f ca="1">IFERROR(__xludf.DUMMYFUNCTION("""COMPUTED_VALUE"""),54.07)</f>
        <v>54.07</v>
      </c>
      <c r="AT577" s="3">
        <f ca="1">IFERROR(__xludf.DUMMYFUNCTION("""COMPUTED_VALUE"""),53.76)</f>
        <v>53.76</v>
      </c>
      <c r="AU577" s="3">
        <f ca="1">IFERROR(__xludf.DUMMYFUNCTION("""COMPUTED_VALUE"""),53.98)</f>
        <v>53.98</v>
      </c>
      <c r="AV577" s="3">
        <f ca="1">IFERROR(__xludf.DUMMYFUNCTION("""COMPUTED_VALUE"""),3579822)</f>
        <v>3579822</v>
      </c>
      <c r="BC577" s="4">
        <f ca="1">IFERROR(__xludf.DUMMYFUNCTION("""COMPUTED_VALUE"""),42961.6666666666)</f>
        <v>42961.666666666599</v>
      </c>
      <c r="BD577" s="3">
        <f ca="1">IFERROR(__xludf.DUMMYFUNCTION("""COMPUTED_VALUE"""),57.62)</f>
        <v>57.62</v>
      </c>
      <c r="BE577" s="3">
        <f ca="1">IFERROR(__xludf.DUMMYFUNCTION("""COMPUTED_VALUE"""),58.09)</f>
        <v>58.09</v>
      </c>
      <c r="BF577" s="3">
        <f ca="1">IFERROR(__xludf.DUMMYFUNCTION("""COMPUTED_VALUE"""),57.5)</f>
        <v>57.5</v>
      </c>
      <c r="BG577" s="3">
        <f ca="1">IFERROR(__xludf.DUMMYFUNCTION("""COMPUTED_VALUE"""),58.01)</f>
        <v>58.01</v>
      </c>
      <c r="BH577" s="3">
        <f ca="1">IFERROR(__xludf.DUMMYFUNCTION("""COMPUTED_VALUE"""),9758534)</f>
        <v>9758534</v>
      </c>
      <c r="BI577" s="4">
        <f ca="1">IFERROR(__xludf.DUMMYFUNCTION("""COMPUTED_VALUE"""),42961.6666666666)</f>
        <v>42961.666666666599</v>
      </c>
      <c r="BJ577" s="3">
        <f ca="1">IFERROR(__xludf.DUMMYFUNCTION("""COMPUTED_VALUE"""),53.75)</f>
        <v>53.75</v>
      </c>
      <c r="BK577" s="3">
        <f ca="1">IFERROR(__xludf.DUMMYFUNCTION("""COMPUTED_VALUE"""),54.08)</f>
        <v>54.08</v>
      </c>
      <c r="BL577" s="3">
        <f ca="1">IFERROR(__xludf.DUMMYFUNCTION("""COMPUTED_VALUE"""),53.74)</f>
        <v>53.74</v>
      </c>
      <c r="BM577" s="3">
        <f ca="1">IFERROR(__xludf.DUMMYFUNCTION("""COMPUTED_VALUE"""),54.05)</f>
        <v>54.05</v>
      </c>
      <c r="BN577" s="3">
        <f ca="1">IFERROR(__xludf.DUMMYFUNCTION("""COMPUTED_VALUE"""),11827815)</f>
        <v>11827815</v>
      </c>
    </row>
    <row r="578" spans="7:66" ht="13" x14ac:dyDescent="0.15">
      <c r="G578" s="4">
        <f ca="1">IFERROR(__xludf.DUMMYFUNCTION("""COMPUTED_VALUE"""),42962.6666666666)</f>
        <v>42962.666666666599</v>
      </c>
      <c r="H578" s="3">
        <f ca="1">IFERROR(__xludf.DUMMYFUNCTION("""COMPUTED_VALUE"""),90.46)</f>
        <v>90.46</v>
      </c>
      <c r="I578" s="3">
        <f ca="1">IFERROR(__xludf.DUMMYFUNCTION("""COMPUTED_VALUE"""),90.54)</f>
        <v>90.54</v>
      </c>
      <c r="J578" s="3">
        <f ca="1">IFERROR(__xludf.DUMMYFUNCTION("""COMPUTED_VALUE"""),89.66)</f>
        <v>89.66</v>
      </c>
      <c r="K578" s="3">
        <f ca="1">IFERROR(__xludf.DUMMYFUNCTION("""COMPUTED_VALUE"""),89.67)</f>
        <v>89.67</v>
      </c>
      <c r="L578" s="3">
        <f ca="1">IFERROR(__xludf.DUMMYFUNCTION("""COMPUTED_VALUE"""),3095655)</f>
        <v>3095655</v>
      </c>
      <c r="M578" s="4">
        <f ca="1">IFERROR(__xludf.DUMMYFUNCTION("""COMPUTED_VALUE"""),42962.6666666666)</f>
        <v>42962.666666666599</v>
      </c>
      <c r="N578" s="3">
        <f ca="1">IFERROR(__xludf.DUMMYFUNCTION("""COMPUTED_VALUE"""),55.41)</f>
        <v>55.41</v>
      </c>
      <c r="O578" s="3">
        <f ca="1">IFERROR(__xludf.DUMMYFUNCTION("""COMPUTED_VALUE"""),55.75)</f>
        <v>55.75</v>
      </c>
      <c r="P578" s="3">
        <f ca="1">IFERROR(__xludf.DUMMYFUNCTION("""COMPUTED_VALUE"""),55.41)</f>
        <v>55.41</v>
      </c>
      <c r="Q578" s="3">
        <f ca="1">IFERROR(__xludf.DUMMYFUNCTION("""COMPUTED_VALUE"""),55.67)</f>
        <v>55.67</v>
      </c>
      <c r="R578" s="3">
        <f ca="1">IFERROR(__xludf.DUMMYFUNCTION("""COMPUTED_VALUE"""),11059028)</f>
        <v>11059028</v>
      </c>
      <c r="S578" s="4">
        <f ca="1">IFERROR(__xludf.DUMMYFUNCTION("""COMPUTED_VALUE"""),42962.6666666666)</f>
        <v>42962.666666666599</v>
      </c>
      <c r="T578" s="3">
        <f ca="1">IFERROR(__xludf.DUMMYFUNCTION("""COMPUTED_VALUE"""),63.85)</f>
        <v>63.85</v>
      </c>
      <c r="U578" s="3">
        <f ca="1">IFERROR(__xludf.DUMMYFUNCTION("""COMPUTED_VALUE"""),63.85)</f>
        <v>63.85</v>
      </c>
      <c r="V578" s="3">
        <f ca="1">IFERROR(__xludf.DUMMYFUNCTION("""COMPUTED_VALUE"""),63.14)</f>
        <v>63.14</v>
      </c>
      <c r="W578" s="3">
        <f ca="1">IFERROR(__xludf.DUMMYFUNCTION("""COMPUTED_VALUE"""),63.51)</f>
        <v>63.51</v>
      </c>
      <c r="X578" s="3">
        <f ca="1">IFERROR(__xludf.DUMMYFUNCTION("""COMPUTED_VALUE"""),12725622)</f>
        <v>12725622</v>
      </c>
      <c r="Y578" s="4">
        <f ca="1">IFERROR(__xludf.DUMMYFUNCTION("""COMPUTED_VALUE"""),42962.6666666666)</f>
        <v>42962.666666666599</v>
      </c>
      <c r="Z578" s="3">
        <f ca="1">IFERROR(__xludf.DUMMYFUNCTION("""COMPUTED_VALUE"""),25.28)</f>
        <v>25.28</v>
      </c>
      <c r="AA578" s="3">
        <f ca="1">IFERROR(__xludf.DUMMYFUNCTION("""COMPUTED_VALUE"""),25.31)</f>
        <v>25.31</v>
      </c>
      <c r="AB578" s="3">
        <f ca="1">IFERROR(__xludf.DUMMYFUNCTION("""COMPUTED_VALUE"""),25.09)</f>
        <v>25.09</v>
      </c>
      <c r="AC578" s="3">
        <f ca="1">IFERROR(__xludf.DUMMYFUNCTION("""COMPUTED_VALUE"""),25.09)</f>
        <v>25.09</v>
      </c>
      <c r="AD578" s="3">
        <f ca="1">IFERROR(__xludf.DUMMYFUNCTION("""COMPUTED_VALUE"""),48535038)</f>
        <v>48535038</v>
      </c>
      <c r="AE578" s="4">
        <f ca="1">IFERROR(__xludf.DUMMYFUNCTION("""COMPUTED_VALUE"""),42962.6666666666)</f>
        <v>42962.666666666599</v>
      </c>
      <c r="AF578" s="3">
        <f ca="1">IFERROR(__xludf.DUMMYFUNCTION("""COMPUTED_VALUE"""),79.23)</f>
        <v>79.23</v>
      </c>
      <c r="AG578" s="3">
        <f ca="1">IFERROR(__xludf.DUMMYFUNCTION("""COMPUTED_VALUE"""),79.39)</f>
        <v>79.39</v>
      </c>
      <c r="AH578" s="3">
        <f ca="1">IFERROR(__xludf.DUMMYFUNCTION("""COMPUTED_VALUE"""),79.11)</f>
        <v>79.11</v>
      </c>
      <c r="AI578" s="3">
        <f ca="1">IFERROR(__xludf.DUMMYFUNCTION("""COMPUTED_VALUE"""),79.13)</f>
        <v>79.13</v>
      </c>
      <c r="AJ578" s="3">
        <f ca="1">IFERROR(__xludf.DUMMYFUNCTION("""COMPUTED_VALUE"""),4653777)</f>
        <v>4653777</v>
      </c>
      <c r="AK578" s="4">
        <f ca="1">IFERROR(__xludf.DUMMYFUNCTION("""COMPUTED_VALUE"""),42962.6666666666)</f>
        <v>42962.666666666599</v>
      </c>
      <c r="AL578" s="3">
        <f ca="1">IFERROR(__xludf.DUMMYFUNCTION("""COMPUTED_VALUE"""),68.53)</f>
        <v>68.53</v>
      </c>
      <c r="AM578" s="3">
        <f ca="1">IFERROR(__xludf.DUMMYFUNCTION("""COMPUTED_VALUE"""),68.62)</f>
        <v>68.62</v>
      </c>
      <c r="AN578" s="3">
        <f ca="1">IFERROR(__xludf.DUMMYFUNCTION("""COMPUTED_VALUE"""),68.31)</f>
        <v>68.31</v>
      </c>
      <c r="AO578" s="3">
        <f ca="1">IFERROR(__xludf.DUMMYFUNCTION("""COMPUTED_VALUE"""),68.42)</f>
        <v>68.42</v>
      </c>
      <c r="AP578" s="3">
        <f ca="1">IFERROR(__xludf.DUMMYFUNCTION("""COMPUTED_VALUE"""),5055014)</f>
        <v>5055014</v>
      </c>
      <c r="AQ578" s="4">
        <f ca="1">IFERROR(__xludf.DUMMYFUNCTION("""COMPUTED_VALUE"""),42962.6666666666)</f>
        <v>42962.666666666599</v>
      </c>
      <c r="AR578" s="3">
        <f ca="1">IFERROR(__xludf.DUMMYFUNCTION("""COMPUTED_VALUE"""),54.02)</f>
        <v>54.02</v>
      </c>
      <c r="AS578" s="3">
        <f ca="1">IFERROR(__xludf.DUMMYFUNCTION("""COMPUTED_VALUE"""),54.09)</f>
        <v>54.09</v>
      </c>
      <c r="AT578" s="3">
        <f ca="1">IFERROR(__xludf.DUMMYFUNCTION("""COMPUTED_VALUE"""),53.83)</f>
        <v>53.83</v>
      </c>
      <c r="AU578" s="3">
        <f ca="1">IFERROR(__xludf.DUMMYFUNCTION("""COMPUTED_VALUE"""),53.99)</f>
        <v>53.99</v>
      </c>
      <c r="AV578" s="3">
        <f ca="1">IFERROR(__xludf.DUMMYFUNCTION("""COMPUTED_VALUE"""),1986510)</f>
        <v>1986510</v>
      </c>
      <c r="BC578" s="4">
        <f ca="1">IFERROR(__xludf.DUMMYFUNCTION("""COMPUTED_VALUE"""),42962.6666666666)</f>
        <v>42962.666666666599</v>
      </c>
      <c r="BD578" s="3">
        <f ca="1">IFERROR(__xludf.DUMMYFUNCTION("""COMPUTED_VALUE"""),58.13)</f>
        <v>58.13</v>
      </c>
      <c r="BE578" s="3">
        <f ca="1">IFERROR(__xludf.DUMMYFUNCTION("""COMPUTED_VALUE"""),58.23)</f>
        <v>58.23</v>
      </c>
      <c r="BF578" s="3">
        <f ca="1">IFERROR(__xludf.DUMMYFUNCTION("""COMPUTED_VALUE"""),57.92)</f>
        <v>57.92</v>
      </c>
      <c r="BG578" s="3">
        <f ca="1">IFERROR(__xludf.DUMMYFUNCTION("""COMPUTED_VALUE"""),58.1)</f>
        <v>58.1</v>
      </c>
      <c r="BH578" s="3">
        <f ca="1">IFERROR(__xludf.DUMMYFUNCTION("""COMPUTED_VALUE"""),7052565)</f>
        <v>7052565</v>
      </c>
      <c r="BI578" s="4">
        <f ca="1">IFERROR(__xludf.DUMMYFUNCTION("""COMPUTED_VALUE"""),42962.6666666666)</f>
        <v>42962.666666666599</v>
      </c>
      <c r="BJ578" s="3">
        <f ca="1">IFERROR(__xludf.DUMMYFUNCTION("""COMPUTED_VALUE"""),53.68)</f>
        <v>53.68</v>
      </c>
      <c r="BK578" s="3">
        <f ca="1">IFERROR(__xludf.DUMMYFUNCTION("""COMPUTED_VALUE"""),54.39)</f>
        <v>54.39</v>
      </c>
      <c r="BL578" s="3">
        <f ca="1">IFERROR(__xludf.DUMMYFUNCTION("""COMPUTED_VALUE"""),53.65)</f>
        <v>53.65</v>
      </c>
      <c r="BM578" s="3">
        <f ca="1">IFERROR(__xludf.DUMMYFUNCTION("""COMPUTED_VALUE"""),54.35)</f>
        <v>54.35</v>
      </c>
      <c r="BN578" s="3">
        <f ca="1">IFERROR(__xludf.DUMMYFUNCTION("""COMPUTED_VALUE"""),9582262)</f>
        <v>9582262</v>
      </c>
    </row>
    <row r="579" spans="7:66" ht="13" x14ac:dyDescent="0.15">
      <c r="G579" s="4">
        <f ca="1">IFERROR(__xludf.DUMMYFUNCTION("""COMPUTED_VALUE"""),42963.6666666666)</f>
        <v>42963.666666666599</v>
      </c>
      <c r="H579" s="3">
        <f ca="1">IFERROR(__xludf.DUMMYFUNCTION("""COMPUTED_VALUE"""),90)</f>
        <v>90</v>
      </c>
      <c r="I579" s="3">
        <f ca="1">IFERROR(__xludf.DUMMYFUNCTION("""COMPUTED_VALUE"""),90.3)</f>
        <v>90.3</v>
      </c>
      <c r="J579" s="3">
        <f ca="1">IFERROR(__xludf.DUMMYFUNCTION("""COMPUTED_VALUE"""),89.75)</f>
        <v>89.75</v>
      </c>
      <c r="K579" s="3">
        <f ca="1">IFERROR(__xludf.DUMMYFUNCTION("""COMPUTED_VALUE"""),90.13)</f>
        <v>90.13</v>
      </c>
      <c r="L579" s="3">
        <f ca="1">IFERROR(__xludf.DUMMYFUNCTION("""COMPUTED_VALUE"""),2452677)</f>
        <v>2452677</v>
      </c>
      <c r="M579" s="4">
        <f ca="1">IFERROR(__xludf.DUMMYFUNCTION("""COMPUTED_VALUE"""),42963.6666666666)</f>
        <v>42963.666666666599</v>
      </c>
      <c r="N579" s="3">
        <f ca="1">IFERROR(__xludf.DUMMYFUNCTION("""COMPUTED_VALUE"""),55.7)</f>
        <v>55.7</v>
      </c>
      <c r="O579" s="3">
        <f ca="1">IFERROR(__xludf.DUMMYFUNCTION("""COMPUTED_VALUE"""),55.94)</f>
        <v>55.94</v>
      </c>
      <c r="P579" s="3">
        <f ca="1">IFERROR(__xludf.DUMMYFUNCTION("""COMPUTED_VALUE"""),55.7)</f>
        <v>55.7</v>
      </c>
      <c r="Q579" s="3">
        <f ca="1">IFERROR(__xludf.DUMMYFUNCTION("""COMPUTED_VALUE"""),55.86)</f>
        <v>55.86</v>
      </c>
      <c r="R579" s="3">
        <f ca="1">IFERROR(__xludf.DUMMYFUNCTION("""COMPUTED_VALUE"""),5682844)</f>
        <v>5682844</v>
      </c>
      <c r="S579" s="4">
        <f ca="1">IFERROR(__xludf.DUMMYFUNCTION("""COMPUTED_VALUE"""),42963.6666666666)</f>
        <v>42963.666666666599</v>
      </c>
      <c r="T579" s="3">
        <f ca="1">IFERROR(__xludf.DUMMYFUNCTION("""COMPUTED_VALUE"""),63.53)</f>
        <v>63.53</v>
      </c>
      <c r="U579" s="3">
        <f ca="1">IFERROR(__xludf.DUMMYFUNCTION("""COMPUTED_VALUE"""),63.71)</f>
        <v>63.71</v>
      </c>
      <c r="V579" s="3">
        <f ca="1">IFERROR(__xludf.DUMMYFUNCTION("""COMPUTED_VALUE"""),62.77)</f>
        <v>62.77</v>
      </c>
      <c r="W579" s="3">
        <f ca="1">IFERROR(__xludf.DUMMYFUNCTION("""COMPUTED_VALUE"""),62.9)</f>
        <v>62.9</v>
      </c>
      <c r="X579" s="3">
        <f ca="1">IFERROR(__xludf.DUMMYFUNCTION("""COMPUTED_VALUE"""),16583330)</f>
        <v>16583330</v>
      </c>
      <c r="Y579" s="4">
        <f ca="1">IFERROR(__xludf.DUMMYFUNCTION("""COMPUTED_VALUE"""),42963.6666666666)</f>
        <v>42963.666666666599</v>
      </c>
      <c r="Z579" s="3">
        <f ca="1">IFERROR(__xludf.DUMMYFUNCTION("""COMPUTED_VALUE"""),25.2)</f>
        <v>25.2</v>
      </c>
      <c r="AA579" s="3">
        <f ca="1">IFERROR(__xludf.DUMMYFUNCTION("""COMPUTED_VALUE"""),25.24)</f>
        <v>25.24</v>
      </c>
      <c r="AB579" s="3">
        <f ca="1">IFERROR(__xludf.DUMMYFUNCTION("""COMPUTED_VALUE"""),25)</f>
        <v>25</v>
      </c>
      <c r="AC579" s="3">
        <f ca="1">IFERROR(__xludf.DUMMYFUNCTION("""COMPUTED_VALUE"""),25.04)</f>
        <v>25.04</v>
      </c>
      <c r="AD579" s="3">
        <f ca="1">IFERROR(__xludf.DUMMYFUNCTION("""COMPUTED_VALUE"""),35084074)</f>
        <v>35084074</v>
      </c>
      <c r="AE579" s="4">
        <f ca="1">IFERROR(__xludf.DUMMYFUNCTION("""COMPUTED_VALUE"""),42963.6666666666)</f>
        <v>42963.666666666599</v>
      </c>
      <c r="AF579" s="3">
        <f ca="1">IFERROR(__xludf.DUMMYFUNCTION("""COMPUTED_VALUE"""),79.26)</f>
        <v>79.260000000000005</v>
      </c>
      <c r="AG579" s="3">
        <f ca="1">IFERROR(__xludf.DUMMYFUNCTION("""COMPUTED_VALUE"""),79.5)</f>
        <v>79.5</v>
      </c>
      <c r="AH579" s="3">
        <f ca="1">IFERROR(__xludf.DUMMYFUNCTION("""COMPUTED_VALUE"""),79.17)</f>
        <v>79.17</v>
      </c>
      <c r="AI579" s="3">
        <f ca="1">IFERROR(__xludf.DUMMYFUNCTION("""COMPUTED_VALUE"""),79.35)</f>
        <v>79.349999999999994</v>
      </c>
      <c r="AJ579" s="3">
        <f ca="1">IFERROR(__xludf.DUMMYFUNCTION("""COMPUTED_VALUE"""),3756895)</f>
        <v>3756895</v>
      </c>
      <c r="AK579" s="4">
        <f ca="1">IFERROR(__xludf.DUMMYFUNCTION("""COMPUTED_VALUE"""),42963.6666666666)</f>
        <v>42963.666666666599</v>
      </c>
      <c r="AL579" s="3">
        <f ca="1">IFERROR(__xludf.DUMMYFUNCTION("""COMPUTED_VALUE"""),68.42)</f>
        <v>68.42</v>
      </c>
      <c r="AM579" s="3">
        <f ca="1">IFERROR(__xludf.DUMMYFUNCTION("""COMPUTED_VALUE"""),68.77)</f>
        <v>68.77</v>
      </c>
      <c r="AN579" s="3">
        <f ca="1">IFERROR(__xludf.DUMMYFUNCTION("""COMPUTED_VALUE"""),68.42)</f>
        <v>68.42</v>
      </c>
      <c r="AO579" s="3">
        <f ca="1">IFERROR(__xludf.DUMMYFUNCTION("""COMPUTED_VALUE"""),68.61)</f>
        <v>68.61</v>
      </c>
      <c r="AP579" s="3">
        <f ca="1">IFERROR(__xludf.DUMMYFUNCTION("""COMPUTED_VALUE"""),7725838)</f>
        <v>7725838</v>
      </c>
      <c r="AQ579" s="4">
        <f ca="1">IFERROR(__xludf.DUMMYFUNCTION("""COMPUTED_VALUE"""),42963.6666666666)</f>
        <v>42963.666666666599</v>
      </c>
      <c r="AR579" s="3">
        <f ca="1">IFERROR(__xludf.DUMMYFUNCTION("""COMPUTED_VALUE"""),54.17)</f>
        <v>54.17</v>
      </c>
      <c r="AS579" s="3">
        <f ca="1">IFERROR(__xludf.DUMMYFUNCTION("""COMPUTED_VALUE"""),54.52)</f>
        <v>54.52</v>
      </c>
      <c r="AT579" s="3">
        <f ca="1">IFERROR(__xludf.DUMMYFUNCTION("""COMPUTED_VALUE"""),54.16)</f>
        <v>54.16</v>
      </c>
      <c r="AU579" s="3">
        <f ca="1">IFERROR(__xludf.DUMMYFUNCTION("""COMPUTED_VALUE"""),54.52)</f>
        <v>54.52</v>
      </c>
      <c r="AV579" s="3">
        <f ca="1">IFERROR(__xludf.DUMMYFUNCTION("""COMPUTED_VALUE"""),5326670)</f>
        <v>5326670</v>
      </c>
      <c r="BC579" s="4">
        <f ca="1">IFERROR(__xludf.DUMMYFUNCTION("""COMPUTED_VALUE"""),42963.6666666666)</f>
        <v>42963.666666666599</v>
      </c>
      <c r="BD579" s="3">
        <f ca="1">IFERROR(__xludf.DUMMYFUNCTION("""COMPUTED_VALUE"""),58.19)</f>
        <v>58.19</v>
      </c>
      <c r="BE579" s="3">
        <f ca="1">IFERROR(__xludf.DUMMYFUNCTION("""COMPUTED_VALUE"""),58.48)</f>
        <v>58.48</v>
      </c>
      <c r="BF579" s="3">
        <f ca="1">IFERROR(__xludf.DUMMYFUNCTION("""COMPUTED_VALUE"""),58.08)</f>
        <v>58.08</v>
      </c>
      <c r="BG579" s="3">
        <f ca="1">IFERROR(__xludf.DUMMYFUNCTION("""COMPUTED_VALUE"""),58.27)</f>
        <v>58.27</v>
      </c>
      <c r="BH579" s="3">
        <f ca="1">IFERROR(__xludf.DUMMYFUNCTION("""COMPUTED_VALUE"""),9055919)</f>
        <v>9055919</v>
      </c>
      <c r="BI579" s="4">
        <f ca="1">IFERROR(__xludf.DUMMYFUNCTION("""COMPUTED_VALUE"""),42963.6666666666)</f>
        <v>42963.666666666599</v>
      </c>
      <c r="BJ579" s="3">
        <f ca="1">IFERROR(__xludf.DUMMYFUNCTION("""COMPUTED_VALUE"""),54.26)</f>
        <v>54.26</v>
      </c>
      <c r="BK579" s="3">
        <f ca="1">IFERROR(__xludf.DUMMYFUNCTION("""COMPUTED_VALUE"""),54.6)</f>
        <v>54.6</v>
      </c>
      <c r="BL579" s="3">
        <f ca="1">IFERROR(__xludf.DUMMYFUNCTION("""COMPUTED_VALUE"""),54.26)</f>
        <v>54.26</v>
      </c>
      <c r="BM579" s="3">
        <f ca="1">IFERROR(__xludf.DUMMYFUNCTION("""COMPUTED_VALUE"""),54.57)</f>
        <v>54.57</v>
      </c>
      <c r="BN579" s="3">
        <f ca="1">IFERROR(__xludf.DUMMYFUNCTION("""COMPUTED_VALUE"""),7131761)</f>
        <v>7131761</v>
      </c>
    </row>
    <row r="580" spans="7:66" ht="13" x14ac:dyDescent="0.15">
      <c r="G580" s="4">
        <f ca="1">IFERROR(__xludf.DUMMYFUNCTION("""COMPUTED_VALUE"""),42964.6666666666)</f>
        <v>42964.666666666599</v>
      </c>
      <c r="H580" s="3">
        <f ca="1">IFERROR(__xludf.DUMMYFUNCTION("""COMPUTED_VALUE"""),89.9)</f>
        <v>89.9</v>
      </c>
      <c r="I580" s="3">
        <f ca="1">IFERROR(__xludf.DUMMYFUNCTION("""COMPUTED_VALUE"""),90)</f>
        <v>90</v>
      </c>
      <c r="J580" s="3">
        <f ca="1">IFERROR(__xludf.DUMMYFUNCTION("""COMPUTED_VALUE"""),88.69)</f>
        <v>88.69</v>
      </c>
      <c r="K580" s="3">
        <f ca="1">IFERROR(__xludf.DUMMYFUNCTION("""COMPUTED_VALUE"""),88.69)</f>
        <v>88.69</v>
      </c>
      <c r="L580" s="3">
        <f ca="1">IFERROR(__xludf.DUMMYFUNCTION("""COMPUTED_VALUE"""),4895731)</f>
        <v>4895731</v>
      </c>
      <c r="M580" s="4">
        <f ca="1">IFERROR(__xludf.DUMMYFUNCTION("""COMPUTED_VALUE"""),42964.6666666666)</f>
        <v>42964.666666666599</v>
      </c>
      <c r="N580" s="3">
        <f ca="1">IFERROR(__xludf.DUMMYFUNCTION("""COMPUTED_VALUE"""),55.66)</f>
        <v>55.66</v>
      </c>
      <c r="O580" s="3">
        <f ca="1">IFERROR(__xludf.DUMMYFUNCTION("""COMPUTED_VALUE"""),55.93)</f>
        <v>55.93</v>
      </c>
      <c r="P580" s="3">
        <f ca="1">IFERROR(__xludf.DUMMYFUNCTION("""COMPUTED_VALUE"""),55.35)</f>
        <v>55.35</v>
      </c>
      <c r="Q580" s="3">
        <f ca="1">IFERROR(__xludf.DUMMYFUNCTION("""COMPUTED_VALUE"""),55.35)</f>
        <v>55.35</v>
      </c>
      <c r="R580" s="3">
        <f ca="1">IFERROR(__xludf.DUMMYFUNCTION("""COMPUTED_VALUE"""),6725638)</f>
        <v>6725638</v>
      </c>
      <c r="S580" s="4">
        <f ca="1">IFERROR(__xludf.DUMMYFUNCTION("""COMPUTED_VALUE"""),42964.6666666666)</f>
        <v>42964.666666666599</v>
      </c>
      <c r="T580" s="3">
        <f ca="1">IFERROR(__xludf.DUMMYFUNCTION("""COMPUTED_VALUE"""),62.65)</f>
        <v>62.65</v>
      </c>
      <c r="U580" s="3">
        <f ca="1">IFERROR(__xludf.DUMMYFUNCTION("""COMPUTED_VALUE"""),62.89)</f>
        <v>62.89</v>
      </c>
      <c r="V580" s="3">
        <f ca="1">IFERROR(__xludf.DUMMYFUNCTION("""COMPUTED_VALUE"""),61.99)</f>
        <v>61.99</v>
      </c>
      <c r="W580" s="3">
        <f ca="1">IFERROR(__xludf.DUMMYFUNCTION("""COMPUTED_VALUE"""),62.01)</f>
        <v>62.01</v>
      </c>
      <c r="X580" s="3">
        <f ca="1">IFERROR(__xludf.DUMMYFUNCTION("""COMPUTED_VALUE"""),14796925)</f>
        <v>14796925</v>
      </c>
      <c r="Y580" s="4">
        <f ca="1">IFERROR(__xludf.DUMMYFUNCTION("""COMPUTED_VALUE"""),42964.6666666666)</f>
        <v>42964.666666666599</v>
      </c>
      <c r="Z580" s="3">
        <f ca="1">IFERROR(__xludf.DUMMYFUNCTION("""COMPUTED_VALUE"""),24.98)</f>
        <v>24.98</v>
      </c>
      <c r="AA580" s="3">
        <f ca="1">IFERROR(__xludf.DUMMYFUNCTION("""COMPUTED_VALUE"""),25.02)</f>
        <v>25.02</v>
      </c>
      <c r="AB580" s="3">
        <f ca="1">IFERROR(__xludf.DUMMYFUNCTION("""COMPUTED_VALUE"""),24.6)</f>
        <v>24.6</v>
      </c>
      <c r="AC580" s="3">
        <f ca="1">IFERROR(__xludf.DUMMYFUNCTION("""COMPUTED_VALUE"""),24.61)</f>
        <v>24.61</v>
      </c>
      <c r="AD580" s="3">
        <f ca="1">IFERROR(__xludf.DUMMYFUNCTION("""COMPUTED_VALUE"""),76613078)</f>
        <v>76613078</v>
      </c>
      <c r="AE580" s="4">
        <f ca="1">IFERROR(__xludf.DUMMYFUNCTION("""COMPUTED_VALUE"""),42964.6666666666)</f>
        <v>42964.666666666599</v>
      </c>
      <c r="AF580" s="3">
        <f ca="1">IFERROR(__xludf.DUMMYFUNCTION("""COMPUTED_VALUE"""),79.1)</f>
        <v>79.099999999999994</v>
      </c>
      <c r="AG580" s="3">
        <f ca="1">IFERROR(__xludf.DUMMYFUNCTION("""COMPUTED_VALUE"""),79.44)</f>
        <v>79.44</v>
      </c>
      <c r="AH580" s="3">
        <f ca="1">IFERROR(__xludf.DUMMYFUNCTION("""COMPUTED_VALUE"""),78.33)</f>
        <v>78.33</v>
      </c>
      <c r="AI580" s="3">
        <f ca="1">IFERROR(__xludf.DUMMYFUNCTION("""COMPUTED_VALUE"""),78.36)</f>
        <v>78.36</v>
      </c>
      <c r="AJ580" s="3">
        <f ca="1">IFERROR(__xludf.DUMMYFUNCTION("""COMPUTED_VALUE"""),7133350)</f>
        <v>7133350</v>
      </c>
      <c r="AK580" s="4">
        <f ca="1">IFERROR(__xludf.DUMMYFUNCTION("""COMPUTED_VALUE"""),42964.6666666666)</f>
        <v>42964.666666666599</v>
      </c>
      <c r="AL580" s="3">
        <f ca="1">IFERROR(__xludf.DUMMYFUNCTION("""COMPUTED_VALUE"""),68.24)</f>
        <v>68.239999999999995</v>
      </c>
      <c r="AM580" s="3">
        <f ca="1">IFERROR(__xludf.DUMMYFUNCTION("""COMPUTED_VALUE"""),68.43)</f>
        <v>68.430000000000007</v>
      </c>
      <c r="AN580" s="3">
        <f ca="1">IFERROR(__xludf.DUMMYFUNCTION("""COMPUTED_VALUE"""),67.38)</f>
        <v>67.38</v>
      </c>
      <c r="AO580" s="3">
        <f ca="1">IFERROR(__xludf.DUMMYFUNCTION("""COMPUTED_VALUE"""),67.42)</f>
        <v>67.42</v>
      </c>
      <c r="AP580" s="3">
        <f ca="1">IFERROR(__xludf.DUMMYFUNCTION("""COMPUTED_VALUE"""),10766247)</f>
        <v>10766247</v>
      </c>
      <c r="AQ580" s="4">
        <f ca="1">IFERROR(__xludf.DUMMYFUNCTION("""COMPUTED_VALUE"""),42964.6666666666)</f>
        <v>42964.666666666599</v>
      </c>
      <c r="AR580" s="3">
        <f ca="1">IFERROR(__xludf.DUMMYFUNCTION("""COMPUTED_VALUE"""),54.34)</f>
        <v>54.34</v>
      </c>
      <c r="AS580" s="3">
        <f ca="1">IFERROR(__xludf.DUMMYFUNCTION("""COMPUTED_VALUE"""),54.43)</f>
        <v>54.43</v>
      </c>
      <c r="AT580" s="3">
        <f ca="1">IFERROR(__xludf.DUMMYFUNCTION("""COMPUTED_VALUE"""),53.68)</f>
        <v>53.68</v>
      </c>
      <c r="AU580" s="3">
        <f ca="1">IFERROR(__xludf.DUMMYFUNCTION("""COMPUTED_VALUE"""),53.69)</f>
        <v>53.69</v>
      </c>
      <c r="AV580" s="3">
        <f ca="1">IFERROR(__xludf.DUMMYFUNCTION("""COMPUTED_VALUE"""),4452046)</f>
        <v>4452046</v>
      </c>
      <c r="BC580" s="4">
        <f ca="1">IFERROR(__xludf.DUMMYFUNCTION("""COMPUTED_VALUE"""),42964.6666666666)</f>
        <v>42964.666666666599</v>
      </c>
      <c r="BD580" s="3">
        <f ca="1">IFERROR(__xludf.DUMMYFUNCTION("""COMPUTED_VALUE"""),58.05)</f>
        <v>58.05</v>
      </c>
      <c r="BE580" s="3">
        <f ca="1">IFERROR(__xludf.DUMMYFUNCTION("""COMPUTED_VALUE"""),58.14)</f>
        <v>58.14</v>
      </c>
      <c r="BF580" s="3">
        <f ca="1">IFERROR(__xludf.DUMMYFUNCTION("""COMPUTED_VALUE"""),57.13)</f>
        <v>57.13</v>
      </c>
      <c r="BG580" s="3">
        <f ca="1">IFERROR(__xludf.DUMMYFUNCTION("""COMPUTED_VALUE"""),57.13)</f>
        <v>57.13</v>
      </c>
      <c r="BH580" s="3">
        <f ca="1">IFERROR(__xludf.DUMMYFUNCTION("""COMPUTED_VALUE"""),12968882)</f>
        <v>12968882</v>
      </c>
      <c r="BI580" s="4">
        <f ca="1">IFERROR(__xludf.DUMMYFUNCTION("""COMPUTED_VALUE"""),42964.6666666666)</f>
        <v>42964.666666666599</v>
      </c>
      <c r="BJ580" s="3">
        <f ca="1">IFERROR(__xludf.DUMMYFUNCTION("""COMPUTED_VALUE"""),54.45)</f>
        <v>54.45</v>
      </c>
      <c r="BK580" s="3">
        <f ca="1">IFERROR(__xludf.DUMMYFUNCTION("""COMPUTED_VALUE"""),54.63)</f>
        <v>54.63</v>
      </c>
      <c r="BL580" s="3">
        <f ca="1">IFERROR(__xludf.DUMMYFUNCTION("""COMPUTED_VALUE"""),54.14)</f>
        <v>54.14</v>
      </c>
      <c r="BM580" s="3">
        <f ca="1">IFERROR(__xludf.DUMMYFUNCTION("""COMPUTED_VALUE"""),54.18)</f>
        <v>54.18</v>
      </c>
      <c r="BN580" s="3">
        <f ca="1">IFERROR(__xludf.DUMMYFUNCTION("""COMPUTED_VALUE"""),8956452)</f>
        <v>8956452</v>
      </c>
    </row>
    <row r="581" spans="7:66" ht="13" x14ac:dyDescent="0.15">
      <c r="G581" s="4">
        <f ca="1">IFERROR(__xludf.DUMMYFUNCTION("""COMPUTED_VALUE"""),42965.6666666666)</f>
        <v>42965.666666666599</v>
      </c>
      <c r="H581" s="3">
        <f ca="1">IFERROR(__xludf.DUMMYFUNCTION("""COMPUTED_VALUE"""),88.5)</f>
        <v>88.5</v>
      </c>
      <c r="I581" s="3">
        <f ca="1">IFERROR(__xludf.DUMMYFUNCTION("""COMPUTED_VALUE"""),88.74)</f>
        <v>88.74</v>
      </c>
      <c r="J581" s="3">
        <f ca="1">IFERROR(__xludf.DUMMYFUNCTION("""COMPUTED_VALUE"""),88.15)</f>
        <v>88.15</v>
      </c>
      <c r="K581" s="3">
        <f ca="1">IFERROR(__xludf.DUMMYFUNCTION("""COMPUTED_VALUE"""),88.25)</f>
        <v>88.25</v>
      </c>
      <c r="L581" s="3">
        <f ca="1">IFERROR(__xludf.DUMMYFUNCTION("""COMPUTED_VALUE"""),6787836)</f>
        <v>6787836</v>
      </c>
      <c r="M581" s="4">
        <f ca="1">IFERROR(__xludf.DUMMYFUNCTION("""COMPUTED_VALUE"""),42965.6666666666)</f>
        <v>42965.666666666599</v>
      </c>
      <c r="N581" s="3">
        <f ca="1">IFERROR(__xludf.DUMMYFUNCTION("""COMPUTED_VALUE"""),55.23)</f>
        <v>55.23</v>
      </c>
      <c r="O581" s="3">
        <f ca="1">IFERROR(__xludf.DUMMYFUNCTION("""COMPUTED_VALUE"""),55.39)</f>
        <v>55.39</v>
      </c>
      <c r="P581" s="3">
        <f ca="1">IFERROR(__xludf.DUMMYFUNCTION("""COMPUTED_VALUE"""),55.11)</f>
        <v>55.11</v>
      </c>
      <c r="Q581" s="3">
        <f ca="1">IFERROR(__xludf.DUMMYFUNCTION("""COMPUTED_VALUE"""),55.2)</f>
        <v>55.2</v>
      </c>
      <c r="R581" s="3">
        <f ca="1">IFERROR(__xludf.DUMMYFUNCTION("""COMPUTED_VALUE"""),6810281)</f>
        <v>6810281</v>
      </c>
      <c r="S581" s="4">
        <f ca="1">IFERROR(__xludf.DUMMYFUNCTION("""COMPUTED_VALUE"""),42965.6666666666)</f>
        <v>42965.666666666599</v>
      </c>
      <c r="T581" s="3">
        <f ca="1">IFERROR(__xludf.DUMMYFUNCTION("""COMPUTED_VALUE"""),61.85)</f>
        <v>61.85</v>
      </c>
      <c r="U581" s="3">
        <f ca="1">IFERROR(__xludf.DUMMYFUNCTION("""COMPUTED_VALUE"""),62.74)</f>
        <v>62.74</v>
      </c>
      <c r="V581" s="3">
        <f ca="1">IFERROR(__xludf.DUMMYFUNCTION("""COMPUTED_VALUE"""),61.81)</f>
        <v>61.81</v>
      </c>
      <c r="W581" s="3">
        <f ca="1">IFERROR(__xludf.DUMMYFUNCTION("""COMPUTED_VALUE"""),62.32)</f>
        <v>62.32</v>
      </c>
      <c r="X581" s="3">
        <f ca="1">IFERROR(__xludf.DUMMYFUNCTION("""COMPUTED_VALUE"""),18632664)</f>
        <v>18632664</v>
      </c>
      <c r="Y581" s="4">
        <f ca="1">IFERROR(__xludf.DUMMYFUNCTION("""COMPUTED_VALUE"""),42965.6666666666)</f>
        <v>42965.666666666599</v>
      </c>
      <c r="Z581" s="3">
        <f ca="1">IFERROR(__xludf.DUMMYFUNCTION("""COMPUTED_VALUE"""),24.49)</f>
        <v>24.49</v>
      </c>
      <c r="AA581" s="3">
        <f ca="1">IFERROR(__xludf.DUMMYFUNCTION("""COMPUTED_VALUE"""),24.8)</f>
        <v>24.8</v>
      </c>
      <c r="AB581" s="3">
        <f ca="1">IFERROR(__xludf.DUMMYFUNCTION("""COMPUTED_VALUE"""),24.48)</f>
        <v>24.48</v>
      </c>
      <c r="AC581" s="3">
        <f ca="1">IFERROR(__xludf.DUMMYFUNCTION("""COMPUTED_VALUE"""),24.62)</f>
        <v>24.62</v>
      </c>
      <c r="AD581" s="3">
        <f ca="1">IFERROR(__xludf.DUMMYFUNCTION("""COMPUTED_VALUE"""),71725883)</f>
        <v>71725883</v>
      </c>
      <c r="AE581" s="4">
        <f ca="1">IFERROR(__xludf.DUMMYFUNCTION("""COMPUTED_VALUE"""),42965.6666666666)</f>
        <v>42965.666666666599</v>
      </c>
      <c r="AF581" s="3">
        <f ca="1">IFERROR(__xludf.DUMMYFUNCTION("""COMPUTED_VALUE"""),78.07)</f>
        <v>78.069999999999993</v>
      </c>
      <c r="AG581" s="3">
        <f ca="1">IFERROR(__xludf.DUMMYFUNCTION("""COMPUTED_VALUE"""),78.53)</f>
        <v>78.53</v>
      </c>
      <c r="AH581" s="3">
        <f ca="1">IFERROR(__xludf.DUMMYFUNCTION("""COMPUTED_VALUE"""),77.95)</f>
        <v>77.95</v>
      </c>
      <c r="AI581" s="3">
        <f ca="1">IFERROR(__xludf.DUMMYFUNCTION("""COMPUTED_VALUE"""),78)</f>
        <v>78</v>
      </c>
      <c r="AJ581" s="3">
        <f ca="1">IFERROR(__xludf.DUMMYFUNCTION("""COMPUTED_VALUE"""),8434552)</f>
        <v>8434552</v>
      </c>
      <c r="AK581" s="4">
        <f ca="1">IFERROR(__xludf.DUMMYFUNCTION("""COMPUTED_VALUE"""),42965.6666666666)</f>
        <v>42965.666666666599</v>
      </c>
      <c r="AL581" s="3">
        <f ca="1">IFERROR(__xludf.DUMMYFUNCTION("""COMPUTED_VALUE"""),67.08)</f>
        <v>67.08</v>
      </c>
      <c r="AM581" s="3">
        <f ca="1">IFERROR(__xludf.DUMMYFUNCTION("""COMPUTED_VALUE"""),67.61)</f>
        <v>67.61</v>
      </c>
      <c r="AN581" s="3">
        <f ca="1">IFERROR(__xludf.DUMMYFUNCTION("""COMPUTED_VALUE"""),67)</f>
        <v>67</v>
      </c>
      <c r="AO581" s="3">
        <f ca="1">IFERROR(__xludf.DUMMYFUNCTION("""COMPUTED_VALUE"""),67.15)</f>
        <v>67.150000000000006</v>
      </c>
      <c r="AP581" s="3">
        <f ca="1">IFERROR(__xludf.DUMMYFUNCTION("""COMPUTED_VALUE"""),14111125)</f>
        <v>14111125</v>
      </c>
      <c r="AQ581" s="4">
        <f ca="1">IFERROR(__xludf.DUMMYFUNCTION("""COMPUTED_VALUE"""),42965.6666666666)</f>
        <v>42965.666666666599</v>
      </c>
      <c r="AR581" s="3">
        <f ca="1">IFERROR(__xludf.DUMMYFUNCTION("""COMPUTED_VALUE"""),53.5)</f>
        <v>53.5</v>
      </c>
      <c r="AS581" s="3">
        <f ca="1">IFERROR(__xludf.DUMMYFUNCTION("""COMPUTED_VALUE"""),53.95)</f>
        <v>53.95</v>
      </c>
      <c r="AT581" s="3">
        <f ca="1">IFERROR(__xludf.DUMMYFUNCTION("""COMPUTED_VALUE"""),53.47)</f>
        <v>53.47</v>
      </c>
      <c r="AU581" s="3">
        <f ca="1">IFERROR(__xludf.DUMMYFUNCTION("""COMPUTED_VALUE"""),53.71)</f>
        <v>53.71</v>
      </c>
      <c r="AV581" s="3">
        <f ca="1">IFERROR(__xludf.DUMMYFUNCTION("""COMPUTED_VALUE"""),3768660)</f>
        <v>3768660</v>
      </c>
      <c r="BC581" s="4">
        <f ca="1">IFERROR(__xludf.DUMMYFUNCTION("""COMPUTED_VALUE"""),42965.6666666666)</f>
        <v>42965.666666666599</v>
      </c>
      <c r="BD581" s="3">
        <f ca="1">IFERROR(__xludf.DUMMYFUNCTION("""COMPUTED_VALUE"""),57.13)</f>
        <v>57.13</v>
      </c>
      <c r="BE581" s="3">
        <f ca="1">IFERROR(__xludf.DUMMYFUNCTION("""COMPUTED_VALUE"""),57.47)</f>
        <v>57.47</v>
      </c>
      <c r="BF581" s="3">
        <f ca="1">IFERROR(__xludf.DUMMYFUNCTION("""COMPUTED_VALUE"""),56.85)</f>
        <v>56.85</v>
      </c>
      <c r="BG581" s="3">
        <f ca="1">IFERROR(__xludf.DUMMYFUNCTION("""COMPUTED_VALUE"""),57.07)</f>
        <v>57.07</v>
      </c>
      <c r="BH581" s="3">
        <f ca="1">IFERROR(__xludf.DUMMYFUNCTION("""COMPUTED_VALUE"""),16696480)</f>
        <v>16696480</v>
      </c>
      <c r="BI581" s="4">
        <f ca="1">IFERROR(__xludf.DUMMYFUNCTION("""COMPUTED_VALUE"""),42965.6666666666)</f>
        <v>42965.666666666599</v>
      </c>
      <c r="BJ581" s="3">
        <f ca="1">IFERROR(__xludf.DUMMYFUNCTION("""COMPUTED_VALUE"""),54)</f>
        <v>54</v>
      </c>
      <c r="BK581" s="3">
        <f ca="1">IFERROR(__xludf.DUMMYFUNCTION("""COMPUTED_VALUE"""),54.76)</f>
        <v>54.76</v>
      </c>
      <c r="BL581" s="3">
        <f ca="1">IFERROR(__xludf.DUMMYFUNCTION("""COMPUTED_VALUE"""),54)</f>
        <v>54</v>
      </c>
      <c r="BM581" s="3">
        <f ca="1">IFERROR(__xludf.DUMMYFUNCTION("""COMPUTED_VALUE"""),54.5)</f>
        <v>54.5</v>
      </c>
      <c r="BN581" s="3">
        <f ca="1">IFERROR(__xludf.DUMMYFUNCTION("""COMPUTED_VALUE"""),14848784)</f>
        <v>14848784</v>
      </c>
    </row>
    <row r="582" spans="7:66" ht="13" x14ac:dyDescent="0.15">
      <c r="G582" s="4">
        <f ca="1">IFERROR(__xludf.DUMMYFUNCTION("""COMPUTED_VALUE"""),42968.6666666666)</f>
        <v>42968.666666666599</v>
      </c>
      <c r="H582" s="3">
        <f ca="1">IFERROR(__xludf.DUMMYFUNCTION("""COMPUTED_VALUE"""),88.22)</f>
        <v>88.22</v>
      </c>
      <c r="I582" s="3">
        <f ca="1">IFERROR(__xludf.DUMMYFUNCTION("""COMPUTED_VALUE"""),88.53)</f>
        <v>88.53</v>
      </c>
      <c r="J582" s="3">
        <f ca="1">IFERROR(__xludf.DUMMYFUNCTION("""COMPUTED_VALUE"""),87.89)</f>
        <v>87.89</v>
      </c>
      <c r="K582" s="3">
        <f ca="1">IFERROR(__xludf.DUMMYFUNCTION("""COMPUTED_VALUE"""),88.41)</f>
        <v>88.41</v>
      </c>
      <c r="L582" s="3">
        <f ca="1">IFERROR(__xludf.DUMMYFUNCTION("""COMPUTED_VALUE"""),10550695)</f>
        <v>10550695</v>
      </c>
      <c r="M582" s="4">
        <f ca="1">IFERROR(__xludf.DUMMYFUNCTION("""COMPUTED_VALUE"""),42968.6666666666)</f>
        <v>42968.666666666599</v>
      </c>
      <c r="N582" s="3">
        <f ca="1">IFERROR(__xludf.DUMMYFUNCTION("""COMPUTED_VALUE"""),55.16)</f>
        <v>55.16</v>
      </c>
      <c r="O582" s="3">
        <f ca="1">IFERROR(__xludf.DUMMYFUNCTION("""COMPUTED_VALUE"""),55.5)</f>
        <v>55.5</v>
      </c>
      <c r="P582" s="3">
        <f ca="1">IFERROR(__xludf.DUMMYFUNCTION("""COMPUTED_VALUE"""),55)</f>
        <v>55</v>
      </c>
      <c r="Q582" s="3">
        <f ca="1">IFERROR(__xludf.DUMMYFUNCTION("""COMPUTED_VALUE"""),55.4)</f>
        <v>55.4</v>
      </c>
      <c r="R582" s="3">
        <f ca="1">IFERROR(__xludf.DUMMYFUNCTION("""COMPUTED_VALUE"""),6829335)</f>
        <v>6829335</v>
      </c>
      <c r="S582" s="4">
        <f ca="1">IFERROR(__xludf.DUMMYFUNCTION("""COMPUTED_VALUE"""),42968.6666666666)</f>
        <v>42968.666666666599</v>
      </c>
      <c r="T582" s="3">
        <f ca="1">IFERROR(__xludf.DUMMYFUNCTION("""COMPUTED_VALUE"""),62.23)</f>
        <v>62.23</v>
      </c>
      <c r="U582" s="3">
        <f ca="1">IFERROR(__xludf.DUMMYFUNCTION("""COMPUTED_VALUE"""),62.26)</f>
        <v>62.26</v>
      </c>
      <c r="V582" s="3">
        <f ca="1">IFERROR(__xludf.DUMMYFUNCTION("""COMPUTED_VALUE"""),61.8)</f>
        <v>61.8</v>
      </c>
      <c r="W582" s="3">
        <f ca="1">IFERROR(__xludf.DUMMYFUNCTION("""COMPUTED_VALUE"""),62)</f>
        <v>62</v>
      </c>
      <c r="X582" s="3">
        <f ca="1">IFERROR(__xludf.DUMMYFUNCTION("""COMPUTED_VALUE"""),10375176)</f>
        <v>10375176</v>
      </c>
      <c r="Y582" s="4">
        <f ca="1">IFERROR(__xludf.DUMMYFUNCTION("""COMPUTED_VALUE"""),42968.6666666666)</f>
        <v>42968.666666666599</v>
      </c>
      <c r="Z582" s="3">
        <f ca="1">IFERROR(__xludf.DUMMYFUNCTION("""COMPUTED_VALUE"""),24.6)</f>
        <v>24.6</v>
      </c>
      <c r="AA582" s="3">
        <f ca="1">IFERROR(__xludf.DUMMYFUNCTION("""COMPUTED_VALUE"""),24.63)</f>
        <v>24.63</v>
      </c>
      <c r="AB582" s="3">
        <f ca="1">IFERROR(__xludf.DUMMYFUNCTION("""COMPUTED_VALUE"""),24.45)</f>
        <v>24.45</v>
      </c>
      <c r="AC582" s="3">
        <f ca="1">IFERROR(__xludf.DUMMYFUNCTION("""COMPUTED_VALUE"""),24.55)</f>
        <v>24.55</v>
      </c>
      <c r="AD582" s="3">
        <f ca="1">IFERROR(__xludf.DUMMYFUNCTION("""COMPUTED_VALUE"""),45047234)</f>
        <v>45047234</v>
      </c>
      <c r="AE582" s="4">
        <f ca="1">IFERROR(__xludf.DUMMYFUNCTION("""COMPUTED_VALUE"""),42968.6666666666)</f>
        <v>42968.666666666599</v>
      </c>
      <c r="AF582" s="3">
        <f ca="1">IFERROR(__xludf.DUMMYFUNCTION("""COMPUTED_VALUE"""),77.93)</f>
        <v>77.930000000000007</v>
      </c>
      <c r="AG582" s="3">
        <f ca="1">IFERROR(__xludf.DUMMYFUNCTION("""COMPUTED_VALUE"""),78.45)</f>
        <v>78.45</v>
      </c>
      <c r="AH582" s="3">
        <f ca="1">IFERROR(__xludf.DUMMYFUNCTION("""COMPUTED_VALUE"""),77.82)</f>
        <v>77.819999999999993</v>
      </c>
      <c r="AI582" s="3">
        <f ca="1">IFERROR(__xludf.DUMMYFUNCTION("""COMPUTED_VALUE"""),78.35)</f>
        <v>78.349999999999994</v>
      </c>
      <c r="AJ582" s="3">
        <f ca="1">IFERROR(__xludf.DUMMYFUNCTION("""COMPUTED_VALUE"""),10268993)</f>
        <v>10268993</v>
      </c>
      <c r="AK582" s="4">
        <f ca="1">IFERROR(__xludf.DUMMYFUNCTION("""COMPUTED_VALUE"""),42968.6666666666)</f>
        <v>42968.666666666599</v>
      </c>
      <c r="AL582" s="3">
        <f ca="1">IFERROR(__xludf.DUMMYFUNCTION("""COMPUTED_VALUE"""),67.22)</f>
        <v>67.22</v>
      </c>
      <c r="AM582" s="3">
        <f ca="1">IFERROR(__xludf.DUMMYFUNCTION("""COMPUTED_VALUE"""),67.31)</f>
        <v>67.31</v>
      </c>
      <c r="AN582" s="3">
        <f ca="1">IFERROR(__xludf.DUMMYFUNCTION("""COMPUTED_VALUE"""),66.95)</f>
        <v>66.95</v>
      </c>
      <c r="AO582" s="3">
        <f ca="1">IFERROR(__xludf.DUMMYFUNCTION("""COMPUTED_VALUE"""),67.26)</f>
        <v>67.260000000000005</v>
      </c>
      <c r="AP582" s="3">
        <f ca="1">IFERROR(__xludf.DUMMYFUNCTION("""COMPUTED_VALUE"""),7447304)</f>
        <v>7447304</v>
      </c>
      <c r="AQ582" s="4">
        <f ca="1">IFERROR(__xludf.DUMMYFUNCTION("""COMPUTED_VALUE"""),42968.6666666666)</f>
        <v>42968.666666666599</v>
      </c>
      <c r="AR582" s="3">
        <f ca="1">IFERROR(__xludf.DUMMYFUNCTION("""COMPUTED_VALUE"""),53.8)</f>
        <v>53.8</v>
      </c>
      <c r="AS582" s="3">
        <f ca="1">IFERROR(__xludf.DUMMYFUNCTION("""COMPUTED_VALUE"""),53.91)</f>
        <v>53.91</v>
      </c>
      <c r="AT582" s="3">
        <f ca="1">IFERROR(__xludf.DUMMYFUNCTION("""COMPUTED_VALUE"""),53.63)</f>
        <v>53.63</v>
      </c>
      <c r="AU582" s="3">
        <f ca="1">IFERROR(__xludf.DUMMYFUNCTION("""COMPUTED_VALUE"""),53.76)</f>
        <v>53.76</v>
      </c>
      <c r="AV582" s="3">
        <f ca="1">IFERROR(__xludf.DUMMYFUNCTION("""COMPUTED_VALUE"""),2701598)</f>
        <v>2701598</v>
      </c>
      <c r="BC582" s="4">
        <f ca="1">IFERROR(__xludf.DUMMYFUNCTION("""COMPUTED_VALUE"""),42968.6666666666)</f>
        <v>42968.666666666599</v>
      </c>
      <c r="BD582" s="3">
        <f ca="1">IFERROR(__xludf.DUMMYFUNCTION("""COMPUTED_VALUE"""),57.11)</f>
        <v>57.11</v>
      </c>
      <c r="BE582" s="3">
        <f ca="1">IFERROR(__xludf.DUMMYFUNCTION("""COMPUTED_VALUE"""),57.17)</f>
        <v>57.17</v>
      </c>
      <c r="BF582" s="3">
        <f ca="1">IFERROR(__xludf.DUMMYFUNCTION("""COMPUTED_VALUE"""),56.67)</f>
        <v>56.67</v>
      </c>
      <c r="BG582" s="3">
        <f ca="1">IFERROR(__xludf.DUMMYFUNCTION("""COMPUTED_VALUE"""),57.05)</f>
        <v>57.05</v>
      </c>
      <c r="BH582" s="3">
        <f ca="1">IFERROR(__xludf.DUMMYFUNCTION("""COMPUTED_VALUE"""),7978621)</f>
        <v>7978621</v>
      </c>
      <c r="BI582" s="4">
        <f ca="1">IFERROR(__xludf.DUMMYFUNCTION("""COMPUTED_VALUE"""),42968.6666666666)</f>
        <v>42968.666666666599</v>
      </c>
      <c r="BJ582" s="3">
        <f ca="1">IFERROR(__xludf.DUMMYFUNCTION("""COMPUTED_VALUE"""),54.66)</f>
        <v>54.66</v>
      </c>
      <c r="BK582" s="3">
        <f ca="1">IFERROR(__xludf.DUMMYFUNCTION("""COMPUTED_VALUE"""),54.79)</f>
        <v>54.79</v>
      </c>
      <c r="BL582" s="3">
        <f ca="1">IFERROR(__xludf.DUMMYFUNCTION("""COMPUTED_VALUE"""),54.45)</f>
        <v>54.45</v>
      </c>
      <c r="BM582" s="3">
        <f ca="1">IFERROR(__xludf.DUMMYFUNCTION("""COMPUTED_VALUE"""),54.7)</f>
        <v>54.7</v>
      </c>
      <c r="BN582" s="3">
        <f ca="1">IFERROR(__xludf.DUMMYFUNCTION("""COMPUTED_VALUE"""),5655972)</f>
        <v>5655972</v>
      </c>
    </row>
    <row r="583" spans="7:66" ht="13" x14ac:dyDescent="0.15">
      <c r="G583" s="4">
        <f ca="1">IFERROR(__xludf.DUMMYFUNCTION("""COMPUTED_VALUE"""),42969.6666666666)</f>
        <v>42969.666666666599</v>
      </c>
      <c r="H583" s="3">
        <f ca="1">IFERROR(__xludf.DUMMYFUNCTION("""COMPUTED_VALUE"""),88.67)</f>
        <v>88.67</v>
      </c>
      <c r="I583" s="3">
        <f ca="1">IFERROR(__xludf.DUMMYFUNCTION("""COMPUTED_VALUE"""),89.46)</f>
        <v>89.46</v>
      </c>
      <c r="J583" s="3">
        <f ca="1">IFERROR(__xludf.DUMMYFUNCTION("""COMPUTED_VALUE"""),88.62)</f>
        <v>88.62</v>
      </c>
      <c r="K583" s="3">
        <f ca="1">IFERROR(__xludf.DUMMYFUNCTION("""COMPUTED_VALUE"""),89.36)</f>
        <v>89.36</v>
      </c>
      <c r="L583" s="3">
        <f ca="1">IFERROR(__xludf.DUMMYFUNCTION("""COMPUTED_VALUE"""),4385556)</f>
        <v>4385556</v>
      </c>
      <c r="M583" s="4">
        <f ca="1">IFERROR(__xludf.DUMMYFUNCTION("""COMPUTED_VALUE"""),42969.6666666666)</f>
        <v>42969.666666666599</v>
      </c>
      <c r="N583" s="3">
        <f ca="1">IFERROR(__xludf.DUMMYFUNCTION("""COMPUTED_VALUE"""),55.43)</f>
        <v>55.43</v>
      </c>
      <c r="O583" s="3">
        <f ca="1">IFERROR(__xludf.DUMMYFUNCTION("""COMPUTED_VALUE"""),55.57)</f>
        <v>55.57</v>
      </c>
      <c r="P583" s="3">
        <f ca="1">IFERROR(__xludf.DUMMYFUNCTION("""COMPUTED_VALUE"""),55.33)</f>
        <v>55.33</v>
      </c>
      <c r="Q583" s="3">
        <f ca="1">IFERROR(__xludf.DUMMYFUNCTION("""COMPUTED_VALUE"""),55.41)</f>
        <v>55.41</v>
      </c>
      <c r="R583" s="3">
        <f ca="1">IFERROR(__xludf.DUMMYFUNCTION("""COMPUTED_VALUE"""),7129438)</f>
        <v>7129438</v>
      </c>
      <c r="S583" s="4">
        <f ca="1">IFERROR(__xludf.DUMMYFUNCTION("""COMPUTED_VALUE"""),42969.6666666666)</f>
        <v>42969.666666666599</v>
      </c>
      <c r="T583" s="3">
        <f ca="1">IFERROR(__xludf.DUMMYFUNCTION("""COMPUTED_VALUE"""),62.17)</f>
        <v>62.17</v>
      </c>
      <c r="U583" s="3">
        <f ca="1">IFERROR(__xludf.DUMMYFUNCTION("""COMPUTED_VALUE"""),62.55)</f>
        <v>62.55</v>
      </c>
      <c r="V583" s="3">
        <f ca="1">IFERROR(__xludf.DUMMYFUNCTION("""COMPUTED_VALUE"""),62.13)</f>
        <v>62.13</v>
      </c>
      <c r="W583" s="3">
        <f ca="1">IFERROR(__xludf.DUMMYFUNCTION("""COMPUTED_VALUE"""),62.41)</f>
        <v>62.41</v>
      </c>
      <c r="X583" s="3">
        <f ca="1">IFERROR(__xludf.DUMMYFUNCTION("""COMPUTED_VALUE"""),15171824)</f>
        <v>15171824</v>
      </c>
      <c r="Y583" s="4">
        <f ca="1">IFERROR(__xludf.DUMMYFUNCTION("""COMPUTED_VALUE"""),42969.6666666666)</f>
        <v>42969.666666666599</v>
      </c>
      <c r="Z583" s="3">
        <f ca="1">IFERROR(__xludf.DUMMYFUNCTION("""COMPUTED_VALUE"""),24.65)</f>
        <v>24.65</v>
      </c>
      <c r="AA583" s="3">
        <f ca="1">IFERROR(__xludf.DUMMYFUNCTION("""COMPUTED_VALUE"""),24.84)</f>
        <v>24.84</v>
      </c>
      <c r="AB583" s="3">
        <f ca="1">IFERROR(__xludf.DUMMYFUNCTION("""COMPUTED_VALUE"""),24.62)</f>
        <v>24.62</v>
      </c>
      <c r="AC583" s="3">
        <f ca="1">IFERROR(__xludf.DUMMYFUNCTION("""COMPUTED_VALUE"""),24.82)</f>
        <v>24.82</v>
      </c>
      <c r="AD583" s="3">
        <f ca="1">IFERROR(__xludf.DUMMYFUNCTION("""COMPUTED_VALUE"""),42644026)</f>
        <v>42644026</v>
      </c>
      <c r="AE583" s="4">
        <f ca="1">IFERROR(__xludf.DUMMYFUNCTION("""COMPUTED_VALUE"""),42969.6666666666)</f>
        <v>42969.666666666599</v>
      </c>
      <c r="AF583" s="3">
        <f ca="1">IFERROR(__xludf.DUMMYFUNCTION("""COMPUTED_VALUE"""),78.37)</f>
        <v>78.37</v>
      </c>
      <c r="AG583" s="3">
        <f ca="1">IFERROR(__xludf.DUMMYFUNCTION("""COMPUTED_VALUE"""),79.39)</f>
        <v>79.39</v>
      </c>
      <c r="AH583" s="3">
        <f ca="1">IFERROR(__xludf.DUMMYFUNCTION("""COMPUTED_VALUE"""),78.32)</f>
        <v>78.319999999999993</v>
      </c>
      <c r="AI583" s="3">
        <f ca="1">IFERROR(__xludf.DUMMYFUNCTION("""COMPUTED_VALUE"""),79.3)</f>
        <v>79.3</v>
      </c>
      <c r="AJ583" s="3">
        <f ca="1">IFERROR(__xludf.DUMMYFUNCTION("""COMPUTED_VALUE"""),5455500)</f>
        <v>5455500</v>
      </c>
      <c r="AK583" s="4">
        <f ca="1">IFERROR(__xludf.DUMMYFUNCTION("""COMPUTED_VALUE"""),42969.6666666666)</f>
        <v>42969.666666666599</v>
      </c>
      <c r="AL583" s="3">
        <f ca="1">IFERROR(__xludf.DUMMYFUNCTION("""COMPUTED_VALUE"""),67.44)</f>
        <v>67.44</v>
      </c>
      <c r="AM583" s="3">
        <f ca="1">IFERROR(__xludf.DUMMYFUNCTION("""COMPUTED_VALUE"""),68.09)</f>
        <v>68.09</v>
      </c>
      <c r="AN583" s="3">
        <f ca="1">IFERROR(__xludf.DUMMYFUNCTION("""COMPUTED_VALUE"""),67.44)</f>
        <v>67.44</v>
      </c>
      <c r="AO583" s="3">
        <f ca="1">IFERROR(__xludf.DUMMYFUNCTION("""COMPUTED_VALUE"""),68.03)</f>
        <v>68.03</v>
      </c>
      <c r="AP583" s="3">
        <f ca="1">IFERROR(__xludf.DUMMYFUNCTION("""COMPUTED_VALUE"""),6559150)</f>
        <v>6559150</v>
      </c>
      <c r="AQ583" s="4">
        <f ca="1">IFERROR(__xludf.DUMMYFUNCTION("""COMPUTED_VALUE"""),42969.6666666666)</f>
        <v>42969.666666666599</v>
      </c>
      <c r="AR583" s="3">
        <f ca="1">IFERROR(__xludf.DUMMYFUNCTION("""COMPUTED_VALUE"""),53.91)</f>
        <v>53.91</v>
      </c>
      <c r="AS583" s="3">
        <f ca="1">IFERROR(__xludf.DUMMYFUNCTION("""COMPUTED_VALUE"""),54.46)</f>
        <v>54.46</v>
      </c>
      <c r="AT583" s="3">
        <f ca="1">IFERROR(__xludf.DUMMYFUNCTION("""COMPUTED_VALUE"""),53.91)</f>
        <v>53.91</v>
      </c>
      <c r="AU583" s="3">
        <f ca="1">IFERROR(__xludf.DUMMYFUNCTION("""COMPUTED_VALUE"""),54.46)</f>
        <v>54.46</v>
      </c>
      <c r="AV583" s="3">
        <f ca="1">IFERROR(__xludf.DUMMYFUNCTION("""COMPUTED_VALUE"""),3120377)</f>
        <v>3120377</v>
      </c>
      <c r="BC583" s="4">
        <f ca="1">IFERROR(__xludf.DUMMYFUNCTION("""COMPUTED_VALUE"""),42969.6666666666)</f>
        <v>42969.666666666599</v>
      </c>
      <c r="BD583" s="3">
        <f ca="1">IFERROR(__xludf.DUMMYFUNCTION("""COMPUTED_VALUE"""),57.35)</f>
        <v>57.35</v>
      </c>
      <c r="BE583" s="3">
        <f ca="1">IFERROR(__xludf.DUMMYFUNCTION("""COMPUTED_VALUE"""),57.94)</f>
        <v>57.94</v>
      </c>
      <c r="BF583" s="3">
        <f ca="1">IFERROR(__xludf.DUMMYFUNCTION("""COMPUTED_VALUE"""),57.31)</f>
        <v>57.31</v>
      </c>
      <c r="BG583" s="3">
        <f ca="1">IFERROR(__xludf.DUMMYFUNCTION("""COMPUTED_VALUE"""),57.9)</f>
        <v>57.9</v>
      </c>
      <c r="BH583" s="3">
        <f ca="1">IFERROR(__xludf.DUMMYFUNCTION("""COMPUTED_VALUE"""),8461229)</f>
        <v>8461229</v>
      </c>
      <c r="BI583" s="4">
        <f ca="1">IFERROR(__xludf.DUMMYFUNCTION("""COMPUTED_VALUE"""),42969.6666666666)</f>
        <v>42969.666666666599</v>
      </c>
      <c r="BJ583" s="3">
        <f ca="1">IFERROR(__xludf.DUMMYFUNCTION("""COMPUTED_VALUE"""),54.73)</f>
        <v>54.73</v>
      </c>
      <c r="BK583" s="3">
        <f ca="1">IFERROR(__xludf.DUMMYFUNCTION("""COMPUTED_VALUE"""),54.83)</f>
        <v>54.83</v>
      </c>
      <c r="BL583" s="3">
        <f ca="1">IFERROR(__xludf.DUMMYFUNCTION("""COMPUTED_VALUE"""),54.54)</f>
        <v>54.54</v>
      </c>
      <c r="BM583" s="3">
        <f ca="1">IFERROR(__xludf.DUMMYFUNCTION("""COMPUTED_VALUE"""),54.82)</f>
        <v>54.82</v>
      </c>
      <c r="BN583" s="3">
        <f ca="1">IFERROR(__xludf.DUMMYFUNCTION("""COMPUTED_VALUE"""),8150270)</f>
        <v>8150270</v>
      </c>
    </row>
    <row r="584" spans="7:66" ht="13" x14ac:dyDescent="0.15">
      <c r="G584" s="4">
        <f ca="1">IFERROR(__xludf.DUMMYFUNCTION("""COMPUTED_VALUE"""),42970.6666666666)</f>
        <v>42970.666666666599</v>
      </c>
      <c r="H584" s="3">
        <f ca="1">IFERROR(__xludf.DUMMYFUNCTION("""COMPUTED_VALUE"""),88.76)</f>
        <v>88.76</v>
      </c>
      <c r="I584" s="3">
        <f ca="1">IFERROR(__xludf.DUMMYFUNCTION("""COMPUTED_VALUE"""),88.92)</f>
        <v>88.92</v>
      </c>
      <c r="J584" s="3">
        <f ca="1">IFERROR(__xludf.DUMMYFUNCTION("""COMPUTED_VALUE"""),88.45)</f>
        <v>88.45</v>
      </c>
      <c r="K584" s="3">
        <f ca="1">IFERROR(__xludf.DUMMYFUNCTION("""COMPUTED_VALUE"""),88.6)</f>
        <v>88.6</v>
      </c>
      <c r="L584" s="3">
        <f ca="1">IFERROR(__xludf.DUMMYFUNCTION("""COMPUTED_VALUE"""),4840795)</f>
        <v>4840795</v>
      </c>
      <c r="M584" s="4">
        <f ca="1">IFERROR(__xludf.DUMMYFUNCTION("""COMPUTED_VALUE"""),42970.6666666666)</f>
        <v>42970.666666666599</v>
      </c>
      <c r="N584" s="3">
        <f ca="1">IFERROR(__xludf.DUMMYFUNCTION("""COMPUTED_VALUE"""),55.35)</f>
        <v>55.35</v>
      </c>
      <c r="O584" s="3">
        <f ca="1">IFERROR(__xludf.DUMMYFUNCTION("""COMPUTED_VALUE"""),55.41)</f>
        <v>55.41</v>
      </c>
      <c r="P584" s="3">
        <f ca="1">IFERROR(__xludf.DUMMYFUNCTION("""COMPUTED_VALUE"""),55.19)</f>
        <v>55.19</v>
      </c>
      <c r="Q584" s="3">
        <f ca="1">IFERROR(__xludf.DUMMYFUNCTION("""COMPUTED_VALUE"""),55.25)</f>
        <v>55.25</v>
      </c>
      <c r="R584" s="3">
        <f ca="1">IFERROR(__xludf.DUMMYFUNCTION("""COMPUTED_VALUE"""),5367122)</f>
        <v>5367122</v>
      </c>
      <c r="S584" s="4">
        <f ca="1">IFERROR(__xludf.DUMMYFUNCTION("""COMPUTED_VALUE"""),42970.6666666666)</f>
        <v>42970.666666666599</v>
      </c>
      <c r="T584" s="3">
        <f ca="1">IFERROR(__xludf.DUMMYFUNCTION("""COMPUTED_VALUE"""),62.28)</f>
        <v>62.28</v>
      </c>
      <c r="U584" s="3">
        <f ca="1">IFERROR(__xludf.DUMMYFUNCTION("""COMPUTED_VALUE"""),63)</f>
        <v>63</v>
      </c>
      <c r="V584" s="3">
        <f ca="1">IFERROR(__xludf.DUMMYFUNCTION("""COMPUTED_VALUE"""),62.22)</f>
        <v>62.22</v>
      </c>
      <c r="W584" s="3">
        <f ca="1">IFERROR(__xludf.DUMMYFUNCTION("""COMPUTED_VALUE"""),62.68)</f>
        <v>62.68</v>
      </c>
      <c r="X584" s="3">
        <f ca="1">IFERROR(__xludf.DUMMYFUNCTION("""COMPUTED_VALUE"""),11525968)</f>
        <v>11525968</v>
      </c>
      <c r="Y584" s="4">
        <f ca="1">IFERROR(__xludf.DUMMYFUNCTION("""COMPUTED_VALUE"""),42970.6666666666)</f>
        <v>42970.666666666599</v>
      </c>
      <c r="Z584" s="3">
        <f ca="1">IFERROR(__xludf.DUMMYFUNCTION("""COMPUTED_VALUE"""),24.64)</f>
        <v>24.64</v>
      </c>
      <c r="AA584" s="3">
        <f ca="1">IFERROR(__xludf.DUMMYFUNCTION("""COMPUTED_VALUE"""),24.88)</f>
        <v>24.88</v>
      </c>
      <c r="AB584" s="3">
        <f ca="1">IFERROR(__xludf.DUMMYFUNCTION("""COMPUTED_VALUE"""),24.62)</f>
        <v>24.62</v>
      </c>
      <c r="AC584" s="3">
        <f ca="1">IFERROR(__xludf.DUMMYFUNCTION("""COMPUTED_VALUE"""),24.74)</f>
        <v>24.74</v>
      </c>
      <c r="AD584" s="3">
        <f ca="1">IFERROR(__xludf.DUMMYFUNCTION("""COMPUTED_VALUE"""),36612709)</f>
        <v>36612709</v>
      </c>
      <c r="AE584" s="4">
        <f ca="1">IFERROR(__xludf.DUMMYFUNCTION("""COMPUTED_VALUE"""),42970.6666666666)</f>
        <v>42970.666666666599</v>
      </c>
      <c r="AF584" s="3">
        <f ca="1">IFERROR(__xludf.DUMMYFUNCTION("""COMPUTED_VALUE"""),79.03)</f>
        <v>79.03</v>
      </c>
      <c r="AG584" s="3">
        <f ca="1">IFERROR(__xludf.DUMMYFUNCTION("""COMPUTED_VALUE"""),79.05)</f>
        <v>79.05</v>
      </c>
      <c r="AH584" s="3">
        <f ca="1">IFERROR(__xludf.DUMMYFUNCTION("""COMPUTED_VALUE"""),78.67)</f>
        <v>78.67</v>
      </c>
      <c r="AI584" s="3">
        <f ca="1">IFERROR(__xludf.DUMMYFUNCTION("""COMPUTED_VALUE"""),78.7)</f>
        <v>78.7</v>
      </c>
      <c r="AJ584" s="3">
        <f ca="1">IFERROR(__xludf.DUMMYFUNCTION("""COMPUTED_VALUE"""),5662539)</f>
        <v>5662539</v>
      </c>
      <c r="AK584" s="4">
        <f ca="1">IFERROR(__xludf.DUMMYFUNCTION("""COMPUTED_VALUE"""),42970.6666666666)</f>
        <v>42970.666666666599</v>
      </c>
      <c r="AL584" s="3">
        <f ca="1">IFERROR(__xludf.DUMMYFUNCTION("""COMPUTED_VALUE"""),67.75)</f>
        <v>67.75</v>
      </c>
      <c r="AM584" s="3">
        <f ca="1">IFERROR(__xludf.DUMMYFUNCTION("""COMPUTED_VALUE"""),67.75)</f>
        <v>67.75</v>
      </c>
      <c r="AN584" s="3">
        <f ca="1">IFERROR(__xludf.DUMMYFUNCTION("""COMPUTED_VALUE"""),67.39)</f>
        <v>67.39</v>
      </c>
      <c r="AO584" s="3">
        <f ca="1">IFERROR(__xludf.DUMMYFUNCTION("""COMPUTED_VALUE"""),67.39)</f>
        <v>67.39</v>
      </c>
      <c r="AP584" s="3">
        <f ca="1">IFERROR(__xludf.DUMMYFUNCTION("""COMPUTED_VALUE"""),7027114)</f>
        <v>7027114</v>
      </c>
      <c r="AQ584" s="4">
        <f ca="1">IFERROR(__xludf.DUMMYFUNCTION("""COMPUTED_VALUE"""),42970.6666666666)</f>
        <v>42970.666666666599</v>
      </c>
      <c r="AR584" s="3">
        <f ca="1">IFERROR(__xludf.DUMMYFUNCTION("""COMPUTED_VALUE"""),54.22)</f>
        <v>54.22</v>
      </c>
      <c r="AS584" s="3">
        <f ca="1">IFERROR(__xludf.DUMMYFUNCTION("""COMPUTED_VALUE"""),54.54)</f>
        <v>54.54</v>
      </c>
      <c r="AT584" s="3">
        <f ca="1">IFERROR(__xludf.DUMMYFUNCTION("""COMPUTED_VALUE"""),54.16)</f>
        <v>54.16</v>
      </c>
      <c r="AU584" s="3">
        <f ca="1">IFERROR(__xludf.DUMMYFUNCTION("""COMPUTED_VALUE"""),54.36)</f>
        <v>54.36</v>
      </c>
      <c r="AV584" s="3">
        <f ca="1">IFERROR(__xludf.DUMMYFUNCTION("""COMPUTED_VALUE"""),4109603)</f>
        <v>4109603</v>
      </c>
      <c r="BC584" s="4">
        <f ca="1">IFERROR(__xludf.DUMMYFUNCTION("""COMPUTED_VALUE"""),42970.6666666666)</f>
        <v>42970.666666666599</v>
      </c>
      <c r="BD584" s="3">
        <f ca="1">IFERROR(__xludf.DUMMYFUNCTION("""COMPUTED_VALUE"""),57.58)</f>
        <v>57.58</v>
      </c>
      <c r="BE584" s="3">
        <f ca="1">IFERROR(__xludf.DUMMYFUNCTION("""COMPUTED_VALUE"""),57.92)</f>
        <v>57.92</v>
      </c>
      <c r="BF584" s="3">
        <f ca="1">IFERROR(__xludf.DUMMYFUNCTION("""COMPUTED_VALUE"""),57.56)</f>
        <v>57.56</v>
      </c>
      <c r="BG584" s="3">
        <f ca="1">IFERROR(__xludf.DUMMYFUNCTION("""COMPUTED_VALUE"""),57.76)</f>
        <v>57.76</v>
      </c>
      <c r="BH584" s="3">
        <f ca="1">IFERROR(__xludf.DUMMYFUNCTION("""COMPUTED_VALUE"""),8923746)</f>
        <v>8923746</v>
      </c>
      <c r="BI584" s="4">
        <f ca="1">IFERROR(__xludf.DUMMYFUNCTION("""COMPUTED_VALUE"""),42970.6666666666)</f>
        <v>42970.666666666599</v>
      </c>
      <c r="BJ584" s="3">
        <f ca="1">IFERROR(__xludf.DUMMYFUNCTION("""COMPUTED_VALUE"""),54.8)</f>
        <v>54.8</v>
      </c>
      <c r="BK584" s="3">
        <f ca="1">IFERROR(__xludf.DUMMYFUNCTION("""COMPUTED_VALUE"""),55.02)</f>
        <v>55.02</v>
      </c>
      <c r="BL584" s="3">
        <f ca="1">IFERROR(__xludf.DUMMYFUNCTION("""COMPUTED_VALUE"""),54.62)</f>
        <v>54.62</v>
      </c>
      <c r="BM584" s="3">
        <f ca="1">IFERROR(__xludf.DUMMYFUNCTION("""COMPUTED_VALUE"""),55)</f>
        <v>55</v>
      </c>
      <c r="BN584" s="3">
        <f ca="1">IFERROR(__xludf.DUMMYFUNCTION("""COMPUTED_VALUE"""),7046459)</f>
        <v>7046459</v>
      </c>
    </row>
    <row r="585" spans="7:66" ht="13" x14ac:dyDescent="0.15">
      <c r="G585" s="4">
        <f ca="1">IFERROR(__xludf.DUMMYFUNCTION("""COMPUTED_VALUE"""),42971.6666666666)</f>
        <v>42971.666666666599</v>
      </c>
      <c r="H585" s="3">
        <f ca="1">IFERROR(__xludf.DUMMYFUNCTION("""COMPUTED_VALUE"""),89.04)</f>
        <v>89.04</v>
      </c>
      <c r="I585" s="3">
        <f ca="1">IFERROR(__xludf.DUMMYFUNCTION("""COMPUTED_VALUE"""),89.25)</f>
        <v>89.25</v>
      </c>
      <c r="J585" s="3">
        <f ca="1">IFERROR(__xludf.DUMMYFUNCTION("""COMPUTED_VALUE"""),88.27)</f>
        <v>88.27</v>
      </c>
      <c r="K585" s="3">
        <f ca="1">IFERROR(__xludf.DUMMYFUNCTION("""COMPUTED_VALUE"""),88.41)</f>
        <v>88.41</v>
      </c>
      <c r="L585" s="3">
        <f ca="1">IFERROR(__xludf.DUMMYFUNCTION("""COMPUTED_VALUE"""),2765860)</f>
        <v>2765860</v>
      </c>
      <c r="M585" s="4">
        <f ca="1">IFERROR(__xludf.DUMMYFUNCTION("""COMPUTED_VALUE"""),42971.6666666666)</f>
        <v>42971.666666666599</v>
      </c>
      <c r="N585" s="3">
        <f ca="1">IFERROR(__xludf.DUMMYFUNCTION("""COMPUTED_VALUE"""),55.2)</f>
        <v>55.2</v>
      </c>
      <c r="O585" s="3">
        <f ca="1">IFERROR(__xludf.DUMMYFUNCTION("""COMPUTED_VALUE"""),55.35)</f>
        <v>55.35</v>
      </c>
      <c r="P585" s="3">
        <f ca="1">IFERROR(__xludf.DUMMYFUNCTION("""COMPUTED_VALUE"""),54.44)</f>
        <v>54.44</v>
      </c>
      <c r="Q585" s="3">
        <f ca="1">IFERROR(__xludf.DUMMYFUNCTION("""COMPUTED_VALUE"""),54.49)</f>
        <v>54.49</v>
      </c>
      <c r="R585" s="3">
        <f ca="1">IFERROR(__xludf.DUMMYFUNCTION("""COMPUTED_VALUE"""),11807145)</f>
        <v>11807145</v>
      </c>
      <c r="S585" s="4">
        <f ca="1">IFERROR(__xludf.DUMMYFUNCTION("""COMPUTED_VALUE"""),42971.6666666666)</f>
        <v>42971.666666666599</v>
      </c>
      <c r="T585" s="3">
        <f ca="1">IFERROR(__xludf.DUMMYFUNCTION("""COMPUTED_VALUE"""),62.46)</f>
        <v>62.46</v>
      </c>
      <c r="U585" s="3">
        <f ca="1">IFERROR(__xludf.DUMMYFUNCTION("""COMPUTED_VALUE"""),62.87)</f>
        <v>62.87</v>
      </c>
      <c r="V585" s="3">
        <f ca="1">IFERROR(__xludf.DUMMYFUNCTION("""COMPUTED_VALUE"""),62.44)</f>
        <v>62.44</v>
      </c>
      <c r="W585" s="3">
        <f ca="1">IFERROR(__xludf.DUMMYFUNCTION("""COMPUTED_VALUE"""),62.72)</f>
        <v>62.72</v>
      </c>
      <c r="X585" s="3">
        <f ca="1">IFERROR(__xludf.DUMMYFUNCTION("""COMPUTED_VALUE"""),10390508)</f>
        <v>10390508</v>
      </c>
      <c r="Y585" s="4">
        <f ca="1">IFERROR(__xludf.DUMMYFUNCTION("""COMPUTED_VALUE"""),42971.6666666666)</f>
        <v>42971.666666666599</v>
      </c>
      <c r="Z585" s="3">
        <f ca="1">IFERROR(__xludf.DUMMYFUNCTION("""COMPUTED_VALUE"""),24.85)</f>
        <v>24.85</v>
      </c>
      <c r="AA585" s="3">
        <f ca="1">IFERROR(__xludf.DUMMYFUNCTION("""COMPUTED_VALUE"""),24.85)</f>
        <v>24.85</v>
      </c>
      <c r="AB585" s="3">
        <f ca="1">IFERROR(__xludf.DUMMYFUNCTION("""COMPUTED_VALUE"""),24.69)</f>
        <v>24.69</v>
      </c>
      <c r="AC585" s="3">
        <f ca="1">IFERROR(__xludf.DUMMYFUNCTION("""COMPUTED_VALUE"""),24.74)</f>
        <v>24.74</v>
      </c>
      <c r="AD585" s="3">
        <f ca="1">IFERROR(__xludf.DUMMYFUNCTION("""COMPUTED_VALUE"""),31067169)</f>
        <v>31067169</v>
      </c>
      <c r="AE585" s="4">
        <f ca="1">IFERROR(__xludf.DUMMYFUNCTION("""COMPUTED_VALUE"""),42971.6666666666)</f>
        <v>42971.666666666599</v>
      </c>
      <c r="AF585" s="3">
        <f ca="1">IFERROR(__xludf.DUMMYFUNCTION("""COMPUTED_VALUE"""),78.78)</f>
        <v>78.78</v>
      </c>
      <c r="AG585" s="3">
        <f ca="1">IFERROR(__xludf.DUMMYFUNCTION("""COMPUTED_VALUE"""),79.04)</f>
        <v>79.040000000000006</v>
      </c>
      <c r="AH585" s="3">
        <f ca="1">IFERROR(__xludf.DUMMYFUNCTION("""COMPUTED_VALUE"""),78.63)</f>
        <v>78.63</v>
      </c>
      <c r="AI585" s="3">
        <f ca="1">IFERROR(__xludf.DUMMYFUNCTION("""COMPUTED_VALUE"""),78.93)</f>
        <v>78.930000000000007</v>
      </c>
      <c r="AJ585" s="3">
        <f ca="1">IFERROR(__xludf.DUMMYFUNCTION("""COMPUTED_VALUE"""),5502816)</f>
        <v>5502816</v>
      </c>
      <c r="AK585" s="4">
        <f ca="1">IFERROR(__xludf.DUMMYFUNCTION("""COMPUTED_VALUE"""),42971.6666666666)</f>
        <v>42971.666666666599</v>
      </c>
      <c r="AL585" s="3">
        <f ca="1">IFERROR(__xludf.DUMMYFUNCTION("""COMPUTED_VALUE"""),67.56)</f>
        <v>67.56</v>
      </c>
      <c r="AM585" s="3">
        <f ca="1">IFERROR(__xludf.DUMMYFUNCTION("""COMPUTED_VALUE"""),67.58)</f>
        <v>67.58</v>
      </c>
      <c r="AN585" s="3">
        <f ca="1">IFERROR(__xludf.DUMMYFUNCTION("""COMPUTED_VALUE"""),67.15)</f>
        <v>67.150000000000006</v>
      </c>
      <c r="AO585" s="3">
        <f ca="1">IFERROR(__xludf.DUMMYFUNCTION("""COMPUTED_VALUE"""),67.18)</f>
        <v>67.180000000000007</v>
      </c>
      <c r="AP585" s="3">
        <f ca="1">IFERROR(__xludf.DUMMYFUNCTION("""COMPUTED_VALUE"""),7917391)</f>
        <v>7917391</v>
      </c>
      <c r="AQ585" s="4">
        <f ca="1">IFERROR(__xludf.DUMMYFUNCTION("""COMPUTED_VALUE"""),42971.6666666666)</f>
        <v>42971.666666666599</v>
      </c>
      <c r="AR585" s="3">
        <f ca="1">IFERROR(__xludf.DUMMYFUNCTION("""COMPUTED_VALUE"""),54.35)</f>
        <v>54.35</v>
      </c>
      <c r="AS585" s="3">
        <f ca="1">IFERROR(__xludf.DUMMYFUNCTION("""COMPUTED_VALUE"""),54.45)</f>
        <v>54.45</v>
      </c>
      <c r="AT585" s="3">
        <f ca="1">IFERROR(__xludf.DUMMYFUNCTION("""COMPUTED_VALUE"""),54.19)</f>
        <v>54.19</v>
      </c>
      <c r="AU585" s="3">
        <f ca="1">IFERROR(__xludf.DUMMYFUNCTION("""COMPUTED_VALUE"""),54.26)</f>
        <v>54.26</v>
      </c>
      <c r="AV585" s="3">
        <f ca="1">IFERROR(__xludf.DUMMYFUNCTION("""COMPUTED_VALUE"""),2665166)</f>
        <v>2665166</v>
      </c>
      <c r="BC585" s="4">
        <f ca="1">IFERROR(__xludf.DUMMYFUNCTION("""COMPUTED_VALUE"""),42971.6666666666)</f>
        <v>42971.666666666599</v>
      </c>
      <c r="BD585" s="3">
        <f ca="1">IFERROR(__xludf.DUMMYFUNCTION("""COMPUTED_VALUE"""),57.9)</f>
        <v>57.9</v>
      </c>
      <c r="BE585" s="3">
        <f ca="1">IFERROR(__xludf.DUMMYFUNCTION("""COMPUTED_VALUE"""),57.96)</f>
        <v>57.96</v>
      </c>
      <c r="BF585" s="3">
        <f ca="1">IFERROR(__xludf.DUMMYFUNCTION("""COMPUTED_VALUE"""),57.42)</f>
        <v>57.42</v>
      </c>
      <c r="BG585" s="3">
        <f ca="1">IFERROR(__xludf.DUMMYFUNCTION("""COMPUTED_VALUE"""),57.71)</f>
        <v>57.71</v>
      </c>
      <c r="BH585" s="3">
        <f ca="1">IFERROR(__xludf.DUMMYFUNCTION("""COMPUTED_VALUE"""),8094109)</f>
        <v>8094109</v>
      </c>
      <c r="BI585" s="4">
        <f ca="1">IFERROR(__xludf.DUMMYFUNCTION("""COMPUTED_VALUE"""),42971.6666666666)</f>
        <v>42971.666666666599</v>
      </c>
      <c r="BJ585" s="3">
        <f ca="1">IFERROR(__xludf.DUMMYFUNCTION("""COMPUTED_VALUE"""),54.97)</f>
        <v>54.97</v>
      </c>
      <c r="BK585" s="3">
        <f ca="1">IFERROR(__xludf.DUMMYFUNCTION("""COMPUTED_VALUE"""),55.09)</f>
        <v>55.09</v>
      </c>
      <c r="BL585" s="3">
        <f ca="1">IFERROR(__xludf.DUMMYFUNCTION("""COMPUTED_VALUE"""),54.86)</f>
        <v>54.86</v>
      </c>
      <c r="BM585" s="3">
        <f ca="1">IFERROR(__xludf.DUMMYFUNCTION("""COMPUTED_VALUE"""),54.96)</f>
        <v>54.96</v>
      </c>
      <c r="BN585" s="3">
        <f ca="1">IFERROR(__xludf.DUMMYFUNCTION("""COMPUTED_VALUE"""),7017355)</f>
        <v>7017355</v>
      </c>
    </row>
    <row r="586" spans="7:66" ht="13" x14ac:dyDescent="0.15">
      <c r="G586" s="4">
        <f ca="1">IFERROR(__xludf.DUMMYFUNCTION("""COMPUTED_VALUE"""),42972.6666666666)</f>
        <v>42972.666666666599</v>
      </c>
      <c r="H586" s="3">
        <f ca="1">IFERROR(__xludf.DUMMYFUNCTION("""COMPUTED_VALUE"""),88.67)</f>
        <v>88.67</v>
      </c>
      <c r="I586" s="3">
        <f ca="1">IFERROR(__xludf.DUMMYFUNCTION("""COMPUTED_VALUE"""),89.01)</f>
        <v>89.01</v>
      </c>
      <c r="J586" s="3">
        <f ca="1">IFERROR(__xludf.DUMMYFUNCTION("""COMPUTED_VALUE"""),88.47)</f>
        <v>88.47</v>
      </c>
      <c r="K586" s="3">
        <f ca="1">IFERROR(__xludf.DUMMYFUNCTION("""COMPUTED_VALUE"""),88.63)</f>
        <v>88.63</v>
      </c>
      <c r="L586" s="3">
        <f ca="1">IFERROR(__xludf.DUMMYFUNCTION("""COMPUTED_VALUE"""),3244564)</f>
        <v>3244564</v>
      </c>
      <c r="M586" s="4">
        <f ca="1">IFERROR(__xludf.DUMMYFUNCTION("""COMPUTED_VALUE"""),42972.6666666666)</f>
        <v>42972.666666666599</v>
      </c>
      <c r="N586" s="3">
        <f ca="1">IFERROR(__xludf.DUMMYFUNCTION("""COMPUTED_VALUE"""),54.7)</f>
        <v>54.7</v>
      </c>
      <c r="O586" s="3">
        <f ca="1">IFERROR(__xludf.DUMMYFUNCTION("""COMPUTED_VALUE"""),54.89)</f>
        <v>54.89</v>
      </c>
      <c r="P586" s="3">
        <f ca="1">IFERROR(__xludf.DUMMYFUNCTION("""COMPUTED_VALUE"""),54.64)</f>
        <v>54.64</v>
      </c>
      <c r="Q586" s="3">
        <f ca="1">IFERROR(__xludf.DUMMYFUNCTION("""COMPUTED_VALUE"""),54.67)</f>
        <v>54.67</v>
      </c>
      <c r="R586" s="3">
        <f ca="1">IFERROR(__xludf.DUMMYFUNCTION("""COMPUTED_VALUE"""),7359198)</f>
        <v>7359198</v>
      </c>
      <c r="S586" s="4">
        <f ca="1">IFERROR(__xludf.DUMMYFUNCTION("""COMPUTED_VALUE"""),42972.6666666666)</f>
        <v>42972.666666666599</v>
      </c>
      <c r="T586" s="3">
        <f ca="1">IFERROR(__xludf.DUMMYFUNCTION("""COMPUTED_VALUE"""),62.84)</f>
        <v>62.84</v>
      </c>
      <c r="U586" s="3">
        <f ca="1">IFERROR(__xludf.DUMMYFUNCTION("""COMPUTED_VALUE"""),63.25)</f>
        <v>63.25</v>
      </c>
      <c r="V586" s="3">
        <f ca="1">IFERROR(__xludf.DUMMYFUNCTION("""COMPUTED_VALUE"""),62.82)</f>
        <v>62.82</v>
      </c>
      <c r="W586" s="3">
        <f ca="1">IFERROR(__xludf.DUMMYFUNCTION("""COMPUTED_VALUE"""),63)</f>
        <v>63</v>
      </c>
      <c r="X586" s="3">
        <f ca="1">IFERROR(__xludf.DUMMYFUNCTION("""COMPUTED_VALUE"""),8220210)</f>
        <v>8220210</v>
      </c>
      <c r="Y586" s="4">
        <f ca="1">IFERROR(__xludf.DUMMYFUNCTION("""COMPUTED_VALUE"""),42972.6666666666)</f>
        <v>42972.666666666599</v>
      </c>
      <c r="Z586" s="3">
        <f ca="1">IFERROR(__xludf.DUMMYFUNCTION("""COMPUTED_VALUE"""),24.79)</f>
        <v>24.79</v>
      </c>
      <c r="AA586" s="3">
        <f ca="1">IFERROR(__xludf.DUMMYFUNCTION("""COMPUTED_VALUE"""),24.92)</f>
        <v>24.92</v>
      </c>
      <c r="AB586" s="3">
        <f ca="1">IFERROR(__xludf.DUMMYFUNCTION("""COMPUTED_VALUE"""),24.78)</f>
        <v>24.78</v>
      </c>
      <c r="AC586" s="3">
        <f ca="1">IFERROR(__xludf.DUMMYFUNCTION("""COMPUTED_VALUE"""),24.81)</f>
        <v>24.81</v>
      </c>
      <c r="AD586" s="3">
        <f ca="1">IFERROR(__xludf.DUMMYFUNCTION("""COMPUTED_VALUE"""),37177271)</f>
        <v>37177271</v>
      </c>
      <c r="AE586" s="4">
        <f ca="1">IFERROR(__xludf.DUMMYFUNCTION("""COMPUTED_VALUE"""),42972.6666666666)</f>
        <v>42972.666666666599</v>
      </c>
      <c r="AF586" s="3">
        <f ca="1">IFERROR(__xludf.DUMMYFUNCTION("""COMPUTED_VALUE"""),79.1)</f>
        <v>79.099999999999994</v>
      </c>
      <c r="AG586" s="3">
        <f ca="1">IFERROR(__xludf.DUMMYFUNCTION("""COMPUTED_VALUE"""),79.4)</f>
        <v>79.400000000000006</v>
      </c>
      <c r="AH586" s="3">
        <f ca="1">IFERROR(__xludf.DUMMYFUNCTION("""COMPUTED_VALUE"""),78.89)</f>
        <v>78.89</v>
      </c>
      <c r="AI586" s="3">
        <f ca="1">IFERROR(__xludf.DUMMYFUNCTION("""COMPUTED_VALUE"""),78.95)</f>
        <v>78.95</v>
      </c>
      <c r="AJ586" s="3">
        <f ca="1">IFERROR(__xludf.DUMMYFUNCTION("""COMPUTED_VALUE"""),5476522)</f>
        <v>5476522</v>
      </c>
      <c r="AK586" s="4">
        <f ca="1">IFERROR(__xludf.DUMMYFUNCTION("""COMPUTED_VALUE"""),42972.6666666666)</f>
        <v>42972.666666666599</v>
      </c>
      <c r="AL586" s="3">
        <f ca="1">IFERROR(__xludf.DUMMYFUNCTION("""COMPUTED_VALUE"""),67.49)</f>
        <v>67.489999999999995</v>
      </c>
      <c r="AM586" s="3">
        <f ca="1">IFERROR(__xludf.DUMMYFUNCTION("""COMPUTED_VALUE"""),67.76)</f>
        <v>67.760000000000005</v>
      </c>
      <c r="AN586" s="3">
        <f ca="1">IFERROR(__xludf.DUMMYFUNCTION("""COMPUTED_VALUE"""),67.41)</f>
        <v>67.41</v>
      </c>
      <c r="AO586" s="3">
        <f ca="1">IFERROR(__xludf.DUMMYFUNCTION("""COMPUTED_VALUE"""),67.5)</f>
        <v>67.5</v>
      </c>
      <c r="AP586" s="3">
        <f ca="1">IFERROR(__xludf.DUMMYFUNCTION("""COMPUTED_VALUE"""),7846272)</f>
        <v>7846272</v>
      </c>
      <c r="AQ586" s="4">
        <f ca="1">IFERROR(__xludf.DUMMYFUNCTION("""COMPUTED_VALUE"""),42972.6666666666)</f>
        <v>42972.666666666599</v>
      </c>
      <c r="AR586" s="3">
        <f ca="1">IFERROR(__xludf.DUMMYFUNCTION("""COMPUTED_VALUE"""),54.46)</f>
        <v>54.46</v>
      </c>
      <c r="AS586" s="3">
        <f ca="1">IFERROR(__xludf.DUMMYFUNCTION("""COMPUTED_VALUE"""),54.55)</f>
        <v>54.55</v>
      </c>
      <c r="AT586" s="3">
        <f ca="1">IFERROR(__xludf.DUMMYFUNCTION("""COMPUTED_VALUE"""),54.32)</f>
        <v>54.32</v>
      </c>
      <c r="AU586" s="3">
        <f ca="1">IFERROR(__xludf.DUMMYFUNCTION("""COMPUTED_VALUE"""),54.43)</f>
        <v>54.43</v>
      </c>
      <c r="AV586" s="3">
        <f ca="1">IFERROR(__xludf.DUMMYFUNCTION("""COMPUTED_VALUE"""),2914439)</f>
        <v>2914439</v>
      </c>
      <c r="BC586" s="4">
        <f ca="1">IFERROR(__xludf.DUMMYFUNCTION("""COMPUTED_VALUE"""),42972.6666666666)</f>
        <v>42972.666666666599</v>
      </c>
      <c r="BD586" s="3">
        <f ca="1">IFERROR(__xludf.DUMMYFUNCTION("""COMPUTED_VALUE"""),57.9)</f>
        <v>57.9</v>
      </c>
      <c r="BE586" s="3">
        <f ca="1">IFERROR(__xludf.DUMMYFUNCTION("""COMPUTED_VALUE"""),58.07)</f>
        <v>58.07</v>
      </c>
      <c r="BF586" s="3">
        <f ca="1">IFERROR(__xludf.DUMMYFUNCTION("""COMPUTED_VALUE"""),57.58)</f>
        <v>57.58</v>
      </c>
      <c r="BG586" s="3">
        <f ca="1">IFERROR(__xludf.DUMMYFUNCTION("""COMPUTED_VALUE"""),57.7)</f>
        <v>57.7</v>
      </c>
      <c r="BH586" s="3">
        <f ca="1">IFERROR(__xludf.DUMMYFUNCTION("""COMPUTED_VALUE"""),8333057)</f>
        <v>8333057</v>
      </c>
      <c r="BI586" s="4">
        <f ca="1">IFERROR(__xludf.DUMMYFUNCTION("""COMPUTED_VALUE"""),42972.6666666666)</f>
        <v>42972.666666666599</v>
      </c>
      <c r="BJ586" s="3">
        <f ca="1">IFERROR(__xludf.DUMMYFUNCTION("""COMPUTED_VALUE"""),55.09)</f>
        <v>55.09</v>
      </c>
      <c r="BK586" s="3">
        <f ca="1">IFERROR(__xludf.DUMMYFUNCTION("""COMPUTED_VALUE"""),55.34)</f>
        <v>55.34</v>
      </c>
      <c r="BL586" s="3">
        <f ca="1">IFERROR(__xludf.DUMMYFUNCTION("""COMPUTED_VALUE"""),54.96)</f>
        <v>54.96</v>
      </c>
      <c r="BM586" s="3">
        <f ca="1">IFERROR(__xludf.DUMMYFUNCTION("""COMPUTED_VALUE"""),55.14)</f>
        <v>55.14</v>
      </c>
      <c r="BN586" s="3">
        <f ca="1">IFERROR(__xludf.DUMMYFUNCTION("""COMPUTED_VALUE"""),7861816)</f>
        <v>7861816</v>
      </c>
    </row>
    <row r="587" spans="7:66" ht="13" x14ac:dyDescent="0.15">
      <c r="G587" s="4">
        <f ca="1">IFERROR(__xludf.DUMMYFUNCTION("""COMPUTED_VALUE"""),42975.6666666666)</f>
        <v>42975.666666666599</v>
      </c>
      <c r="H587" s="3">
        <f ca="1">IFERROR(__xludf.DUMMYFUNCTION("""COMPUTED_VALUE"""),88.92)</f>
        <v>88.92</v>
      </c>
      <c r="I587" s="3">
        <f ca="1">IFERROR(__xludf.DUMMYFUNCTION("""COMPUTED_VALUE"""),88.98)</f>
        <v>88.98</v>
      </c>
      <c r="J587" s="3">
        <f ca="1">IFERROR(__xludf.DUMMYFUNCTION("""COMPUTED_VALUE"""),88.56)</f>
        <v>88.56</v>
      </c>
      <c r="K587" s="3">
        <f ca="1">IFERROR(__xludf.DUMMYFUNCTION("""COMPUTED_VALUE"""),88.68)</f>
        <v>88.68</v>
      </c>
      <c r="L587" s="3">
        <f ca="1">IFERROR(__xludf.DUMMYFUNCTION("""COMPUTED_VALUE"""),2184210)</f>
        <v>2184210</v>
      </c>
      <c r="M587" s="4">
        <f ca="1">IFERROR(__xludf.DUMMYFUNCTION("""COMPUTED_VALUE"""),42975.6666666666)</f>
        <v>42975.666666666599</v>
      </c>
      <c r="N587" s="3">
        <f ca="1">IFERROR(__xludf.DUMMYFUNCTION("""COMPUTED_VALUE"""),54.62)</f>
        <v>54.62</v>
      </c>
      <c r="O587" s="3">
        <f ca="1">IFERROR(__xludf.DUMMYFUNCTION("""COMPUTED_VALUE"""),54.69)</f>
        <v>54.69</v>
      </c>
      <c r="P587" s="3">
        <f ca="1">IFERROR(__xludf.DUMMYFUNCTION("""COMPUTED_VALUE"""),54.35)</f>
        <v>54.35</v>
      </c>
      <c r="Q587" s="3">
        <f ca="1">IFERROR(__xludf.DUMMYFUNCTION("""COMPUTED_VALUE"""),54.51)</f>
        <v>54.51</v>
      </c>
      <c r="R587" s="3">
        <f ca="1">IFERROR(__xludf.DUMMYFUNCTION("""COMPUTED_VALUE"""),6204742)</f>
        <v>6204742</v>
      </c>
      <c r="S587" s="4">
        <f ca="1">IFERROR(__xludf.DUMMYFUNCTION("""COMPUTED_VALUE"""),42975.6666666666)</f>
        <v>42975.666666666599</v>
      </c>
      <c r="T587" s="3">
        <f ca="1">IFERROR(__xludf.DUMMYFUNCTION("""COMPUTED_VALUE"""),63.03)</f>
        <v>63.03</v>
      </c>
      <c r="U587" s="3">
        <f ca="1">IFERROR(__xludf.DUMMYFUNCTION("""COMPUTED_VALUE"""),63.24)</f>
        <v>63.24</v>
      </c>
      <c r="V587" s="3">
        <f ca="1">IFERROR(__xludf.DUMMYFUNCTION("""COMPUTED_VALUE"""),62.38)</f>
        <v>62.38</v>
      </c>
      <c r="W587" s="3">
        <f ca="1">IFERROR(__xludf.DUMMYFUNCTION("""COMPUTED_VALUE"""),62.72)</f>
        <v>62.72</v>
      </c>
      <c r="X587" s="3">
        <f ca="1">IFERROR(__xludf.DUMMYFUNCTION("""COMPUTED_VALUE"""),9956048)</f>
        <v>9956048</v>
      </c>
      <c r="Y587" s="4">
        <f ca="1">IFERROR(__xludf.DUMMYFUNCTION("""COMPUTED_VALUE"""),42975.6666666666)</f>
        <v>42975.666666666599</v>
      </c>
      <c r="Z587" s="3">
        <f ca="1">IFERROR(__xludf.DUMMYFUNCTION("""COMPUTED_VALUE"""),24.83)</f>
        <v>24.83</v>
      </c>
      <c r="AA587" s="3">
        <f ca="1">IFERROR(__xludf.DUMMYFUNCTION("""COMPUTED_VALUE"""),24.84)</f>
        <v>24.84</v>
      </c>
      <c r="AB587" s="3">
        <f ca="1">IFERROR(__xludf.DUMMYFUNCTION("""COMPUTED_VALUE"""),24.59)</f>
        <v>24.59</v>
      </c>
      <c r="AC587" s="3">
        <f ca="1">IFERROR(__xludf.DUMMYFUNCTION("""COMPUTED_VALUE"""),24.65)</f>
        <v>24.65</v>
      </c>
      <c r="AD587" s="3">
        <f ca="1">IFERROR(__xludf.DUMMYFUNCTION("""COMPUTED_VALUE"""),36486934)</f>
        <v>36486934</v>
      </c>
      <c r="AE587" s="4">
        <f ca="1">IFERROR(__xludf.DUMMYFUNCTION("""COMPUTED_VALUE"""),42975.6666666666)</f>
        <v>42975.666666666599</v>
      </c>
      <c r="AF587" s="3">
        <f ca="1">IFERROR(__xludf.DUMMYFUNCTION("""COMPUTED_VALUE"""),79.17)</f>
        <v>79.17</v>
      </c>
      <c r="AG587" s="3">
        <f ca="1">IFERROR(__xludf.DUMMYFUNCTION("""COMPUTED_VALUE"""),79.5)</f>
        <v>79.5</v>
      </c>
      <c r="AH587" s="3">
        <f ca="1">IFERROR(__xludf.DUMMYFUNCTION("""COMPUTED_VALUE"""),79.15)</f>
        <v>79.150000000000006</v>
      </c>
      <c r="AI587" s="3">
        <f ca="1">IFERROR(__xludf.DUMMYFUNCTION("""COMPUTED_VALUE"""),79.37)</f>
        <v>79.37</v>
      </c>
      <c r="AJ587" s="3">
        <f ca="1">IFERROR(__xludf.DUMMYFUNCTION("""COMPUTED_VALUE"""),7432771)</f>
        <v>7432771</v>
      </c>
      <c r="AK587" s="4">
        <f ca="1">IFERROR(__xludf.DUMMYFUNCTION("""COMPUTED_VALUE"""),42975.6666666666)</f>
        <v>42975.666666666599</v>
      </c>
      <c r="AL587" s="3">
        <f ca="1">IFERROR(__xludf.DUMMYFUNCTION("""COMPUTED_VALUE"""),67.65)</f>
        <v>67.650000000000006</v>
      </c>
      <c r="AM587" s="3">
        <f ca="1">IFERROR(__xludf.DUMMYFUNCTION("""COMPUTED_VALUE"""),67.72)</f>
        <v>67.72</v>
      </c>
      <c r="AN587" s="3">
        <f ca="1">IFERROR(__xludf.DUMMYFUNCTION("""COMPUTED_VALUE"""),67.36)</f>
        <v>67.36</v>
      </c>
      <c r="AO587" s="3">
        <f ca="1">IFERROR(__xludf.DUMMYFUNCTION("""COMPUTED_VALUE"""),67.46)</f>
        <v>67.459999999999994</v>
      </c>
      <c r="AP587" s="3">
        <f ca="1">IFERROR(__xludf.DUMMYFUNCTION("""COMPUTED_VALUE"""),5999215)</f>
        <v>5999215</v>
      </c>
      <c r="AQ587" s="4">
        <f ca="1">IFERROR(__xludf.DUMMYFUNCTION("""COMPUTED_VALUE"""),42975.6666666666)</f>
        <v>42975.666666666599</v>
      </c>
      <c r="AR587" s="3">
        <f ca="1">IFERROR(__xludf.DUMMYFUNCTION("""COMPUTED_VALUE"""),54.63)</f>
        <v>54.63</v>
      </c>
      <c r="AS587" s="3">
        <f ca="1">IFERROR(__xludf.DUMMYFUNCTION("""COMPUTED_VALUE"""),54.63)</f>
        <v>54.63</v>
      </c>
      <c r="AT587" s="3">
        <f ca="1">IFERROR(__xludf.DUMMYFUNCTION("""COMPUTED_VALUE"""),54.28)</f>
        <v>54.28</v>
      </c>
      <c r="AU587" s="3">
        <f ca="1">IFERROR(__xludf.DUMMYFUNCTION("""COMPUTED_VALUE"""),54.51)</f>
        <v>54.51</v>
      </c>
      <c r="AV587" s="3">
        <f ca="1">IFERROR(__xludf.DUMMYFUNCTION("""COMPUTED_VALUE"""),2310809)</f>
        <v>2310809</v>
      </c>
      <c r="BC587" s="4">
        <f ca="1">IFERROR(__xludf.DUMMYFUNCTION("""COMPUTED_VALUE"""),42975.6666666666)</f>
        <v>42975.666666666599</v>
      </c>
      <c r="BD587" s="3">
        <f ca="1">IFERROR(__xludf.DUMMYFUNCTION("""COMPUTED_VALUE"""),57.84)</f>
        <v>57.84</v>
      </c>
      <c r="BE587" s="3">
        <f ca="1">IFERROR(__xludf.DUMMYFUNCTION("""COMPUTED_VALUE"""),57.92)</f>
        <v>57.92</v>
      </c>
      <c r="BF587" s="3">
        <f ca="1">IFERROR(__xludf.DUMMYFUNCTION("""COMPUTED_VALUE"""),57.65)</f>
        <v>57.65</v>
      </c>
      <c r="BG587" s="3">
        <f ca="1">IFERROR(__xludf.DUMMYFUNCTION("""COMPUTED_VALUE"""),57.81)</f>
        <v>57.81</v>
      </c>
      <c r="BH587" s="3">
        <f ca="1">IFERROR(__xludf.DUMMYFUNCTION("""COMPUTED_VALUE"""),5993304)</f>
        <v>5993304</v>
      </c>
      <c r="BI587" s="4">
        <f ca="1">IFERROR(__xludf.DUMMYFUNCTION("""COMPUTED_VALUE"""),42975.6666666666)</f>
        <v>42975.666666666599</v>
      </c>
      <c r="BJ587" s="3">
        <f ca="1">IFERROR(__xludf.DUMMYFUNCTION("""COMPUTED_VALUE"""),55.33)</f>
        <v>55.33</v>
      </c>
      <c r="BK587" s="3">
        <f ca="1">IFERROR(__xludf.DUMMYFUNCTION("""COMPUTED_VALUE"""),55.33)</f>
        <v>55.33</v>
      </c>
      <c r="BL587" s="3">
        <f ca="1">IFERROR(__xludf.DUMMYFUNCTION("""COMPUTED_VALUE"""),54.98)</f>
        <v>54.98</v>
      </c>
      <c r="BM587" s="3">
        <f ca="1">IFERROR(__xludf.DUMMYFUNCTION("""COMPUTED_VALUE"""),55.24)</f>
        <v>55.24</v>
      </c>
      <c r="BN587" s="3">
        <f ca="1">IFERROR(__xludf.DUMMYFUNCTION("""COMPUTED_VALUE"""),7872678)</f>
        <v>7872678</v>
      </c>
    </row>
    <row r="588" spans="7:66" ht="13" x14ac:dyDescent="0.15">
      <c r="G588" s="4">
        <f ca="1">IFERROR(__xludf.DUMMYFUNCTION("""COMPUTED_VALUE"""),42976.6666666666)</f>
        <v>42976.666666666599</v>
      </c>
      <c r="H588" s="3">
        <f ca="1">IFERROR(__xludf.DUMMYFUNCTION("""COMPUTED_VALUE"""),88.11)</f>
        <v>88.11</v>
      </c>
      <c r="I588" s="3">
        <f ca="1">IFERROR(__xludf.DUMMYFUNCTION("""COMPUTED_VALUE"""),88.7)</f>
        <v>88.7</v>
      </c>
      <c r="J588" s="3">
        <f ca="1">IFERROR(__xludf.DUMMYFUNCTION("""COMPUTED_VALUE"""),87.97)</f>
        <v>87.97</v>
      </c>
      <c r="K588" s="3">
        <f ca="1">IFERROR(__xludf.DUMMYFUNCTION("""COMPUTED_VALUE"""),88.6)</f>
        <v>88.6</v>
      </c>
      <c r="L588" s="3">
        <f ca="1">IFERROR(__xludf.DUMMYFUNCTION("""COMPUTED_VALUE"""),2755578)</f>
        <v>2755578</v>
      </c>
      <c r="M588" s="4">
        <f ca="1">IFERROR(__xludf.DUMMYFUNCTION("""COMPUTED_VALUE"""),42976.6666666666)</f>
        <v>42976.666666666599</v>
      </c>
      <c r="N588" s="3">
        <f ca="1">IFERROR(__xludf.DUMMYFUNCTION("""COMPUTED_VALUE"""),54.44)</f>
        <v>54.44</v>
      </c>
      <c r="O588" s="3">
        <f ca="1">IFERROR(__xludf.DUMMYFUNCTION("""COMPUTED_VALUE"""),54.75)</f>
        <v>54.75</v>
      </c>
      <c r="P588" s="3">
        <f ca="1">IFERROR(__xludf.DUMMYFUNCTION("""COMPUTED_VALUE"""),54.39)</f>
        <v>54.39</v>
      </c>
      <c r="Q588" s="3">
        <f ca="1">IFERROR(__xludf.DUMMYFUNCTION("""COMPUTED_VALUE"""),54.7)</f>
        <v>54.7</v>
      </c>
      <c r="R588" s="3">
        <f ca="1">IFERROR(__xludf.DUMMYFUNCTION("""COMPUTED_VALUE"""),6219484)</f>
        <v>6219484</v>
      </c>
      <c r="S588" s="4">
        <f ca="1">IFERROR(__xludf.DUMMYFUNCTION("""COMPUTED_VALUE"""),42976.6666666666)</f>
        <v>42976.666666666599</v>
      </c>
      <c r="T588" s="3">
        <f ca="1">IFERROR(__xludf.DUMMYFUNCTION("""COMPUTED_VALUE"""),62.42)</f>
        <v>62.42</v>
      </c>
      <c r="U588" s="3">
        <f ca="1">IFERROR(__xludf.DUMMYFUNCTION("""COMPUTED_VALUE"""),62.72)</f>
        <v>62.72</v>
      </c>
      <c r="V588" s="3">
        <f ca="1">IFERROR(__xludf.DUMMYFUNCTION("""COMPUTED_VALUE"""),62.18)</f>
        <v>62.18</v>
      </c>
      <c r="W588" s="3">
        <f ca="1">IFERROR(__xludf.DUMMYFUNCTION("""COMPUTED_VALUE"""),62.64)</f>
        <v>62.64</v>
      </c>
      <c r="X588" s="3">
        <f ca="1">IFERROR(__xludf.DUMMYFUNCTION("""COMPUTED_VALUE"""),8727081)</f>
        <v>8727081</v>
      </c>
      <c r="Y588" s="4">
        <f ca="1">IFERROR(__xludf.DUMMYFUNCTION("""COMPUTED_VALUE"""),42976.6666666666)</f>
        <v>42976.666666666599</v>
      </c>
      <c r="Z588" s="3">
        <f ca="1">IFERROR(__xludf.DUMMYFUNCTION("""COMPUTED_VALUE"""),24.37)</f>
        <v>24.37</v>
      </c>
      <c r="AA588" s="3">
        <f ca="1">IFERROR(__xludf.DUMMYFUNCTION("""COMPUTED_VALUE"""),24.61)</f>
        <v>24.61</v>
      </c>
      <c r="AB588" s="3">
        <f ca="1">IFERROR(__xludf.DUMMYFUNCTION("""COMPUTED_VALUE"""),24.35)</f>
        <v>24.35</v>
      </c>
      <c r="AC588" s="3">
        <f ca="1">IFERROR(__xludf.DUMMYFUNCTION("""COMPUTED_VALUE"""),24.57)</f>
        <v>24.57</v>
      </c>
      <c r="AD588" s="3">
        <f ca="1">IFERROR(__xludf.DUMMYFUNCTION("""COMPUTED_VALUE"""),42814209)</f>
        <v>42814209</v>
      </c>
      <c r="AE588" s="4">
        <f ca="1">IFERROR(__xludf.DUMMYFUNCTION("""COMPUTED_VALUE"""),42976.6666666666)</f>
        <v>42976.666666666599</v>
      </c>
      <c r="AF588" s="3">
        <f ca="1">IFERROR(__xludf.DUMMYFUNCTION("""COMPUTED_VALUE"""),79.04)</f>
        <v>79.040000000000006</v>
      </c>
      <c r="AG588" s="3">
        <f ca="1">IFERROR(__xludf.DUMMYFUNCTION("""COMPUTED_VALUE"""),79.6)</f>
        <v>79.599999999999994</v>
      </c>
      <c r="AH588" s="3">
        <f ca="1">IFERROR(__xludf.DUMMYFUNCTION("""COMPUTED_VALUE"""),78.97)</f>
        <v>78.97</v>
      </c>
      <c r="AI588" s="3">
        <f ca="1">IFERROR(__xludf.DUMMYFUNCTION("""COMPUTED_VALUE"""),79.52)</f>
        <v>79.52</v>
      </c>
      <c r="AJ588" s="3">
        <f ca="1">IFERROR(__xludf.DUMMYFUNCTION("""COMPUTED_VALUE"""),4243532)</f>
        <v>4243532</v>
      </c>
      <c r="AK588" s="4">
        <f ca="1">IFERROR(__xludf.DUMMYFUNCTION("""COMPUTED_VALUE"""),42976.6666666666)</f>
        <v>42976.666666666599</v>
      </c>
      <c r="AL588" s="3">
        <f ca="1">IFERROR(__xludf.DUMMYFUNCTION("""COMPUTED_VALUE"""),67.24)</f>
        <v>67.239999999999995</v>
      </c>
      <c r="AM588" s="3">
        <f ca="1">IFERROR(__xludf.DUMMYFUNCTION("""COMPUTED_VALUE"""),68.01)</f>
        <v>68.010000000000005</v>
      </c>
      <c r="AN588" s="3">
        <f ca="1">IFERROR(__xludf.DUMMYFUNCTION("""COMPUTED_VALUE"""),67.08)</f>
        <v>67.08</v>
      </c>
      <c r="AO588" s="3">
        <f ca="1">IFERROR(__xludf.DUMMYFUNCTION("""COMPUTED_VALUE"""),67.95)</f>
        <v>67.95</v>
      </c>
      <c r="AP588" s="3">
        <f ca="1">IFERROR(__xludf.DUMMYFUNCTION("""COMPUTED_VALUE"""),8150182)</f>
        <v>8150182</v>
      </c>
      <c r="AQ588" s="4">
        <f ca="1">IFERROR(__xludf.DUMMYFUNCTION("""COMPUTED_VALUE"""),42976.6666666666)</f>
        <v>42976.666666666599</v>
      </c>
      <c r="AR588" s="3">
        <f ca="1">IFERROR(__xludf.DUMMYFUNCTION("""COMPUTED_VALUE"""),54.18)</f>
        <v>54.18</v>
      </c>
      <c r="AS588" s="3">
        <f ca="1">IFERROR(__xludf.DUMMYFUNCTION("""COMPUTED_VALUE"""),54.32)</f>
        <v>54.32</v>
      </c>
      <c r="AT588" s="3">
        <f ca="1">IFERROR(__xludf.DUMMYFUNCTION("""COMPUTED_VALUE"""),54.04)</f>
        <v>54.04</v>
      </c>
      <c r="AU588" s="3">
        <f ca="1">IFERROR(__xludf.DUMMYFUNCTION("""COMPUTED_VALUE"""),54.25)</f>
        <v>54.25</v>
      </c>
      <c r="AV588" s="3">
        <f ca="1">IFERROR(__xludf.DUMMYFUNCTION("""COMPUTED_VALUE"""),3009808)</f>
        <v>3009808</v>
      </c>
      <c r="BC588" s="4">
        <f ca="1">IFERROR(__xludf.DUMMYFUNCTION("""COMPUTED_VALUE"""),42976.6666666666)</f>
        <v>42976.666666666599</v>
      </c>
      <c r="BD588" s="3">
        <f ca="1">IFERROR(__xludf.DUMMYFUNCTION("""COMPUTED_VALUE"""),57.34)</f>
        <v>57.34</v>
      </c>
      <c r="BE588" s="3">
        <f ca="1">IFERROR(__xludf.DUMMYFUNCTION("""COMPUTED_VALUE"""),58.14)</f>
        <v>58.14</v>
      </c>
      <c r="BF588" s="3">
        <f ca="1">IFERROR(__xludf.DUMMYFUNCTION("""COMPUTED_VALUE"""),57.27)</f>
        <v>57.27</v>
      </c>
      <c r="BG588" s="3">
        <f ca="1">IFERROR(__xludf.DUMMYFUNCTION("""COMPUTED_VALUE"""),58.06)</f>
        <v>58.06</v>
      </c>
      <c r="BH588" s="3">
        <f ca="1">IFERROR(__xludf.DUMMYFUNCTION("""COMPUTED_VALUE"""),8689804)</f>
        <v>8689804</v>
      </c>
      <c r="BI588" s="4">
        <f ca="1">IFERROR(__xludf.DUMMYFUNCTION("""COMPUTED_VALUE"""),42976.6666666666)</f>
        <v>42976.666666666599</v>
      </c>
      <c r="BJ588" s="3">
        <f ca="1">IFERROR(__xludf.DUMMYFUNCTION("""COMPUTED_VALUE"""),55.33)</f>
        <v>55.33</v>
      </c>
      <c r="BK588" s="3">
        <f ca="1">IFERROR(__xludf.DUMMYFUNCTION("""COMPUTED_VALUE"""),55.42)</f>
        <v>55.42</v>
      </c>
      <c r="BL588" s="3">
        <f ca="1">IFERROR(__xludf.DUMMYFUNCTION("""COMPUTED_VALUE"""),55.11)</f>
        <v>55.11</v>
      </c>
      <c r="BM588" s="3">
        <f ca="1">IFERROR(__xludf.DUMMYFUNCTION("""COMPUTED_VALUE"""),55.12)</f>
        <v>55.12</v>
      </c>
      <c r="BN588" s="3">
        <f ca="1">IFERROR(__xludf.DUMMYFUNCTION("""COMPUTED_VALUE"""),7930279)</f>
        <v>7930279</v>
      </c>
    </row>
    <row r="589" spans="7:66" ht="13" x14ac:dyDescent="0.15">
      <c r="G589" s="4">
        <f ca="1">IFERROR(__xludf.DUMMYFUNCTION("""COMPUTED_VALUE"""),42977.6666666666)</f>
        <v>42977.666666666599</v>
      </c>
      <c r="H589" s="3">
        <f ca="1">IFERROR(__xludf.DUMMYFUNCTION("""COMPUTED_VALUE"""),88.65)</f>
        <v>88.65</v>
      </c>
      <c r="I589" s="3">
        <f ca="1">IFERROR(__xludf.DUMMYFUNCTION("""COMPUTED_VALUE"""),89.35)</f>
        <v>89.35</v>
      </c>
      <c r="J589" s="3">
        <f ca="1">IFERROR(__xludf.DUMMYFUNCTION("""COMPUTED_VALUE"""),88.56)</f>
        <v>88.56</v>
      </c>
      <c r="K589" s="3">
        <f ca="1">IFERROR(__xludf.DUMMYFUNCTION("""COMPUTED_VALUE"""),89.24)</f>
        <v>89.24</v>
      </c>
      <c r="L589" s="3">
        <f ca="1">IFERROR(__xludf.DUMMYFUNCTION("""COMPUTED_VALUE"""),2256426)</f>
        <v>2256426</v>
      </c>
      <c r="M589" s="4">
        <f ca="1">IFERROR(__xludf.DUMMYFUNCTION("""COMPUTED_VALUE"""),42977.6666666666)</f>
        <v>42977.666666666599</v>
      </c>
      <c r="N589" s="3">
        <f ca="1">IFERROR(__xludf.DUMMYFUNCTION("""COMPUTED_VALUE"""),54.6)</f>
        <v>54.6</v>
      </c>
      <c r="O589" s="3">
        <f ca="1">IFERROR(__xludf.DUMMYFUNCTION("""COMPUTED_VALUE"""),54.79)</f>
        <v>54.79</v>
      </c>
      <c r="P589" s="3">
        <f ca="1">IFERROR(__xludf.DUMMYFUNCTION("""COMPUTED_VALUE"""),54.59)</f>
        <v>54.59</v>
      </c>
      <c r="Q589" s="3">
        <f ca="1">IFERROR(__xludf.DUMMYFUNCTION("""COMPUTED_VALUE"""),54.69)</f>
        <v>54.69</v>
      </c>
      <c r="R589" s="3">
        <f ca="1">IFERROR(__xludf.DUMMYFUNCTION("""COMPUTED_VALUE"""),6497079)</f>
        <v>6497079</v>
      </c>
      <c r="S589" s="4">
        <f ca="1">IFERROR(__xludf.DUMMYFUNCTION("""COMPUTED_VALUE"""),42977.6666666666)</f>
        <v>42977.666666666599</v>
      </c>
      <c r="T589" s="3">
        <f ca="1">IFERROR(__xludf.DUMMYFUNCTION("""COMPUTED_VALUE"""),62.4)</f>
        <v>62.4</v>
      </c>
      <c r="U589" s="3">
        <f ca="1">IFERROR(__xludf.DUMMYFUNCTION("""COMPUTED_VALUE"""),62.86)</f>
        <v>62.86</v>
      </c>
      <c r="V589" s="3">
        <f ca="1">IFERROR(__xludf.DUMMYFUNCTION("""COMPUTED_VALUE"""),62.22)</f>
        <v>62.22</v>
      </c>
      <c r="W589" s="3">
        <f ca="1">IFERROR(__xludf.DUMMYFUNCTION("""COMPUTED_VALUE"""),62.67)</f>
        <v>62.67</v>
      </c>
      <c r="X589" s="3">
        <f ca="1">IFERROR(__xludf.DUMMYFUNCTION("""COMPUTED_VALUE"""),8664419)</f>
        <v>8664419</v>
      </c>
      <c r="Y589" s="4">
        <f ca="1">IFERROR(__xludf.DUMMYFUNCTION("""COMPUTED_VALUE"""),42977.6666666666)</f>
        <v>42977.666666666599</v>
      </c>
      <c r="Z589" s="3">
        <f ca="1">IFERROR(__xludf.DUMMYFUNCTION("""COMPUTED_VALUE"""),24.61)</f>
        <v>24.61</v>
      </c>
      <c r="AA589" s="3">
        <f ca="1">IFERROR(__xludf.DUMMYFUNCTION("""COMPUTED_VALUE"""),24.78)</f>
        <v>24.78</v>
      </c>
      <c r="AB589" s="3">
        <f ca="1">IFERROR(__xludf.DUMMYFUNCTION("""COMPUTED_VALUE"""),24.59)</f>
        <v>24.59</v>
      </c>
      <c r="AC589" s="3">
        <f ca="1">IFERROR(__xludf.DUMMYFUNCTION("""COMPUTED_VALUE"""),24.67)</f>
        <v>24.67</v>
      </c>
      <c r="AD589" s="3">
        <f ca="1">IFERROR(__xludf.DUMMYFUNCTION("""COMPUTED_VALUE"""),35176115)</f>
        <v>35176115</v>
      </c>
      <c r="AE589" s="4">
        <f ca="1">IFERROR(__xludf.DUMMYFUNCTION("""COMPUTED_VALUE"""),42977.6666666666)</f>
        <v>42977.666666666599</v>
      </c>
      <c r="AF589" s="3">
        <f ca="1">IFERROR(__xludf.DUMMYFUNCTION("""COMPUTED_VALUE"""),79.43)</f>
        <v>79.430000000000007</v>
      </c>
      <c r="AG589" s="3">
        <f ca="1">IFERROR(__xludf.DUMMYFUNCTION("""COMPUTED_VALUE"""),80.13)</f>
        <v>80.13</v>
      </c>
      <c r="AH589" s="3">
        <f ca="1">IFERROR(__xludf.DUMMYFUNCTION("""COMPUTED_VALUE"""),79.41)</f>
        <v>79.41</v>
      </c>
      <c r="AI589" s="3">
        <f ca="1">IFERROR(__xludf.DUMMYFUNCTION("""COMPUTED_VALUE"""),79.93)</f>
        <v>79.930000000000007</v>
      </c>
      <c r="AJ589" s="3">
        <f ca="1">IFERROR(__xludf.DUMMYFUNCTION("""COMPUTED_VALUE"""),3667897)</f>
        <v>3667897</v>
      </c>
      <c r="AK589" s="4">
        <f ca="1">IFERROR(__xludf.DUMMYFUNCTION("""COMPUTED_VALUE"""),42977.6666666666)</f>
        <v>42977.666666666599</v>
      </c>
      <c r="AL589" s="3">
        <f ca="1">IFERROR(__xludf.DUMMYFUNCTION("""COMPUTED_VALUE"""),68)</f>
        <v>68</v>
      </c>
      <c r="AM589" s="3">
        <f ca="1">IFERROR(__xludf.DUMMYFUNCTION("""COMPUTED_VALUE"""),68.26)</f>
        <v>68.260000000000005</v>
      </c>
      <c r="AN589" s="3">
        <f ca="1">IFERROR(__xludf.DUMMYFUNCTION("""COMPUTED_VALUE"""),67.86)</f>
        <v>67.86</v>
      </c>
      <c r="AO589" s="3">
        <f ca="1">IFERROR(__xludf.DUMMYFUNCTION("""COMPUTED_VALUE"""),68.23)</f>
        <v>68.23</v>
      </c>
      <c r="AP589" s="3">
        <f ca="1">IFERROR(__xludf.DUMMYFUNCTION("""COMPUTED_VALUE"""),5463266)</f>
        <v>5463266</v>
      </c>
      <c r="AQ589" s="4">
        <f ca="1">IFERROR(__xludf.DUMMYFUNCTION("""COMPUTED_VALUE"""),42977.6666666666)</f>
        <v>42977.666666666599</v>
      </c>
      <c r="AR589" s="3">
        <f ca="1">IFERROR(__xludf.DUMMYFUNCTION("""COMPUTED_VALUE"""),54.21)</f>
        <v>54.21</v>
      </c>
      <c r="AS589" s="3">
        <f ca="1">IFERROR(__xludf.DUMMYFUNCTION("""COMPUTED_VALUE"""),54.71)</f>
        <v>54.71</v>
      </c>
      <c r="AT589" s="3">
        <f ca="1">IFERROR(__xludf.DUMMYFUNCTION("""COMPUTED_VALUE"""),54.06)</f>
        <v>54.06</v>
      </c>
      <c r="AU589" s="3">
        <f ca="1">IFERROR(__xludf.DUMMYFUNCTION("""COMPUTED_VALUE"""),54.65)</f>
        <v>54.65</v>
      </c>
      <c r="AV589" s="3">
        <f ca="1">IFERROR(__xludf.DUMMYFUNCTION("""COMPUTED_VALUE"""),5141917)</f>
        <v>5141917</v>
      </c>
      <c r="BC589" s="4">
        <f ca="1">IFERROR(__xludf.DUMMYFUNCTION("""COMPUTED_VALUE"""),42977.6666666666)</f>
        <v>42977.666666666599</v>
      </c>
      <c r="BD589" s="3">
        <f ca="1">IFERROR(__xludf.DUMMYFUNCTION("""COMPUTED_VALUE"""),58.12)</f>
        <v>58.12</v>
      </c>
      <c r="BE589" s="3">
        <f ca="1">IFERROR(__xludf.DUMMYFUNCTION("""COMPUTED_VALUE"""),58.52)</f>
        <v>58.52</v>
      </c>
      <c r="BF589" s="3">
        <f ca="1">IFERROR(__xludf.DUMMYFUNCTION("""COMPUTED_VALUE"""),57.99)</f>
        <v>57.99</v>
      </c>
      <c r="BG589" s="3">
        <f ca="1">IFERROR(__xludf.DUMMYFUNCTION("""COMPUTED_VALUE"""),58.48)</f>
        <v>58.48</v>
      </c>
      <c r="BH589" s="3">
        <f ca="1">IFERROR(__xludf.DUMMYFUNCTION("""COMPUTED_VALUE"""),7654021)</f>
        <v>7654021</v>
      </c>
      <c r="BI589" s="4">
        <f ca="1">IFERROR(__xludf.DUMMYFUNCTION("""COMPUTED_VALUE"""),42977.6666666666)</f>
        <v>42977.666666666599</v>
      </c>
      <c r="BJ589" s="3">
        <f ca="1">IFERROR(__xludf.DUMMYFUNCTION("""COMPUTED_VALUE"""),55.09)</f>
        <v>55.09</v>
      </c>
      <c r="BK589" s="3">
        <f ca="1">IFERROR(__xludf.DUMMYFUNCTION("""COMPUTED_VALUE"""),55.14)</f>
        <v>55.14</v>
      </c>
      <c r="BL589" s="3">
        <f ca="1">IFERROR(__xludf.DUMMYFUNCTION("""COMPUTED_VALUE"""),54.88)</f>
        <v>54.88</v>
      </c>
      <c r="BM589" s="3">
        <f ca="1">IFERROR(__xludf.DUMMYFUNCTION("""COMPUTED_VALUE"""),54.96)</f>
        <v>54.96</v>
      </c>
      <c r="BN589" s="3">
        <f ca="1">IFERROR(__xludf.DUMMYFUNCTION("""COMPUTED_VALUE"""),5751081)</f>
        <v>5751081</v>
      </c>
    </row>
    <row r="590" spans="7:66" ht="13" x14ac:dyDescent="0.15">
      <c r="G590" s="4">
        <f ca="1">IFERROR(__xludf.DUMMYFUNCTION("""COMPUTED_VALUE"""),42978.6666666666)</f>
        <v>42978.666666666599</v>
      </c>
      <c r="H590" s="3">
        <f ca="1">IFERROR(__xludf.DUMMYFUNCTION("""COMPUTED_VALUE"""),89.49)</f>
        <v>89.49</v>
      </c>
      <c r="I590" s="3">
        <f ca="1">IFERROR(__xludf.DUMMYFUNCTION("""COMPUTED_VALUE"""),89.74)</f>
        <v>89.74</v>
      </c>
      <c r="J590" s="3">
        <f ca="1">IFERROR(__xludf.DUMMYFUNCTION("""COMPUTED_VALUE"""),89.36)</f>
        <v>89.36</v>
      </c>
      <c r="K590" s="3">
        <f ca="1">IFERROR(__xludf.DUMMYFUNCTION("""COMPUTED_VALUE"""),89.66)</f>
        <v>89.66</v>
      </c>
      <c r="L590" s="3">
        <f ca="1">IFERROR(__xludf.DUMMYFUNCTION("""COMPUTED_VALUE"""),3994053)</f>
        <v>3994053</v>
      </c>
      <c r="M590" s="4">
        <f ca="1">IFERROR(__xludf.DUMMYFUNCTION("""COMPUTED_VALUE"""),42978.6666666666)</f>
        <v>42978.666666666599</v>
      </c>
      <c r="N590" s="3">
        <f ca="1">IFERROR(__xludf.DUMMYFUNCTION("""COMPUTED_VALUE"""),54.73)</f>
        <v>54.73</v>
      </c>
      <c r="O590" s="3">
        <f ca="1">IFERROR(__xludf.DUMMYFUNCTION("""COMPUTED_VALUE"""),54.81)</f>
        <v>54.81</v>
      </c>
      <c r="P590" s="3">
        <f ca="1">IFERROR(__xludf.DUMMYFUNCTION("""COMPUTED_VALUE"""),54.65)</f>
        <v>54.65</v>
      </c>
      <c r="Q590" s="3">
        <f ca="1">IFERROR(__xludf.DUMMYFUNCTION("""COMPUTED_VALUE"""),54.71)</f>
        <v>54.71</v>
      </c>
      <c r="R590" s="3">
        <f ca="1">IFERROR(__xludf.DUMMYFUNCTION("""COMPUTED_VALUE"""),10117345)</f>
        <v>10117345</v>
      </c>
      <c r="S590" s="4">
        <f ca="1">IFERROR(__xludf.DUMMYFUNCTION("""COMPUTED_VALUE"""),42978.6666666666)</f>
        <v>42978.666666666599</v>
      </c>
      <c r="T590" s="3">
        <f ca="1">IFERROR(__xludf.DUMMYFUNCTION("""COMPUTED_VALUE"""),62.94)</f>
        <v>62.94</v>
      </c>
      <c r="U590" s="3">
        <f ca="1">IFERROR(__xludf.DUMMYFUNCTION("""COMPUTED_VALUE"""),63.13)</f>
        <v>63.13</v>
      </c>
      <c r="V590" s="3">
        <f ca="1">IFERROR(__xludf.DUMMYFUNCTION("""COMPUTED_VALUE"""),62.73)</f>
        <v>62.73</v>
      </c>
      <c r="W590" s="3">
        <f ca="1">IFERROR(__xludf.DUMMYFUNCTION("""COMPUTED_VALUE"""),62.97)</f>
        <v>62.97</v>
      </c>
      <c r="X590" s="3">
        <f ca="1">IFERROR(__xludf.DUMMYFUNCTION("""COMPUTED_VALUE"""),10333681)</f>
        <v>10333681</v>
      </c>
      <c r="Y590" s="4">
        <f ca="1">IFERROR(__xludf.DUMMYFUNCTION("""COMPUTED_VALUE"""),42978.6666666666)</f>
        <v>42978.666666666599</v>
      </c>
      <c r="Z590" s="3">
        <f ca="1">IFERROR(__xludf.DUMMYFUNCTION("""COMPUTED_VALUE"""),24.75)</f>
        <v>24.75</v>
      </c>
      <c r="AA590" s="3">
        <f ca="1">IFERROR(__xludf.DUMMYFUNCTION("""COMPUTED_VALUE"""),24.78)</f>
        <v>24.78</v>
      </c>
      <c r="AB590" s="3">
        <f ca="1">IFERROR(__xludf.DUMMYFUNCTION("""COMPUTED_VALUE"""),24.62)</f>
        <v>24.62</v>
      </c>
      <c r="AC590" s="3">
        <f ca="1">IFERROR(__xludf.DUMMYFUNCTION("""COMPUTED_VALUE"""),24.7)</f>
        <v>24.7</v>
      </c>
      <c r="AD590" s="3">
        <f ca="1">IFERROR(__xludf.DUMMYFUNCTION("""COMPUTED_VALUE"""),44225193)</f>
        <v>44225193</v>
      </c>
      <c r="AE590" s="4">
        <f ca="1">IFERROR(__xludf.DUMMYFUNCTION("""COMPUTED_VALUE"""),42978.6666666666)</f>
        <v>42978.666666666599</v>
      </c>
      <c r="AF590" s="3">
        <f ca="1">IFERROR(__xludf.DUMMYFUNCTION("""COMPUTED_VALUE"""),80.13)</f>
        <v>80.13</v>
      </c>
      <c r="AG590" s="3">
        <f ca="1">IFERROR(__xludf.DUMMYFUNCTION("""COMPUTED_VALUE"""),81.37)</f>
        <v>81.37</v>
      </c>
      <c r="AH590" s="3">
        <f ca="1">IFERROR(__xludf.DUMMYFUNCTION("""COMPUTED_VALUE"""),80.13)</f>
        <v>80.13</v>
      </c>
      <c r="AI590" s="3">
        <f ca="1">IFERROR(__xludf.DUMMYFUNCTION("""COMPUTED_VALUE"""),81.29)</f>
        <v>81.290000000000006</v>
      </c>
      <c r="AJ590" s="3">
        <f ca="1">IFERROR(__xludf.DUMMYFUNCTION("""COMPUTED_VALUE"""),6987189)</f>
        <v>6987189</v>
      </c>
      <c r="AK590" s="4">
        <f ca="1">IFERROR(__xludf.DUMMYFUNCTION("""COMPUTED_VALUE"""),42978.6666666666)</f>
        <v>42978.666666666599</v>
      </c>
      <c r="AL590" s="3">
        <f ca="1">IFERROR(__xludf.DUMMYFUNCTION("""COMPUTED_VALUE"""),68.36)</f>
        <v>68.36</v>
      </c>
      <c r="AM590" s="3">
        <f ca="1">IFERROR(__xludf.DUMMYFUNCTION("""COMPUTED_VALUE"""),68.6)</f>
        <v>68.599999999999994</v>
      </c>
      <c r="AN590" s="3">
        <f ca="1">IFERROR(__xludf.DUMMYFUNCTION("""COMPUTED_VALUE"""),68.24)</f>
        <v>68.239999999999995</v>
      </c>
      <c r="AO590" s="3">
        <f ca="1">IFERROR(__xludf.DUMMYFUNCTION("""COMPUTED_VALUE"""),68.46)</f>
        <v>68.459999999999994</v>
      </c>
      <c r="AP590" s="3">
        <f ca="1">IFERROR(__xludf.DUMMYFUNCTION("""COMPUTED_VALUE"""),8635037)</f>
        <v>8635037</v>
      </c>
      <c r="AQ590" s="4">
        <f ca="1">IFERROR(__xludf.DUMMYFUNCTION("""COMPUTED_VALUE"""),42978.6666666666)</f>
        <v>42978.666666666599</v>
      </c>
      <c r="AR590" s="3">
        <f ca="1">IFERROR(__xludf.DUMMYFUNCTION("""COMPUTED_VALUE"""),54.9)</f>
        <v>54.9</v>
      </c>
      <c r="AS590" s="3">
        <f ca="1">IFERROR(__xludf.DUMMYFUNCTION("""COMPUTED_VALUE"""),55.19)</f>
        <v>55.19</v>
      </c>
      <c r="AT590" s="3">
        <f ca="1">IFERROR(__xludf.DUMMYFUNCTION("""COMPUTED_VALUE"""),54.85)</f>
        <v>54.85</v>
      </c>
      <c r="AU590" s="3">
        <f ca="1">IFERROR(__xludf.DUMMYFUNCTION("""COMPUTED_VALUE"""),55.07)</f>
        <v>55.07</v>
      </c>
      <c r="AV590" s="3">
        <f ca="1">IFERROR(__xludf.DUMMYFUNCTION("""COMPUTED_VALUE"""),4640252)</f>
        <v>4640252</v>
      </c>
      <c r="BC590" s="4">
        <f ca="1">IFERROR(__xludf.DUMMYFUNCTION("""COMPUTED_VALUE"""),42978.6666666666)</f>
        <v>42978.666666666599</v>
      </c>
      <c r="BD590" s="3">
        <f ca="1">IFERROR(__xludf.DUMMYFUNCTION("""COMPUTED_VALUE"""),58.62)</f>
        <v>58.62</v>
      </c>
      <c r="BE590" s="3">
        <f ca="1">IFERROR(__xludf.DUMMYFUNCTION("""COMPUTED_VALUE"""),58.93)</f>
        <v>58.93</v>
      </c>
      <c r="BF590" s="3">
        <f ca="1">IFERROR(__xludf.DUMMYFUNCTION("""COMPUTED_VALUE"""),58.55)</f>
        <v>58.55</v>
      </c>
      <c r="BG590" s="3">
        <f ca="1">IFERROR(__xludf.DUMMYFUNCTION("""COMPUTED_VALUE"""),58.83)</f>
        <v>58.83</v>
      </c>
      <c r="BH590" s="3">
        <f ca="1">IFERROR(__xludf.DUMMYFUNCTION("""COMPUTED_VALUE"""),9425768)</f>
        <v>9425768</v>
      </c>
      <c r="BI590" s="4">
        <f ca="1">IFERROR(__xludf.DUMMYFUNCTION("""COMPUTED_VALUE"""),42978.6666666666)</f>
        <v>42978.666666666599</v>
      </c>
      <c r="BJ590" s="3">
        <f ca="1">IFERROR(__xludf.DUMMYFUNCTION("""COMPUTED_VALUE"""),55.01)</f>
        <v>55.01</v>
      </c>
      <c r="BK590" s="3">
        <f ca="1">IFERROR(__xludf.DUMMYFUNCTION("""COMPUTED_VALUE"""),55.12)</f>
        <v>55.12</v>
      </c>
      <c r="BL590" s="3">
        <f ca="1">IFERROR(__xludf.DUMMYFUNCTION("""COMPUTED_VALUE"""),54.93)</f>
        <v>54.93</v>
      </c>
      <c r="BM590" s="3">
        <f ca="1">IFERROR(__xludf.DUMMYFUNCTION("""COMPUTED_VALUE"""),54.97)</f>
        <v>54.97</v>
      </c>
      <c r="BN590" s="3">
        <f ca="1">IFERROR(__xludf.DUMMYFUNCTION("""COMPUTED_VALUE"""),10469469)</f>
        <v>10469469</v>
      </c>
    </row>
    <row r="591" spans="7:66" ht="13" x14ac:dyDescent="0.15">
      <c r="G591" s="4">
        <f ca="1">IFERROR(__xludf.DUMMYFUNCTION("""COMPUTED_VALUE"""),42979.6666666666)</f>
        <v>42979.666666666599</v>
      </c>
      <c r="H591" s="3">
        <f ca="1">IFERROR(__xludf.DUMMYFUNCTION("""COMPUTED_VALUE"""),89.89)</f>
        <v>89.89</v>
      </c>
      <c r="I591" s="3">
        <f ca="1">IFERROR(__xludf.DUMMYFUNCTION("""COMPUTED_VALUE"""),90.23)</f>
        <v>90.23</v>
      </c>
      <c r="J591" s="3">
        <f ca="1">IFERROR(__xludf.DUMMYFUNCTION("""COMPUTED_VALUE"""),89.84)</f>
        <v>89.84</v>
      </c>
      <c r="K591" s="3">
        <f ca="1">IFERROR(__xludf.DUMMYFUNCTION("""COMPUTED_VALUE"""),90.07)</f>
        <v>90.07</v>
      </c>
      <c r="L591" s="3">
        <f ca="1">IFERROR(__xludf.DUMMYFUNCTION("""COMPUTED_VALUE"""),2431911)</f>
        <v>2431911</v>
      </c>
      <c r="M591" s="4">
        <f ca="1">IFERROR(__xludf.DUMMYFUNCTION("""COMPUTED_VALUE"""),42979.6666666666)</f>
        <v>42979.666666666599</v>
      </c>
      <c r="N591" s="3">
        <f ca="1">IFERROR(__xludf.DUMMYFUNCTION("""COMPUTED_VALUE"""),54.82)</f>
        <v>54.82</v>
      </c>
      <c r="O591" s="3">
        <f ca="1">IFERROR(__xludf.DUMMYFUNCTION("""COMPUTED_VALUE"""),54.98)</f>
        <v>54.98</v>
      </c>
      <c r="P591" s="3">
        <f ca="1">IFERROR(__xludf.DUMMYFUNCTION("""COMPUTED_VALUE"""),54.76)</f>
        <v>54.76</v>
      </c>
      <c r="Q591" s="3">
        <f ca="1">IFERROR(__xludf.DUMMYFUNCTION("""COMPUTED_VALUE"""),54.97)</f>
        <v>54.97</v>
      </c>
      <c r="R591" s="3">
        <f ca="1">IFERROR(__xludf.DUMMYFUNCTION("""COMPUTED_VALUE"""),17904528)</f>
        <v>17904528</v>
      </c>
      <c r="S591" s="4">
        <f ca="1">IFERROR(__xludf.DUMMYFUNCTION("""COMPUTED_VALUE"""),42979.6666666666)</f>
        <v>42979.666666666599</v>
      </c>
      <c r="T591" s="3">
        <f ca="1">IFERROR(__xludf.DUMMYFUNCTION("""COMPUTED_VALUE"""),63.07)</f>
        <v>63.07</v>
      </c>
      <c r="U591" s="3">
        <f ca="1">IFERROR(__xludf.DUMMYFUNCTION("""COMPUTED_VALUE"""),63.79)</f>
        <v>63.79</v>
      </c>
      <c r="V591" s="3">
        <f ca="1">IFERROR(__xludf.DUMMYFUNCTION("""COMPUTED_VALUE"""),62.91)</f>
        <v>62.91</v>
      </c>
      <c r="W591" s="3">
        <f ca="1">IFERROR(__xludf.DUMMYFUNCTION("""COMPUTED_VALUE"""),63.58)</f>
        <v>63.58</v>
      </c>
      <c r="X591" s="3">
        <f ca="1">IFERROR(__xludf.DUMMYFUNCTION("""COMPUTED_VALUE"""),11595543)</f>
        <v>11595543</v>
      </c>
      <c r="Y591" s="4">
        <f ca="1">IFERROR(__xludf.DUMMYFUNCTION("""COMPUTED_VALUE"""),42979.6666666666)</f>
        <v>42979.666666666599</v>
      </c>
      <c r="Z591" s="3">
        <f ca="1">IFERROR(__xludf.DUMMYFUNCTION("""COMPUTED_VALUE"""),24.73)</f>
        <v>24.73</v>
      </c>
      <c r="AA591" s="3">
        <f ca="1">IFERROR(__xludf.DUMMYFUNCTION("""COMPUTED_VALUE"""),24.91)</f>
        <v>24.91</v>
      </c>
      <c r="AB591" s="3">
        <f ca="1">IFERROR(__xludf.DUMMYFUNCTION("""COMPUTED_VALUE"""),24.67)</f>
        <v>24.67</v>
      </c>
      <c r="AC591" s="3">
        <f ca="1">IFERROR(__xludf.DUMMYFUNCTION("""COMPUTED_VALUE"""),24.77)</f>
        <v>24.77</v>
      </c>
      <c r="AD591" s="3">
        <f ca="1">IFERROR(__xludf.DUMMYFUNCTION("""COMPUTED_VALUE"""),42132639)</f>
        <v>42132639</v>
      </c>
      <c r="AE591" s="4">
        <f ca="1">IFERROR(__xludf.DUMMYFUNCTION("""COMPUTED_VALUE"""),42979.6666666666)</f>
        <v>42979.666666666599</v>
      </c>
      <c r="AF591" s="3">
        <f ca="1">IFERROR(__xludf.DUMMYFUNCTION("""COMPUTED_VALUE"""),81.41)</f>
        <v>81.41</v>
      </c>
      <c r="AG591" s="3">
        <f ca="1">IFERROR(__xludf.DUMMYFUNCTION("""COMPUTED_VALUE"""),81.58)</f>
        <v>81.58</v>
      </c>
      <c r="AH591" s="3">
        <f ca="1">IFERROR(__xludf.DUMMYFUNCTION("""COMPUTED_VALUE"""),80.92)</f>
        <v>80.92</v>
      </c>
      <c r="AI591" s="3">
        <f ca="1">IFERROR(__xludf.DUMMYFUNCTION("""COMPUTED_VALUE"""),81.23)</f>
        <v>81.23</v>
      </c>
      <c r="AJ591" s="3">
        <f ca="1">IFERROR(__xludf.DUMMYFUNCTION("""COMPUTED_VALUE"""),6471618)</f>
        <v>6471618</v>
      </c>
      <c r="AK591" s="4">
        <f ca="1">IFERROR(__xludf.DUMMYFUNCTION("""COMPUTED_VALUE"""),42979.6666666666)</f>
        <v>42979.666666666599</v>
      </c>
      <c r="AL591" s="3">
        <f ca="1">IFERROR(__xludf.DUMMYFUNCTION("""COMPUTED_VALUE"""),68.61)</f>
        <v>68.61</v>
      </c>
      <c r="AM591" s="3">
        <f ca="1">IFERROR(__xludf.DUMMYFUNCTION("""COMPUTED_VALUE"""),68.8)</f>
        <v>68.8</v>
      </c>
      <c r="AN591" s="3">
        <f ca="1">IFERROR(__xludf.DUMMYFUNCTION("""COMPUTED_VALUE"""),68.52)</f>
        <v>68.52</v>
      </c>
      <c r="AO591" s="3">
        <f ca="1">IFERROR(__xludf.DUMMYFUNCTION("""COMPUTED_VALUE"""),68.52)</f>
        <v>68.52</v>
      </c>
      <c r="AP591" s="3">
        <f ca="1">IFERROR(__xludf.DUMMYFUNCTION("""COMPUTED_VALUE"""),14501865)</f>
        <v>14501865</v>
      </c>
      <c r="AQ591" s="4">
        <f ca="1">IFERROR(__xludf.DUMMYFUNCTION("""COMPUTED_VALUE"""),42979.6666666666)</f>
        <v>42979.666666666599</v>
      </c>
      <c r="AR591" s="3">
        <f ca="1">IFERROR(__xludf.DUMMYFUNCTION("""COMPUTED_VALUE"""),55.26)</f>
        <v>55.26</v>
      </c>
      <c r="AS591" s="3">
        <f ca="1">IFERROR(__xludf.DUMMYFUNCTION("""COMPUTED_VALUE"""),55.49)</f>
        <v>55.49</v>
      </c>
      <c r="AT591" s="3">
        <f ca="1">IFERROR(__xludf.DUMMYFUNCTION("""COMPUTED_VALUE"""),55.13)</f>
        <v>55.13</v>
      </c>
      <c r="AU591" s="3">
        <f ca="1">IFERROR(__xludf.DUMMYFUNCTION("""COMPUTED_VALUE"""),55.43)</f>
        <v>55.43</v>
      </c>
      <c r="AV591" s="3">
        <f ca="1">IFERROR(__xludf.DUMMYFUNCTION("""COMPUTED_VALUE"""),5283697)</f>
        <v>5283697</v>
      </c>
      <c r="BC591" s="4">
        <f ca="1">IFERROR(__xludf.DUMMYFUNCTION("""COMPUTED_VALUE"""),42979.6666666666)</f>
        <v>42979.666666666599</v>
      </c>
      <c r="BD591" s="3">
        <f ca="1">IFERROR(__xludf.DUMMYFUNCTION("""COMPUTED_VALUE"""),58.98)</f>
        <v>58.98</v>
      </c>
      <c r="BE591" s="3">
        <f ca="1">IFERROR(__xludf.DUMMYFUNCTION("""COMPUTED_VALUE"""),59.03)</f>
        <v>59.03</v>
      </c>
      <c r="BF591" s="3">
        <f ca="1">IFERROR(__xludf.DUMMYFUNCTION("""COMPUTED_VALUE"""),58.71)</f>
        <v>58.71</v>
      </c>
      <c r="BG591" s="3">
        <f ca="1">IFERROR(__xludf.DUMMYFUNCTION("""COMPUTED_VALUE"""),58.78)</f>
        <v>58.78</v>
      </c>
      <c r="BH591" s="3">
        <f ca="1">IFERROR(__xludf.DUMMYFUNCTION("""COMPUTED_VALUE"""),6013134)</f>
        <v>6013134</v>
      </c>
      <c r="BI591" s="4">
        <f ca="1">IFERROR(__xludf.DUMMYFUNCTION("""COMPUTED_VALUE"""),42979.6666666666)</f>
        <v>42979.666666666599</v>
      </c>
      <c r="BJ591" s="3">
        <f ca="1">IFERROR(__xludf.DUMMYFUNCTION("""COMPUTED_VALUE"""),55.05)</f>
        <v>55.05</v>
      </c>
      <c r="BK591" s="3">
        <f ca="1">IFERROR(__xludf.DUMMYFUNCTION("""COMPUTED_VALUE"""),55.14)</f>
        <v>55.14</v>
      </c>
      <c r="BL591" s="3">
        <f ca="1">IFERROR(__xludf.DUMMYFUNCTION("""COMPUTED_VALUE"""),54.64)</f>
        <v>54.64</v>
      </c>
      <c r="BM591" s="3">
        <f ca="1">IFERROR(__xludf.DUMMYFUNCTION("""COMPUTED_VALUE"""),54.8)</f>
        <v>54.8</v>
      </c>
      <c r="BN591" s="3">
        <f ca="1">IFERROR(__xludf.DUMMYFUNCTION("""COMPUTED_VALUE"""),11268708)</f>
        <v>11268708</v>
      </c>
    </row>
    <row r="592" spans="7:66" ht="13" x14ac:dyDescent="0.15">
      <c r="G592" s="4">
        <f ca="1">IFERROR(__xludf.DUMMYFUNCTION("""COMPUTED_VALUE"""),42983.6666666666)</f>
        <v>42983.666666666599</v>
      </c>
      <c r="H592" s="3">
        <f ca="1">IFERROR(__xludf.DUMMYFUNCTION("""COMPUTED_VALUE"""),89.82)</f>
        <v>89.82</v>
      </c>
      <c r="I592" s="3">
        <f ca="1">IFERROR(__xludf.DUMMYFUNCTION("""COMPUTED_VALUE"""),90.2)</f>
        <v>90.2</v>
      </c>
      <c r="J592" s="3">
        <f ca="1">IFERROR(__xludf.DUMMYFUNCTION("""COMPUTED_VALUE"""),89.18)</f>
        <v>89.18</v>
      </c>
      <c r="K592" s="3">
        <f ca="1">IFERROR(__xludf.DUMMYFUNCTION("""COMPUTED_VALUE"""),89.7)</f>
        <v>89.7</v>
      </c>
      <c r="L592" s="3">
        <f ca="1">IFERROR(__xludf.DUMMYFUNCTION("""COMPUTED_VALUE"""),4955544)</f>
        <v>4955544</v>
      </c>
      <c r="M592" s="4">
        <f ca="1">IFERROR(__xludf.DUMMYFUNCTION("""COMPUTED_VALUE"""),42983.6666666666)</f>
        <v>42983.666666666599</v>
      </c>
      <c r="N592" s="3">
        <f ca="1">IFERROR(__xludf.DUMMYFUNCTION("""COMPUTED_VALUE"""),54.81)</f>
        <v>54.81</v>
      </c>
      <c r="O592" s="3">
        <f ca="1">IFERROR(__xludf.DUMMYFUNCTION("""COMPUTED_VALUE"""),55.09)</f>
        <v>55.09</v>
      </c>
      <c r="P592" s="3">
        <f ca="1">IFERROR(__xludf.DUMMYFUNCTION("""COMPUTED_VALUE"""),54.76)</f>
        <v>54.76</v>
      </c>
      <c r="Q592" s="3">
        <f ca="1">IFERROR(__xludf.DUMMYFUNCTION("""COMPUTED_VALUE"""),55.05)</f>
        <v>55.05</v>
      </c>
      <c r="R592" s="3">
        <f ca="1">IFERROR(__xludf.DUMMYFUNCTION("""COMPUTED_VALUE"""),20215854)</f>
        <v>20215854</v>
      </c>
      <c r="S592" s="4">
        <f ca="1">IFERROR(__xludf.DUMMYFUNCTION("""COMPUTED_VALUE"""),42983.6666666666)</f>
        <v>42983.666666666599</v>
      </c>
      <c r="T592" s="3">
        <f ca="1">IFERROR(__xludf.DUMMYFUNCTION("""COMPUTED_VALUE"""),63.84)</f>
        <v>63.84</v>
      </c>
      <c r="U592" s="3">
        <f ca="1">IFERROR(__xludf.DUMMYFUNCTION("""COMPUTED_VALUE"""),64.24)</f>
        <v>64.239999999999995</v>
      </c>
      <c r="V592" s="3">
        <f ca="1">IFERROR(__xludf.DUMMYFUNCTION("""COMPUTED_VALUE"""),63.48)</f>
        <v>63.48</v>
      </c>
      <c r="W592" s="3">
        <f ca="1">IFERROR(__xludf.DUMMYFUNCTION("""COMPUTED_VALUE"""),63.93)</f>
        <v>63.93</v>
      </c>
      <c r="X592" s="3">
        <f ca="1">IFERROR(__xludf.DUMMYFUNCTION("""COMPUTED_VALUE"""),18114752)</f>
        <v>18114752</v>
      </c>
      <c r="Y592" s="4">
        <f ca="1">IFERROR(__xludf.DUMMYFUNCTION("""COMPUTED_VALUE"""),42983.6666666666)</f>
        <v>42983.666666666599</v>
      </c>
      <c r="Z592" s="3">
        <f ca="1">IFERROR(__xludf.DUMMYFUNCTION("""COMPUTED_VALUE"""),24.58)</f>
        <v>24.58</v>
      </c>
      <c r="AA592" s="3">
        <f ca="1">IFERROR(__xludf.DUMMYFUNCTION("""COMPUTED_VALUE"""),24.62)</f>
        <v>24.62</v>
      </c>
      <c r="AB592" s="3">
        <f ca="1">IFERROR(__xludf.DUMMYFUNCTION("""COMPUTED_VALUE"""),24.17)</f>
        <v>24.17</v>
      </c>
      <c r="AC592" s="3">
        <f ca="1">IFERROR(__xludf.DUMMYFUNCTION("""COMPUTED_VALUE"""),24.24)</f>
        <v>24.24</v>
      </c>
      <c r="AD592" s="3">
        <f ca="1">IFERROR(__xludf.DUMMYFUNCTION("""COMPUTED_VALUE"""),96579242)</f>
        <v>96579242</v>
      </c>
      <c r="AE592" s="4">
        <f ca="1">IFERROR(__xludf.DUMMYFUNCTION("""COMPUTED_VALUE"""),42983.6666666666)</f>
        <v>42983.666666666599</v>
      </c>
      <c r="AF592" s="3">
        <f ca="1">IFERROR(__xludf.DUMMYFUNCTION("""COMPUTED_VALUE"""),80.89)</f>
        <v>80.89</v>
      </c>
      <c r="AG592" s="3">
        <f ca="1">IFERROR(__xludf.DUMMYFUNCTION("""COMPUTED_VALUE"""),81.37)</f>
        <v>81.37</v>
      </c>
      <c r="AH592" s="3">
        <f ca="1">IFERROR(__xludf.DUMMYFUNCTION("""COMPUTED_VALUE"""),80.51)</f>
        <v>80.510000000000005</v>
      </c>
      <c r="AI592" s="3">
        <f ca="1">IFERROR(__xludf.DUMMYFUNCTION("""COMPUTED_VALUE"""),80.88)</f>
        <v>80.88</v>
      </c>
      <c r="AJ592" s="3">
        <f ca="1">IFERROR(__xludf.DUMMYFUNCTION("""COMPUTED_VALUE"""),8076875)</f>
        <v>8076875</v>
      </c>
      <c r="AK592" s="4">
        <f ca="1">IFERROR(__xludf.DUMMYFUNCTION("""COMPUTED_VALUE"""),42983.6666666666)</f>
        <v>42983.666666666599</v>
      </c>
      <c r="AL592" s="3">
        <f ca="1">IFERROR(__xludf.DUMMYFUNCTION("""COMPUTED_VALUE"""),68.34)</f>
        <v>68.34</v>
      </c>
      <c r="AM592" s="3">
        <f ca="1">IFERROR(__xludf.DUMMYFUNCTION("""COMPUTED_VALUE"""),68.42)</f>
        <v>68.42</v>
      </c>
      <c r="AN592" s="3">
        <f ca="1">IFERROR(__xludf.DUMMYFUNCTION("""COMPUTED_VALUE"""),67.68)</f>
        <v>67.680000000000007</v>
      </c>
      <c r="AO592" s="3">
        <f ca="1">IFERROR(__xludf.DUMMYFUNCTION("""COMPUTED_VALUE"""),67.83)</f>
        <v>67.83</v>
      </c>
      <c r="AP592" s="3">
        <f ca="1">IFERROR(__xludf.DUMMYFUNCTION("""COMPUTED_VALUE"""),16031137)</f>
        <v>16031137</v>
      </c>
      <c r="AQ592" s="4">
        <f ca="1">IFERROR(__xludf.DUMMYFUNCTION("""COMPUTED_VALUE"""),42983.6666666666)</f>
        <v>42983.666666666599</v>
      </c>
      <c r="AR592" s="3">
        <f ca="1">IFERROR(__xludf.DUMMYFUNCTION("""COMPUTED_VALUE"""),55.48)</f>
        <v>55.48</v>
      </c>
      <c r="AS592" s="3">
        <f ca="1">IFERROR(__xludf.DUMMYFUNCTION("""COMPUTED_VALUE"""),55.62)</f>
        <v>55.62</v>
      </c>
      <c r="AT592" s="3">
        <f ca="1">IFERROR(__xludf.DUMMYFUNCTION("""COMPUTED_VALUE"""),54.74)</f>
        <v>54.74</v>
      </c>
      <c r="AU592" s="3">
        <f ca="1">IFERROR(__xludf.DUMMYFUNCTION("""COMPUTED_VALUE"""),54.8)</f>
        <v>54.8</v>
      </c>
      <c r="AV592" s="3">
        <f ca="1">IFERROR(__xludf.DUMMYFUNCTION("""COMPUTED_VALUE"""),6827968)</f>
        <v>6827968</v>
      </c>
      <c r="BC592" s="4">
        <f ca="1">IFERROR(__xludf.DUMMYFUNCTION("""COMPUTED_VALUE"""),42983.6666666666)</f>
        <v>42983.666666666599</v>
      </c>
      <c r="BD592" s="3">
        <f ca="1">IFERROR(__xludf.DUMMYFUNCTION("""COMPUTED_VALUE"""),58.61)</f>
        <v>58.61</v>
      </c>
      <c r="BE592" s="3">
        <f ca="1">IFERROR(__xludf.DUMMYFUNCTION("""COMPUTED_VALUE"""),58.72)</f>
        <v>58.72</v>
      </c>
      <c r="BF592" s="3">
        <f ca="1">IFERROR(__xludf.DUMMYFUNCTION("""COMPUTED_VALUE"""),57.87)</f>
        <v>57.87</v>
      </c>
      <c r="BG592" s="3">
        <f ca="1">IFERROR(__xludf.DUMMYFUNCTION("""COMPUTED_VALUE"""),58.26)</f>
        <v>58.26</v>
      </c>
      <c r="BH592" s="3">
        <f ca="1">IFERROR(__xludf.DUMMYFUNCTION("""COMPUTED_VALUE"""),11901718)</f>
        <v>11901718</v>
      </c>
      <c r="BI592" s="4">
        <f ca="1">IFERROR(__xludf.DUMMYFUNCTION("""COMPUTED_VALUE"""),42983.6666666666)</f>
        <v>42983.666666666599</v>
      </c>
      <c r="BJ592" s="3">
        <f ca="1">IFERROR(__xludf.DUMMYFUNCTION("""COMPUTED_VALUE"""),54.9)</f>
        <v>54.9</v>
      </c>
      <c r="BK592" s="3">
        <f ca="1">IFERROR(__xludf.DUMMYFUNCTION("""COMPUTED_VALUE"""),54.98)</f>
        <v>54.98</v>
      </c>
      <c r="BL592" s="3">
        <f ca="1">IFERROR(__xludf.DUMMYFUNCTION("""COMPUTED_VALUE"""),54.63)</f>
        <v>54.63</v>
      </c>
      <c r="BM592" s="3">
        <f ca="1">IFERROR(__xludf.DUMMYFUNCTION("""COMPUTED_VALUE"""),54.94)</f>
        <v>54.94</v>
      </c>
      <c r="BN592" s="3">
        <f ca="1">IFERROR(__xludf.DUMMYFUNCTION("""COMPUTED_VALUE"""),9040406)</f>
        <v>9040406</v>
      </c>
    </row>
    <row r="593" spans="7:66" ht="13" x14ac:dyDescent="0.15">
      <c r="G593" s="4">
        <f ca="1">IFERROR(__xludf.DUMMYFUNCTION("""COMPUTED_VALUE"""),42984.6666666666)</f>
        <v>42984.666666666599</v>
      </c>
      <c r="H593" s="3">
        <f ca="1">IFERROR(__xludf.DUMMYFUNCTION("""COMPUTED_VALUE"""),89.84)</f>
        <v>89.84</v>
      </c>
      <c r="I593" s="3">
        <f ca="1">IFERROR(__xludf.DUMMYFUNCTION("""COMPUTED_VALUE"""),90.37)</f>
        <v>90.37</v>
      </c>
      <c r="J593" s="3">
        <f ca="1">IFERROR(__xludf.DUMMYFUNCTION("""COMPUTED_VALUE"""),89.65)</f>
        <v>89.65</v>
      </c>
      <c r="K593" s="3">
        <f ca="1">IFERROR(__xludf.DUMMYFUNCTION("""COMPUTED_VALUE"""),90.26)</f>
        <v>90.26</v>
      </c>
      <c r="L593" s="3">
        <f ca="1">IFERROR(__xludf.DUMMYFUNCTION("""COMPUTED_VALUE"""),3004657)</f>
        <v>3004657</v>
      </c>
      <c r="M593" s="4">
        <f ca="1">IFERROR(__xludf.DUMMYFUNCTION("""COMPUTED_VALUE"""),42984.6666666666)</f>
        <v>42984.666666666599</v>
      </c>
      <c r="N593" s="3">
        <f ca="1">IFERROR(__xludf.DUMMYFUNCTION("""COMPUTED_VALUE"""),55.15)</f>
        <v>55.15</v>
      </c>
      <c r="O593" s="3">
        <f ca="1">IFERROR(__xludf.DUMMYFUNCTION("""COMPUTED_VALUE"""),55.33)</f>
        <v>55.33</v>
      </c>
      <c r="P593" s="3">
        <f ca="1">IFERROR(__xludf.DUMMYFUNCTION("""COMPUTED_VALUE"""),55.01)</f>
        <v>55.01</v>
      </c>
      <c r="Q593" s="3">
        <f ca="1">IFERROR(__xludf.DUMMYFUNCTION("""COMPUTED_VALUE"""),55.28)</f>
        <v>55.28</v>
      </c>
      <c r="R593" s="3">
        <f ca="1">IFERROR(__xludf.DUMMYFUNCTION("""COMPUTED_VALUE"""),17461950)</f>
        <v>17461950</v>
      </c>
      <c r="S593" s="4">
        <f ca="1">IFERROR(__xludf.DUMMYFUNCTION("""COMPUTED_VALUE"""),42984.6666666666)</f>
        <v>42984.666666666599</v>
      </c>
      <c r="T593" s="3">
        <f ca="1">IFERROR(__xludf.DUMMYFUNCTION("""COMPUTED_VALUE"""),64.25)</f>
        <v>64.25</v>
      </c>
      <c r="U593" s="3">
        <f ca="1">IFERROR(__xludf.DUMMYFUNCTION("""COMPUTED_VALUE"""),65.15)</f>
        <v>65.150000000000006</v>
      </c>
      <c r="V593" s="3">
        <f ca="1">IFERROR(__xludf.DUMMYFUNCTION("""COMPUTED_VALUE"""),64.22)</f>
        <v>64.22</v>
      </c>
      <c r="W593" s="3">
        <f ca="1">IFERROR(__xludf.DUMMYFUNCTION("""COMPUTED_VALUE"""),64.97)</f>
        <v>64.97</v>
      </c>
      <c r="X593" s="3">
        <f ca="1">IFERROR(__xludf.DUMMYFUNCTION("""COMPUTED_VALUE"""),17052125)</f>
        <v>17052125</v>
      </c>
      <c r="Y593" s="4">
        <f ca="1">IFERROR(__xludf.DUMMYFUNCTION("""COMPUTED_VALUE"""),42984.6666666666)</f>
        <v>42984.666666666599</v>
      </c>
      <c r="Z593" s="3">
        <f ca="1">IFERROR(__xludf.DUMMYFUNCTION("""COMPUTED_VALUE"""),24.33)</f>
        <v>24.33</v>
      </c>
      <c r="AA593" s="3">
        <f ca="1">IFERROR(__xludf.DUMMYFUNCTION("""COMPUTED_VALUE"""),24.42)</f>
        <v>24.42</v>
      </c>
      <c r="AB593" s="3">
        <f ca="1">IFERROR(__xludf.DUMMYFUNCTION("""COMPUTED_VALUE"""),24.22)</f>
        <v>24.22</v>
      </c>
      <c r="AC593" s="3">
        <f ca="1">IFERROR(__xludf.DUMMYFUNCTION("""COMPUTED_VALUE"""),24.3)</f>
        <v>24.3</v>
      </c>
      <c r="AD593" s="3">
        <f ca="1">IFERROR(__xludf.DUMMYFUNCTION("""COMPUTED_VALUE"""),77593850)</f>
        <v>77593850</v>
      </c>
      <c r="AE593" s="4">
        <f ca="1">IFERROR(__xludf.DUMMYFUNCTION("""COMPUTED_VALUE"""),42984.6666666666)</f>
        <v>42984.666666666599</v>
      </c>
      <c r="AF593" s="3">
        <f ca="1">IFERROR(__xludf.DUMMYFUNCTION("""COMPUTED_VALUE"""),81.16)</f>
        <v>81.16</v>
      </c>
      <c r="AG593" s="3">
        <f ca="1">IFERROR(__xludf.DUMMYFUNCTION("""COMPUTED_VALUE"""),81.35)</f>
        <v>81.349999999999994</v>
      </c>
      <c r="AH593" s="3">
        <f ca="1">IFERROR(__xludf.DUMMYFUNCTION("""COMPUTED_VALUE"""),80.8)</f>
        <v>80.8</v>
      </c>
      <c r="AI593" s="3">
        <f ca="1">IFERROR(__xludf.DUMMYFUNCTION("""COMPUTED_VALUE"""),81.27)</f>
        <v>81.27</v>
      </c>
      <c r="AJ593" s="3">
        <f ca="1">IFERROR(__xludf.DUMMYFUNCTION("""COMPUTED_VALUE"""),8790950)</f>
        <v>8790950</v>
      </c>
      <c r="AK593" s="4">
        <f ca="1">IFERROR(__xludf.DUMMYFUNCTION("""COMPUTED_VALUE"""),42984.6666666666)</f>
        <v>42984.666666666599</v>
      </c>
      <c r="AL593" s="3">
        <f ca="1">IFERROR(__xludf.DUMMYFUNCTION("""COMPUTED_VALUE"""),67.97)</f>
        <v>67.97</v>
      </c>
      <c r="AM593" s="3">
        <f ca="1">IFERROR(__xludf.DUMMYFUNCTION("""COMPUTED_VALUE"""),68.12)</f>
        <v>68.12</v>
      </c>
      <c r="AN593" s="3">
        <f ca="1">IFERROR(__xludf.DUMMYFUNCTION("""COMPUTED_VALUE"""),67.83)</f>
        <v>67.83</v>
      </c>
      <c r="AO593" s="3">
        <f ca="1">IFERROR(__xludf.DUMMYFUNCTION("""COMPUTED_VALUE"""),67.9)</f>
        <v>67.900000000000006</v>
      </c>
      <c r="AP593" s="3">
        <f ca="1">IFERROR(__xludf.DUMMYFUNCTION("""COMPUTED_VALUE"""),19701442)</f>
        <v>19701442</v>
      </c>
      <c r="AQ593" s="4">
        <f ca="1">IFERROR(__xludf.DUMMYFUNCTION("""COMPUTED_VALUE"""),42984.6666666666)</f>
        <v>42984.666666666599</v>
      </c>
      <c r="AR593" s="3">
        <f ca="1">IFERROR(__xludf.DUMMYFUNCTION("""COMPUTED_VALUE"""),54.85)</f>
        <v>54.85</v>
      </c>
      <c r="AS593" s="3">
        <f ca="1">IFERROR(__xludf.DUMMYFUNCTION("""COMPUTED_VALUE"""),55.02)</f>
        <v>55.02</v>
      </c>
      <c r="AT593" s="3">
        <f ca="1">IFERROR(__xludf.DUMMYFUNCTION("""COMPUTED_VALUE"""),54.54)</f>
        <v>54.54</v>
      </c>
      <c r="AU593" s="3">
        <f ca="1">IFERROR(__xludf.DUMMYFUNCTION("""COMPUTED_VALUE"""),54.94)</f>
        <v>54.94</v>
      </c>
      <c r="AV593" s="3">
        <f ca="1">IFERROR(__xludf.DUMMYFUNCTION("""COMPUTED_VALUE"""),6258511)</f>
        <v>6258511</v>
      </c>
      <c r="BC593" s="4">
        <f ca="1">IFERROR(__xludf.DUMMYFUNCTION("""COMPUTED_VALUE"""),42984.6666666666)</f>
        <v>42984.666666666599</v>
      </c>
      <c r="BD593" s="3">
        <f ca="1">IFERROR(__xludf.DUMMYFUNCTION("""COMPUTED_VALUE"""),58.44)</f>
        <v>58.44</v>
      </c>
      <c r="BE593" s="3">
        <f ca="1">IFERROR(__xludf.DUMMYFUNCTION("""COMPUTED_VALUE"""),58.52)</f>
        <v>58.52</v>
      </c>
      <c r="BF593" s="3">
        <f ca="1">IFERROR(__xludf.DUMMYFUNCTION("""COMPUTED_VALUE"""),58.06)</f>
        <v>58.06</v>
      </c>
      <c r="BG593" s="3">
        <f ca="1">IFERROR(__xludf.DUMMYFUNCTION("""COMPUTED_VALUE"""),58.31)</f>
        <v>58.31</v>
      </c>
      <c r="BH593" s="3">
        <f ca="1">IFERROR(__xludf.DUMMYFUNCTION("""COMPUTED_VALUE"""),9113735)</f>
        <v>9113735</v>
      </c>
      <c r="BI593" s="4">
        <f ca="1">IFERROR(__xludf.DUMMYFUNCTION("""COMPUTED_VALUE"""),42984.6666666666)</f>
        <v>42984.666666666599</v>
      </c>
      <c r="BJ593" s="3">
        <f ca="1">IFERROR(__xludf.DUMMYFUNCTION("""COMPUTED_VALUE"""),55)</f>
        <v>55</v>
      </c>
      <c r="BK593" s="3">
        <f ca="1">IFERROR(__xludf.DUMMYFUNCTION("""COMPUTED_VALUE"""),55.09)</f>
        <v>55.09</v>
      </c>
      <c r="BL593" s="3">
        <f ca="1">IFERROR(__xludf.DUMMYFUNCTION("""COMPUTED_VALUE"""),54.59)</f>
        <v>54.59</v>
      </c>
      <c r="BM593" s="3">
        <f ca="1">IFERROR(__xludf.DUMMYFUNCTION("""COMPUTED_VALUE"""),54.69)</f>
        <v>54.69</v>
      </c>
      <c r="BN593" s="3">
        <f ca="1">IFERROR(__xludf.DUMMYFUNCTION("""COMPUTED_VALUE"""),11428672)</f>
        <v>11428672</v>
      </c>
    </row>
    <row r="594" spans="7:66" ht="13" x14ac:dyDescent="0.15">
      <c r="G594" s="4">
        <f ca="1">IFERROR(__xludf.DUMMYFUNCTION("""COMPUTED_VALUE"""),42985.6666666666)</f>
        <v>42985.666666666599</v>
      </c>
      <c r="H594" s="3">
        <f ca="1">IFERROR(__xludf.DUMMYFUNCTION("""COMPUTED_VALUE"""),90.45)</f>
        <v>90.45</v>
      </c>
      <c r="I594" s="3">
        <f ca="1">IFERROR(__xludf.DUMMYFUNCTION("""COMPUTED_VALUE"""),90.57)</f>
        <v>90.57</v>
      </c>
      <c r="J594" s="3">
        <f ca="1">IFERROR(__xludf.DUMMYFUNCTION("""COMPUTED_VALUE"""),89.27)</f>
        <v>89.27</v>
      </c>
      <c r="K594" s="3">
        <f ca="1">IFERROR(__xludf.DUMMYFUNCTION("""COMPUTED_VALUE"""),89.48)</f>
        <v>89.48</v>
      </c>
      <c r="L594" s="3">
        <f ca="1">IFERROR(__xludf.DUMMYFUNCTION("""COMPUTED_VALUE"""),5354006)</f>
        <v>5354006</v>
      </c>
      <c r="M594" s="4">
        <f ca="1">IFERROR(__xludf.DUMMYFUNCTION("""COMPUTED_VALUE"""),42985.6666666666)</f>
        <v>42985.666666666599</v>
      </c>
      <c r="N594" s="3">
        <f ca="1">IFERROR(__xludf.DUMMYFUNCTION("""COMPUTED_VALUE"""),55.32)</f>
        <v>55.32</v>
      </c>
      <c r="O594" s="3">
        <f ca="1">IFERROR(__xludf.DUMMYFUNCTION("""COMPUTED_VALUE"""),55.44)</f>
        <v>55.44</v>
      </c>
      <c r="P594" s="3">
        <f ca="1">IFERROR(__xludf.DUMMYFUNCTION("""COMPUTED_VALUE"""),55.18)</f>
        <v>55.18</v>
      </c>
      <c r="Q594" s="3">
        <f ca="1">IFERROR(__xludf.DUMMYFUNCTION("""COMPUTED_VALUE"""),55.36)</f>
        <v>55.36</v>
      </c>
      <c r="R594" s="3">
        <f ca="1">IFERROR(__xludf.DUMMYFUNCTION("""COMPUTED_VALUE"""),16738124)</f>
        <v>16738124</v>
      </c>
      <c r="S594" s="4">
        <f ca="1">IFERROR(__xludf.DUMMYFUNCTION("""COMPUTED_VALUE"""),42985.6666666666)</f>
        <v>42985.666666666599</v>
      </c>
      <c r="T594" s="3">
        <f ca="1">IFERROR(__xludf.DUMMYFUNCTION("""COMPUTED_VALUE"""),65)</f>
        <v>65</v>
      </c>
      <c r="U594" s="3">
        <f ca="1">IFERROR(__xludf.DUMMYFUNCTION("""COMPUTED_VALUE"""),65.25)</f>
        <v>65.25</v>
      </c>
      <c r="V594" s="3">
        <f ca="1">IFERROR(__xludf.DUMMYFUNCTION("""COMPUTED_VALUE"""),64.66)</f>
        <v>64.66</v>
      </c>
      <c r="W594" s="3">
        <f ca="1">IFERROR(__xludf.DUMMYFUNCTION("""COMPUTED_VALUE"""),65.09)</f>
        <v>65.09</v>
      </c>
      <c r="X594" s="3">
        <f ca="1">IFERROR(__xludf.DUMMYFUNCTION("""COMPUTED_VALUE"""),8640332)</f>
        <v>8640332</v>
      </c>
      <c r="Y594" s="4">
        <f ca="1">IFERROR(__xludf.DUMMYFUNCTION("""COMPUTED_VALUE"""),42985.6666666666)</f>
        <v>42985.666666666599</v>
      </c>
      <c r="Z594" s="3">
        <f ca="1">IFERROR(__xludf.DUMMYFUNCTION("""COMPUTED_VALUE"""),24.34)</f>
        <v>24.34</v>
      </c>
      <c r="AA594" s="3">
        <f ca="1">IFERROR(__xludf.DUMMYFUNCTION("""COMPUTED_VALUE"""),24.36)</f>
        <v>24.36</v>
      </c>
      <c r="AB594" s="3">
        <f ca="1">IFERROR(__xludf.DUMMYFUNCTION("""COMPUTED_VALUE"""),23.79)</f>
        <v>23.79</v>
      </c>
      <c r="AC594" s="3">
        <f ca="1">IFERROR(__xludf.DUMMYFUNCTION("""COMPUTED_VALUE"""),23.88)</f>
        <v>23.88</v>
      </c>
      <c r="AD594" s="3">
        <f ca="1">IFERROR(__xludf.DUMMYFUNCTION("""COMPUTED_VALUE"""),87667847)</f>
        <v>87667847</v>
      </c>
      <c r="AE594" s="4">
        <f ca="1">IFERROR(__xludf.DUMMYFUNCTION("""COMPUTED_VALUE"""),42985.6666666666)</f>
        <v>42985.666666666599</v>
      </c>
      <c r="AF594" s="3">
        <f ca="1">IFERROR(__xludf.DUMMYFUNCTION("""COMPUTED_VALUE"""),81.26)</f>
        <v>81.260000000000005</v>
      </c>
      <c r="AG594" s="3">
        <f ca="1">IFERROR(__xludf.DUMMYFUNCTION("""COMPUTED_VALUE"""),82.35)</f>
        <v>82.35</v>
      </c>
      <c r="AH594" s="3">
        <f ca="1">IFERROR(__xludf.DUMMYFUNCTION("""COMPUTED_VALUE"""),81.24)</f>
        <v>81.239999999999995</v>
      </c>
      <c r="AI594" s="3">
        <f ca="1">IFERROR(__xludf.DUMMYFUNCTION("""COMPUTED_VALUE"""),82.17)</f>
        <v>82.17</v>
      </c>
      <c r="AJ594" s="3">
        <f ca="1">IFERROR(__xludf.DUMMYFUNCTION("""COMPUTED_VALUE"""),7250995)</f>
        <v>7250995</v>
      </c>
      <c r="AK594" s="4">
        <f ca="1">IFERROR(__xludf.DUMMYFUNCTION("""COMPUTED_VALUE"""),42985.6666666666)</f>
        <v>42985.666666666599</v>
      </c>
      <c r="AL594" s="3">
        <f ca="1">IFERROR(__xludf.DUMMYFUNCTION("""COMPUTED_VALUE"""),67.95)</f>
        <v>67.95</v>
      </c>
      <c r="AM594" s="3">
        <f ca="1">IFERROR(__xludf.DUMMYFUNCTION("""COMPUTED_VALUE"""),68.04)</f>
        <v>68.040000000000006</v>
      </c>
      <c r="AN594" s="3">
        <f ca="1">IFERROR(__xludf.DUMMYFUNCTION("""COMPUTED_VALUE"""),67.64)</f>
        <v>67.64</v>
      </c>
      <c r="AO594" s="3">
        <f ca="1">IFERROR(__xludf.DUMMYFUNCTION("""COMPUTED_VALUE"""),68.04)</f>
        <v>68.040000000000006</v>
      </c>
      <c r="AP594" s="3">
        <f ca="1">IFERROR(__xludf.DUMMYFUNCTION("""COMPUTED_VALUE"""),13887023)</f>
        <v>13887023</v>
      </c>
      <c r="AQ594" s="4">
        <f ca="1">IFERROR(__xludf.DUMMYFUNCTION("""COMPUTED_VALUE"""),42985.6666666666)</f>
        <v>42985.666666666599</v>
      </c>
      <c r="AR594" s="3">
        <f ca="1">IFERROR(__xludf.DUMMYFUNCTION("""COMPUTED_VALUE"""),55.01)</f>
        <v>55.01</v>
      </c>
      <c r="AS594" s="3">
        <f ca="1">IFERROR(__xludf.DUMMYFUNCTION("""COMPUTED_VALUE"""),55.06)</f>
        <v>55.06</v>
      </c>
      <c r="AT594" s="3">
        <f ca="1">IFERROR(__xludf.DUMMYFUNCTION("""COMPUTED_VALUE"""),54.68)</f>
        <v>54.68</v>
      </c>
      <c r="AU594" s="3">
        <f ca="1">IFERROR(__xludf.DUMMYFUNCTION("""COMPUTED_VALUE"""),55.03)</f>
        <v>55.03</v>
      </c>
      <c r="AV594" s="3">
        <f ca="1">IFERROR(__xludf.DUMMYFUNCTION("""COMPUTED_VALUE"""),4442630)</f>
        <v>4442630</v>
      </c>
      <c r="BC594" s="4">
        <f ca="1">IFERROR(__xludf.DUMMYFUNCTION("""COMPUTED_VALUE"""),42985.6666666666)</f>
        <v>42985.666666666599</v>
      </c>
      <c r="BD594" s="3">
        <f ca="1">IFERROR(__xludf.DUMMYFUNCTION("""COMPUTED_VALUE"""),58.5)</f>
        <v>58.5</v>
      </c>
      <c r="BE594" s="3">
        <f ca="1">IFERROR(__xludf.DUMMYFUNCTION("""COMPUTED_VALUE"""),58.63)</f>
        <v>58.63</v>
      </c>
      <c r="BF594" s="3">
        <f ca="1">IFERROR(__xludf.DUMMYFUNCTION("""COMPUTED_VALUE"""),58.29)</f>
        <v>58.29</v>
      </c>
      <c r="BG594" s="3">
        <f ca="1">IFERROR(__xludf.DUMMYFUNCTION("""COMPUTED_VALUE"""),58.51)</f>
        <v>58.51</v>
      </c>
      <c r="BH594" s="3">
        <f ca="1">IFERROR(__xludf.DUMMYFUNCTION("""COMPUTED_VALUE"""),7693809)</f>
        <v>7693809</v>
      </c>
      <c r="BI594" s="4">
        <f ca="1">IFERROR(__xludf.DUMMYFUNCTION("""COMPUTED_VALUE"""),42985.6666666666)</f>
        <v>42985.666666666599</v>
      </c>
      <c r="BJ594" s="3">
        <f ca="1">IFERROR(__xludf.DUMMYFUNCTION("""COMPUTED_VALUE"""),54.74)</f>
        <v>54.74</v>
      </c>
      <c r="BK594" s="3">
        <f ca="1">IFERROR(__xludf.DUMMYFUNCTION("""COMPUTED_VALUE"""),55.16)</f>
        <v>55.16</v>
      </c>
      <c r="BL594" s="3">
        <f ca="1">IFERROR(__xludf.DUMMYFUNCTION("""COMPUTED_VALUE"""),54.69)</f>
        <v>54.69</v>
      </c>
      <c r="BM594" s="3">
        <f ca="1">IFERROR(__xludf.DUMMYFUNCTION("""COMPUTED_VALUE"""),55.1)</f>
        <v>55.1</v>
      </c>
      <c r="BN594" s="3">
        <f ca="1">IFERROR(__xludf.DUMMYFUNCTION("""COMPUTED_VALUE"""),12351732)</f>
        <v>12351732</v>
      </c>
    </row>
    <row r="595" spans="7:66" ht="13" x14ac:dyDescent="0.15">
      <c r="G595" s="4">
        <f ca="1">IFERROR(__xludf.DUMMYFUNCTION("""COMPUTED_VALUE"""),42986.6666666666)</f>
        <v>42986.666666666599</v>
      </c>
      <c r="H595" s="3">
        <f ca="1">IFERROR(__xludf.DUMMYFUNCTION("""COMPUTED_VALUE"""),89.3)</f>
        <v>89.3</v>
      </c>
      <c r="I595" s="3">
        <f ca="1">IFERROR(__xludf.DUMMYFUNCTION("""COMPUTED_VALUE"""),89.38)</f>
        <v>89.38</v>
      </c>
      <c r="J595" s="3">
        <f ca="1">IFERROR(__xludf.DUMMYFUNCTION("""COMPUTED_VALUE"""),89.02)</f>
        <v>89.02</v>
      </c>
      <c r="K595" s="3">
        <f ca="1">IFERROR(__xludf.DUMMYFUNCTION("""COMPUTED_VALUE"""),89.17)</f>
        <v>89.17</v>
      </c>
      <c r="L595" s="3">
        <f ca="1">IFERROR(__xludf.DUMMYFUNCTION("""COMPUTED_VALUE"""),2589950)</f>
        <v>2589950</v>
      </c>
      <c r="M595" s="4">
        <f ca="1">IFERROR(__xludf.DUMMYFUNCTION("""COMPUTED_VALUE"""),42986.6666666666)</f>
        <v>42986.666666666599</v>
      </c>
      <c r="N595" s="3">
        <f ca="1">IFERROR(__xludf.DUMMYFUNCTION("""COMPUTED_VALUE"""),55.17)</f>
        <v>55.17</v>
      </c>
      <c r="O595" s="3">
        <f ca="1">IFERROR(__xludf.DUMMYFUNCTION("""COMPUTED_VALUE"""),55.27)</f>
        <v>55.27</v>
      </c>
      <c r="P595" s="3">
        <f ca="1">IFERROR(__xludf.DUMMYFUNCTION("""COMPUTED_VALUE"""),54.88)</f>
        <v>54.88</v>
      </c>
      <c r="Q595" s="3">
        <f ca="1">IFERROR(__xludf.DUMMYFUNCTION("""COMPUTED_VALUE"""),55.09)</f>
        <v>55.09</v>
      </c>
      <c r="R595" s="3">
        <f ca="1">IFERROR(__xludf.DUMMYFUNCTION("""COMPUTED_VALUE"""),9158225)</f>
        <v>9158225</v>
      </c>
      <c r="S595" s="4">
        <f ca="1">IFERROR(__xludf.DUMMYFUNCTION("""COMPUTED_VALUE"""),42986.6666666666)</f>
        <v>42986.666666666599</v>
      </c>
      <c r="T595" s="3">
        <f ca="1">IFERROR(__xludf.DUMMYFUNCTION("""COMPUTED_VALUE"""),64.95)</f>
        <v>64.95</v>
      </c>
      <c r="U595" s="3">
        <f ca="1">IFERROR(__xludf.DUMMYFUNCTION("""COMPUTED_VALUE"""),64.99)</f>
        <v>64.989999999999995</v>
      </c>
      <c r="V595" s="3">
        <f ca="1">IFERROR(__xludf.DUMMYFUNCTION("""COMPUTED_VALUE"""),64.1)</f>
        <v>64.099999999999994</v>
      </c>
      <c r="W595" s="3">
        <f ca="1">IFERROR(__xludf.DUMMYFUNCTION("""COMPUTED_VALUE"""),64.4)</f>
        <v>64.400000000000006</v>
      </c>
      <c r="X595" s="3">
        <f ca="1">IFERROR(__xludf.DUMMYFUNCTION("""COMPUTED_VALUE"""),10264742)</f>
        <v>10264742</v>
      </c>
      <c r="Y595" s="4">
        <f ca="1">IFERROR(__xludf.DUMMYFUNCTION("""COMPUTED_VALUE"""),42986.6666666666)</f>
        <v>42986.666666666599</v>
      </c>
      <c r="Z595" s="3">
        <f ca="1">IFERROR(__xludf.DUMMYFUNCTION("""COMPUTED_VALUE"""),23.9)</f>
        <v>23.9</v>
      </c>
      <c r="AA595" s="3">
        <f ca="1">IFERROR(__xludf.DUMMYFUNCTION("""COMPUTED_VALUE"""),24.19)</f>
        <v>24.19</v>
      </c>
      <c r="AB595" s="3">
        <f ca="1">IFERROR(__xludf.DUMMYFUNCTION("""COMPUTED_VALUE"""),23.85)</f>
        <v>23.85</v>
      </c>
      <c r="AC595" s="3">
        <f ca="1">IFERROR(__xludf.DUMMYFUNCTION("""COMPUTED_VALUE"""),24.1)</f>
        <v>24.1</v>
      </c>
      <c r="AD595" s="3">
        <f ca="1">IFERROR(__xludf.DUMMYFUNCTION("""COMPUTED_VALUE"""),68639461)</f>
        <v>68639461</v>
      </c>
      <c r="AE595" s="4">
        <f ca="1">IFERROR(__xludf.DUMMYFUNCTION("""COMPUTED_VALUE"""),42986.6666666666)</f>
        <v>42986.666666666599</v>
      </c>
      <c r="AF595" s="3">
        <f ca="1">IFERROR(__xludf.DUMMYFUNCTION("""COMPUTED_VALUE"""),82.05)</f>
        <v>82.05</v>
      </c>
      <c r="AG595" s="3">
        <f ca="1">IFERROR(__xludf.DUMMYFUNCTION("""COMPUTED_VALUE"""),82.68)</f>
        <v>82.68</v>
      </c>
      <c r="AH595" s="3">
        <f ca="1">IFERROR(__xludf.DUMMYFUNCTION("""COMPUTED_VALUE"""),81.91)</f>
        <v>81.91</v>
      </c>
      <c r="AI595" s="3">
        <f ca="1">IFERROR(__xludf.DUMMYFUNCTION("""COMPUTED_VALUE"""),82.54)</f>
        <v>82.54</v>
      </c>
      <c r="AJ595" s="3">
        <f ca="1">IFERROR(__xludf.DUMMYFUNCTION("""COMPUTED_VALUE"""),4302627)</f>
        <v>4302627</v>
      </c>
      <c r="AK595" s="4">
        <f ca="1">IFERROR(__xludf.DUMMYFUNCTION("""COMPUTED_VALUE"""),42986.6666666666)</f>
        <v>42986.666666666599</v>
      </c>
      <c r="AL595" s="3">
        <f ca="1">IFERROR(__xludf.DUMMYFUNCTION("""COMPUTED_VALUE"""),67.71)</f>
        <v>67.709999999999994</v>
      </c>
      <c r="AM595" s="3">
        <f ca="1">IFERROR(__xludf.DUMMYFUNCTION("""COMPUTED_VALUE"""),68.37)</f>
        <v>68.37</v>
      </c>
      <c r="AN595" s="3">
        <f ca="1">IFERROR(__xludf.DUMMYFUNCTION("""COMPUTED_VALUE"""),67.61)</f>
        <v>67.61</v>
      </c>
      <c r="AO595" s="3">
        <f ca="1">IFERROR(__xludf.DUMMYFUNCTION("""COMPUTED_VALUE"""),68.27)</f>
        <v>68.27</v>
      </c>
      <c r="AP595" s="3">
        <f ca="1">IFERROR(__xludf.DUMMYFUNCTION("""COMPUTED_VALUE"""),8066996)</f>
        <v>8066996</v>
      </c>
      <c r="AQ595" s="4">
        <f ca="1">IFERROR(__xludf.DUMMYFUNCTION("""COMPUTED_VALUE"""),42986.6666666666)</f>
        <v>42986.666666666599</v>
      </c>
      <c r="AR595" s="3">
        <f ca="1">IFERROR(__xludf.DUMMYFUNCTION("""COMPUTED_VALUE"""),54.99)</f>
        <v>54.99</v>
      </c>
      <c r="AS595" s="3">
        <f ca="1">IFERROR(__xludf.DUMMYFUNCTION("""COMPUTED_VALUE"""),55.07)</f>
        <v>55.07</v>
      </c>
      <c r="AT595" s="3">
        <f ca="1">IFERROR(__xludf.DUMMYFUNCTION("""COMPUTED_VALUE"""),54.77)</f>
        <v>54.77</v>
      </c>
      <c r="AU595" s="3">
        <f ca="1">IFERROR(__xludf.DUMMYFUNCTION("""COMPUTED_VALUE"""),55.01)</f>
        <v>55.01</v>
      </c>
      <c r="AV595" s="3">
        <f ca="1">IFERROR(__xludf.DUMMYFUNCTION("""COMPUTED_VALUE"""),2719220)</f>
        <v>2719220</v>
      </c>
      <c r="BC595" s="4">
        <f ca="1">IFERROR(__xludf.DUMMYFUNCTION("""COMPUTED_VALUE"""),42986.6666666666)</f>
        <v>42986.666666666599</v>
      </c>
      <c r="BD595" s="3">
        <f ca="1">IFERROR(__xludf.DUMMYFUNCTION("""COMPUTED_VALUE"""),58.42)</f>
        <v>58.42</v>
      </c>
      <c r="BE595" s="3">
        <f ca="1">IFERROR(__xludf.DUMMYFUNCTION("""COMPUTED_VALUE"""),58.5)</f>
        <v>58.5</v>
      </c>
      <c r="BF595" s="3">
        <f ca="1">IFERROR(__xludf.DUMMYFUNCTION("""COMPUTED_VALUE"""),57.99)</f>
        <v>57.99</v>
      </c>
      <c r="BG595" s="3">
        <f ca="1">IFERROR(__xludf.DUMMYFUNCTION("""COMPUTED_VALUE"""),58.03)</f>
        <v>58.03</v>
      </c>
      <c r="BH595" s="3">
        <f ca="1">IFERROR(__xludf.DUMMYFUNCTION("""COMPUTED_VALUE"""),6259222)</f>
        <v>6259222</v>
      </c>
      <c r="BI595" s="4">
        <f ca="1">IFERROR(__xludf.DUMMYFUNCTION("""COMPUTED_VALUE"""),42986.6666666666)</f>
        <v>42986.666666666599</v>
      </c>
      <c r="BJ595" s="3">
        <f ca="1">IFERROR(__xludf.DUMMYFUNCTION("""COMPUTED_VALUE"""),55.02)</f>
        <v>55.02</v>
      </c>
      <c r="BK595" s="3">
        <f ca="1">IFERROR(__xludf.DUMMYFUNCTION("""COMPUTED_VALUE"""),55.4)</f>
        <v>55.4</v>
      </c>
      <c r="BL595" s="3">
        <f ca="1">IFERROR(__xludf.DUMMYFUNCTION("""COMPUTED_VALUE"""),54.92)</f>
        <v>54.92</v>
      </c>
      <c r="BM595" s="3">
        <f ca="1">IFERROR(__xludf.DUMMYFUNCTION("""COMPUTED_VALUE"""),55.36)</f>
        <v>55.36</v>
      </c>
      <c r="BN595" s="3">
        <f ca="1">IFERROR(__xludf.DUMMYFUNCTION("""COMPUTED_VALUE"""),9019928)</f>
        <v>9019928</v>
      </c>
    </row>
    <row r="596" spans="7:66" ht="13" x14ac:dyDescent="0.15">
      <c r="G596" s="4">
        <f ca="1">IFERROR(__xludf.DUMMYFUNCTION("""COMPUTED_VALUE"""),42989.6666666666)</f>
        <v>42989.666666666599</v>
      </c>
      <c r="H596" s="3">
        <f ca="1">IFERROR(__xludf.DUMMYFUNCTION("""COMPUTED_VALUE"""),89.49)</f>
        <v>89.49</v>
      </c>
      <c r="I596" s="3">
        <f ca="1">IFERROR(__xludf.DUMMYFUNCTION("""COMPUTED_VALUE"""),89.73)</f>
        <v>89.73</v>
      </c>
      <c r="J596" s="3">
        <f ca="1">IFERROR(__xludf.DUMMYFUNCTION("""COMPUTED_VALUE"""),89.42)</f>
        <v>89.42</v>
      </c>
      <c r="K596" s="3">
        <f ca="1">IFERROR(__xludf.DUMMYFUNCTION("""COMPUTED_VALUE"""),89.64)</f>
        <v>89.64</v>
      </c>
      <c r="L596" s="3">
        <f ca="1">IFERROR(__xludf.DUMMYFUNCTION("""COMPUTED_VALUE"""),3351563)</f>
        <v>3351563</v>
      </c>
      <c r="M596" s="4">
        <f ca="1">IFERROR(__xludf.DUMMYFUNCTION("""COMPUTED_VALUE"""),42989.6666666666)</f>
        <v>42989.666666666599</v>
      </c>
      <c r="N596" s="3">
        <f ca="1">IFERROR(__xludf.DUMMYFUNCTION("""COMPUTED_VALUE"""),55.19)</f>
        <v>55.19</v>
      </c>
      <c r="O596" s="3">
        <f ca="1">IFERROR(__xludf.DUMMYFUNCTION("""COMPUTED_VALUE"""),55.51)</f>
        <v>55.51</v>
      </c>
      <c r="P596" s="3">
        <f ca="1">IFERROR(__xludf.DUMMYFUNCTION("""COMPUTED_VALUE"""),55.18)</f>
        <v>55.18</v>
      </c>
      <c r="Q596" s="3">
        <f ca="1">IFERROR(__xludf.DUMMYFUNCTION("""COMPUTED_VALUE"""),55.43)</f>
        <v>55.43</v>
      </c>
      <c r="R596" s="3">
        <f ca="1">IFERROR(__xludf.DUMMYFUNCTION("""COMPUTED_VALUE"""),9177812)</f>
        <v>9177812</v>
      </c>
      <c r="S596" s="4">
        <f ca="1">IFERROR(__xludf.DUMMYFUNCTION("""COMPUTED_VALUE"""),42989.6666666666)</f>
        <v>42989.666666666599</v>
      </c>
      <c r="T596" s="3">
        <f ca="1">IFERROR(__xludf.DUMMYFUNCTION("""COMPUTED_VALUE"""),64.65)</f>
        <v>64.650000000000006</v>
      </c>
      <c r="U596" s="3">
        <f ca="1">IFERROR(__xludf.DUMMYFUNCTION("""COMPUTED_VALUE"""),65.1)</f>
        <v>65.099999999999994</v>
      </c>
      <c r="V596" s="3">
        <f ca="1">IFERROR(__xludf.DUMMYFUNCTION("""COMPUTED_VALUE"""),64.5)</f>
        <v>64.5</v>
      </c>
      <c r="W596" s="3">
        <f ca="1">IFERROR(__xludf.DUMMYFUNCTION("""COMPUTED_VALUE"""),65.01)</f>
        <v>65.010000000000005</v>
      </c>
      <c r="X596" s="3">
        <f ca="1">IFERROR(__xludf.DUMMYFUNCTION("""COMPUTED_VALUE"""),13551055)</f>
        <v>13551055</v>
      </c>
      <c r="Y596" s="4">
        <f ca="1">IFERROR(__xludf.DUMMYFUNCTION("""COMPUTED_VALUE"""),42989.6666666666)</f>
        <v>42989.666666666599</v>
      </c>
      <c r="Z596" s="3">
        <f ca="1">IFERROR(__xludf.DUMMYFUNCTION("""COMPUTED_VALUE"""),24.38)</f>
        <v>24.38</v>
      </c>
      <c r="AA596" s="3">
        <f ca="1">IFERROR(__xludf.DUMMYFUNCTION("""COMPUTED_VALUE"""),24.59)</f>
        <v>24.59</v>
      </c>
      <c r="AB596" s="3">
        <f ca="1">IFERROR(__xludf.DUMMYFUNCTION("""COMPUTED_VALUE"""),24.33)</f>
        <v>24.33</v>
      </c>
      <c r="AC596" s="3">
        <f ca="1">IFERROR(__xludf.DUMMYFUNCTION("""COMPUTED_VALUE"""),24.52)</f>
        <v>24.52</v>
      </c>
      <c r="AD596" s="3">
        <f ca="1">IFERROR(__xludf.DUMMYFUNCTION("""COMPUTED_VALUE"""),73305743)</f>
        <v>73305743</v>
      </c>
      <c r="AE596" s="4">
        <f ca="1">IFERROR(__xludf.DUMMYFUNCTION("""COMPUTED_VALUE"""),42989.6666666666)</f>
        <v>42989.666666666599</v>
      </c>
      <c r="AF596" s="3">
        <f ca="1">IFERROR(__xludf.DUMMYFUNCTION("""COMPUTED_VALUE"""),82.91)</f>
        <v>82.91</v>
      </c>
      <c r="AG596" s="3">
        <f ca="1">IFERROR(__xludf.DUMMYFUNCTION("""COMPUTED_VALUE"""),83.2)</f>
        <v>83.2</v>
      </c>
      <c r="AH596" s="3">
        <f ca="1">IFERROR(__xludf.DUMMYFUNCTION("""COMPUTED_VALUE"""),82.73)</f>
        <v>82.73</v>
      </c>
      <c r="AI596" s="3">
        <f ca="1">IFERROR(__xludf.DUMMYFUNCTION("""COMPUTED_VALUE"""),83.18)</f>
        <v>83.18</v>
      </c>
      <c r="AJ596" s="3">
        <f ca="1">IFERROR(__xludf.DUMMYFUNCTION("""COMPUTED_VALUE"""),6286176)</f>
        <v>6286176</v>
      </c>
      <c r="AK596" s="4">
        <f ca="1">IFERROR(__xludf.DUMMYFUNCTION("""COMPUTED_VALUE"""),42989.6666666666)</f>
        <v>42989.666666666599</v>
      </c>
      <c r="AL596" s="3">
        <f ca="1">IFERROR(__xludf.DUMMYFUNCTION("""COMPUTED_VALUE"""),68.53)</f>
        <v>68.53</v>
      </c>
      <c r="AM596" s="3">
        <f ca="1">IFERROR(__xludf.DUMMYFUNCTION("""COMPUTED_VALUE"""),68.88)</f>
        <v>68.88</v>
      </c>
      <c r="AN596" s="3">
        <f ca="1">IFERROR(__xludf.DUMMYFUNCTION("""COMPUTED_VALUE"""),68.53)</f>
        <v>68.53</v>
      </c>
      <c r="AO596" s="3">
        <f ca="1">IFERROR(__xludf.DUMMYFUNCTION("""COMPUTED_VALUE"""),68.86)</f>
        <v>68.86</v>
      </c>
      <c r="AP596" s="3">
        <f ca="1">IFERROR(__xludf.DUMMYFUNCTION("""COMPUTED_VALUE"""),8005620)</f>
        <v>8005620</v>
      </c>
      <c r="AQ596" s="4">
        <f ca="1">IFERROR(__xludf.DUMMYFUNCTION("""COMPUTED_VALUE"""),42989.6666666666)</f>
        <v>42989.666666666599</v>
      </c>
      <c r="AR596" s="3">
        <f ca="1">IFERROR(__xludf.DUMMYFUNCTION("""COMPUTED_VALUE"""),55.31)</f>
        <v>55.31</v>
      </c>
      <c r="AS596" s="3">
        <f ca="1">IFERROR(__xludf.DUMMYFUNCTION("""COMPUTED_VALUE"""),55.88)</f>
        <v>55.88</v>
      </c>
      <c r="AT596" s="3">
        <f ca="1">IFERROR(__xludf.DUMMYFUNCTION("""COMPUTED_VALUE"""),55.21)</f>
        <v>55.21</v>
      </c>
      <c r="AU596" s="3">
        <f ca="1">IFERROR(__xludf.DUMMYFUNCTION("""COMPUTED_VALUE"""),55.73)</f>
        <v>55.73</v>
      </c>
      <c r="AV596" s="3">
        <f ca="1">IFERROR(__xludf.DUMMYFUNCTION("""COMPUTED_VALUE"""),5072313)</f>
        <v>5072313</v>
      </c>
      <c r="BC596" s="4">
        <f ca="1">IFERROR(__xludf.DUMMYFUNCTION("""COMPUTED_VALUE"""),42989.6666666666)</f>
        <v>42989.666666666599</v>
      </c>
      <c r="BD596" s="3">
        <f ca="1">IFERROR(__xludf.DUMMYFUNCTION("""COMPUTED_VALUE"""),58.49)</f>
        <v>58.49</v>
      </c>
      <c r="BE596" s="3">
        <f ca="1">IFERROR(__xludf.DUMMYFUNCTION("""COMPUTED_VALUE"""),58.91)</f>
        <v>58.91</v>
      </c>
      <c r="BF596" s="3">
        <f ca="1">IFERROR(__xludf.DUMMYFUNCTION("""COMPUTED_VALUE"""),58.49)</f>
        <v>58.49</v>
      </c>
      <c r="BG596" s="3">
        <f ca="1">IFERROR(__xludf.DUMMYFUNCTION("""COMPUTED_VALUE"""),58.85)</f>
        <v>58.85</v>
      </c>
      <c r="BH596" s="3">
        <f ca="1">IFERROR(__xludf.DUMMYFUNCTION("""COMPUTED_VALUE"""),7037299)</f>
        <v>7037299</v>
      </c>
      <c r="BI596" s="4">
        <f ca="1">IFERROR(__xludf.DUMMYFUNCTION("""COMPUTED_VALUE"""),42989.6666666666)</f>
        <v>42989.666666666599</v>
      </c>
      <c r="BJ596" s="3">
        <f ca="1">IFERROR(__xludf.DUMMYFUNCTION("""COMPUTED_VALUE"""),55.26)</f>
        <v>55.26</v>
      </c>
      <c r="BK596" s="3">
        <f ca="1">IFERROR(__xludf.DUMMYFUNCTION("""COMPUTED_VALUE"""),55.9)</f>
        <v>55.9</v>
      </c>
      <c r="BL596" s="3">
        <f ca="1">IFERROR(__xludf.DUMMYFUNCTION("""COMPUTED_VALUE"""),55.25)</f>
        <v>55.25</v>
      </c>
      <c r="BM596" s="3">
        <f ca="1">IFERROR(__xludf.DUMMYFUNCTION("""COMPUTED_VALUE"""),55.83)</f>
        <v>55.83</v>
      </c>
      <c r="BN596" s="3">
        <f ca="1">IFERROR(__xludf.DUMMYFUNCTION("""COMPUTED_VALUE"""),10091614)</f>
        <v>10091614</v>
      </c>
    </row>
    <row r="597" spans="7:66" ht="13" x14ac:dyDescent="0.15">
      <c r="G597" s="4">
        <f ca="1">IFERROR(__xludf.DUMMYFUNCTION("""COMPUTED_VALUE"""),42990.6666666666)</f>
        <v>42990.666666666599</v>
      </c>
      <c r="H597" s="3">
        <f ca="1">IFERROR(__xludf.DUMMYFUNCTION("""COMPUTED_VALUE"""),89.86)</f>
        <v>89.86</v>
      </c>
      <c r="I597" s="3">
        <f ca="1">IFERROR(__xludf.DUMMYFUNCTION("""COMPUTED_VALUE"""),90.17)</f>
        <v>90.17</v>
      </c>
      <c r="J597" s="3">
        <f ca="1">IFERROR(__xludf.DUMMYFUNCTION("""COMPUTED_VALUE"""),89.74)</f>
        <v>89.74</v>
      </c>
      <c r="K597" s="3">
        <f ca="1">IFERROR(__xludf.DUMMYFUNCTION("""COMPUTED_VALUE"""),90.04)</f>
        <v>90.04</v>
      </c>
      <c r="L597" s="3">
        <f ca="1">IFERROR(__xludf.DUMMYFUNCTION("""COMPUTED_VALUE"""),2720090)</f>
        <v>2720090</v>
      </c>
      <c r="M597" s="4">
        <f ca="1">IFERROR(__xludf.DUMMYFUNCTION("""COMPUTED_VALUE"""),42990.6666666666)</f>
        <v>42990.666666666599</v>
      </c>
      <c r="N597" s="3">
        <f ca="1">IFERROR(__xludf.DUMMYFUNCTION("""COMPUTED_VALUE"""),55.43)</f>
        <v>55.43</v>
      </c>
      <c r="O597" s="3">
        <f ca="1">IFERROR(__xludf.DUMMYFUNCTION("""COMPUTED_VALUE"""),55.56)</f>
        <v>55.56</v>
      </c>
      <c r="P597" s="3">
        <f ca="1">IFERROR(__xludf.DUMMYFUNCTION("""COMPUTED_VALUE"""),55.4)</f>
        <v>55.4</v>
      </c>
      <c r="Q597" s="3">
        <f ca="1">IFERROR(__xludf.DUMMYFUNCTION("""COMPUTED_VALUE"""),55.55)</f>
        <v>55.55</v>
      </c>
      <c r="R597" s="3">
        <f ca="1">IFERROR(__xludf.DUMMYFUNCTION("""COMPUTED_VALUE"""),7453407)</f>
        <v>7453407</v>
      </c>
      <c r="S597" s="4">
        <f ca="1">IFERROR(__xludf.DUMMYFUNCTION("""COMPUTED_VALUE"""),42990.6666666666)</f>
        <v>42990.666666666599</v>
      </c>
      <c r="T597" s="3">
        <f ca="1">IFERROR(__xludf.DUMMYFUNCTION("""COMPUTED_VALUE"""),65.2)</f>
        <v>65.2</v>
      </c>
      <c r="U597" s="3">
        <f ca="1">IFERROR(__xludf.DUMMYFUNCTION("""COMPUTED_VALUE"""),65.55)</f>
        <v>65.55</v>
      </c>
      <c r="V597" s="3">
        <f ca="1">IFERROR(__xludf.DUMMYFUNCTION("""COMPUTED_VALUE"""),65.03)</f>
        <v>65.03</v>
      </c>
      <c r="W597" s="3">
        <f ca="1">IFERROR(__xludf.DUMMYFUNCTION("""COMPUTED_VALUE"""),65.41)</f>
        <v>65.41</v>
      </c>
      <c r="X597" s="3">
        <f ca="1">IFERROR(__xludf.DUMMYFUNCTION("""COMPUTED_VALUE"""),9409697)</f>
        <v>9409697</v>
      </c>
      <c r="Y597" s="4">
        <f ca="1">IFERROR(__xludf.DUMMYFUNCTION("""COMPUTED_VALUE"""),42990.6666666666)</f>
        <v>42990.666666666599</v>
      </c>
      <c r="Z597" s="3">
        <f ca="1">IFERROR(__xludf.DUMMYFUNCTION("""COMPUTED_VALUE"""),24.61)</f>
        <v>24.61</v>
      </c>
      <c r="AA597" s="3">
        <f ca="1">IFERROR(__xludf.DUMMYFUNCTION("""COMPUTED_VALUE"""),24.83)</f>
        <v>24.83</v>
      </c>
      <c r="AB597" s="3">
        <f ca="1">IFERROR(__xludf.DUMMYFUNCTION("""COMPUTED_VALUE"""),24.59)</f>
        <v>24.59</v>
      </c>
      <c r="AC597" s="3">
        <f ca="1">IFERROR(__xludf.DUMMYFUNCTION("""COMPUTED_VALUE"""),24.81)</f>
        <v>24.81</v>
      </c>
      <c r="AD597" s="3">
        <f ca="1">IFERROR(__xludf.DUMMYFUNCTION("""COMPUTED_VALUE"""),66350629)</f>
        <v>66350629</v>
      </c>
      <c r="AE597" s="4">
        <f ca="1">IFERROR(__xludf.DUMMYFUNCTION("""COMPUTED_VALUE"""),42990.6666666666)</f>
        <v>42990.666666666599</v>
      </c>
      <c r="AF597" s="3">
        <f ca="1">IFERROR(__xludf.DUMMYFUNCTION("""COMPUTED_VALUE"""),83.2)</f>
        <v>83.2</v>
      </c>
      <c r="AG597" s="3">
        <f ca="1">IFERROR(__xludf.DUMMYFUNCTION("""COMPUTED_VALUE"""),83.37)</f>
        <v>83.37</v>
      </c>
      <c r="AH597" s="3">
        <f ca="1">IFERROR(__xludf.DUMMYFUNCTION("""COMPUTED_VALUE"""),83.04)</f>
        <v>83.04</v>
      </c>
      <c r="AI597" s="3">
        <f ca="1">IFERROR(__xludf.DUMMYFUNCTION("""COMPUTED_VALUE"""),83.36)</f>
        <v>83.36</v>
      </c>
      <c r="AJ597" s="3">
        <f ca="1">IFERROR(__xludf.DUMMYFUNCTION("""COMPUTED_VALUE"""),6984789)</f>
        <v>6984789</v>
      </c>
      <c r="AK597" s="4">
        <f ca="1">IFERROR(__xludf.DUMMYFUNCTION("""COMPUTED_VALUE"""),42990.6666666666)</f>
        <v>42990.666666666599</v>
      </c>
      <c r="AL597" s="3">
        <f ca="1">IFERROR(__xludf.DUMMYFUNCTION("""COMPUTED_VALUE"""),69.02)</f>
        <v>69.02</v>
      </c>
      <c r="AM597" s="3">
        <f ca="1">IFERROR(__xludf.DUMMYFUNCTION("""COMPUTED_VALUE"""),69.21)</f>
        <v>69.209999999999994</v>
      </c>
      <c r="AN597" s="3">
        <f ca="1">IFERROR(__xludf.DUMMYFUNCTION("""COMPUTED_VALUE"""),68.9)</f>
        <v>68.900000000000006</v>
      </c>
      <c r="AO597" s="3">
        <f ca="1">IFERROR(__xludf.DUMMYFUNCTION("""COMPUTED_VALUE"""),69.19)</f>
        <v>69.19</v>
      </c>
      <c r="AP597" s="3">
        <f ca="1">IFERROR(__xludf.DUMMYFUNCTION("""COMPUTED_VALUE"""),7606229)</f>
        <v>7606229</v>
      </c>
      <c r="AQ597" s="4">
        <f ca="1">IFERROR(__xludf.DUMMYFUNCTION("""COMPUTED_VALUE"""),42990.6666666666)</f>
        <v>42990.666666666599</v>
      </c>
      <c r="AR597" s="3">
        <f ca="1">IFERROR(__xludf.DUMMYFUNCTION("""COMPUTED_VALUE"""),55.98)</f>
        <v>55.98</v>
      </c>
      <c r="AS597" s="3">
        <f ca="1">IFERROR(__xludf.DUMMYFUNCTION("""COMPUTED_VALUE"""),56.39)</f>
        <v>56.39</v>
      </c>
      <c r="AT597" s="3">
        <f ca="1">IFERROR(__xludf.DUMMYFUNCTION("""COMPUTED_VALUE"""),55.97)</f>
        <v>55.97</v>
      </c>
      <c r="AU597" s="3">
        <f ca="1">IFERROR(__xludf.DUMMYFUNCTION("""COMPUTED_VALUE"""),56.2)</f>
        <v>56.2</v>
      </c>
      <c r="AV597" s="3">
        <f ca="1">IFERROR(__xludf.DUMMYFUNCTION("""COMPUTED_VALUE"""),6643687)</f>
        <v>6643687</v>
      </c>
      <c r="BC597" s="4">
        <f ca="1">IFERROR(__xludf.DUMMYFUNCTION("""COMPUTED_VALUE"""),42990.6666666666)</f>
        <v>42990.666666666599</v>
      </c>
      <c r="BD597" s="3">
        <f ca="1">IFERROR(__xludf.DUMMYFUNCTION("""COMPUTED_VALUE"""),59.02)</f>
        <v>59.02</v>
      </c>
      <c r="BE597" s="3">
        <f ca="1">IFERROR(__xludf.DUMMYFUNCTION("""COMPUTED_VALUE"""),59.1)</f>
        <v>59.1</v>
      </c>
      <c r="BF597" s="3">
        <f ca="1">IFERROR(__xludf.DUMMYFUNCTION("""COMPUTED_VALUE"""),58.72)</f>
        <v>58.72</v>
      </c>
      <c r="BG597" s="3">
        <f ca="1">IFERROR(__xludf.DUMMYFUNCTION("""COMPUTED_VALUE"""),58.99)</f>
        <v>58.99</v>
      </c>
      <c r="BH597" s="3">
        <f ca="1">IFERROR(__xludf.DUMMYFUNCTION("""COMPUTED_VALUE"""),7861747)</f>
        <v>7861747</v>
      </c>
      <c r="BI597" s="4">
        <f ca="1">IFERROR(__xludf.DUMMYFUNCTION("""COMPUTED_VALUE"""),42990.6666666666)</f>
        <v>42990.666666666599</v>
      </c>
      <c r="BJ597" s="3">
        <f ca="1">IFERROR(__xludf.DUMMYFUNCTION("""COMPUTED_VALUE"""),55.79)</f>
        <v>55.79</v>
      </c>
      <c r="BK597" s="3">
        <f ca="1">IFERROR(__xludf.DUMMYFUNCTION("""COMPUTED_VALUE"""),55.79)</f>
        <v>55.79</v>
      </c>
      <c r="BL597" s="3">
        <f ca="1">IFERROR(__xludf.DUMMYFUNCTION("""COMPUTED_VALUE"""),54.6)</f>
        <v>54.6</v>
      </c>
      <c r="BM597" s="3">
        <f ca="1">IFERROR(__xludf.DUMMYFUNCTION("""COMPUTED_VALUE"""),54.9)</f>
        <v>54.9</v>
      </c>
      <c r="BN597" s="3">
        <f ca="1">IFERROR(__xludf.DUMMYFUNCTION("""COMPUTED_VALUE"""),18895311)</f>
        <v>18895311</v>
      </c>
    </row>
    <row r="598" spans="7:66" ht="13" x14ac:dyDescent="0.15">
      <c r="G598" s="4">
        <f ca="1">IFERROR(__xludf.DUMMYFUNCTION("""COMPUTED_VALUE"""),42991.6666666666)</f>
        <v>42991.666666666599</v>
      </c>
      <c r="H598" s="3">
        <f ca="1">IFERROR(__xludf.DUMMYFUNCTION("""COMPUTED_VALUE"""),89.99)</f>
        <v>89.99</v>
      </c>
      <c r="I598" s="3">
        <f ca="1">IFERROR(__xludf.DUMMYFUNCTION("""COMPUTED_VALUE"""),90.69)</f>
        <v>90.69</v>
      </c>
      <c r="J598" s="3">
        <f ca="1">IFERROR(__xludf.DUMMYFUNCTION("""COMPUTED_VALUE"""),89.99)</f>
        <v>89.99</v>
      </c>
      <c r="K598" s="3">
        <f ca="1">IFERROR(__xludf.DUMMYFUNCTION("""COMPUTED_VALUE"""),90.69)</f>
        <v>90.69</v>
      </c>
      <c r="L598" s="3">
        <f ca="1">IFERROR(__xludf.DUMMYFUNCTION("""COMPUTED_VALUE"""),3291562)</f>
        <v>3291562</v>
      </c>
      <c r="M598" s="4">
        <f ca="1">IFERROR(__xludf.DUMMYFUNCTION("""COMPUTED_VALUE"""),42991.6666666666)</f>
        <v>42991.666666666599</v>
      </c>
      <c r="N598" s="3">
        <f ca="1">IFERROR(__xludf.DUMMYFUNCTION("""COMPUTED_VALUE"""),55.5)</f>
        <v>55.5</v>
      </c>
      <c r="O598" s="3">
        <f ca="1">IFERROR(__xludf.DUMMYFUNCTION("""COMPUTED_VALUE"""),55.78)</f>
        <v>55.78</v>
      </c>
      <c r="P598" s="3">
        <f ca="1">IFERROR(__xludf.DUMMYFUNCTION("""COMPUTED_VALUE"""),55.5)</f>
        <v>55.5</v>
      </c>
      <c r="Q598" s="3">
        <f ca="1">IFERROR(__xludf.DUMMYFUNCTION("""COMPUTED_VALUE"""),55.58)</f>
        <v>55.58</v>
      </c>
      <c r="R598" s="3">
        <f ca="1">IFERROR(__xludf.DUMMYFUNCTION("""COMPUTED_VALUE"""),7972349)</f>
        <v>7972349</v>
      </c>
      <c r="S598" s="4">
        <f ca="1">IFERROR(__xludf.DUMMYFUNCTION("""COMPUTED_VALUE"""),42991.6666666666)</f>
        <v>42991.666666666599</v>
      </c>
      <c r="T598" s="3">
        <f ca="1">IFERROR(__xludf.DUMMYFUNCTION("""COMPUTED_VALUE"""),65.55)</f>
        <v>65.55</v>
      </c>
      <c r="U598" s="3">
        <f ca="1">IFERROR(__xludf.DUMMYFUNCTION("""COMPUTED_VALUE"""),66.27)</f>
        <v>66.27</v>
      </c>
      <c r="V598" s="3">
        <f ca="1">IFERROR(__xludf.DUMMYFUNCTION("""COMPUTED_VALUE"""),65.48)</f>
        <v>65.48</v>
      </c>
      <c r="W598" s="3">
        <f ca="1">IFERROR(__xludf.DUMMYFUNCTION("""COMPUTED_VALUE"""),66.23)</f>
        <v>66.23</v>
      </c>
      <c r="X598" s="3">
        <f ca="1">IFERROR(__xludf.DUMMYFUNCTION("""COMPUTED_VALUE"""),15893275)</f>
        <v>15893275</v>
      </c>
      <c r="Y598" s="4">
        <f ca="1">IFERROR(__xludf.DUMMYFUNCTION("""COMPUTED_VALUE"""),42991.6666666666)</f>
        <v>42991.666666666599</v>
      </c>
      <c r="Z598" s="3">
        <f ca="1">IFERROR(__xludf.DUMMYFUNCTION("""COMPUTED_VALUE"""),24.77)</f>
        <v>24.77</v>
      </c>
      <c r="AA598" s="3">
        <f ca="1">IFERROR(__xludf.DUMMYFUNCTION("""COMPUTED_VALUE"""),24.86)</f>
        <v>24.86</v>
      </c>
      <c r="AB598" s="3">
        <f ca="1">IFERROR(__xludf.DUMMYFUNCTION("""COMPUTED_VALUE"""),24.68)</f>
        <v>24.68</v>
      </c>
      <c r="AC598" s="3">
        <f ca="1">IFERROR(__xludf.DUMMYFUNCTION("""COMPUTED_VALUE"""),24.85)</f>
        <v>24.85</v>
      </c>
      <c r="AD598" s="3">
        <f ca="1">IFERROR(__xludf.DUMMYFUNCTION("""COMPUTED_VALUE"""),51049443)</f>
        <v>51049443</v>
      </c>
      <c r="AE598" s="4">
        <f ca="1">IFERROR(__xludf.DUMMYFUNCTION("""COMPUTED_VALUE"""),42991.6666666666)</f>
        <v>42991.666666666599</v>
      </c>
      <c r="AF598" s="3">
        <f ca="1">IFERROR(__xludf.DUMMYFUNCTION("""COMPUTED_VALUE"""),83.26)</f>
        <v>83.26</v>
      </c>
      <c r="AG598" s="3">
        <f ca="1">IFERROR(__xludf.DUMMYFUNCTION("""COMPUTED_VALUE"""),83.41)</f>
        <v>83.41</v>
      </c>
      <c r="AH598" s="3">
        <f ca="1">IFERROR(__xludf.DUMMYFUNCTION("""COMPUTED_VALUE"""),82.89)</f>
        <v>82.89</v>
      </c>
      <c r="AI598" s="3">
        <f ca="1">IFERROR(__xludf.DUMMYFUNCTION("""COMPUTED_VALUE"""),83.05)</f>
        <v>83.05</v>
      </c>
      <c r="AJ598" s="3">
        <f ca="1">IFERROR(__xludf.DUMMYFUNCTION("""COMPUTED_VALUE"""),5873781)</f>
        <v>5873781</v>
      </c>
      <c r="AK598" s="4">
        <f ca="1">IFERROR(__xludf.DUMMYFUNCTION("""COMPUTED_VALUE"""),42991.6666666666)</f>
        <v>42991.666666666599</v>
      </c>
      <c r="AL598" s="3">
        <f ca="1">IFERROR(__xludf.DUMMYFUNCTION("""COMPUTED_VALUE"""),69.14)</f>
        <v>69.14</v>
      </c>
      <c r="AM598" s="3">
        <f ca="1">IFERROR(__xludf.DUMMYFUNCTION("""COMPUTED_VALUE"""),69.19)</f>
        <v>69.19</v>
      </c>
      <c r="AN598" s="3">
        <f ca="1">IFERROR(__xludf.DUMMYFUNCTION("""COMPUTED_VALUE"""),68.94)</f>
        <v>68.94</v>
      </c>
      <c r="AO598" s="3">
        <f ca="1">IFERROR(__xludf.DUMMYFUNCTION("""COMPUTED_VALUE"""),69.09)</f>
        <v>69.09</v>
      </c>
      <c r="AP598" s="3">
        <f ca="1">IFERROR(__xludf.DUMMYFUNCTION("""COMPUTED_VALUE"""),5528446)</f>
        <v>5528446</v>
      </c>
      <c r="AQ598" s="4">
        <f ca="1">IFERROR(__xludf.DUMMYFUNCTION("""COMPUTED_VALUE"""),42991.6666666666)</f>
        <v>42991.666666666599</v>
      </c>
      <c r="AR598" s="3">
        <f ca="1">IFERROR(__xludf.DUMMYFUNCTION("""COMPUTED_VALUE"""),56.21)</f>
        <v>56.21</v>
      </c>
      <c r="AS598" s="3">
        <f ca="1">IFERROR(__xludf.DUMMYFUNCTION("""COMPUTED_VALUE"""),56.23)</f>
        <v>56.23</v>
      </c>
      <c r="AT598" s="3">
        <f ca="1">IFERROR(__xludf.DUMMYFUNCTION("""COMPUTED_VALUE"""),55.9)</f>
        <v>55.9</v>
      </c>
      <c r="AU598" s="3">
        <f ca="1">IFERROR(__xludf.DUMMYFUNCTION("""COMPUTED_VALUE"""),56.18)</f>
        <v>56.18</v>
      </c>
      <c r="AV598" s="3">
        <f ca="1">IFERROR(__xludf.DUMMYFUNCTION("""COMPUTED_VALUE"""),4390288)</f>
        <v>4390288</v>
      </c>
      <c r="BC598" s="4">
        <f ca="1">IFERROR(__xludf.DUMMYFUNCTION("""COMPUTED_VALUE"""),42991.6666666666)</f>
        <v>42991.666666666599</v>
      </c>
      <c r="BD598" s="3">
        <f ca="1">IFERROR(__xludf.DUMMYFUNCTION("""COMPUTED_VALUE"""),58.92)</f>
        <v>58.92</v>
      </c>
      <c r="BE598" s="3">
        <f ca="1">IFERROR(__xludf.DUMMYFUNCTION("""COMPUTED_VALUE"""),58.93)</f>
        <v>58.93</v>
      </c>
      <c r="BF598" s="3">
        <f ca="1">IFERROR(__xludf.DUMMYFUNCTION("""COMPUTED_VALUE"""),58.68)</f>
        <v>58.68</v>
      </c>
      <c r="BG598" s="3">
        <f ca="1">IFERROR(__xludf.DUMMYFUNCTION("""COMPUTED_VALUE"""),58.91)</f>
        <v>58.91</v>
      </c>
      <c r="BH598" s="3">
        <f ca="1">IFERROR(__xludf.DUMMYFUNCTION("""COMPUTED_VALUE"""),8128285)</f>
        <v>8128285</v>
      </c>
      <c r="BI598" s="4">
        <f ca="1">IFERROR(__xludf.DUMMYFUNCTION("""COMPUTED_VALUE"""),42991.6666666666)</f>
        <v>42991.666666666599</v>
      </c>
      <c r="BJ598" s="3">
        <f ca="1">IFERROR(__xludf.DUMMYFUNCTION("""COMPUTED_VALUE"""),54.85)</f>
        <v>54.85</v>
      </c>
      <c r="BK598" s="3">
        <f ca="1">IFERROR(__xludf.DUMMYFUNCTION("""COMPUTED_VALUE"""),54.89)</f>
        <v>54.89</v>
      </c>
      <c r="BL598" s="3">
        <f ca="1">IFERROR(__xludf.DUMMYFUNCTION("""COMPUTED_VALUE"""),54.59)</f>
        <v>54.59</v>
      </c>
      <c r="BM598" s="3">
        <f ca="1">IFERROR(__xludf.DUMMYFUNCTION("""COMPUTED_VALUE"""),54.63)</f>
        <v>54.63</v>
      </c>
      <c r="BN598" s="3">
        <f ca="1">IFERROR(__xludf.DUMMYFUNCTION("""COMPUTED_VALUE"""),10729070)</f>
        <v>10729070</v>
      </c>
    </row>
    <row r="599" spans="7:66" ht="13" x14ac:dyDescent="0.15">
      <c r="G599" s="4">
        <f ca="1">IFERROR(__xludf.DUMMYFUNCTION("""COMPUTED_VALUE"""),42992.6666666666)</f>
        <v>42992.666666666599</v>
      </c>
      <c r="H599" s="3">
        <f ca="1">IFERROR(__xludf.DUMMYFUNCTION("""COMPUTED_VALUE"""),90.47)</f>
        <v>90.47</v>
      </c>
      <c r="I599" s="3">
        <f ca="1">IFERROR(__xludf.DUMMYFUNCTION("""COMPUTED_VALUE"""),90.7)</f>
        <v>90.7</v>
      </c>
      <c r="J599" s="3">
        <f ca="1">IFERROR(__xludf.DUMMYFUNCTION("""COMPUTED_VALUE"""),90.17)</f>
        <v>90.17</v>
      </c>
      <c r="K599" s="3">
        <f ca="1">IFERROR(__xludf.DUMMYFUNCTION("""COMPUTED_VALUE"""),90.2)</f>
        <v>90.2</v>
      </c>
      <c r="L599" s="3">
        <f ca="1">IFERROR(__xludf.DUMMYFUNCTION("""COMPUTED_VALUE"""),3516900)</f>
        <v>3516900</v>
      </c>
      <c r="M599" s="4">
        <f ca="1">IFERROR(__xludf.DUMMYFUNCTION("""COMPUTED_VALUE"""),42992.6666666666)</f>
        <v>42992.666666666599</v>
      </c>
      <c r="N599" s="3">
        <f ca="1">IFERROR(__xludf.DUMMYFUNCTION("""COMPUTED_VALUE"""),55.49)</f>
        <v>55.49</v>
      </c>
      <c r="O599" s="3">
        <f ca="1">IFERROR(__xludf.DUMMYFUNCTION("""COMPUTED_VALUE"""),55.61)</f>
        <v>55.61</v>
      </c>
      <c r="P599" s="3">
        <f ca="1">IFERROR(__xludf.DUMMYFUNCTION("""COMPUTED_VALUE"""),55.29)</f>
        <v>55.29</v>
      </c>
      <c r="Q599" s="3">
        <f ca="1">IFERROR(__xludf.DUMMYFUNCTION("""COMPUTED_VALUE"""),55.47)</f>
        <v>55.47</v>
      </c>
      <c r="R599" s="3">
        <f ca="1">IFERROR(__xludf.DUMMYFUNCTION("""COMPUTED_VALUE"""),5817854)</f>
        <v>5817854</v>
      </c>
      <c r="S599" s="4">
        <f ca="1">IFERROR(__xludf.DUMMYFUNCTION("""COMPUTED_VALUE"""),42992.6666666666)</f>
        <v>42992.666666666599</v>
      </c>
      <c r="T599" s="3">
        <f ca="1">IFERROR(__xludf.DUMMYFUNCTION("""COMPUTED_VALUE"""),66.36)</f>
        <v>66.36</v>
      </c>
      <c r="U599" s="3">
        <f ca="1">IFERROR(__xludf.DUMMYFUNCTION("""COMPUTED_VALUE"""),67)</f>
        <v>67</v>
      </c>
      <c r="V599" s="3">
        <f ca="1">IFERROR(__xludf.DUMMYFUNCTION("""COMPUTED_VALUE"""),66.35)</f>
        <v>66.349999999999994</v>
      </c>
      <c r="W599" s="3">
        <f ca="1">IFERROR(__xludf.DUMMYFUNCTION("""COMPUTED_VALUE"""),66.55)</f>
        <v>66.55</v>
      </c>
      <c r="X599" s="3">
        <f ca="1">IFERROR(__xludf.DUMMYFUNCTION("""COMPUTED_VALUE"""),14583401)</f>
        <v>14583401</v>
      </c>
      <c r="Y599" s="4">
        <f ca="1">IFERROR(__xludf.DUMMYFUNCTION("""COMPUTED_VALUE"""),42992.6666666666)</f>
        <v>42992.666666666599</v>
      </c>
      <c r="Z599" s="3">
        <f ca="1">IFERROR(__xludf.DUMMYFUNCTION("""COMPUTED_VALUE"""),24.86)</f>
        <v>24.86</v>
      </c>
      <c r="AA599" s="3">
        <f ca="1">IFERROR(__xludf.DUMMYFUNCTION("""COMPUTED_VALUE"""),24.92)</f>
        <v>24.92</v>
      </c>
      <c r="AB599" s="3">
        <f ca="1">IFERROR(__xludf.DUMMYFUNCTION("""COMPUTED_VALUE"""),24.75)</f>
        <v>24.75</v>
      </c>
      <c r="AC599" s="3">
        <f ca="1">IFERROR(__xludf.DUMMYFUNCTION("""COMPUTED_VALUE"""),24.8)</f>
        <v>24.8</v>
      </c>
      <c r="AD599" s="3">
        <f ca="1">IFERROR(__xludf.DUMMYFUNCTION("""COMPUTED_VALUE"""),47163158)</f>
        <v>47163158</v>
      </c>
      <c r="AE599" s="4">
        <f ca="1">IFERROR(__xludf.DUMMYFUNCTION("""COMPUTED_VALUE"""),42992.6666666666)</f>
        <v>42992.666666666599</v>
      </c>
      <c r="AF599" s="3">
        <f ca="1">IFERROR(__xludf.DUMMYFUNCTION("""COMPUTED_VALUE"""),82.82)</f>
        <v>82.82</v>
      </c>
      <c r="AG599" s="3">
        <f ca="1">IFERROR(__xludf.DUMMYFUNCTION("""COMPUTED_VALUE"""),83.29)</f>
        <v>83.29</v>
      </c>
      <c r="AH599" s="3">
        <f ca="1">IFERROR(__xludf.DUMMYFUNCTION("""COMPUTED_VALUE"""),82.72)</f>
        <v>82.72</v>
      </c>
      <c r="AI599" s="3">
        <f ca="1">IFERROR(__xludf.DUMMYFUNCTION("""COMPUTED_VALUE"""),83.16)</f>
        <v>83.16</v>
      </c>
      <c r="AJ599" s="3">
        <f ca="1">IFERROR(__xludf.DUMMYFUNCTION("""COMPUTED_VALUE"""),6373776)</f>
        <v>6373776</v>
      </c>
      <c r="AK599" s="4">
        <f ca="1">IFERROR(__xludf.DUMMYFUNCTION("""COMPUTED_VALUE"""),42992.6666666666)</f>
        <v>42992.666666666599</v>
      </c>
      <c r="AL599" s="3">
        <f ca="1">IFERROR(__xludf.DUMMYFUNCTION("""COMPUTED_VALUE"""),68.99)</f>
        <v>68.989999999999995</v>
      </c>
      <c r="AM599" s="3">
        <f ca="1">IFERROR(__xludf.DUMMYFUNCTION("""COMPUTED_VALUE"""),69.44)</f>
        <v>69.44</v>
      </c>
      <c r="AN599" s="3">
        <f ca="1">IFERROR(__xludf.DUMMYFUNCTION("""COMPUTED_VALUE"""),68.9)</f>
        <v>68.900000000000006</v>
      </c>
      <c r="AO599" s="3">
        <f ca="1">IFERROR(__xludf.DUMMYFUNCTION("""COMPUTED_VALUE"""),69.42)</f>
        <v>69.42</v>
      </c>
      <c r="AP599" s="3">
        <f ca="1">IFERROR(__xludf.DUMMYFUNCTION("""COMPUTED_VALUE"""),6864883)</f>
        <v>6864883</v>
      </c>
      <c r="AQ599" s="4">
        <f ca="1">IFERROR(__xludf.DUMMYFUNCTION("""COMPUTED_VALUE"""),42992.6666666666)</f>
        <v>42992.666666666599</v>
      </c>
      <c r="AR599" s="3">
        <f ca="1">IFERROR(__xludf.DUMMYFUNCTION("""COMPUTED_VALUE"""),56.18)</f>
        <v>56.18</v>
      </c>
      <c r="AS599" s="3">
        <f ca="1">IFERROR(__xludf.DUMMYFUNCTION("""COMPUTED_VALUE"""),56.46)</f>
        <v>56.46</v>
      </c>
      <c r="AT599" s="3">
        <f ca="1">IFERROR(__xludf.DUMMYFUNCTION("""COMPUTED_VALUE"""),56.05)</f>
        <v>56.05</v>
      </c>
      <c r="AU599" s="3">
        <f ca="1">IFERROR(__xludf.DUMMYFUNCTION("""COMPUTED_VALUE"""),56.37)</f>
        <v>56.37</v>
      </c>
      <c r="AV599" s="3">
        <f ca="1">IFERROR(__xludf.DUMMYFUNCTION("""COMPUTED_VALUE"""),4278758)</f>
        <v>4278758</v>
      </c>
      <c r="BC599" s="4">
        <f ca="1">IFERROR(__xludf.DUMMYFUNCTION("""COMPUTED_VALUE"""),42992.6666666666)</f>
        <v>42992.666666666599</v>
      </c>
      <c r="BD599" s="3">
        <f ca="1">IFERROR(__xludf.DUMMYFUNCTION("""COMPUTED_VALUE"""),58.69)</f>
        <v>58.69</v>
      </c>
      <c r="BE599" s="3">
        <f ca="1">IFERROR(__xludf.DUMMYFUNCTION("""COMPUTED_VALUE"""),58.98)</f>
        <v>58.98</v>
      </c>
      <c r="BF599" s="3">
        <f ca="1">IFERROR(__xludf.DUMMYFUNCTION("""COMPUTED_VALUE"""),58.58)</f>
        <v>58.58</v>
      </c>
      <c r="BG599" s="3">
        <f ca="1">IFERROR(__xludf.DUMMYFUNCTION("""COMPUTED_VALUE"""),58.71)</f>
        <v>58.71</v>
      </c>
      <c r="BH599" s="3">
        <f ca="1">IFERROR(__xludf.DUMMYFUNCTION("""COMPUTED_VALUE"""),7626701)</f>
        <v>7626701</v>
      </c>
      <c r="BI599" s="4">
        <f ca="1">IFERROR(__xludf.DUMMYFUNCTION("""COMPUTED_VALUE"""),42992.6666666666)</f>
        <v>42992.666666666599</v>
      </c>
      <c r="BJ599" s="3">
        <f ca="1">IFERROR(__xludf.DUMMYFUNCTION("""COMPUTED_VALUE"""),54.6)</f>
        <v>54.6</v>
      </c>
      <c r="BK599" s="3">
        <f ca="1">IFERROR(__xludf.DUMMYFUNCTION("""COMPUTED_VALUE"""),55.12)</f>
        <v>55.12</v>
      </c>
      <c r="BL599" s="3">
        <f ca="1">IFERROR(__xludf.DUMMYFUNCTION("""COMPUTED_VALUE"""),54.44)</f>
        <v>54.44</v>
      </c>
      <c r="BM599" s="3">
        <f ca="1">IFERROR(__xludf.DUMMYFUNCTION("""COMPUTED_VALUE"""),55.09)</f>
        <v>55.09</v>
      </c>
      <c r="BN599" s="3">
        <f ca="1">IFERROR(__xludf.DUMMYFUNCTION("""COMPUTED_VALUE"""),10195378)</f>
        <v>10195378</v>
      </c>
    </row>
    <row r="600" spans="7:66" ht="13" x14ac:dyDescent="0.15">
      <c r="G600" s="4">
        <f ca="1">IFERROR(__xludf.DUMMYFUNCTION("""COMPUTED_VALUE"""),42993.6666666666)</f>
        <v>42993.666666666599</v>
      </c>
      <c r="H600" s="3">
        <f ca="1">IFERROR(__xludf.DUMMYFUNCTION("""COMPUTED_VALUE"""),89.71)</f>
        <v>89.71</v>
      </c>
      <c r="I600" s="3">
        <f ca="1">IFERROR(__xludf.DUMMYFUNCTION("""COMPUTED_VALUE"""),89.97)</f>
        <v>89.97</v>
      </c>
      <c r="J600" s="3">
        <f ca="1">IFERROR(__xludf.DUMMYFUNCTION("""COMPUTED_VALUE"""),89.58)</f>
        <v>89.58</v>
      </c>
      <c r="K600" s="3">
        <f ca="1">IFERROR(__xludf.DUMMYFUNCTION("""COMPUTED_VALUE"""),89.63)</f>
        <v>89.63</v>
      </c>
      <c r="L600" s="3">
        <f ca="1">IFERROR(__xludf.DUMMYFUNCTION("""COMPUTED_VALUE"""),3911134)</f>
        <v>3911134</v>
      </c>
      <c r="M600" s="4">
        <f ca="1">IFERROR(__xludf.DUMMYFUNCTION("""COMPUTED_VALUE"""),42993.6666666666)</f>
        <v>42993.666666666599</v>
      </c>
      <c r="N600" s="3">
        <f ca="1">IFERROR(__xludf.DUMMYFUNCTION("""COMPUTED_VALUE"""),55.26)</f>
        <v>55.26</v>
      </c>
      <c r="O600" s="3">
        <f ca="1">IFERROR(__xludf.DUMMYFUNCTION("""COMPUTED_VALUE"""),55.26)</f>
        <v>55.26</v>
      </c>
      <c r="P600" s="3">
        <f ca="1">IFERROR(__xludf.DUMMYFUNCTION("""COMPUTED_VALUE"""),55)</f>
        <v>55</v>
      </c>
      <c r="Q600" s="3">
        <f ca="1">IFERROR(__xludf.DUMMYFUNCTION("""COMPUTED_VALUE"""),55.22)</f>
        <v>55.22</v>
      </c>
      <c r="R600" s="3">
        <f ca="1">IFERROR(__xludf.DUMMYFUNCTION("""COMPUTED_VALUE"""),12497722)</f>
        <v>12497722</v>
      </c>
      <c r="S600" s="4">
        <f ca="1">IFERROR(__xludf.DUMMYFUNCTION("""COMPUTED_VALUE"""),42993.6666666666)</f>
        <v>42993.666666666599</v>
      </c>
      <c r="T600" s="3">
        <f ca="1">IFERROR(__xludf.DUMMYFUNCTION("""COMPUTED_VALUE"""),65.82)</f>
        <v>65.819999999999993</v>
      </c>
      <c r="U600" s="3">
        <f ca="1">IFERROR(__xludf.DUMMYFUNCTION("""COMPUTED_VALUE"""),65.84)</f>
        <v>65.84</v>
      </c>
      <c r="V600" s="3">
        <f ca="1">IFERROR(__xludf.DUMMYFUNCTION("""COMPUTED_VALUE"""),65.4)</f>
        <v>65.400000000000006</v>
      </c>
      <c r="W600" s="3">
        <f ca="1">IFERROR(__xludf.DUMMYFUNCTION("""COMPUTED_VALUE"""),65.84)</f>
        <v>65.84</v>
      </c>
      <c r="X600" s="3">
        <f ca="1">IFERROR(__xludf.DUMMYFUNCTION("""COMPUTED_VALUE"""),13068128)</f>
        <v>13068128</v>
      </c>
      <c r="Y600" s="4">
        <f ca="1">IFERROR(__xludf.DUMMYFUNCTION("""COMPUTED_VALUE"""),42993.6666666666)</f>
        <v>42993.666666666599</v>
      </c>
      <c r="Z600" s="3">
        <f ca="1">IFERROR(__xludf.DUMMYFUNCTION("""COMPUTED_VALUE"""),24.66)</f>
        <v>24.66</v>
      </c>
      <c r="AA600" s="3">
        <f ca="1">IFERROR(__xludf.DUMMYFUNCTION("""COMPUTED_VALUE"""),24.79)</f>
        <v>24.79</v>
      </c>
      <c r="AB600" s="3">
        <f ca="1">IFERROR(__xludf.DUMMYFUNCTION("""COMPUTED_VALUE"""),24.63)</f>
        <v>24.63</v>
      </c>
      <c r="AC600" s="3">
        <f ca="1">IFERROR(__xludf.DUMMYFUNCTION("""COMPUTED_VALUE"""),24.77)</f>
        <v>24.77</v>
      </c>
      <c r="AD600" s="3">
        <f ca="1">IFERROR(__xludf.DUMMYFUNCTION("""COMPUTED_VALUE"""),59250192)</f>
        <v>59250192</v>
      </c>
      <c r="AE600" s="4">
        <f ca="1">IFERROR(__xludf.DUMMYFUNCTION("""COMPUTED_VALUE"""),42993.6666666666)</f>
        <v>42993.666666666599</v>
      </c>
      <c r="AF600" s="3">
        <f ca="1">IFERROR(__xludf.DUMMYFUNCTION("""COMPUTED_VALUE"""),83.06)</f>
        <v>83.06</v>
      </c>
      <c r="AG600" s="3">
        <f ca="1">IFERROR(__xludf.DUMMYFUNCTION("""COMPUTED_VALUE"""),83.06)</f>
        <v>83.06</v>
      </c>
      <c r="AH600" s="3">
        <f ca="1">IFERROR(__xludf.DUMMYFUNCTION("""COMPUTED_VALUE"""),82.5)</f>
        <v>82.5</v>
      </c>
      <c r="AI600" s="3">
        <f ca="1">IFERROR(__xludf.DUMMYFUNCTION("""COMPUTED_VALUE"""),82.59)</f>
        <v>82.59</v>
      </c>
      <c r="AJ600" s="3">
        <f ca="1">IFERROR(__xludf.DUMMYFUNCTION("""COMPUTED_VALUE"""),7091336)</f>
        <v>7091336</v>
      </c>
      <c r="AK600" s="4">
        <f ca="1">IFERROR(__xludf.DUMMYFUNCTION("""COMPUTED_VALUE"""),42993.6666666666)</f>
        <v>42993.666666666599</v>
      </c>
      <c r="AL600" s="3">
        <f ca="1">IFERROR(__xludf.DUMMYFUNCTION("""COMPUTED_VALUE"""),69.15)</f>
        <v>69.150000000000006</v>
      </c>
      <c r="AM600" s="3">
        <f ca="1">IFERROR(__xludf.DUMMYFUNCTION("""COMPUTED_VALUE"""),69.42)</f>
        <v>69.42</v>
      </c>
      <c r="AN600" s="3">
        <f ca="1">IFERROR(__xludf.DUMMYFUNCTION("""COMPUTED_VALUE"""),69)</f>
        <v>69</v>
      </c>
      <c r="AO600" s="3">
        <f ca="1">IFERROR(__xludf.DUMMYFUNCTION("""COMPUTED_VALUE"""),69.39)</f>
        <v>69.39</v>
      </c>
      <c r="AP600" s="3">
        <f ca="1">IFERROR(__xludf.DUMMYFUNCTION("""COMPUTED_VALUE"""),9989759)</f>
        <v>9989759</v>
      </c>
      <c r="AQ600" s="4">
        <f ca="1">IFERROR(__xludf.DUMMYFUNCTION("""COMPUTED_VALUE"""),42993.6666666666)</f>
        <v>42993.666666666599</v>
      </c>
      <c r="AR600" s="3">
        <f ca="1">IFERROR(__xludf.DUMMYFUNCTION("""COMPUTED_VALUE"""),56.03)</f>
        <v>56.03</v>
      </c>
      <c r="AS600" s="3">
        <f ca="1">IFERROR(__xludf.DUMMYFUNCTION("""COMPUTED_VALUE"""),56.17)</f>
        <v>56.17</v>
      </c>
      <c r="AT600" s="3">
        <f ca="1">IFERROR(__xludf.DUMMYFUNCTION("""COMPUTED_VALUE"""),55.88)</f>
        <v>55.88</v>
      </c>
      <c r="AU600" s="3">
        <f ca="1">IFERROR(__xludf.DUMMYFUNCTION("""COMPUTED_VALUE"""),56.07)</f>
        <v>56.07</v>
      </c>
      <c r="AV600" s="3">
        <f ca="1">IFERROR(__xludf.DUMMYFUNCTION("""COMPUTED_VALUE"""),4700899)</f>
        <v>4700899</v>
      </c>
      <c r="BC600" s="4">
        <f ca="1">IFERROR(__xludf.DUMMYFUNCTION("""COMPUTED_VALUE"""),42993.6666666666)</f>
        <v>42993.666666666599</v>
      </c>
      <c r="BD600" s="3">
        <f ca="1">IFERROR(__xludf.DUMMYFUNCTION("""COMPUTED_VALUE"""),58.45)</f>
        <v>58.45</v>
      </c>
      <c r="BE600" s="3">
        <f ca="1">IFERROR(__xludf.DUMMYFUNCTION("""COMPUTED_VALUE"""),58.79)</f>
        <v>58.79</v>
      </c>
      <c r="BF600" s="3">
        <f ca="1">IFERROR(__xludf.DUMMYFUNCTION("""COMPUTED_VALUE"""),58.35)</f>
        <v>58.35</v>
      </c>
      <c r="BG600" s="3">
        <f ca="1">IFERROR(__xludf.DUMMYFUNCTION("""COMPUTED_VALUE"""),58.74)</f>
        <v>58.74</v>
      </c>
      <c r="BH600" s="3">
        <f ca="1">IFERROR(__xludf.DUMMYFUNCTION("""COMPUTED_VALUE"""),13123809)</f>
        <v>13123809</v>
      </c>
      <c r="BI600" s="4">
        <f ca="1">IFERROR(__xludf.DUMMYFUNCTION("""COMPUTED_VALUE"""),42993.6666666666)</f>
        <v>42993.666666666599</v>
      </c>
      <c r="BJ600" s="3">
        <f ca="1">IFERROR(__xludf.DUMMYFUNCTION("""COMPUTED_VALUE"""),54.83)</f>
        <v>54.83</v>
      </c>
      <c r="BK600" s="3">
        <f ca="1">IFERROR(__xludf.DUMMYFUNCTION("""COMPUTED_VALUE"""),54.91)</f>
        <v>54.91</v>
      </c>
      <c r="BL600" s="3">
        <f ca="1">IFERROR(__xludf.DUMMYFUNCTION("""COMPUTED_VALUE"""),54.5)</f>
        <v>54.5</v>
      </c>
      <c r="BM600" s="3">
        <f ca="1">IFERROR(__xludf.DUMMYFUNCTION("""COMPUTED_VALUE"""),54.75)</f>
        <v>54.75</v>
      </c>
      <c r="BN600" s="3">
        <f ca="1">IFERROR(__xludf.DUMMYFUNCTION("""COMPUTED_VALUE"""),8515142)</f>
        <v>8515142</v>
      </c>
    </row>
    <row r="601" spans="7:66" ht="13" x14ac:dyDescent="0.15">
      <c r="G601" s="4">
        <f ca="1">IFERROR(__xludf.DUMMYFUNCTION("""COMPUTED_VALUE"""),42996.6666666666)</f>
        <v>42996.666666666599</v>
      </c>
      <c r="H601" s="3">
        <f ca="1">IFERROR(__xludf.DUMMYFUNCTION("""COMPUTED_VALUE"""),89.91)</f>
        <v>89.91</v>
      </c>
      <c r="I601" s="3">
        <f ca="1">IFERROR(__xludf.DUMMYFUNCTION("""COMPUTED_VALUE"""),89.98)</f>
        <v>89.98</v>
      </c>
      <c r="J601" s="3">
        <f ca="1">IFERROR(__xludf.DUMMYFUNCTION("""COMPUTED_VALUE"""),89.12)</f>
        <v>89.12</v>
      </c>
      <c r="K601" s="3">
        <f ca="1">IFERROR(__xludf.DUMMYFUNCTION("""COMPUTED_VALUE"""),89.32)</f>
        <v>89.32</v>
      </c>
      <c r="L601" s="3">
        <f ca="1">IFERROR(__xludf.DUMMYFUNCTION("""COMPUTED_VALUE"""),6569557)</f>
        <v>6569557</v>
      </c>
      <c r="M601" s="4">
        <f ca="1">IFERROR(__xludf.DUMMYFUNCTION("""COMPUTED_VALUE"""),42996.6666666666)</f>
        <v>42996.666666666599</v>
      </c>
      <c r="N601" s="3">
        <f ca="1">IFERROR(__xludf.DUMMYFUNCTION("""COMPUTED_VALUE"""),55.27)</f>
        <v>55.27</v>
      </c>
      <c r="O601" s="3">
        <f ca="1">IFERROR(__xludf.DUMMYFUNCTION("""COMPUTED_VALUE"""),55.39)</f>
        <v>55.39</v>
      </c>
      <c r="P601" s="3">
        <f ca="1">IFERROR(__xludf.DUMMYFUNCTION("""COMPUTED_VALUE"""),55.14)</f>
        <v>55.14</v>
      </c>
      <c r="Q601" s="3">
        <f ca="1">IFERROR(__xludf.DUMMYFUNCTION("""COMPUTED_VALUE"""),55.3)</f>
        <v>55.3</v>
      </c>
      <c r="R601" s="3">
        <f ca="1">IFERROR(__xludf.DUMMYFUNCTION("""COMPUTED_VALUE"""),8299356)</f>
        <v>8299356</v>
      </c>
      <c r="S601" s="4">
        <f ca="1">IFERROR(__xludf.DUMMYFUNCTION("""COMPUTED_VALUE"""),42996.6666666666)</f>
        <v>42996.666666666599</v>
      </c>
      <c r="T601" s="3">
        <f ca="1">IFERROR(__xludf.DUMMYFUNCTION("""COMPUTED_VALUE"""),65.69)</f>
        <v>65.69</v>
      </c>
      <c r="U601" s="3">
        <f ca="1">IFERROR(__xludf.DUMMYFUNCTION("""COMPUTED_VALUE"""),66.16)</f>
        <v>66.16</v>
      </c>
      <c r="V601" s="3">
        <f ca="1">IFERROR(__xludf.DUMMYFUNCTION("""COMPUTED_VALUE"""),65.64)</f>
        <v>65.64</v>
      </c>
      <c r="W601" s="3">
        <f ca="1">IFERROR(__xludf.DUMMYFUNCTION("""COMPUTED_VALUE"""),66.12)</f>
        <v>66.12</v>
      </c>
      <c r="X601" s="3">
        <f ca="1">IFERROR(__xludf.DUMMYFUNCTION("""COMPUTED_VALUE"""),12583545)</f>
        <v>12583545</v>
      </c>
      <c r="Y601" s="4">
        <f ca="1">IFERROR(__xludf.DUMMYFUNCTION("""COMPUTED_VALUE"""),42996.6666666666)</f>
        <v>42996.666666666599</v>
      </c>
      <c r="Z601" s="3">
        <f ca="1">IFERROR(__xludf.DUMMYFUNCTION("""COMPUTED_VALUE"""),24.86)</f>
        <v>24.86</v>
      </c>
      <c r="AA601" s="3">
        <f ca="1">IFERROR(__xludf.DUMMYFUNCTION("""COMPUTED_VALUE"""),25.07)</f>
        <v>25.07</v>
      </c>
      <c r="AB601" s="3">
        <f ca="1">IFERROR(__xludf.DUMMYFUNCTION("""COMPUTED_VALUE"""),24.84)</f>
        <v>24.84</v>
      </c>
      <c r="AC601" s="3">
        <f ca="1">IFERROR(__xludf.DUMMYFUNCTION("""COMPUTED_VALUE"""),25.06)</f>
        <v>25.06</v>
      </c>
      <c r="AD601" s="3">
        <f ca="1">IFERROR(__xludf.DUMMYFUNCTION("""COMPUTED_VALUE"""),44010385)</f>
        <v>44010385</v>
      </c>
      <c r="AE601" s="4">
        <f ca="1">IFERROR(__xludf.DUMMYFUNCTION("""COMPUTED_VALUE"""),42996.6666666666)</f>
        <v>42996.666666666599</v>
      </c>
      <c r="AF601" s="3">
        <f ca="1">IFERROR(__xludf.DUMMYFUNCTION("""COMPUTED_VALUE"""),82.68)</f>
        <v>82.68</v>
      </c>
      <c r="AG601" s="3">
        <f ca="1">IFERROR(__xludf.DUMMYFUNCTION("""COMPUTED_VALUE"""),82.9)</f>
        <v>82.9</v>
      </c>
      <c r="AH601" s="3">
        <f ca="1">IFERROR(__xludf.DUMMYFUNCTION("""COMPUTED_VALUE"""),82.44)</f>
        <v>82.44</v>
      </c>
      <c r="AI601" s="3">
        <f ca="1">IFERROR(__xludf.DUMMYFUNCTION("""COMPUTED_VALUE"""),82.57)</f>
        <v>82.57</v>
      </c>
      <c r="AJ601" s="3">
        <f ca="1">IFERROR(__xludf.DUMMYFUNCTION("""COMPUTED_VALUE"""),7783052)</f>
        <v>7783052</v>
      </c>
      <c r="AK601" s="4">
        <f ca="1">IFERROR(__xludf.DUMMYFUNCTION("""COMPUTED_VALUE"""),42996.6666666666)</f>
        <v>42996.666666666599</v>
      </c>
      <c r="AL601" s="3">
        <f ca="1">IFERROR(__xludf.DUMMYFUNCTION("""COMPUTED_VALUE"""),69.54)</f>
        <v>69.540000000000006</v>
      </c>
      <c r="AM601" s="3">
        <f ca="1">IFERROR(__xludf.DUMMYFUNCTION("""COMPUTED_VALUE"""),69.85)</f>
        <v>69.849999999999994</v>
      </c>
      <c r="AN601" s="3">
        <f ca="1">IFERROR(__xludf.DUMMYFUNCTION("""COMPUTED_VALUE"""),69.48)</f>
        <v>69.48</v>
      </c>
      <c r="AO601" s="3">
        <f ca="1">IFERROR(__xludf.DUMMYFUNCTION("""COMPUTED_VALUE"""),69.78)</f>
        <v>69.78</v>
      </c>
      <c r="AP601" s="3">
        <f ca="1">IFERROR(__xludf.DUMMYFUNCTION("""COMPUTED_VALUE"""),6143732)</f>
        <v>6143732</v>
      </c>
      <c r="AQ601" s="4">
        <f ca="1">IFERROR(__xludf.DUMMYFUNCTION("""COMPUTED_VALUE"""),42996.6666666666)</f>
        <v>42996.666666666599</v>
      </c>
      <c r="AR601" s="3">
        <f ca="1">IFERROR(__xludf.DUMMYFUNCTION("""COMPUTED_VALUE"""),56.18)</f>
        <v>56.18</v>
      </c>
      <c r="AS601" s="3">
        <f ca="1">IFERROR(__xludf.DUMMYFUNCTION("""COMPUTED_VALUE"""),56.44)</f>
        <v>56.44</v>
      </c>
      <c r="AT601" s="3">
        <f ca="1">IFERROR(__xludf.DUMMYFUNCTION("""COMPUTED_VALUE"""),56.08)</f>
        <v>56.08</v>
      </c>
      <c r="AU601" s="3">
        <f ca="1">IFERROR(__xludf.DUMMYFUNCTION("""COMPUTED_VALUE"""),56.38)</f>
        <v>56.38</v>
      </c>
      <c r="AV601" s="3">
        <f ca="1">IFERROR(__xludf.DUMMYFUNCTION("""COMPUTED_VALUE"""),4425690)</f>
        <v>4425690</v>
      </c>
      <c r="BC601" s="4">
        <f ca="1">IFERROR(__xludf.DUMMYFUNCTION("""COMPUTED_VALUE"""),42996.6666666666)</f>
        <v>42996.666666666599</v>
      </c>
      <c r="BD601" s="3">
        <f ca="1">IFERROR(__xludf.DUMMYFUNCTION("""COMPUTED_VALUE"""),58.83)</f>
        <v>58.83</v>
      </c>
      <c r="BE601" s="3">
        <f ca="1">IFERROR(__xludf.DUMMYFUNCTION("""COMPUTED_VALUE"""),59.01)</f>
        <v>59.01</v>
      </c>
      <c r="BF601" s="3">
        <f ca="1">IFERROR(__xludf.DUMMYFUNCTION("""COMPUTED_VALUE"""),58.57)</f>
        <v>58.57</v>
      </c>
      <c r="BG601" s="3">
        <f ca="1">IFERROR(__xludf.DUMMYFUNCTION("""COMPUTED_VALUE"""),58.79)</f>
        <v>58.79</v>
      </c>
      <c r="BH601" s="3">
        <f ca="1">IFERROR(__xludf.DUMMYFUNCTION("""COMPUTED_VALUE"""),10411964)</f>
        <v>10411964</v>
      </c>
      <c r="BI601" s="4">
        <f ca="1">IFERROR(__xludf.DUMMYFUNCTION("""COMPUTED_VALUE"""),42996.6666666666)</f>
        <v>42996.666666666599</v>
      </c>
      <c r="BJ601" s="3">
        <f ca="1">IFERROR(__xludf.DUMMYFUNCTION("""COMPUTED_VALUE"""),54.71)</f>
        <v>54.71</v>
      </c>
      <c r="BK601" s="3">
        <f ca="1">IFERROR(__xludf.DUMMYFUNCTION("""COMPUTED_VALUE"""),54.75)</f>
        <v>54.75</v>
      </c>
      <c r="BL601" s="3">
        <f ca="1">IFERROR(__xludf.DUMMYFUNCTION("""COMPUTED_VALUE"""),53.83)</f>
        <v>53.83</v>
      </c>
      <c r="BM601" s="3">
        <f ca="1">IFERROR(__xludf.DUMMYFUNCTION("""COMPUTED_VALUE"""),54.19)</f>
        <v>54.19</v>
      </c>
      <c r="BN601" s="3">
        <f ca="1">IFERROR(__xludf.DUMMYFUNCTION("""COMPUTED_VALUE"""),15803499)</f>
        <v>15803499</v>
      </c>
    </row>
    <row r="602" spans="7:66" ht="13" x14ac:dyDescent="0.15">
      <c r="G602" s="4">
        <f ca="1">IFERROR(__xludf.DUMMYFUNCTION("""COMPUTED_VALUE"""),42997.6666666666)</f>
        <v>42997.666666666599</v>
      </c>
      <c r="H602" s="3">
        <f ca="1">IFERROR(__xludf.DUMMYFUNCTION("""COMPUTED_VALUE"""),89.33)</f>
        <v>89.33</v>
      </c>
      <c r="I602" s="3">
        <f ca="1">IFERROR(__xludf.DUMMYFUNCTION("""COMPUTED_VALUE"""),89.48)</f>
        <v>89.48</v>
      </c>
      <c r="J602" s="3">
        <f ca="1">IFERROR(__xludf.DUMMYFUNCTION("""COMPUTED_VALUE"""),88.91)</f>
        <v>88.91</v>
      </c>
      <c r="K602" s="3">
        <f ca="1">IFERROR(__xludf.DUMMYFUNCTION("""COMPUTED_VALUE"""),89.24)</f>
        <v>89.24</v>
      </c>
      <c r="L602" s="3">
        <f ca="1">IFERROR(__xludf.DUMMYFUNCTION("""COMPUTED_VALUE"""),6400542)</f>
        <v>6400542</v>
      </c>
      <c r="M602" s="4">
        <f ca="1">IFERROR(__xludf.DUMMYFUNCTION("""COMPUTED_VALUE"""),42997.6666666666)</f>
        <v>42997.666666666599</v>
      </c>
      <c r="N602" s="3">
        <f ca="1">IFERROR(__xludf.DUMMYFUNCTION("""COMPUTED_VALUE"""),55.33)</f>
        <v>55.33</v>
      </c>
      <c r="O602" s="3">
        <f ca="1">IFERROR(__xludf.DUMMYFUNCTION("""COMPUTED_VALUE"""),55.36)</f>
        <v>55.36</v>
      </c>
      <c r="P602" s="3">
        <f ca="1">IFERROR(__xludf.DUMMYFUNCTION("""COMPUTED_VALUE"""),55)</f>
        <v>55</v>
      </c>
      <c r="Q602" s="3">
        <f ca="1">IFERROR(__xludf.DUMMYFUNCTION("""COMPUTED_VALUE"""),55.13)</f>
        <v>55.13</v>
      </c>
      <c r="R602" s="3">
        <f ca="1">IFERROR(__xludf.DUMMYFUNCTION("""COMPUTED_VALUE"""),6207650)</f>
        <v>6207650</v>
      </c>
      <c r="S602" s="4">
        <f ca="1">IFERROR(__xludf.DUMMYFUNCTION("""COMPUTED_VALUE"""),42997.6666666666)</f>
        <v>42997.666666666599</v>
      </c>
      <c r="T602" s="3">
        <f ca="1">IFERROR(__xludf.DUMMYFUNCTION("""COMPUTED_VALUE"""),66.26)</f>
        <v>66.260000000000005</v>
      </c>
      <c r="U602" s="3">
        <f ca="1">IFERROR(__xludf.DUMMYFUNCTION("""COMPUTED_VALUE"""),66.49)</f>
        <v>66.489999999999995</v>
      </c>
      <c r="V602" s="3">
        <f ca="1">IFERROR(__xludf.DUMMYFUNCTION("""COMPUTED_VALUE"""),66.13)</f>
        <v>66.13</v>
      </c>
      <c r="W602" s="3">
        <f ca="1">IFERROR(__xludf.DUMMYFUNCTION("""COMPUTED_VALUE"""),66.39)</f>
        <v>66.39</v>
      </c>
      <c r="X602" s="3">
        <f ca="1">IFERROR(__xludf.DUMMYFUNCTION("""COMPUTED_VALUE"""),10504257)</f>
        <v>10504257</v>
      </c>
      <c r="Y602" s="4">
        <f ca="1">IFERROR(__xludf.DUMMYFUNCTION("""COMPUTED_VALUE"""),42997.6666666666)</f>
        <v>42997.666666666599</v>
      </c>
      <c r="Z602" s="3">
        <f ca="1">IFERROR(__xludf.DUMMYFUNCTION("""COMPUTED_VALUE"""),25.06)</f>
        <v>25.06</v>
      </c>
      <c r="AA602" s="3">
        <f ca="1">IFERROR(__xludf.DUMMYFUNCTION("""COMPUTED_VALUE"""),25.31)</f>
        <v>25.31</v>
      </c>
      <c r="AB602" s="3">
        <f ca="1">IFERROR(__xludf.DUMMYFUNCTION("""COMPUTED_VALUE"""),25.02)</f>
        <v>25.02</v>
      </c>
      <c r="AC602" s="3">
        <f ca="1">IFERROR(__xludf.DUMMYFUNCTION("""COMPUTED_VALUE"""),25.25)</f>
        <v>25.25</v>
      </c>
      <c r="AD602" s="3">
        <f ca="1">IFERROR(__xludf.DUMMYFUNCTION("""COMPUTED_VALUE"""),58443318)</f>
        <v>58443318</v>
      </c>
      <c r="AE602" s="4">
        <f ca="1">IFERROR(__xludf.DUMMYFUNCTION("""COMPUTED_VALUE"""),42997.6666666666)</f>
        <v>42997.666666666599</v>
      </c>
      <c r="AF602" s="3">
        <f ca="1">IFERROR(__xludf.DUMMYFUNCTION("""COMPUTED_VALUE"""),82.61)</f>
        <v>82.61</v>
      </c>
      <c r="AG602" s="3">
        <f ca="1">IFERROR(__xludf.DUMMYFUNCTION("""COMPUTED_VALUE"""),82.71)</f>
        <v>82.71</v>
      </c>
      <c r="AH602" s="3">
        <f ca="1">IFERROR(__xludf.DUMMYFUNCTION("""COMPUTED_VALUE"""),81.83)</f>
        <v>81.83</v>
      </c>
      <c r="AI602" s="3">
        <f ca="1">IFERROR(__xludf.DUMMYFUNCTION("""COMPUTED_VALUE"""),81.92)</f>
        <v>81.92</v>
      </c>
      <c r="AJ602" s="3">
        <f ca="1">IFERROR(__xludf.DUMMYFUNCTION("""COMPUTED_VALUE"""),7329150)</f>
        <v>7329150</v>
      </c>
      <c r="AK602" s="4">
        <f ca="1">IFERROR(__xludf.DUMMYFUNCTION("""COMPUTED_VALUE"""),42997.6666666666)</f>
        <v>42997.666666666599</v>
      </c>
      <c r="AL602" s="3">
        <f ca="1">IFERROR(__xludf.DUMMYFUNCTION("""COMPUTED_VALUE"""),69.84)</f>
        <v>69.84</v>
      </c>
      <c r="AM602" s="3">
        <f ca="1">IFERROR(__xludf.DUMMYFUNCTION("""COMPUTED_VALUE"""),69.94)</f>
        <v>69.94</v>
      </c>
      <c r="AN602" s="3">
        <f ca="1">IFERROR(__xludf.DUMMYFUNCTION("""COMPUTED_VALUE"""),69.77)</f>
        <v>69.77</v>
      </c>
      <c r="AO602" s="3">
        <f ca="1">IFERROR(__xludf.DUMMYFUNCTION("""COMPUTED_VALUE"""),69.85)</f>
        <v>69.849999999999994</v>
      </c>
      <c r="AP602" s="3">
        <f ca="1">IFERROR(__xludf.DUMMYFUNCTION("""COMPUTED_VALUE"""),7160002)</f>
        <v>7160002</v>
      </c>
      <c r="AQ602" s="4">
        <f ca="1">IFERROR(__xludf.DUMMYFUNCTION("""COMPUTED_VALUE"""),42997.6666666666)</f>
        <v>42997.666666666599</v>
      </c>
      <c r="AR602" s="3">
        <f ca="1">IFERROR(__xludf.DUMMYFUNCTION("""COMPUTED_VALUE"""),56.56)</f>
        <v>56.56</v>
      </c>
      <c r="AS602" s="3">
        <f ca="1">IFERROR(__xludf.DUMMYFUNCTION("""COMPUTED_VALUE"""),56.7)</f>
        <v>56.7</v>
      </c>
      <c r="AT602" s="3">
        <f ca="1">IFERROR(__xludf.DUMMYFUNCTION("""COMPUTED_VALUE"""),56.32)</f>
        <v>56.32</v>
      </c>
      <c r="AU602" s="3">
        <f ca="1">IFERROR(__xludf.DUMMYFUNCTION("""COMPUTED_VALUE"""),56.67)</f>
        <v>56.67</v>
      </c>
      <c r="AV602" s="3">
        <f ca="1">IFERROR(__xludf.DUMMYFUNCTION("""COMPUTED_VALUE"""),3031963)</f>
        <v>3031963</v>
      </c>
      <c r="BC602" s="4">
        <f ca="1">IFERROR(__xludf.DUMMYFUNCTION("""COMPUTED_VALUE"""),42997.6666666666)</f>
        <v>42997.666666666599</v>
      </c>
      <c r="BD602" s="3">
        <f ca="1">IFERROR(__xludf.DUMMYFUNCTION("""COMPUTED_VALUE"""),58.88)</f>
        <v>58.88</v>
      </c>
      <c r="BE602" s="3">
        <f ca="1">IFERROR(__xludf.DUMMYFUNCTION("""COMPUTED_VALUE"""),59.17)</f>
        <v>59.17</v>
      </c>
      <c r="BF602" s="3">
        <f ca="1">IFERROR(__xludf.DUMMYFUNCTION("""COMPUTED_VALUE"""),58.73)</f>
        <v>58.73</v>
      </c>
      <c r="BG602" s="3">
        <f ca="1">IFERROR(__xludf.DUMMYFUNCTION("""COMPUTED_VALUE"""),59.05)</f>
        <v>59.05</v>
      </c>
      <c r="BH602" s="3">
        <f ca="1">IFERROR(__xludf.DUMMYFUNCTION("""COMPUTED_VALUE"""),5616132)</f>
        <v>5616132</v>
      </c>
      <c r="BI602" s="4">
        <f ca="1">IFERROR(__xludf.DUMMYFUNCTION("""COMPUTED_VALUE"""),42997.6666666666)</f>
        <v>42997.666666666599</v>
      </c>
      <c r="BJ602" s="3">
        <f ca="1">IFERROR(__xludf.DUMMYFUNCTION("""COMPUTED_VALUE"""),54.28)</f>
        <v>54.28</v>
      </c>
      <c r="BK602" s="3">
        <f ca="1">IFERROR(__xludf.DUMMYFUNCTION("""COMPUTED_VALUE"""),54.32)</f>
        <v>54.32</v>
      </c>
      <c r="BL602" s="3">
        <f ca="1">IFERROR(__xludf.DUMMYFUNCTION("""COMPUTED_VALUE"""),54)</f>
        <v>54</v>
      </c>
      <c r="BM602" s="3">
        <f ca="1">IFERROR(__xludf.DUMMYFUNCTION("""COMPUTED_VALUE"""),54.08)</f>
        <v>54.08</v>
      </c>
      <c r="BN602" s="3">
        <f ca="1">IFERROR(__xludf.DUMMYFUNCTION("""COMPUTED_VALUE"""),15779995)</f>
        <v>15779995</v>
      </c>
    </row>
    <row r="603" spans="7:66" ht="13" x14ac:dyDescent="0.15">
      <c r="G603" s="4">
        <f ca="1">IFERROR(__xludf.DUMMYFUNCTION("""COMPUTED_VALUE"""),42998.6666666666)</f>
        <v>42998.666666666599</v>
      </c>
      <c r="H603" s="3">
        <f ca="1">IFERROR(__xludf.DUMMYFUNCTION("""COMPUTED_VALUE"""),89.37)</f>
        <v>89.37</v>
      </c>
      <c r="I603" s="3">
        <f ca="1">IFERROR(__xludf.DUMMYFUNCTION("""COMPUTED_VALUE"""),89.61)</f>
        <v>89.61</v>
      </c>
      <c r="J603" s="3">
        <f ca="1">IFERROR(__xludf.DUMMYFUNCTION("""COMPUTED_VALUE"""),89.06)</f>
        <v>89.06</v>
      </c>
      <c r="K603" s="3">
        <f ca="1">IFERROR(__xludf.DUMMYFUNCTION("""COMPUTED_VALUE"""),89.54)</f>
        <v>89.54</v>
      </c>
      <c r="L603" s="3">
        <f ca="1">IFERROR(__xludf.DUMMYFUNCTION("""COMPUTED_VALUE"""),3709887)</f>
        <v>3709887</v>
      </c>
      <c r="M603" s="4">
        <f ca="1">IFERROR(__xludf.DUMMYFUNCTION("""COMPUTED_VALUE"""),42998.6666666666)</f>
        <v>42998.666666666599</v>
      </c>
      <c r="N603" s="3">
        <f ca="1">IFERROR(__xludf.DUMMYFUNCTION("""COMPUTED_VALUE"""),54.98)</f>
        <v>54.98</v>
      </c>
      <c r="O603" s="3">
        <f ca="1">IFERROR(__xludf.DUMMYFUNCTION("""COMPUTED_VALUE"""),55.05)</f>
        <v>55.05</v>
      </c>
      <c r="P603" s="3">
        <f ca="1">IFERROR(__xludf.DUMMYFUNCTION("""COMPUTED_VALUE"""),54.33)</f>
        <v>54.33</v>
      </c>
      <c r="Q603" s="3">
        <f ca="1">IFERROR(__xludf.DUMMYFUNCTION("""COMPUTED_VALUE"""),54.6)</f>
        <v>54.6</v>
      </c>
      <c r="R603" s="3">
        <f ca="1">IFERROR(__xludf.DUMMYFUNCTION("""COMPUTED_VALUE"""),11029247)</f>
        <v>11029247</v>
      </c>
      <c r="S603" s="4">
        <f ca="1">IFERROR(__xludf.DUMMYFUNCTION("""COMPUTED_VALUE"""),42998.6666666666)</f>
        <v>42998.666666666599</v>
      </c>
      <c r="T603" s="3">
        <f ca="1">IFERROR(__xludf.DUMMYFUNCTION("""COMPUTED_VALUE"""),66.58)</f>
        <v>66.58</v>
      </c>
      <c r="U603" s="3">
        <f ca="1">IFERROR(__xludf.DUMMYFUNCTION("""COMPUTED_VALUE"""),67.02)</f>
        <v>67.02</v>
      </c>
      <c r="V603" s="3">
        <f ca="1">IFERROR(__xludf.DUMMYFUNCTION("""COMPUTED_VALUE"""),66.52)</f>
        <v>66.52</v>
      </c>
      <c r="W603" s="3">
        <f ca="1">IFERROR(__xludf.DUMMYFUNCTION("""COMPUTED_VALUE"""),66.84)</f>
        <v>66.84</v>
      </c>
      <c r="X603" s="3">
        <f ca="1">IFERROR(__xludf.DUMMYFUNCTION("""COMPUTED_VALUE"""),18273771)</f>
        <v>18273771</v>
      </c>
      <c r="Y603" s="4">
        <f ca="1">IFERROR(__xludf.DUMMYFUNCTION("""COMPUTED_VALUE"""),42998.6666666666)</f>
        <v>42998.666666666599</v>
      </c>
      <c r="Z603" s="3">
        <f ca="1">IFERROR(__xludf.DUMMYFUNCTION("""COMPUTED_VALUE"""),25.27)</f>
        <v>25.27</v>
      </c>
      <c r="AA603" s="3">
        <f ca="1">IFERROR(__xludf.DUMMYFUNCTION("""COMPUTED_VALUE"""),25.49)</f>
        <v>25.49</v>
      </c>
      <c r="AB603" s="3">
        <f ca="1">IFERROR(__xludf.DUMMYFUNCTION("""COMPUTED_VALUE"""),25.15)</f>
        <v>25.15</v>
      </c>
      <c r="AC603" s="3">
        <f ca="1">IFERROR(__xludf.DUMMYFUNCTION("""COMPUTED_VALUE"""),25.4)</f>
        <v>25.4</v>
      </c>
      <c r="AD603" s="3">
        <f ca="1">IFERROR(__xludf.DUMMYFUNCTION("""COMPUTED_VALUE"""),70595545)</f>
        <v>70595545</v>
      </c>
      <c r="AE603" s="4">
        <f ca="1">IFERROR(__xludf.DUMMYFUNCTION("""COMPUTED_VALUE"""),42998.6666666666)</f>
        <v>42998.666666666599</v>
      </c>
      <c r="AF603" s="3">
        <f ca="1">IFERROR(__xludf.DUMMYFUNCTION("""COMPUTED_VALUE"""),81.95)</f>
        <v>81.95</v>
      </c>
      <c r="AG603" s="3">
        <f ca="1">IFERROR(__xludf.DUMMYFUNCTION("""COMPUTED_VALUE"""),82.09)</f>
        <v>82.09</v>
      </c>
      <c r="AH603" s="3">
        <f ca="1">IFERROR(__xludf.DUMMYFUNCTION("""COMPUTED_VALUE"""),81.41)</f>
        <v>81.41</v>
      </c>
      <c r="AI603" s="3">
        <f ca="1">IFERROR(__xludf.DUMMYFUNCTION("""COMPUTED_VALUE"""),82)</f>
        <v>82</v>
      </c>
      <c r="AJ603" s="3">
        <f ca="1">IFERROR(__xludf.DUMMYFUNCTION("""COMPUTED_VALUE"""),5101780)</f>
        <v>5101780</v>
      </c>
      <c r="AK603" s="4">
        <f ca="1">IFERROR(__xludf.DUMMYFUNCTION("""COMPUTED_VALUE"""),42998.6666666666)</f>
        <v>42998.666666666599</v>
      </c>
      <c r="AL603" s="3">
        <f ca="1">IFERROR(__xludf.DUMMYFUNCTION("""COMPUTED_VALUE"""),69.89)</f>
        <v>69.89</v>
      </c>
      <c r="AM603" s="3">
        <f ca="1">IFERROR(__xludf.DUMMYFUNCTION("""COMPUTED_VALUE"""),70.38)</f>
        <v>70.38</v>
      </c>
      <c r="AN603" s="3">
        <f ca="1">IFERROR(__xludf.DUMMYFUNCTION("""COMPUTED_VALUE"""),69.89)</f>
        <v>69.89</v>
      </c>
      <c r="AO603" s="3">
        <f ca="1">IFERROR(__xludf.DUMMYFUNCTION("""COMPUTED_VALUE"""),70.36)</f>
        <v>70.36</v>
      </c>
      <c r="AP603" s="3">
        <f ca="1">IFERROR(__xludf.DUMMYFUNCTION("""COMPUTED_VALUE"""),6676220)</f>
        <v>6676220</v>
      </c>
      <c r="AQ603" s="4">
        <f ca="1">IFERROR(__xludf.DUMMYFUNCTION("""COMPUTED_VALUE"""),42998.6666666666)</f>
        <v>42998.666666666599</v>
      </c>
      <c r="AR603" s="3">
        <f ca="1">IFERROR(__xludf.DUMMYFUNCTION("""COMPUTED_VALUE"""),56.85)</f>
        <v>56.85</v>
      </c>
      <c r="AS603" s="3">
        <f ca="1">IFERROR(__xludf.DUMMYFUNCTION("""COMPUTED_VALUE"""),56.99)</f>
        <v>56.99</v>
      </c>
      <c r="AT603" s="3">
        <f ca="1">IFERROR(__xludf.DUMMYFUNCTION("""COMPUTED_VALUE"""),56.56)</f>
        <v>56.56</v>
      </c>
      <c r="AU603" s="3">
        <f ca="1">IFERROR(__xludf.DUMMYFUNCTION("""COMPUTED_VALUE"""),56.87)</f>
        <v>56.87</v>
      </c>
      <c r="AV603" s="3">
        <f ca="1">IFERROR(__xludf.DUMMYFUNCTION("""COMPUTED_VALUE"""),4432406)</f>
        <v>4432406</v>
      </c>
      <c r="BC603" s="4">
        <f ca="1">IFERROR(__xludf.DUMMYFUNCTION("""COMPUTED_VALUE"""),42998.6666666666)</f>
        <v>42998.666666666599</v>
      </c>
      <c r="BD603" s="3">
        <f ca="1">IFERROR(__xludf.DUMMYFUNCTION("""COMPUTED_VALUE"""),59.04)</f>
        <v>59.04</v>
      </c>
      <c r="BE603" s="3">
        <f ca="1">IFERROR(__xludf.DUMMYFUNCTION("""COMPUTED_VALUE"""),59.06)</f>
        <v>59.06</v>
      </c>
      <c r="BF603" s="3">
        <f ca="1">IFERROR(__xludf.DUMMYFUNCTION("""COMPUTED_VALUE"""),58.4)</f>
        <v>58.4</v>
      </c>
      <c r="BG603" s="3">
        <f ca="1">IFERROR(__xludf.DUMMYFUNCTION("""COMPUTED_VALUE"""),58.81)</f>
        <v>58.81</v>
      </c>
      <c r="BH603" s="3">
        <f ca="1">IFERROR(__xludf.DUMMYFUNCTION("""COMPUTED_VALUE"""),8950822)</f>
        <v>8950822</v>
      </c>
      <c r="BI603" s="4">
        <f ca="1">IFERROR(__xludf.DUMMYFUNCTION("""COMPUTED_VALUE"""),42998.6666666666)</f>
        <v>42998.666666666599</v>
      </c>
      <c r="BJ603" s="3">
        <f ca="1">IFERROR(__xludf.DUMMYFUNCTION("""COMPUTED_VALUE"""),54.17)</f>
        <v>54.17</v>
      </c>
      <c r="BK603" s="3">
        <f ca="1">IFERROR(__xludf.DUMMYFUNCTION("""COMPUTED_VALUE"""),54.29)</f>
        <v>54.29</v>
      </c>
      <c r="BL603" s="3">
        <f ca="1">IFERROR(__xludf.DUMMYFUNCTION("""COMPUTED_VALUE"""),53.47)</f>
        <v>53.47</v>
      </c>
      <c r="BM603" s="3">
        <f ca="1">IFERROR(__xludf.DUMMYFUNCTION("""COMPUTED_VALUE"""),53.68)</f>
        <v>53.68</v>
      </c>
      <c r="BN603" s="3">
        <f ca="1">IFERROR(__xludf.DUMMYFUNCTION("""COMPUTED_VALUE"""),19747006)</f>
        <v>19747006</v>
      </c>
    </row>
    <row r="604" spans="7:66" ht="13" x14ac:dyDescent="0.15">
      <c r="G604" s="4">
        <f ca="1">IFERROR(__xludf.DUMMYFUNCTION("""COMPUTED_VALUE"""),42999.6666666666)</f>
        <v>42999.666666666599</v>
      </c>
      <c r="H604" s="3">
        <f ca="1">IFERROR(__xludf.DUMMYFUNCTION("""COMPUTED_VALUE"""),89.51)</f>
        <v>89.51</v>
      </c>
      <c r="I604" s="3">
        <f ca="1">IFERROR(__xludf.DUMMYFUNCTION("""COMPUTED_VALUE"""),89.61)</f>
        <v>89.61</v>
      </c>
      <c r="J604" s="3">
        <f ca="1">IFERROR(__xludf.DUMMYFUNCTION("""COMPUTED_VALUE"""),89.24)</f>
        <v>89.24</v>
      </c>
      <c r="K604" s="3">
        <f ca="1">IFERROR(__xludf.DUMMYFUNCTION("""COMPUTED_VALUE"""),89.39)</f>
        <v>89.39</v>
      </c>
      <c r="L604" s="3">
        <f ca="1">IFERROR(__xludf.DUMMYFUNCTION("""COMPUTED_VALUE"""),4207581)</f>
        <v>4207581</v>
      </c>
      <c r="M604" s="4">
        <f ca="1">IFERROR(__xludf.DUMMYFUNCTION("""COMPUTED_VALUE"""),42999.6666666666)</f>
        <v>42999.666666666599</v>
      </c>
      <c r="N604" s="3">
        <f ca="1">IFERROR(__xludf.DUMMYFUNCTION("""COMPUTED_VALUE"""),54.53)</f>
        <v>54.53</v>
      </c>
      <c r="O604" s="3">
        <f ca="1">IFERROR(__xludf.DUMMYFUNCTION("""COMPUTED_VALUE"""),54.58)</f>
        <v>54.58</v>
      </c>
      <c r="P604" s="3">
        <f ca="1">IFERROR(__xludf.DUMMYFUNCTION("""COMPUTED_VALUE"""),54.03)</f>
        <v>54.03</v>
      </c>
      <c r="Q604" s="3">
        <f ca="1">IFERROR(__xludf.DUMMYFUNCTION("""COMPUTED_VALUE"""),54.08)</f>
        <v>54.08</v>
      </c>
      <c r="R604" s="3">
        <f ca="1">IFERROR(__xludf.DUMMYFUNCTION("""COMPUTED_VALUE"""),10398659)</f>
        <v>10398659</v>
      </c>
      <c r="S604" s="4">
        <f ca="1">IFERROR(__xludf.DUMMYFUNCTION("""COMPUTED_VALUE"""),42999.6666666666)</f>
        <v>42999.666666666599</v>
      </c>
      <c r="T604" s="3">
        <f ca="1">IFERROR(__xludf.DUMMYFUNCTION("""COMPUTED_VALUE"""),66.75)</f>
        <v>66.75</v>
      </c>
      <c r="U604" s="3">
        <f ca="1">IFERROR(__xludf.DUMMYFUNCTION("""COMPUTED_VALUE"""),67.03)</f>
        <v>67.03</v>
      </c>
      <c r="V604" s="3">
        <f ca="1">IFERROR(__xludf.DUMMYFUNCTION("""COMPUTED_VALUE"""),66.56)</f>
        <v>66.56</v>
      </c>
      <c r="W604" s="3">
        <f ca="1">IFERROR(__xludf.DUMMYFUNCTION("""COMPUTED_VALUE"""),66.86)</f>
        <v>66.86</v>
      </c>
      <c r="X604" s="3">
        <f ca="1">IFERROR(__xludf.DUMMYFUNCTION("""COMPUTED_VALUE"""),8874083)</f>
        <v>8874083</v>
      </c>
      <c r="Y604" s="4">
        <f ca="1">IFERROR(__xludf.DUMMYFUNCTION("""COMPUTED_VALUE"""),42999.6666666666)</f>
        <v>42999.666666666599</v>
      </c>
      <c r="Z604" s="3">
        <f ca="1">IFERROR(__xludf.DUMMYFUNCTION("""COMPUTED_VALUE"""),25.34)</f>
        <v>25.34</v>
      </c>
      <c r="AA604" s="3">
        <f ca="1">IFERROR(__xludf.DUMMYFUNCTION("""COMPUTED_VALUE"""),25.52)</f>
        <v>25.52</v>
      </c>
      <c r="AB604" s="3">
        <f ca="1">IFERROR(__xludf.DUMMYFUNCTION("""COMPUTED_VALUE"""),25.32)</f>
        <v>25.32</v>
      </c>
      <c r="AC604" s="3">
        <f ca="1">IFERROR(__xludf.DUMMYFUNCTION("""COMPUTED_VALUE"""),25.46)</f>
        <v>25.46</v>
      </c>
      <c r="AD604" s="3">
        <f ca="1">IFERROR(__xludf.DUMMYFUNCTION("""COMPUTED_VALUE"""),51050081)</f>
        <v>51050081</v>
      </c>
      <c r="AE604" s="4">
        <f ca="1">IFERROR(__xludf.DUMMYFUNCTION("""COMPUTED_VALUE"""),42999.6666666666)</f>
        <v>42999.666666666599</v>
      </c>
      <c r="AF604" s="3">
        <f ca="1">IFERROR(__xludf.DUMMYFUNCTION("""COMPUTED_VALUE"""),81.95)</f>
        <v>81.95</v>
      </c>
      <c r="AG604" s="3">
        <f ca="1">IFERROR(__xludf.DUMMYFUNCTION("""COMPUTED_VALUE"""),82.04)</f>
        <v>82.04</v>
      </c>
      <c r="AH604" s="3">
        <f ca="1">IFERROR(__xludf.DUMMYFUNCTION("""COMPUTED_VALUE"""),81.54)</f>
        <v>81.540000000000006</v>
      </c>
      <c r="AI604" s="3">
        <f ca="1">IFERROR(__xludf.DUMMYFUNCTION("""COMPUTED_VALUE"""),81.58)</f>
        <v>81.58</v>
      </c>
      <c r="AJ604" s="3">
        <f ca="1">IFERROR(__xludf.DUMMYFUNCTION("""COMPUTED_VALUE"""),4527869)</f>
        <v>4527869</v>
      </c>
      <c r="AK604" s="4">
        <f ca="1">IFERROR(__xludf.DUMMYFUNCTION("""COMPUTED_VALUE"""),42999.6666666666)</f>
        <v>42999.666666666599</v>
      </c>
      <c r="AL604" s="3">
        <f ca="1">IFERROR(__xludf.DUMMYFUNCTION("""COMPUTED_VALUE"""),70.32)</f>
        <v>70.319999999999993</v>
      </c>
      <c r="AM604" s="3">
        <f ca="1">IFERROR(__xludf.DUMMYFUNCTION("""COMPUTED_VALUE"""),70.64)</f>
        <v>70.64</v>
      </c>
      <c r="AN604" s="3">
        <f ca="1">IFERROR(__xludf.DUMMYFUNCTION("""COMPUTED_VALUE"""),70.2)</f>
        <v>70.2</v>
      </c>
      <c r="AO604" s="3">
        <f ca="1">IFERROR(__xludf.DUMMYFUNCTION("""COMPUTED_VALUE"""),70.57)</f>
        <v>70.569999999999993</v>
      </c>
      <c r="AP604" s="3">
        <f ca="1">IFERROR(__xludf.DUMMYFUNCTION("""COMPUTED_VALUE"""),4377660)</f>
        <v>4377660</v>
      </c>
      <c r="AQ604" s="4">
        <f ca="1">IFERROR(__xludf.DUMMYFUNCTION("""COMPUTED_VALUE"""),42999.6666666666)</f>
        <v>42999.666666666599</v>
      </c>
      <c r="AR604" s="3">
        <f ca="1">IFERROR(__xludf.DUMMYFUNCTION("""COMPUTED_VALUE"""),56.76)</f>
        <v>56.76</v>
      </c>
      <c r="AS604" s="3">
        <f ca="1">IFERROR(__xludf.DUMMYFUNCTION("""COMPUTED_VALUE"""),56.96)</f>
        <v>56.96</v>
      </c>
      <c r="AT604" s="3">
        <f ca="1">IFERROR(__xludf.DUMMYFUNCTION("""COMPUTED_VALUE"""),56.74)</f>
        <v>56.74</v>
      </c>
      <c r="AU604" s="3">
        <f ca="1">IFERROR(__xludf.DUMMYFUNCTION("""COMPUTED_VALUE"""),56.75)</f>
        <v>56.75</v>
      </c>
      <c r="AV604" s="3">
        <f ca="1">IFERROR(__xludf.DUMMYFUNCTION("""COMPUTED_VALUE"""),3172419)</f>
        <v>3172419</v>
      </c>
      <c r="BC604" s="4">
        <f ca="1">IFERROR(__xludf.DUMMYFUNCTION("""COMPUTED_VALUE"""),42999.6666666666)</f>
        <v>42999.666666666599</v>
      </c>
      <c r="BD604" s="3">
        <f ca="1">IFERROR(__xludf.DUMMYFUNCTION("""COMPUTED_VALUE"""),58.79)</f>
        <v>58.79</v>
      </c>
      <c r="BE604" s="3">
        <f ca="1">IFERROR(__xludf.DUMMYFUNCTION("""COMPUTED_VALUE"""),58.79)</f>
        <v>58.79</v>
      </c>
      <c r="BF604" s="3">
        <f ca="1">IFERROR(__xludf.DUMMYFUNCTION("""COMPUTED_VALUE"""),58.3)</f>
        <v>58.3</v>
      </c>
      <c r="BG604" s="3">
        <f ca="1">IFERROR(__xludf.DUMMYFUNCTION("""COMPUTED_VALUE"""),58.49)</f>
        <v>58.49</v>
      </c>
      <c r="BH604" s="3">
        <f ca="1">IFERROR(__xludf.DUMMYFUNCTION("""COMPUTED_VALUE"""),8104649)</f>
        <v>8104649</v>
      </c>
      <c r="BI604" s="4">
        <f ca="1">IFERROR(__xludf.DUMMYFUNCTION("""COMPUTED_VALUE"""),42999.6666666666)</f>
        <v>42999.666666666599</v>
      </c>
      <c r="BJ604" s="3">
        <f ca="1">IFERROR(__xludf.DUMMYFUNCTION("""COMPUTED_VALUE"""),53.73)</f>
        <v>53.73</v>
      </c>
      <c r="BK604" s="3">
        <f ca="1">IFERROR(__xludf.DUMMYFUNCTION("""COMPUTED_VALUE"""),54.02)</f>
        <v>54.02</v>
      </c>
      <c r="BL604" s="3">
        <f ca="1">IFERROR(__xludf.DUMMYFUNCTION("""COMPUTED_VALUE"""),53.6)</f>
        <v>53.6</v>
      </c>
      <c r="BM604" s="3">
        <f ca="1">IFERROR(__xludf.DUMMYFUNCTION("""COMPUTED_VALUE"""),53.67)</f>
        <v>53.67</v>
      </c>
      <c r="BN604" s="3">
        <f ca="1">IFERROR(__xludf.DUMMYFUNCTION("""COMPUTED_VALUE"""),10712328)</f>
        <v>10712328</v>
      </c>
    </row>
    <row r="605" spans="7:66" ht="13" x14ac:dyDescent="0.15">
      <c r="G605" s="4">
        <f ca="1">IFERROR(__xludf.DUMMYFUNCTION("""COMPUTED_VALUE"""),43000.6666666666)</f>
        <v>43000.666666666599</v>
      </c>
      <c r="H605" s="3">
        <f ca="1">IFERROR(__xludf.DUMMYFUNCTION("""COMPUTED_VALUE"""),89.16)</f>
        <v>89.16</v>
      </c>
      <c r="I605" s="3">
        <f ca="1">IFERROR(__xludf.DUMMYFUNCTION("""COMPUTED_VALUE"""),89.59)</f>
        <v>89.59</v>
      </c>
      <c r="J605" s="3">
        <f ca="1">IFERROR(__xludf.DUMMYFUNCTION("""COMPUTED_VALUE"""),89.14)</f>
        <v>89.14</v>
      </c>
      <c r="K605" s="3">
        <f ca="1">IFERROR(__xludf.DUMMYFUNCTION("""COMPUTED_VALUE"""),89.54)</f>
        <v>89.54</v>
      </c>
      <c r="L605" s="3">
        <f ca="1">IFERROR(__xludf.DUMMYFUNCTION("""COMPUTED_VALUE"""),3116275)</f>
        <v>3116275</v>
      </c>
      <c r="M605" s="4">
        <f ca="1">IFERROR(__xludf.DUMMYFUNCTION("""COMPUTED_VALUE"""),43000.6666666666)</f>
        <v>43000.666666666599</v>
      </c>
      <c r="N605" s="3">
        <f ca="1">IFERROR(__xludf.DUMMYFUNCTION("""COMPUTED_VALUE"""),54.17)</f>
        <v>54.17</v>
      </c>
      <c r="O605" s="3">
        <f ca="1">IFERROR(__xludf.DUMMYFUNCTION("""COMPUTED_VALUE"""),54.17)</f>
        <v>54.17</v>
      </c>
      <c r="P605" s="3">
        <f ca="1">IFERROR(__xludf.DUMMYFUNCTION("""COMPUTED_VALUE"""),53.88)</f>
        <v>53.88</v>
      </c>
      <c r="Q605" s="3">
        <f ca="1">IFERROR(__xludf.DUMMYFUNCTION("""COMPUTED_VALUE"""),53.92)</f>
        <v>53.92</v>
      </c>
      <c r="R605" s="3">
        <f ca="1">IFERROR(__xludf.DUMMYFUNCTION("""COMPUTED_VALUE"""),11318160)</f>
        <v>11318160</v>
      </c>
      <c r="S605" s="4">
        <f ca="1">IFERROR(__xludf.DUMMYFUNCTION("""COMPUTED_VALUE"""),43000.6666666666)</f>
        <v>43000.666666666599</v>
      </c>
      <c r="T605" s="3">
        <f ca="1">IFERROR(__xludf.DUMMYFUNCTION("""COMPUTED_VALUE"""),66.8)</f>
        <v>66.8</v>
      </c>
      <c r="U605" s="3">
        <f ca="1">IFERROR(__xludf.DUMMYFUNCTION("""COMPUTED_VALUE"""),67.39)</f>
        <v>67.39</v>
      </c>
      <c r="V605" s="3">
        <f ca="1">IFERROR(__xludf.DUMMYFUNCTION("""COMPUTED_VALUE"""),66.73)</f>
        <v>66.73</v>
      </c>
      <c r="W605" s="3">
        <f ca="1">IFERROR(__xludf.DUMMYFUNCTION("""COMPUTED_VALUE"""),67.2)</f>
        <v>67.2</v>
      </c>
      <c r="X605" s="3">
        <f ca="1">IFERROR(__xludf.DUMMYFUNCTION("""COMPUTED_VALUE"""),14647937)</f>
        <v>14647937</v>
      </c>
      <c r="Y605" s="4">
        <f ca="1">IFERROR(__xludf.DUMMYFUNCTION("""COMPUTED_VALUE"""),43000.6666666666)</f>
        <v>43000.666666666599</v>
      </c>
      <c r="Z605" s="3">
        <f ca="1">IFERROR(__xludf.DUMMYFUNCTION("""COMPUTED_VALUE"""),25.36)</f>
        <v>25.36</v>
      </c>
      <c r="AA605" s="3">
        <f ca="1">IFERROR(__xludf.DUMMYFUNCTION("""COMPUTED_VALUE"""),25.46)</f>
        <v>25.46</v>
      </c>
      <c r="AB605" s="3">
        <f ca="1">IFERROR(__xludf.DUMMYFUNCTION("""COMPUTED_VALUE"""),25.29)</f>
        <v>25.29</v>
      </c>
      <c r="AC605" s="3">
        <f ca="1">IFERROR(__xludf.DUMMYFUNCTION("""COMPUTED_VALUE"""),25.43)</f>
        <v>25.43</v>
      </c>
      <c r="AD605" s="3">
        <f ca="1">IFERROR(__xludf.DUMMYFUNCTION("""COMPUTED_VALUE"""),42306550)</f>
        <v>42306550</v>
      </c>
      <c r="AE605" s="4">
        <f ca="1">IFERROR(__xludf.DUMMYFUNCTION("""COMPUTED_VALUE"""),43000.6666666666)</f>
        <v>43000.666666666599</v>
      </c>
      <c r="AF605" s="3">
        <f ca="1">IFERROR(__xludf.DUMMYFUNCTION("""COMPUTED_VALUE"""),81.47)</f>
        <v>81.47</v>
      </c>
      <c r="AG605" s="3">
        <f ca="1">IFERROR(__xludf.DUMMYFUNCTION("""COMPUTED_VALUE"""),81.69)</f>
        <v>81.69</v>
      </c>
      <c r="AH605" s="3">
        <f ca="1">IFERROR(__xludf.DUMMYFUNCTION("""COMPUTED_VALUE"""),81.16)</f>
        <v>81.16</v>
      </c>
      <c r="AI605" s="3">
        <f ca="1">IFERROR(__xludf.DUMMYFUNCTION("""COMPUTED_VALUE"""),81.58)</f>
        <v>81.58</v>
      </c>
      <c r="AJ605" s="3">
        <f ca="1">IFERROR(__xludf.DUMMYFUNCTION("""COMPUTED_VALUE"""),6473284)</f>
        <v>6473284</v>
      </c>
      <c r="AK605" s="4">
        <f ca="1">IFERROR(__xludf.DUMMYFUNCTION("""COMPUTED_VALUE"""),43000.6666666666)</f>
        <v>43000.666666666599</v>
      </c>
      <c r="AL605" s="3">
        <f ca="1">IFERROR(__xludf.DUMMYFUNCTION("""COMPUTED_VALUE"""),70.62)</f>
        <v>70.62</v>
      </c>
      <c r="AM605" s="3">
        <f ca="1">IFERROR(__xludf.DUMMYFUNCTION("""COMPUTED_VALUE"""),70.82)</f>
        <v>70.819999999999993</v>
      </c>
      <c r="AN605" s="3">
        <f ca="1">IFERROR(__xludf.DUMMYFUNCTION("""COMPUTED_VALUE"""),70.55)</f>
        <v>70.55</v>
      </c>
      <c r="AO605" s="3">
        <f ca="1">IFERROR(__xludf.DUMMYFUNCTION("""COMPUTED_VALUE"""),70.75)</f>
        <v>70.75</v>
      </c>
      <c r="AP605" s="3">
        <f ca="1">IFERROR(__xludf.DUMMYFUNCTION("""COMPUTED_VALUE"""),3533893)</f>
        <v>3533893</v>
      </c>
      <c r="AQ605" s="4">
        <f ca="1">IFERROR(__xludf.DUMMYFUNCTION("""COMPUTED_VALUE"""),43000.6666666666)</f>
        <v>43000.666666666599</v>
      </c>
      <c r="AR605" s="3">
        <f ca="1">IFERROR(__xludf.DUMMYFUNCTION("""COMPUTED_VALUE"""),56.65)</f>
        <v>56.65</v>
      </c>
      <c r="AS605" s="3">
        <f ca="1">IFERROR(__xludf.DUMMYFUNCTION("""COMPUTED_VALUE"""),56.73)</f>
        <v>56.73</v>
      </c>
      <c r="AT605" s="3">
        <f ca="1">IFERROR(__xludf.DUMMYFUNCTION("""COMPUTED_VALUE"""),56.46)</f>
        <v>56.46</v>
      </c>
      <c r="AU605" s="3">
        <f ca="1">IFERROR(__xludf.DUMMYFUNCTION("""COMPUTED_VALUE"""),56.55)</f>
        <v>56.55</v>
      </c>
      <c r="AV605" s="3">
        <f ca="1">IFERROR(__xludf.DUMMYFUNCTION("""COMPUTED_VALUE"""),2943561)</f>
        <v>2943561</v>
      </c>
      <c r="BC605" s="4">
        <f ca="1">IFERROR(__xludf.DUMMYFUNCTION("""COMPUTED_VALUE"""),43000.6666666666)</f>
        <v>43000.666666666599</v>
      </c>
      <c r="BD605" s="3">
        <f ca="1">IFERROR(__xludf.DUMMYFUNCTION("""COMPUTED_VALUE"""),58.3)</f>
        <v>58.3</v>
      </c>
      <c r="BE605" s="3">
        <f ca="1">IFERROR(__xludf.DUMMYFUNCTION("""COMPUTED_VALUE"""),58.6)</f>
        <v>58.6</v>
      </c>
      <c r="BF605" s="3">
        <f ca="1">IFERROR(__xludf.DUMMYFUNCTION("""COMPUTED_VALUE"""),58.27)</f>
        <v>58.27</v>
      </c>
      <c r="BG605" s="3">
        <f ca="1">IFERROR(__xludf.DUMMYFUNCTION("""COMPUTED_VALUE"""),58.52)</f>
        <v>58.52</v>
      </c>
      <c r="BH605" s="3">
        <f ca="1">IFERROR(__xludf.DUMMYFUNCTION("""COMPUTED_VALUE"""),4824802)</f>
        <v>4824802</v>
      </c>
      <c r="BI605" s="4">
        <f ca="1">IFERROR(__xludf.DUMMYFUNCTION("""COMPUTED_VALUE"""),43000.6666666666)</f>
        <v>43000.666666666599</v>
      </c>
      <c r="BJ605" s="3">
        <f ca="1">IFERROR(__xludf.DUMMYFUNCTION("""COMPUTED_VALUE"""),53.82)</f>
        <v>53.82</v>
      </c>
      <c r="BK605" s="3">
        <f ca="1">IFERROR(__xludf.DUMMYFUNCTION("""COMPUTED_VALUE"""),53.89)</f>
        <v>53.89</v>
      </c>
      <c r="BL605" s="3">
        <f ca="1">IFERROR(__xludf.DUMMYFUNCTION("""COMPUTED_VALUE"""),53.23)</f>
        <v>53.23</v>
      </c>
      <c r="BM605" s="3">
        <f ca="1">IFERROR(__xludf.DUMMYFUNCTION("""COMPUTED_VALUE"""),53.23)</f>
        <v>53.23</v>
      </c>
      <c r="BN605" s="3">
        <f ca="1">IFERROR(__xludf.DUMMYFUNCTION("""COMPUTED_VALUE"""),11241874)</f>
        <v>11241874</v>
      </c>
    </row>
    <row r="606" spans="7:66" ht="13" x14ac:dyDescent="0.15">
      <c r="G606" s="4">
        <f ca="1">IFERROR(__xludf.DUMMYFUNCTION("""COMPUTED_VALUE"""),43003.6666666666)</f>
        <v>43003.666666666599</v>
      </c>
      <c r="H606" s="3">
        <f ca="1">IFERROR(__xludf.DUMMYFUNCTION("""COMPUTED_VALUE"""),89.51)</f>
        <v>89.51</v>
      </c>
      <c r="I606" s="3">
        <f ca="1">IFERROR(__xludf.DUMMYFUNCTION("""COMPUTED_VALUE"""),89.71)</f>
        <v>89.71</v>
      </c>
      <c r="J606" s="3">
        <f ca="1">IFERROR(__xludf.DUMMYFUNCTION("""COMPUTED_VALUE"""),89.06)</f>
        <v>89.06</v>
      </c>
      <c r="K606" s="3">
        <f ca="1">IFERROR(__xludf.DUMMYFUNCTION("""COMPUTED_VALUE"""),89.35)</f>
        <v>89.35</v>
      </c>
      <c r="L606" s="3">
        <f ca="1">IFERROR(__xludf.DUMMYFUNCTION("""COMPUTED_VALUE"""),7167628)</f>
        <v>7167628</v>
      </c>
      <c r="M606" s="4">
        <f ca="1">IFERROR(__xludf.DUMMYFUNCTION("""COMPUTED_VALUE"""),43003.6666666666)</f>
        <v>43003.666666666599</v>
      </c>
      <c r="N606" s="3">
        <f ca="1">IFERROR(__xludf.DUMMYFUNCTION("""COMPUTED_VALUE"""),54.01)</f>
        <v>54.01</v>
      </c>
      <c r="O606" s="3">
        <f ca="1">IFERROR(__xludf.DUMMYFUNCTION("""COMPUTED_VALUE"""),54.36)</f>
        <v>54.36</v>
      </c>
      <c r="P606" s="3">
        <f ca="1">IFERROR(__xludf.DUMMYFUNCTION("""COMPUTED_VALUE"""),53.97)</f>
        <v>53.97</v>
      </c>
      <c r="Q606" s="3">
        <f ca="1">IFERROR(__xludf.DUMMYFUNCTION("""COMPUTED_VALUE"""),54.31)</f>
        <v>54.31</v>
      </c>
      <c r="R606" s="3">
        <f ca="1">IFERROR(__xludf.DUMMYFUNCTION("""COMPUTED_VALUE"""),9185443)</f>
        <v>9185443</v>
      </c>
      <c r="S606" s="4">
        <f ca="1">IFERROR(__xludf.DUMMYFUNCTION("""COMPUTED_VALUE"""),43003.6666666666)</f>
        <v>43003.666666666599</v>
      </c>
      <c r="T606" s="3">
        <f ca="1">IFERROR(__xludf.DUMMYFUNCTION("""COMPUTED_VALUE"""),67.51)</f>
        <v>67.510000000000005</v>
      </c>
      <c r="U606" s="3">
        <f ca="1">IFERROR(__xludf.DUMMYFUNCTION("""COMPUTED_VALUE"""),68.37)</f>
        <v>68.37</v>
      </c>
      <c r="V606" s="3">
        <f ca="1">IFERROR(__xludf.DUMMYFUNCTION("""COMPUTED_VALUE"""),67.44)</f>
        <v>67.44</v>
      </c>
      <c r="W606" s="3">
        <f ca="1">IFERROR(__xludf.DUMMYFUNCTION("""COMPUTED_VALUE"""),68.17)</f>
        <v>68.17</v>
      </c>
      <c r="X606" s="3">
        <f ca="1">IFERROR(__xludf.DUMMYFUNCTION("""COMPUTED_VALUE"""),14833769)</f>
        <v>14833769</v>
      </c>
      <c r="Y606" s="4">
        <f ca="1">IFERROR(__xludf.DUMMYFUNCTION("""COMPUTED_VALUE"""),43003.6666666666)</f>
        <v>43003.666666666599</v>
      </c>
      <c r="Z606" s="3">
        <f ca="1">IFERROR(__xludf.DUMMYFUNCTION("""COMPUTED_VALUE"""),25.4)</f>
        <v>25.4</v>
      </c>
      <c r="AA606" s="3">
        <f ca="1">IFERROR(__xludf.DUMMYFUNCTION("""COMPUTED_VALUE"""),25.49)</f>
        <v>25.49</v>
      </c>
      <c r="AB606" s="3">
        <f ca="1">IFERROR(__xludf.DUMMYFUNCTION("""COMPUTED_VALUE"""),25.23)</f>
        <v>25.23</v>
      </c>
      <c r="AC606" s="3">
        <f ca="1">IFERROR(__xludf.DUMMYFUNCTION("""COMPUTED_VALUE"""),25.4)</f>
        <v>25.4</v>
      </c>
      <c r="AD606" s="3">
        <f ca="1">IFERROR(__xludf.DUMMYFUNCTION("""COMPUTED_VALUE"""),39774597)</f>
        <v>39774597</v>
      </c>
      <c r="AE606" s="4">
        <f ca="1">IFERROR(__xludf.DUMMYFUNCTION("""COMPUTED_VALUE"""),43003.6666666666)</f>
        <v>43003.666666666599</v>
      </c>
      <c r="AF606" s="3">
        <f ca="1">IFERROR(__xludf.DUMMYFUNCTION("""COMPUTED_VALUE"""),81.47)</f>
        <v>81.47</v>
      </c>
      <c r="AG606" s="3">
        <f ca="1">IFERROR(__xludf.DUMMYFUNCTION("""COMPUTED_VALUE"""),81.84)</f>
        <v>81.84</v>
      </c>
      <c r="AH606" s="3">
        <f ca="1">IFERROR(__xludf.DUMMYFUNCTION("""COMPUTED_VALUE"""),81.22)</f>
        <v>81.22</v>
      </c>
      <c r="AI606" s="3">
        <f ca="1">IFERROR(__xludf.DUMMYFUNCTION("""COMPUTED_VALUE"""),81.34)</f>
        <v>81.34</v>
      </c>
      <c r="AJ606" s="3">
        <f ca="1">IFERROR(__xludf.DUMMYFUNCTION("""COMPUTED_VALUE"""),12439330)</f>
        <v>12439330</v>
      </c>
      <c r="AK606" s="4">
        <f ca="1">IFERROR(__xludf.DUMMYFUNCTION("""COMPUTED_VALUE"""),43003.6666666666)</f>
        <v>43003.666666666599</v>
      </c>
      <c r="AL606" s="3">
        <f ca="1">IFERROR(__xludf.DUMMYFUNCTION("""COMPUTED_VALUE"""),70.83)</f>
        <v>70.83</v>
      </c>
      <c r="AM606" s="3">
        <f ca="1">IFERROR(__xludf.DUMMYFUNCTION("""COMPUTED_VALUE"""),70.85)</f>
        <v>70.849999999999994</v>
      </c>
      <c r="AN606" s="3">
        <f ca="1">IFERROR(__xludf.DUMMYFUNCTION("""COMPUTED_VALUE"""),70.26)</f>
        <v>70.260000000000005</v>
      </c>
      <c r="AO606" s="3">
        <f ca="1">IFERROR(__xludf.DUMMYFUNCTION("""COMPUTED_VALUE"""),70.75)</f>
        <v>70.75</v>
      </c>
      <c r="AP606" s="3">
        <f ca="1">IFERROR(__xludf.DUMMYFUNCTION("""COMPUTED_VALUE"""),6917087)</f>
        <v>6917087</v>
      </c>
      <c r="AQ606" s="4">
        <f ca="1">IFERROR(__xludf.DUMMYFUNCTION("""COMPUTED_VALUE"""),43003.6666666666)</f>
        <v>43003.666666666599</v>
      </c>
      <c r="AR606" s="3">
        <f ca="1">IFERROR(__xludf.DUMMYFUNCTION("""COMPUTED_VALUE"""),56.51)</f>
        <v>56.51</v>
      </c>
      <c r="AS606" s="3">
        <f ca="1">IFERROR(__xludf.DUMMYFUNCTION("""COMPUTED_VALUE"""),56.65)</f>
        <v>56.65</v>
      </c>
      <c r="AT606" s="3">
        <f ca="1">IFERROR(__xludf.DUMMYFUNCTION("""COMPUTED_VALUE"""),56.25)</f>
        <v>56.25</v>
      </c>
      <c r="AU606" s="3">
        <f ca="1">IFERROR(__xludf.DUMMYFUNCTION("""COMPUTED_VALUE"""),56.65)</f>
        <v>56.65</v>
      </c>
      <c r="AV606" s="3">
        <f ca="1">IFERROR(__xludf.DUMMYFUNCTION("""COMPUTED_VALUE"""),5489030)</f>
        <v>5489030</v>
      </c>
      <c r="BC606" s="4">
        <f ca="1">IFERROR(__xludf.DUMMYFUNCTION("""COMPUTED_VALUE"""),43003.6666666666)</f>
        <v>43003.666666666599</v>
      </c>
      <c r="BD606" s="3">
        <f ca="1">IFERROR(__xludf.DUMMYFUNCTION("""COMPUTED_VALUE"""),58.33)</f>
        <v>58.33</v>
      </c>
      <c r="BE606" s="3">
        <f ca="1">IFERROR(__xludf.DUMMYFUNCTION("""COMPUTED_VALUE"""),58.33)</f>
        <v>58.33</v>
      </c>
      <c r="BF606" s="3">
        <f ca="1">IFERROR(__xludf.DUMMYFUNCTION("""COMPUTED_VALUE"""),57.57)</f>
        <v>57.57</v>
      </c>
      <c r="BG606" s="3">
        <f ca="1">IFERROR(__xludf.DUMMYFUNCTION("""COMPUTED_VALUE"""),57.83)</f>
        <v>57.83</v>
      </c>
      <c r="BH606" s="3">
        <f ca="1">IFERROR(__xludf.DUMMYFUNCTION("""COMPUTED_VALUE"""),13573050)</f>
        <v>13573050</v>
      </c>
      <c r="BI606" s="4">
        <f ca="1">IFERROR(__xludf.DUMMYFUNCTION("""COMPUTED_VALUE"""),43003.6666666666)</f>
        <v>43003.666666666599</v>
      </c>
      <c r="BJ606" s="3">
        <f ca="1">IFERROR(__xludf.DUMMYFUNCTION("""COMPUTED_VALUE"""),53.31)</f>
        <v>53.31</v>
      </c>
      <c r="BK606" s="3">
        <f ca="1">IFERROR(__xludf.DUMMYFUNCTION("""COMPUTED_VALUE"""),53.78)</f>
        <v>53.78</v>
      </c>
      <c r="BL606" s="3">
        <f ca="1">IFERROR(__xludf.DUMMYFUNCTION("""COMPUTED_VALUE"""),53.22)</f>
        <v>53.22</v>
      </c>
      <c r="BM606" s="3">
        <f ca="1">IFERROR(__xludf.DUMMYFUNCTION("""COMPUTED_VALUE"""),53.72)</f>
        <v>53.72</v>
      </c>
      <c r="BN606" s="3">
        <f ca="1">IFERROR(__xludf.DUMMYFUNCTION("""COMPUTED_VALUE"""),11723269)</f>
        <v>11723269</v>
      </c>
    </row>
    <row r="607" spans="7:66" ht="13" x14ac:dyDescent="0.15">
      <c r="G607" s="4">
        <f ca="1">IFERROR(__xludf.DUMMYFUNCTION("""COMPUTED_VALUE"""),43004.6666666666)</f>
        <v>43004.666666666599</v>
      </c>
      <c r="H607" s="3">
        <f ca="1">IFERROR(__xludf.DUMMYFUNCTION("""COMPUTED_VALUE"""),89.61)</f>
        <v>89.61</v>
      </c>
      <c r="I607" s="3">
        <f ca="1">IFERROR(__xludf.DUMMYFUNCTION("""COMPUTED_VALUE"""),89.79)</f>
        <v>89.79</v>
      </c>
      <c r="J607" s="3">
        <f ca="1">IFERROR(__xludf.DUMMYFUNCTION("""COMPUTED_VALUE"""),89.17)</f>
        <v>89.17</v>
      </c>
      <c r="K607" s="3">
        <f ca="1">IFERROR(__xludf.DUMMYFUNCTION("""COMPUTED_VALUE"""),89.36)</f>
        <v>89.36</v>
      </c>
      <c r="L607" s="3">
        <f ca="1">IFERROR(__xludf.DUMMYFUNCTION("""COMPUTED_VALUE"""),3073229)</f>
        <v>3073229</v>
      </c>
      <c r="M607" s="4">
        <f ca="1">IFERROR(__xludf.DUMMYFUNCTION("""COMPUTED_VALUE"""),43004.6666666666)</f>
        <v>43004.666666666599</v>
      </c>
      <c r="N607" s="3">
        <f ca="1">IFERROR(__xludf.DUMMYFUNCTION("""COMPUTED_VALUE"""),54.37)</f>
        <v>54.37</v>
      </c>
      <c r="O607" s="3">
        <f ca="1">IFERROR(__xludf.DUMMYFUNCTION("""COMPUTED_VALUE"""),54.52)</f>
        <v>54.52</v>
      </c>
      <c r="P607" s="3">
        <f ca="1">IFERROR(__xludf.DUMMYFUNCTION("""COMPUTED_VALUE"""),54.25)</f>
        <v>54.25</v>
      </c>
      <c r="Q607" s="3">
        <f ca="1">IFERROR(__xludf.DUMMYFUNCTION("""COMPUTED_VALUE"""),54.44)</f>
        <v>54.44</v>
      </c>
      <c r="R607" s="3">
        <f ca="1">IFERROR(__xludf.DUMMYFUNCTION("""COMPUTED_VALUE"""),17321438)</f>
        <v>17321438</v>
      </c>
      <c r="S607" s="4">
        <f ca="1">IFERROR(__xludf.DUMMYFUNCTION("""COMPUTED_VALUE"""),43004.6666666666)</f>
        <v>43004.666666666599</v>
      </c>
      <c r="T607" s="3">
        <f ca="1">IFERROR(__xludf.DUMMYFUNCTION("""COMPUTED_VALUE"""),68)</f>
        <v>68</v>
      </c>
      <c r="U607" s="3">
        <f ca="1">IFERROR(__xludf.DUMMYFUNCTION("""COMPUTED_VALUE"""),68.27)</f>
        <v>68.27</v>
      </c>
      <c r="V607" s="3">
        <f ca="1">IFERROR(__xludf.DUMMYFUNCTION("""COMPUTED_VALUE"""),67.81)</f>
        <v>67.81</v>
      </c>
      <c r="W607" s="3">
        <f ca="1">IFERROR(__xludf.DUMMYFUNCTION("""COMPUTED_VALUE"""),68.14)</f>
        <v>68.14</v>
      </c>
      <c r="X607" s="3">
        <f ca="1">IFERROR(__xludf.DUMMYFUNCTION("""COMPUTED_VALUE"""),10710700)</f>
        <v>10710700</v>
      </c>
      <c r="Y607" s="4">
        <f ca="1">IFERROR(__xludf.DUMMYFUNCTION("""COMPUTED_VALUE"""),43004.6666666666)</f>
        <v>43004.666666666599</v>
      </c>
      <c r="Z607" s="3">
        <f ca="1">IFERROR(__xludf.DUMMYFUNCTION("""COMPUTED_VALUE"""),25.44)</f>
        <v>25.44</v>
      </c>
      <c r="AA607" s="3">
        <f ca="1">IFERROR(__xludf.DUMMYFUNCTION("""COMPUTED_VALUE"""),25.48)</f>
        <v>25.48</v>
      </c>
      <c r="AB607" s="3">
        <f ca="1">IFERROR(__xludf.DUMMYFUNCTION("""COMPUTED_VALUE"""),25.32)</f>
        <v>25.32</v>
      </c>
      <c r="AC607" s="3">
        <f ca="1">IFERROR(__xludf.DUMMYFUNCTION("""COMPUTED_VALUE"""),25.39)</f>
        <v>25.39</v>
      </c>
      <c r="AD607" s="3">
        <f ca="1">IFERROR(__xludf.DUMMYFUNCTION("""COMPUTED_VALUE"""),46811004)</f>
        <v>46811004</v>
      </c>
      <c r="AE607" s="4">
        <f ca="1">IFERROR(__xludf.DUMMYFUNCTION("""COMPUTED_VALUE"""),43004.6666666666)</f>
        <v>43004.666666666599</v>
      </c>
      <c r="AF607" s="3">
        <f ca="1">IFERROR(__xludf.DUMMYFUNCTION("""COMPUTED_VALUE"""),81.57)</f>
        <v>81.569999999999993</v>
      </c>
      <c r="AG607" s="3">
        <f ca="1">IFERROR(__xludf.DUMMYFUNCTION("""COMPUTED_VALUE"""),81.8)</f>
        <v>81.8</v>
      </c>
      <c r="AH607" s="3">
        <f ca="1">IFERROR(__xludf.DUMMYFUNCTION("""COMPUTED_VALUE"""),81.18)</f>
        <v>81.180000000000007</v>
      </c>
      <c r="AI607" s="3">
        <f ca="1">IFERROR(__xludf.DUMMYFUNCTION("""COMPUTED_VALUE"""),81.21)</f>
        <v>81.209999999999994</v>
      </c>
      <c r="AJ607" s="3">
        <f ca="1">IFERROR(__xludf.DUMMYFUNCTION("""COMPUTED_VALUE"""),4579765)</f>
        <v>4579765</v>
      </c>
      <c r="AK607" s="4">
        <f ca="1">IFERROR(__xludf.DUMMYFUNCTION("""COMPUTED_VALUE"""),43004.6666666666)</f>
        <v>43004.666666666599</v>
      </c>
      <c r="AL607" s="3">
        <f ca="1">IFERROR(__xludf.DUMMYFUNCTION("""COMPUTED_VALUE"""),70.77)</f>
        <v>70.77</v>
      </c>
      <c r="AM607" s="3">
        <f ca="1">IFERROR(__xludf.DUMMYFUNCTION("""COMPUTED_VALUE"""),70.88)</f>
        <v>70.88</v>
      </c>
      <c r="AN607" s="3">
        <f ca="1">IFERROR(__xludf.DUMMYFUNCTION("""COMPUTED_VALUE"""),70.7)</f>
        <v>70.7</v>
      </c>
      <c r="AO607" s="3">
        <f ca="1">IFERROR(__xludf.DUMMYFUNCTION("""COMPUTED_VALUE"""),70.75)</f>
        <v>70.75</v>
      </c>
      <c r="AP607" s="3">
        <f ca="1">IFERROR(__xludf.DUMMYFUNCTION("""COMPUTED_VALUE"""),3997786)</f>
        <v>3997786</v>
      </c>
      <c r="AQ607" s="4">
        <f ca="1">IFERROR(__xludf.DUMMYFUNCTION("""COMPUTED_VALUE"""),43004.6666666666)</f>
        <v>43004.666666666599</v>
      </c>
      <c r="AR607" s="3">
        <f ca="1">IFERROR(__xludf.DUMMYFUNCTION("""COMPUTED_VALUE"""),56.7)</f>
        <v>56.7</v>
      </c>
      <c r="AS607" s="3">
        <f ca="1">IFERROR(__xludf.DUMMYFUNCTION("""COMPUTED_VALUE"""),56.77)</f>
        <v>56.77</v>
      </c>
      <c r="AT607" s="3">
        <f ca="1">IFERROR(__xludf.DUMMYFUNCTION("""COMPUTED_VALUE"""),56.38)</f>
        <v>56.38</v>
      </c>
      <c r="AU607" s="3">
        <f ca="1">IFERROR(__xludf.DUMMYFUNCTION("""COMPUTED_VALUE"""),56.4)</f>
        <v>56.4</v>
      </c>
      <c r="AV607" s="3">
        <f ca="1">IFERROR(__xludf.DUMMYFUNCTION("""COMPUTED_VALUE"""),2745321)</f>
        <v>2745321</v>
      </c>
      <c r="BC607" s="4">
        <f ca="1">IFERROR(__xludf.DUMMYFUNCTION("""COMPUTED_VALUE"""),43004.6666666666)</f>
        <v>43004.666666666599</v>
      </c>
      <c r="BD607" s="3">
        <f ca="1">IFERROR(__xludf.DUMMYFUNCTION("""COMPUTED_VALUE"""),58.14)</f>
        <v>58.14</v>
      </c>
      <c r="BE607" s="3">
        <f ca="1">IFERROR(__xludf.DUMMYFUNCTION("""COMPUTED_VALUE"""),58.28)</f>
        <v>58.28</v>
      </c>
      <c r="BF607" s="3">
        <f ca="1">IFERROR(__xludf.DUMMYFUNCTION("""COMPUTED_VALUE"""),57.86)</f>
        <v>57.86</v>
      </c>
      <c r="BG607" s="3">
        <f ca="1">IFERROR(__xludf.DUMMYFUNCTION("""COMPUTED_VALUE"""),58.04)</f>
        <v>58.04</v>
      </c>
      <c r="BH607" s="3">
        <f ca="1">IFERROR(__xludf.DUMMYFUNCTION("""COMPUTED_VALUE"""),9053314)</f>
        <v>9053314</v>
      </c>
      <c r="BI607" s="4">
        <f ca="1">IFERROR(__xludf.DUMMYFUNCTION("""COMPUTED_VALUE"""),43004.6666666666)</f>
        <v>43004.666666666599</v>
      </c>
      <c r="BJ607" s="3">
        <f ca="1">IFERROR(__xludf.DUMMYFUNCTION("""COMPUTED_VALUE"""),53.7)</f>
        <v>53.7</v>
      </c>
      <c r="BK607" s="3">
        <f ca="1">IFERROR(__xludf.DUMMYFUNCTION("""COMPUTED_VALUE"""),53.81)</f>
        <v>53.81</v>
      </c>
      <c r="BL607" s="3">
        <f ca="1">IFERROR(__xludf.DUMMYFUNCTION("""COMPUTED_VALUE"""),53.52)</f>
        <v>53.52</v>
      </c>
      <c r="BM607" s="3">
        <f ca="1">IFERROR(__xludf.DUMMYFUNCTION("""COMPUTED_VALUE"""),53.62)</f>
        <v>53.62</v>
      </c>
      <c r="BN607" s="3">
        <f ca="1">IFERROR(__xludf.DUMMYFUNCTION("""COMPUTED_VALUE"""),10011103)</f>
        <v>10011103</v>
      </c>
    </row>
    <row r="608" spans="7:66" ht="13" x14ac:dyDescent="0.15">
      <c r="G608" s="4">
        <f ca="1">IFERROR(__xludf.DUMMYFUNCTION("""COMPUTED_VALUE"""),43005.6666666666)</f>
        <v>43005.666666666599</v>
      </c>
      <c r="H608" s="3">
        <f ca="1">IFERROR(__xludf.DUMMYFUNCTION("""COMPUTED_VALUE"""),89.59)</f>
        <v>89.59</v>
      </c>
      <c r="I608" s="3">
        <f ca="1">IFERROR(__xludf.DUMMYFUNCTION("""COMPUTED_VALUE"""),90.02)</f>
        <v>90.02</v>
      </c>
      <c r="J608" s="3">
        <f ca="1">IFERROR(__xludf.DUMMYFUNCTION("""COMPUTED_VALUE"""),89.2)</f>
        <v>89.2</v>
      </c>
      <c r="K608" s="3">
        <f ca="1">IFERROR(__xludf.DUMMYFUNCTION("""COMPUTED_VALUE"""),89.85)</f>
        <v>89.85</v>
      </c>
      <c r="L608" s="3">
        <f ca="1">IFERROR(__xludf.DUMMYFUNCTION("""COMPUTED_VALUE"""),5229087)</f>
        <v>5229087</v>
      </c>
      <c r="M608" s="4">
        <f ca="1">IFERROR(__xludf.DUMMYFUNCTION("""COMPUTED_VALUE"""),43005.6666666666)</f>
        <v>43005.666666666599</v>
      </c>
      <c r="N608" s="3">
        <f ca="1">IFERROR(__xludf.DUMMYFUNCTION("""COMPUTED_VALUE"""),54.33)</f>
        <v>54.33</v>
      </c>
      <c r="O608" s="3">
        <f ca="1">IFERROR(__xludf.DUMMYFUNCTION("""COMPUTED_VALUE"""),54.38)</f>
        <v>54.38</v>
      </c>
      <c r="P608" s="3">
        <f ca="1">IFERROR(__xludf.DUMMYFUNCTION("""COMPUTED_VALUE"""),53.72)</f>
        <v>53.72</v>
      </c>
      <c r="Q608" s="3">
        <f ca="1">IFERROR(__xludf.DUMMYFUNCTION("""COMPUTED_VALUE"""),54.02)</f>
        <v>54.02</v>
      </c>
      <c r="R608" s="3">
        <f ca="1">IFERROR(__xludf.DUMMYFUNCTION("""COMPUTED_VALUE"""),11657799)</f>
        <v>11657799</v>
      </c>
      <c r="S608" s="4">
        <f ca="1">IFERROR(__xludf.DUMMYFUNCTION("""COMPUTED_VALUE"""),43005.6666666666)</f>
        <v>43005.666666666599</v>
      </c>
      <c r="T608" s="3">
        <f ca="1">IFERROR(__xludf.DUMMYFUNCTION("""COMPUTED_VALUE"""),68.2)</f>
        <v>68.2</v>
      </c>
      <c r="U608" s="3">
        <f ca="1">IFERROR(__xludf.DUMMYFUNCTION("""COMPUTED_VALUE"""),68.45)</f>
        <v>68.45</v>
      </c>
      <c r="V608" s="3">
        <f ca="1">IFERROR(__xludf.DUMMYFUNCTION("""COMPUTED_VALUE"""),67.82)</f>
        <v>67.819999999999993</v>
      </c>
      <c r="W608" s="3">
        <f ca="1">IFERROR(__xludf.DUMMYFUNCTION("""COMPUTED_VALUE"""),68.43)</f>
        <v>68.430000000000007</v>
      </c>
      <c r="X608" s="3">
        <f ca="1">IFERROR(__xludf.DUMMYFUNCTION("""COMPUTED_VALUE"""),10918244)</f>
        <v>10918244</v>
      </c>
      <c r="Y608" s="4">
        <f ca="1">IFERROR(__xludf.DUMMYFUNCTION("""COMPUTED_VALUE"""),43005.6666666666)</f>
        <v>43005.666666666599</v>
      </c>
      <c r="Z608" s="3">
        <f ca="1">IFERROR(__xludf.DUMMYFUNCTION("""COMPUTED_VALUE"""),25.71)</f>
        <v>25.71</v>
      </c>
      <c r="AA608" s="3">
        <f ca="1">IFERROR(__xludf.DUMMYFUNCTION("""COMPUTED_VALUE"""),25.83)</f>
        <v>25.83</v>
      </c>
      <c r="AB608" s="3">
        <f ca="1">IFERROR(__xludf.DUMMYFUNCTION("""COMPUTED_VALUE"""),25.6)</f>
        <v>25.6</v>
      </c>
      <c r="AC608" s="3">
        <f ca="1">IFERROR(__xludf.DUMMYFUNCTION("""COMPUTED_VALUE"""),25.7)</f>
        <v>25.7</v>
      </c>
      <c r="AD608" s="3">
        <f ca="1">IFERROR(__xludf.DUMMYFUNCTION("""COMPUTED_VALUE"""),65919146)</f>
        <v>65919146</v>
      </c>
      <c r="AE608" s="4">
        <f ca="1">IFERROR(__xludf.DUMMYFUNCTION("""COMPUTED_VALUE"""),43005.6666666666)</f>
        <v>43005.666666666599</v>
      </c>
      <c r="AF608" s="3">
        <f ca="1">IFERROR(__xludf.DUMMYFUNCTION("""COMPUTED_VALUE"""),81.42)</f>
        <v>81.42</v>
      </c>
      <c r="AG608" s="3">
        <f ca="1">IFERROR(__xludf.DUMMYFUNCTION("""COMPUTED_VALUE"""),81.42)</f>
        <v>81.42</v>
      </c>
      <c r="AH608" s="3">
        <f ca="1">IFERROR(__xludf.DUMMYFUNCTION("""COMPUTED_VALUE"""),80.83)</f>
        <v>80.83</v>
      </c>
      <c r="AI608" s="3">
        <f ca="1">IFERROR(__xludf.DUMMYFUNCTION("""COMPUTED_VALUE"""),81.18)</f>
        <v>81.180000000000007</v>
      </c>
      <c r="AJ608" s="3">
        <f ca="1">IFERROR(__xludf.DUMMYFUNCTION("""COMPUTED_VALUE"""),5384691)</f>
        <v>5384691</v>
      </c>
      <c r="AK608" s="4">
        <f ca="1">IFERROR(__xludf.DUMMYFUNCTION("""COMPUTED_VALUE"""),43005.6666666666)</f>
        <v>43005.666666666599</v>
      </c>
      <c r="AL608" s="3">
        <f ca="1">IFERROR(__xludf.DUMMYFUNCTION("""COMPUTED_VALUE"""),70.93)</f>
        <v>70.930000000000007</v>
      </c>
      <c r="AM608" s="3">
        <f ca="1">IFERROR(__xludf.DUMMYFUNCTION("""COMPUTED_VALUE"""),71.11)</f>
        <v>71.11</v>
      </c>
      <c r="AN608" s="3">
        <f ca="1">IFERROR(__xludf.DUMMYFUNCTION("""COMPUTED_VALUE"""),70.65)</f>
        <v>70.650000000000006</v>
      </c>
      <c r="AO608" s="3">
        <f ca="1">IFERROR(__xludf.DUMMYFUNCTION("""COMPUTED_VALUE"""),70.83)</f>
        <v>70.83</v>
      </c>
      <c r="AP608" s="3">
        <f ca="1">IFERROR(__xludf.DUMMYFUNCTION("""COMPUTED_VALUE"""),6943694)</f>
        <v>6943694</v>
      </c>
      <c r="AQ608" s="4">
        <f ca="1">IFERROR(__xludf.DUMMYFUNCTION("""COMPUTED_VALUE"""),43005.6666666666)</f>
        <v>43005.666666666599</v>
      </c>
      <c r="AR608" s="3">
        <f ca="1">IFERROR(__xludf.DUMMYFUNCTION("""COMPUTED_VALUE"""),56.47)</f>
        <v>56.47</v>
      </c>
      <c r="AS608" s="3">
        <f ca="1">IFERROR(__xludf.DUMMYFUNCTION("""COMPUTED_VALUE"""),56.55)</f>
        <v>56.55</v>
      </c>
      <c r="AT608" s="3">
        <f ca="1">IFERROR(__xludf.DUMMYFUNCTION("""COMPUTED_VALUE"""),55.99)</f>
        <v>55.99</v>
      </c>
      <c r="AU608" s="3">
        <f ca="1">IFERROR(__xludf.DUMMYFUNCTION("""COMPUTED_VALUE"""),56.4)</f>
        <v>56.4</v>
      </c>
      <c r="AV608" s="3">
        <f ca="1">IFERROR(__xludf.DUMMYFUNCTION("""COMPUTED_VALUE"""),3968619)</f>
        <v>3968619</v>
      </c>
      <c r="BC608" s="4">
        <f ca="1">IFERROR(__xludf.DUMMYFUNCTION("""COMPUTED_VALUE"""),43005.6666666666)</f>
        <v>43005.666666666599</v>
      </c>
      <c r="BD608" s="3">
        <f ca="1">IFERROR(__xludf.DUMMYFUNCTION("""COMPUTED_VALUE"""),58.3)</f>
        <v>58.3</v>
      </c>
      <c r="BE608" s="3">
        <f ca="1">IFERROR(__xludf.DUMMYFUNCTION("""COMPUTED_VALUE"""),58.81)</f>
        <v>58.81</v>
      </c>
      <c r="BF608" s="3">
        <f ca="1">IFERROR(__xludf.DUMMYFUNCTION("""COMPUTED_VALUE"""),58.21)</f>
        <v>58.21</v>
      </c>
      <c r="BG608" s="3">
        <f ca="1">IFERROR(__xludf.DUMMYFUNCTION("""COMPUTED_VALUE"""),58.63)</f>
        <v>58.63</v>
      </c>
      <c r="BH608" s="3">
        <f ca="1">IFERROR(__xludf.DUMMYFUNCTION("""COMPUTED_VALUE"""),7635478)</f>
        <v>7635478</v>
      </c>
      <c r="BI608" s="4">
        <f ca="1">IFERROR(__xludf.DUMMYFUNCTION("""COMPUTED_VALUE"""),43005.6666666666)</f>
        <v>43005.666666666599</v>
      </c>
      <c r="BJ608" s="3">
        <f ca="1">IFERROR(__xludf.DUMMYFUNCTION("""COMPUTED_VALUE"""),53.25)</f>
        <v>53.25</v>
      </c>
      <c r="BK608" s="3">
        <f ca="1">IFERROR(__xludf.DUMMYFUNCTION("""COMPUTED_VALUE"""),53.46)</f>
        <v>53.46</v>
      </c>
      <c r="BL608" s="3">
        <f ca="1">IFERROR(__xludf.DUMMYFUNCTION("""COMPUTED_VALUE"""),52.64)</f>
        <v>52.64</v>
      </c>
      <c r="BM608" s="3">
        <f ca="1">IFERROR(__xludf.DUMMYFUNCTION("""COMPUTED_VALUE"""),52.9)</f>
        <v>52.9</v>
      </c>
      <c r="BN608" s="3">
        <f ca="1">IFERROR(__xludf.DUMMYFUNCTION("""COMPUTED_VALUE"""),12350842)</f>
        <v>12350842</v>
      </c>
    </row>
    <row r="609" spans="7:66" ht="13" x14ac:dyDescent="0.15">
      <c r="G609" s="4">
        <f ca="1">IFERROR(__xludf.DUMMYFUNCTION("""COMPUTED_VALUE"""),43006.6666666666)</f>
        <v>43006.666666666599</v>
      </c>
      <c r="H609" s="3">
        <f ca="1">IFERROR(__xludf.DUMMYFUNCTION("""COMPUTED_VALUE"""),89.72)</f>
        <v>89.72</v>
      </c>
      <c r="I609" s="3">
        <f ca="1">IFERROR(__xludf.DUMMYFUNCTION("""COMPUTED_VALUE"""),89.82)</f>
        <v>89.82</v>
      </c>
      <c r="J609" s="3">
        <f ca="1">IFERROR(__xludf.DUMMYFUNCTION("""COMPUTED_VALUE"""),89.58)</f>
        <v>89.58</v>
      </c>
      <c r="K609" s="3">
        <f ca="1">IFERROR(__xludf.DUMMYFUNCTION("""COMPUTED_VALUE"""),89.74)</f>
        <v>89.74</v>
      </c>
      <c r="L609" s="3">
        <f ca="1">IFERROR(__xludf.DUMMYFUNCTION("""COMPUTED_VALUE"""),3599766)</f>
        <v>3599766</v>
      </c>
      <c r="M609" s="4">
        <f ca="1">IFERROR(__xludf.DUMMYFUNCTION("""COMPUTED_VALUE"""),43006.6666666666)</f>
        <v>43006.666666666599</v>
      </c>
      <c r="N609" s="3">
        <f ca="1">IFERROR(__xludf.DUMMYFUNCTION("""COMPUTED_VALUE"""),53.95)</f>
        <v>53.95</v>
      </c>
      <c r="O609" s="3">
        <f ca="1">IFERROR(__xludf.DUMMYFUNCTION("""COMPUTED_VALUE"""),54.17)</f>
        <v>54.17</v>
      </c>
      <c r="P609" s="3">
        <f ca="1">IFERROR(__xludf.DUMMYFUNCTION("""COMPUTED_VALUE"""),53.9)</f>
        <v>53.9</v>
      </c>
      <c r="Q609" s="3">
        <f ca="1">IFERROR(__xludf.DUMMYFUNCTION("""COMPUTED_VALUE"""),54.02)</f>
        <v>54.02</v>
      </c>
      <c r="R609" s="3">
        <f ca="1">IFERROR(__xludf.DUMMYFUNCTION("""COMPUTED_VALUE"""),7768204)</f>
        <v>7768204</v>
      </c>
      <c r="S609" s="4">
        <f ca="1">IFERROR(__xludf.DUMMYFUNCTION("""COMPUTED_VALUE"""),43006.6666666666)</f>
        <v>43006.666666666599</v>
      </c>
      <c r="T609" s="3">
        <f ca="1">IFERROR(__xludf.DUMMYFUNCTION("""COMPUTED_VALUE"""),68.58)</f>
        <v>68.58</v>
      </c>
      <c r="U609" s="3">
        <f ca="1">IFERROR(__xludf.DUMMYFUNCTION("""COMPUTED_VALUE"""),68.9)</f>
        <v>68.900000000000006</v>
      </c>
      <c r="V609" s="3">
        <f ca="1">IFERROR(__xludf.DUMMYFUNCTION("""COMPUTED_VALUE"""),68.3)</f>
        <v>68.3</v>
      </c>
      <c r="W609" s="3">
        <f ca="1">IFERROR(__xludf.DUMMYFUNCTION("""COMPUTED_VALUE"""),68.49)</f>
        <v>68.489999999999995</v>
      </c>
      <c r="X609" s="3">
        <f ca="1">IFERROR(__xludf.DUMMYFUNCTION("""COMPUTED_VALUE"""),11799895)</f>
        <v>11799895</v>
      </c>
      <c r="Y609" s="4">
        <f ca="1">IFERROR(__xludf.DUMMYFUNCTION("""COMPUTED_VALUE"""),43006.6666666666)</f>
        <v>43006.666666666599</v>
      </c>
      <c r="Z609" s="3">
        <f ca="1">IFERROR(__xludf.DUMMYFUNCTION("""COMPUTED_VALUE"""),25.79)</f>
        <v>25.79</v>
      </c>
      <c r="AA609" s="3">
        <f ca="1">IFERROR(__xludf.DUMMYFUNCTION("""COMPUTED_VALUE"""),25.8)</f>
        <v>25.8</v>
      </c>
      <c r="AB609" s="3">
        <f ca="1">IFERROR(__xludf.DUMMYFUNCTION("""COMPUTED_VALUE"""),25.61)</f>
        <v>25.61</v>
      </c>
      <c r="AC609" s="3">
        <f ca="1">IFERROR(__xludf.DUMMYFUNCTION("""COMPUTED_VALUE"""),25.74)</f>
        <v>25.74</v>
      </c>
      <c r="AD609" s="3">
        <f ca="1">IFERROR(__xludf.DUMMYFUNCTION("""COMPUTED_VALUE"""),37718872)</f>
        <v>37718872</v>
      </c>
      <c r="AE609" s="4">
        <f ca="1">IFERROR(__xludf.DUMMYFUNCTION("""COMPUTED_VALUE"""),43006.6666666666)</f>
        <v>43006.666666666599</v>
      </c>
      <c r="AF609" s="3">
        <f ca="1">IFERROR(__xludf.DUMMYFUNCTION("""COMPUTED_VALUE"""),81.11)</f>
        <v>81.11</v>
      </c>
      <c r="AG609" s="3">
        <f ca="1">IFERROR(__xludf.DUMMYFUNCTION("""COMPUTED_VALUE"""),81.52)</f>
        <v>81.52</v>
      </c>
      <c r="AH609" s="3">
        <f ca="1">IFERROR(__xludf.DUMMYFUNCTION("""COMPUTED_VALUE"""),80.99)</f>
        <v>80.989999999999995</v>
      </c>
      <c r="AI609" s="3">
        <f ca="1">IFERROR(__xludf.DUMMYFUNCTION("""COMPUTED_VALUE"""),81.25)</f>
        <v>81.25</v>
      </c>
      <c r="AJ609" s="3">
        <f ca="1">IFERROR(__xludf.DUMMYFUNCTION("""COMPUTED_VALUE"""),4229024)</f>
        <v>4229024</v>
      </c>
      <c r="AK609" s="4">
        <f ca="1">IFERROR(__xludf.DUMMYFUNCTION("""COMPUTED_VALUE"""),43006.6666666666)</f>
        <v>43006.666666666599</v>
      </c>
      <c r="AL609" s="3">
        <f ca="1">IFERROR(__xludf.DUMMYFUNCTION("""COMPUTED_VALUE"""),70.73)</f>
        <v>70.73</v>
      </c>
      <c r="AM609" s="3">
        <f ca="1">IFERROR(__xludf.DUMMYFUNCTION("""COMPUTED_VALUE"""),70.85)</f>
        <v>70.849999999999994</v>
      </c>
      <c r="AN609" s="3">
        <f ca="1">IFERROR(__xludf.DUMMYFUNCTION("""COMPUTED_VALUE"""),70.5)</f>
        <v>70.5</v>
      </c>
      <c r="AO609" s="3">
        <f ca="1">IFERROR(__xludf.DUMMYFUNCTION("""COMPUTED_VALUE"""),70.79)</f>
        <v>70.790000000000006</v>
      </c>
      <c r="AP609" s="3">
        <f ca="1">IFERROR(__xludf.DUMMYFUNCTION("""COMPUTED_VALUE"""),6124550)</f>
        <v>6124550</v>
      </c>
      <c r="AQ609" s="4">
        <f ca="1">IFERROR(__xludf.DUMMYFUNCTION("""COMPUTED_VALUE"""),43006.6666666666)</f>
        <v>43006.666666666599</v>
      </c>
      <c r="AR609" s="3">
        <f ca="1">IFERROR(__xludf.DUMMYFUNCTION("""COMPUTED_VALUE"""),56.35)</f>
        <v>56.35</v>
      </c>
      <c r="AS609" s="3">
        <f ca="1">IFERROR(__xludf.DUMMYFUNCTION("""COMPUTED_VALUE"""),56.81)</f>
        <v>56.81</v>
      </c>
      <c r="AT609" s="3">
        <f ca="1">IFERROR(__xludf.DUMMYFUNCTION("""COMPUTED_VALUE"""),56.2)</f>
        <v>56.2</v>
      </c>
      <c r="AU609" s="3">
        <f ca="1">IFERROR(__xludf.DUMMYFUNCTION("""COMPUTED_VALUE"""),56.8)</f>
        <v>56.8</v>
      </c>
      <c r="AV609" s="3">
        <f ca="1">IFERROR(__xludf.DUMMYFUNCTION("""COMPUTED_VALUE"""),4356703)</f>
        <v>4356703</v>
      </c>
      <c r="BC609" s="4">
        <f ca="1">IFERROR(__xludf.DUMMYFUNCTION("""COMPUTED_VALUE"""),43006.6666666666)</f>
        <v>43006.666666666599</v>
      </c>
      <c r="BD609" s="3">
        <f ca="1">IFERROR(__xludf.DUMMYFUNCTION("""COMPUTED_VALUE"""),58.48)</f>
        <v>58.48</v>
      </c>
      <c r="BE609" s="3">
        <f ca="1">IFERROR(__xludf.DUMMYFUNCTION("""COMPUTED_VALUE"""),58.73)</f>
        <v>58.73</v>
      </c>
      <c r="BF609" s="3">
        <f ca="1">IFERROR(__xludf.DUMMYFUNCTION("""COMPUTED_VALUE"""),58.36)</f>
        <v>58.36</v>
      </c>
      <c r="BG609" s="3">
        <f ca="1">IFERROR(__xludf.DUMMYFUNCTION("""COMPUTED_VALUE"""),58.7)</f>
        <v>58.7</v>
      </c>
      <c r="BH609" s="3">
        <f ca="1">IFERROR(__xludf.DUMMYFUNCTION("""COMPUTED_VALUE"""),5589237)</f>
        <v>5589237</v>
      </c>
      <c r="BI609" s="4">
        <f ca="1">IFERROR(__xludf.DUMMYFUNCTION("""COMPUTED_VALUE"""),43006.6666666666)</f>
        <v>43006.666666666599</v>
      </c>
      <c r="BJ609" s="3">
        <f ca="1">IFERROR(__xludf.DUMMYFUNCTION("""COMPUTED_VALUE"""),52.71)</f>
        <v>52.71</v>
      </c>
      <c r="BK609" s="3">
        <f ca="1">IFERROR(__xludf.DUMMYFUNCTION("""COMPUTED_VALUE"""),53.23)</f>
        <v>53.23</v>
      </c>
      <c r="BL609" s="3">
        <f ca="1">IFERROR(__xludf.DUMMYFUNCTION("""COMPUTED_VALUE"""),52.57)</f>
        <v>52.57</v>
      </c>
      <c r="BM609" s="3">
        <f ca="1">IFERROR(__xludf.DUMMYFUNCTION("""COMPUTED_VALUE"""),53.09)</f>
        <v>53.09</v>
      </c>
      <c r="BN609" s="3">
        <f ca="1">IFERROR(__xludf.DUMMYFUNCTION("""COMPUTED_VALUE"""),14182498)</f>
        <v>14182498</v>
      </c>
    </row>
    <row r="610" spans="7:66" ht="13" x14ac:dyDescent="0.15">
      <c r="G610" s="4">
        <f ca="1">IFERROR(__xludf.DUMMYFUNCTION("""COMPUTED_VALUE"""),43007.6666666666)</f>
        <v>43007.666666666599</v>
      </c>
      <c r="H610" s="3">
        <f ca="1">IFERROR(__xludf.DUMMYFUNCTION("""COMPUTED_VALUE"""),89.75)</f>
        <v>89.75</v>
      </c>
      <c r="I610" s="3">
        <f ca="1">IFERROR(__xludf.DUMMYFUNCTION("""COMPUTED_VALUE"""),90.18)</f>
        <v>90.18</v>
      </c>
      <c r="J610" s="3">
        <f ca="1">IFERROR(__xludf.DUMMYFUNCTION("""COMPUTED_VALUE"""),89.71)</f>
        <v>89.71</v>
      </c>
      <c r="K610" s="3">
        <f ca="1">IFERROR(__xludf.DUMMYFUNCTION("""COMPUTED_VALUE"""),90.08)</f>
        <v>90.08</v>
      </c>
      <c r="L610" s="3">
        <f ca="1">IFERROR(__xludf.DUMMYFUNCTION("""COMPUTED_VALUE"""),3472016)</f>
        <v>3472016</v>
      </c>
      <c r="M610" s="4">
        <f ca="1">IFERROR(__xludf.DUMMYFUNCTION("""COMPUTED_VALUE"""),43007.6666666666)</f>
        <v>43007.666666666599</v>
      </c>
      <c r="N610" s="3">
        <f ca="1">IFERROR(__xludf.DUMMYFUNCTION("""COMPUTED_VALUE"""),54.02)</f>
        <v>54.02</v>
      </c>
      <c r="O610" s="3">
        <f ca="1">IFERROR(__xludf.DUMMYFUNCTION("""COMPUTED_VALUE"""),54.15)</f>
        <v>54.15</v>
      </c>
      <c r="P610" s="3">
        <f ca="1">IFERROR(__xludf.DUMMYFUNCTION("""COMPUTED_VALUE"""),53.93)</f>
        <v>53.93</v>
      </c>
      <c r="Q610" s="3">
        <f ca="1">IFERROR(__xludf.DUMMYFUNCTION("""COMPUTED_VALUE"""),53.98)</f>
        <v>53.98</v>
      </c>
      <c r="R610" s="3">
        <f ca="1">IFERROR(__xludf.DUMMYFUNCTION("""COMPUTED_VALUE"""),14502777)</f>
        <v>14502777</v>
      </c>
      <c r="S610" s="4">
        <f ca="1">IFERROR(__xludf.DUMMYFUNCTION("""COMPUTED_VALUE"""),43007.6666666666)</f>
        <v>43007.666666666599</v>
      </c>
      <c r="T610" s="3">
        <f ca="1">IFERROR(__xludf.DUMMYFUNCTION("""COMPUTED_VALUE"""),68.25)</f>
        <v>68.25</v>
      </c>
      <c r="U610" s="3">
        <f ca="1">IFERROR(__xludf.DUMMYFUNCTION("""COMPUTED_VALUE"""),68.49)</f>
        <v>68.489999999999995</v>
      </c>
      <c r="V610" s="3">
        <f ca="1">IFERROR(__xludf.DUMMYFUNCTION("""COMPUTED_VALUE"""),68.03)</f>
        <v>68.03</v>
      </c>
      <c r="W610" s="3">
        <f ca="1">IFERROR(__xludf.DUMMYFUNCTION("""COMPUTED_VALUE"""),68.48)</f>
        <v>68.48</v>
      </c>
      <c r="X610" s="3">
        <f ca="1">IFERROR(__xludf.DUMMYFUNCTION("""COMPUTED_VALUE"""),14287467)</f>
        <v>14287467</v>
      </c>
      <c r="Y610" s="4">
        <f ca="1">IFERROR(__xludf.DUMMYFUNCTION("""COMPUTED_VALUE"""),43007.6666666666)</f>
        <v>43007.666666666599</v>
      </c>
      <c r="Z610" s="3">
        <f ca="1">IFERROR(__xludf.DUMMYFUNCTION("""COMPUTED_VALUE"""),25.74)</f>
        <v>25.74</v>
      </c>
      <c r="AA610" s="3">
        <f ca="1">IFERROR(__xludf.DUMMYFUNCTION("""COMPUTED_VALUE"""),25.86)</f>
        <v>25.86</v>
      </c>
      <c r="AB610" s="3">
        <f ca="1">IFERROR(__xludf.DUMMYFUNCTION("""COMPUTED_VALUE"""),25.7)</f>
        <v>25.7</v>
      </c>
      <c r="AC610" s="3">
        <f ca="1">IFERROR(__xludf.DUMMYFUNCTION("""COMPUTED_VALUE"""),25.86)</f>
        <v>25.86</v>
      </c>
      <c r="AD610" s="3">
        <f ca="1">IFERROR(__xludf.DUMMYFUNCTION("""COMPUTED_VALUE"""),42740827)</f>
        <v>42740827</v>
      </c>
      <c r="AE610" s="4">
        <f ca="1">IFERROR(__xludf.DUMMYFUNCTION("""COMPUTED_VALUE"""),43007.6666666666)</f>
        <v>43007.666666666599</v>
      </c>
      <c r="AF610" s="3">
        <f ca="1">IFERROR(__xludf.DUMMYFUNCTION("""COMPUTED_VALUE"""),81.26)</f>
        <v>81.260000000000005</v>
      </c>
      <c r="AG610" s="3">
        <f ca="1">IFERROR(__xludf.DUMMYFUNCTION("""COMPUTED_VALUE"""),81.77)</f>
        <v>81.77</v>
      </c>
      <c r="AH610" s="3">
        <f ca="1">IFERROR(__xludf.DUMMYFUNCTION("""COMPUTED_VALUE"""),81.06)</f>
        <v>81.06</v>
      </c>
      <c r="AI610" s="3">
        <f ca="1">IFERROR(__xludf.DUMMYFUNCTION("""COMPUTED_VALUE"""),81.73)</f>
        <v>81.73</v>
      </c>
      <c r="AJ610" s="3">
        <f ca="1">IFERROR(__xludf.DUMMYFUNCTION("""COMPUTED_VALUE"""),6902730)</f>
        <v>6902730</v>
      </c>
      <c r="AK610" s="4">
        <f ca="1">IFERROR(__xludf.DUMMYFUNCTION("""COMPUTED_VALUE"""),43007.6666666666)</f>
        <v>43007.666666666599</v>
      </c>
      <c r="AL610" s="3">
        <f ca="1">IFERROR(__xludf.DUMMYFUNCTION("""COMPUTED_VALUE"""),70.75)</f>
        <v>70.75</v>
      </c>
      <c r="AM610" s="3">
        <f ca="1">IFERROR(__xludf.DUMMYFUNCTION("""COMPUTED_VALUE"""),71.01)</f>
        <v>71.010000000000005</v>
      </c>
      <c r="AN610" s="3">
        <f ca="1">IFERROR(__xludf.DUMMYFUNCTION("""COMPUTED_VALUE"""),70.62)</f>
        <v>70.62</v>
      </c>
      <c r="AO610" s="3">
        <f ca="1">IFERROR(__xludf.DUMMYFUNCTION("""COMPUTED_VALUE"""),71)</f>
        <v>71</v>
      </c>
      <c r="AP610" s="3">
        <f ca="1">IFERROR(__xludf.DUMMYFUNCTION("""COMPUTED_VALUE"""),6527169)</f>
        <v>6527169</v>
      </c>
      <c r="AQ610" s="4">
        <f ca="1">IFERROR(__xludf.DUMMYFUNCTION("""COMPUTED_VALUE"""),43007.6666666666)</f>
        <v>43007.666666666599</v>
      </c>
      <c r="AR610" s="3">
        <f ca="1">IFERROR(__xludf.DUMMYFUNCTION("""COMPUTED_VALUE"""),56.76)</f>
        <v>56.76</v>
      </c>
      <c r="AS610" s="3">
        <f ca="1">IFERROR(__xludf.DUMMYFUNCTION("""COMPUTED_VALUE"""),56.88)</f>
        <v>56.88</v>
      </c>
      <c r="AT610" s="3">
        <f ca="1">IFERROR(__xludf.DUMMYFUNCTION("""COMPUTED_VALUE"""),56.53)</f>
        <v>56.53</v>
      </c>
      <c r="AU610" s="3">
        <f ca="1">IFERROR(__xludf.DUMMYFUNCTION("""COMPUTED_VALUE"""),56.8)</f>
        <v>56.8</v>
      </c>
      <c r="AV610" s="3">
        <f ca="1">IFERROR(__xludf.DUMMYFUNCTION("""COMPUTED_VALUE"""),4144433)</f>
        <v>4144433</v>
      </c>
      <c r="BC610" s="4">
        <f ca="1">IFERROR(__xludf.DUMMYFUNCTION("""COMPUTED_VALUE"""),43007.6666666666)</f>
        <v>43007.666666666599</v>
      </c>
      <c r="BD610" s="3">
        <f ca="1">IFERROR(__xludf.DUMMYFUNCTION("""COMPUTED_VALUE"""),58.8)</f>
        <v>58.8</v>
      </c>
      <c r="BE610" s="3">
        <f ca="1">IFERROR(__xludf.DUMMYFUNCTION("""COMPUTED_VALUE"""),59.15)</f>
        <v>59.15</v>
      </c>
      <c r="BF610" s="3">
        <f ca="1">IFERROR(__xludf.DUMMYFUNCTION("""COMPUTED_VALUE"""),58.73)</f>
        <v>58.73</v>
      </c>
      <c r="BG610" s="3">
        <f ca="1">IFERROR(__xludf.DUMMYFUNCTION("""COMPUTED_VALUE"""),59.1)</f>
        <v>59.1</v>
      </c>
      <c r="BH610" s="3">
        <f ca="1">IFERROR(__xludf.DUMMYFUNCTION("""COMPUTED_VALUE"""),12428714)</f>
        <v>12428714</v>
      </c>
      <c r="BI610" s="4">
        <f ca="1">IFERROR(__xludf.DUMMYFUNCTION("""COMPUTED_VALUE"""),43007.6666666666)</f>
        <v>43007.666666666599</v>
      </c>
      <c r="BJ610" s="3">
        <f ca="1">IFERROR(__xludf.DUMMYFUNCTION("""COMPUTED_VALUE"""),53.11)</f>
        <v>53.11</v>
      </c>
      <c r="BK610" s="3">
        <f ca="1">IFERROR(__xludf.DUMMYFUNCTION("""COMPUTED_VALUE"""),53.27)</f>
        <v>53.27</v>
      </c>
      <c r="BL610" s="3">
        <f ca="1">IFERROR(__xludf.DUMMYFUNCTION("""COMPUTED_VALUE"""),52.86)</f>
        <v>52.86</v>
      </c>
      <c r="BM610" s="3">
        <f ca="1">IFERROR(__xludf.DUMMYFUNCTION("""COMPUTED_VALUE"""),53.05)</f>
        <v>53.05</v>
      </c>
      <c r="BN610" s="3">
        <f ca="1">IFERROR(__xludf.DUMMYFUNCTION("""COMPUTED_VALUE"""),12127097)</f>
        <v>12127097</v>
      </c>
    </row>
  </sheetData>
  <mergeCells count="11">
    <mergeCell ref="AQ3:AV3"/>
    <mergeCell ref="AW3:BB3"/>
    <mergeCell ref="BC3:BH3"/>
    <mergeCell ref="BI3:BN3"/>
    <mergeCell ref="A3:F3"/>
    <mergeCell ref="G3:L3"/>
    <mergeCell ref="M3:R3"/>
    <mergeCell ref="S3:X3"/>
    <mergeCell ref="Y3:AD3"/>
    <mergeCell ref="AE3:AJ3"/>
    <mergeCell ref="AK3:A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608"/>
  <sheetViews>
    <sheetView tabSelected="1" workbookViewId="0">
      <selection activeCell="BI1" sqref="A1:BI1"/>
    </sheetView>
  </sheetViews>
  <sheetFormatPr baseColWidth="10" defaultColWidth="14.5" defaultRowHeight="15.75" customHeight="1" x14ac:dyDescent="0.15"/>
  <cols>
    <col min="1" max="1" width="6.1640625" bestFit="1" customWidth="1"/>
    <col min="2" max="2" width="11.83203125" bestFit="1" customWidth="1"/>
    <col min="3" max="3" width="11" bestFit="1" customWidth="1"/>
    <col min="4" max="4" width="10.6640625" bestFit="1" customWidth="1"/>
    <col min="5" max="5" width="11.83203125" bestFit="1" customWidth="1"/>
    <col min="6" max="6" width="13.33203125" bestFit="1" customWidth="1"/>
    <col min="7" max="7" width="9.83203125" bestFit="1" customWidth="1"/>
    <col min="8" max="8" width="9" bestFit="1" customWidth="1"/>
    <col min="9" max="9" width="8.6640625" bestFit="1" customWidth="1"/>
    <col min="10" max="10" width="9.83203125" bestFit="1" customWidth="1"/>
    <col min="11" max="11" width="11.33203125" bestFit="1" customWidth="1"/>
    <col min="12" max="12" width="9.83203125" bestFit="1" customWidth="1"/>
    <col min="13" max="13" width="9" bestFit="1" customWidth="1"/>
    <col min="14" max="14" width="8.6640625" bestFit="1" customWidth="1"/>
    <col min="15" max="15" width="9.83203125" bestFit="1" customWidth="1"/>
    <col min="16" max="16" width="11.33203125" bestFit="1" customWidth="1"/>
    <col min="17" max="17" width="9.83203125" bestFit="1" customWidth="1"/>
    <col min="18" max="18" width="9" bestFit="1" customWidth="1"/>
    <col min="19" max="19" width="8.6640625" bestFit="1" customWidth="1"/>
    <col min="20" max="20" width="9.83203125" bestFit="1" customWidth="1"/>
    <col min="21" max="21" width="11.33203125" bestFit="1" customWidth="1"/>
    <col min="22" max="22" width="9.83203125" bestFit="1" customWidth="1"/>
    <col min="23" max="23" width="9" bestFit="1" customWidth="1"/>
    <col min="24" max="24" width="8.6640625" bestFit="1" customWidth="1"/>
    <col min="25" max="25" width="9.83203125" bestFit="1" customWidth="1"/>
    <col min="26" max="26" width="11.33203125" bestFit="1" customWidth="1"/>
    <col min="27" max="27" width="9.6640625" bestFit="1" customWidth="1"/>
    <col min="28" max="28" width="8.83203125" bestFit="1" customWidth="1"/>
    <col min="29" max="29" width="8.5" bestFit="1" customWidth="1"/>
    <col min="30" max="30" width="9.6640625" bestFit="1" customWidth="1"/>
    <col min="31" max="31" width="11.1640625" bestFit="1" customWidth="1"/>
    <col min="32" max="32" width="9.83203125" bestFit="1" customWidth="1"/>
    <col min="33" max="33" width="9" bestFit="1" customWidth="1"/>
    <col min="34" max="34" width="8.6640625" bestFit="1" customWidth="1"/>
    <col min="35" max="35" width="9.83203125" bestFit="1" customWidth="1"/>
    <col min="36" max="36" width="11.33203125" bestFit="1" customWidth="1"/>
    <col min="37" max="37" width="9.1640625" bestFit="1" customWidth="1"/>
    <col min="38" max="38" width="8.33203125" bestFit="1" customWidth="1"/>
    <col min="39" max="39" width="8" bestFit="1" customWidth="1"/>
    <col min="40" max="40" width="9.1640625" bestFit="1" customWidth="1"/>
    <col min="41" max="41" width="10.6640625" bestFit="1" customWidth="1"/>
    <col min="42" max="42" width="9.83203125" bestFit="1" customWidth="1"/>
    <col min="43" max="43" width="9" bestFit="1" customWidth="1"/>
    <col min="44" max="44" width="8.6640625" bestFit="1" customWidth="1"/>
    <col min="45" max="45" width="9.83203125" bestFit="1" customWidth="1"/>
    <col min="46" max="46" width="11.33203125" bestFit="1" customWidth="1"/>
    <col min="47" max="47" width="9.83203125" bestFit="1" customWidth="1"/>
    <col min="48" max="48" width="9" bestFit="1" customWidth="1"/>
    <col min="49" max="49" width="8.6640625" bestFit="1" customWidth="1"/>
    <col min="50" max="50" width="9.83203125" bestFit="1" customWidth="1"/>
    <col min="51" max="51" width="11.33203125" bestFit="1" customWidth="1"/>
    <col min="52" max="52" width="9.83203125" bestFit="1" customWidth="1"/>
    <col min="53" max="53" width="9" bestFit="1" customWidth="1"/>
    <col min="54" max="54" width="8.6640625" bestFit="1" customWidth="1"/>
    <col min="55" max="55" width="9.83203125" bestFit="1" customWidth="1"/>
    <col min="56" max="56" width="11.33203125" bestFit="1" customWidth="1"/>
    <col min="57" max="57" width="11" bestFit="1" customWidth="1"/>
    <col min="58" max="58" width="10.1640625" bestFit="1" customWidth="1"/>
    <col min="59" max="59" width="9.83203125" bestFit="1" customWidth="1"/>
    <col min="60" max="60" width="11" bestFit="1" customWidth="1"/>
    <col min="61" max="61" width="12.5" bestFit="1" customWidth="1"/>
    <col min="62" max="62" width="17.5" bestFit="1" customWidth="1"/>
    <col min="63" max="63" width="16.6640625" bestFit="1" customWidth="1"/>
    <col min="64" max="64" width="16.33203125" bestFit="1" customWidth="1"/>
    <col min="65" max="65" width="17.5" bestFit="1" customWidth="1"/>
    <col min="66" max="66" width="19" bestFit="1" customWidth="1"/>
    <col min="67" max="67" width="15.33203125" bestFit="1" customWidth="1"/>
    <col min="69" max="69" width="14.1640625" bestFit="1" customWidth="1"/>
    <col min="70" max="70" width="15.33203125" bestFit="1" customWidth="1"/>
    <col min="71" max="71" width="17" bestFit="1" customWidth="1"/>
    <col min="72" max="72" width="15.33203125" bestFit="1" customWidth="1"/>
    <col min="74" max="74" width="14.1640625" bestFit="1" customWidth="1"/>
    <col min="75" max="75" width="15.33203125" bestFit="1" customWidth="1"/>
    <col min="76" max="76" width="17" bestFit="1" customWidth="1"/>
    <col min="77" max="77" width="15.33203125" bestFit="1" customWidth="1"/>
    <col min="79" max="79" width="14.1640625" bestFit="1" customWidth="1"/>
    <col min="80" max="80" width="15.33203125" bestFit="1" customWidth="1"/>
    <col min="81" max="81" width="17" bestFit="1" customWidth="1"/>
    <col min="82" max="82" width="15.33203125" bestFit="1" customWidth="1"/>
    <col min="84" max="84" width="14.1640625" bestFit="1" customWidth="1"/>
    <col min="85" max="85" width="15.33203125" bestFit="1" customWidth="1"/>
    <col min="86" max="86" width="17" bestFit="1" customWidth="1"/>
    <col min="87" max="87" width="15.1640625" bestFit="1" customWidth="1"/>
    <col min="88" max="88" width="14.33203125" bestFit="1" customWidth="1"/>
    <col min="89" max="89" width="14" bestFit="1" customWidth="1"/>
    <col min="90" max="90" width="15.1640625" bestFit="1" customWidth="1"/>
    <col min="91" max="91" width="16.83203125" bestFit="1" customWidth="1"/>
    <col min="92" max="92" width="15.33203125" bestFit="1" customWidth="1"/>
    <col min="94" max="94" width="14.1640625" bestFit="1" customWidth="1"/>
    <col min="95" max="95" width="15.33203125" bestFit="1" customWidth="1"/>
    <col min="96" max="96" width="17" bestFit="1" customWidth="1"/>
    <col min="97" max="97" width="14.6640625" bestFit="1" customWidth="1"/>
    <col min="98" max="98" width="13.83203125" bestFit="1" customWidth="1"/>
    <col min="99" max="99" width="13.5" bestFit="1" customWidth="1"/>
    <col min="100" max="100" width="14.6640625" bestFit="1" customWidth="1"/>
    <col min="101" max="101" width="16.33203125" bestFit="1" customWidth="1"/>
    <col min="102" max="102" width="15.33203125" bestFit="1" customWidth="1"/>
    <col min="104" max="104" width="14.1640625" bestFit="1" customWidth="1"/>
    <col min="105" max="105" width="15.33203125" bestFit="1" customWidth="1"/>
    <col min="106" max="106" width="17" bestFit="1" customWidth="1"/>
    <col min="107" max="107" width="15.33203125" bestFit="1" customWidth="1"/>
    <col min="109" max="109" width="14.1640625" bestFit="1" customWidth="1"/>
    <col min="110" max="110" width="15.33203125" bestFit="1" customWidth="1"/>
    <col min="111" max="111" width="17" bestFit="1" customWidth="1"/>
    <col min="112" max="112" width="15.33203125" bestFit="1" customWidth="1"/>
    <col min="114" max="114" width="14.1640625" bestFit="1" customWidth="1"/>
    <col min="115" max="115" width="15.33203125" bestFit="1" customWidth="1"/>
    <col min="116" max="116" width="17" bestFit="1" customWidth="1"/>
    <col min="117" max="117" width="16.6640625" bestFit="1" customWidth="1"/>
    <col min="118" max="118" width="15.6640625" bestFit="1" customWidth="1"/>
    <col min="119" max="119" width="15.33203125" bestFit="1" customWidth="1"/>
    <col min="120" max="120" width="16.6640625" bestFit="1" customWidth="1"/>
    <col min="121" max="121" width="18.1640625" bestFit="1" customWidth="1"/>
  </cols>
  <sheetData>
    <row r="1" spans="1:61" ht="15.75" customHeight="1" x14ac:dyDescent="0.15">
      <c r="A1" s="5" t="s">
        <v>19</v>
      </c>
      <c r="B1" s="6"/>
      <c r="C1" s="6"/>
      <c r="D1" s="6"/>
      <c r="E1" s="6"/>
      <c r="F1" s="6"/>
      <c r="G1" s="7" t="s">
        <v>21</v>
      </c>
      <c r="H1" s="7"/>
      <c r="I1" s="7"/>
      <c r="J1" s="7"/>
      <c r="K1" t="s">
        <v>20</v>
      </c>
      <c r="L1" s="7" t="s">
        <v>22</v>
      </c>
      <c r="M1" s="7"/>
      <c r="N1" s="7"/>
      <c r="O1" s="7"/>
      <c r="P1" t="s">
        <v>23</v>
      </c>
      <c r="Q1" s="7" t="s">
        <v>25</v>
      </c>
      <c r="R1" s="7"/>
      <c r="S1" s="7"/>
      <c r="T1" s="7"/>
      <c r="U1" t="s">
        <v>24</v>
      </c>
      <c r="V1" s="7" t="s">
        <v>27</v>
      </c>
      <c r="W1" s="7"/>
      <c r="X1" s="7"/>
      <c r="Y1" s="7"/>
      <c r="Z1" t="s">
        <v>26</v>
      </c>
      <c r="AA1" s="7" t="s">
        <v>29</v>
      </c>
      <c r="AB1" s="7"/>
      <c r="AC1" s="7"/>
      <c r="AD1" s="7"/>
      <c r="AE1" t="s">
        <v>28</v>
      </c>
      <c r="AF1" s="7" t="s">
        <v>31</v>
      </c>
      <c r="AG1" s="7"/>
      <c r="AH1" s="7"/>
      <c r="AI1" s="7"/>
      <c r="AJ1" t="s">
        <v>30</v>
      </c>
      <c r="AK1" s="7" t="s">
        <v>32</v>
      </c>
      <c r="AL1" s="7"/>
      <c r="AM1" s="7"/>
      <c r="AN1" s="7"/>
      <c r="AO1" t="s">
        <v>33</v>
      </c>
      <c r="AP1" s="7" t="s">
        <v>35</v>
      </c>
      <c r="AQ1" s="7"/>
      <c r="AR1" s="7"/>
      <c r="AS1" s="7"/>
      <c r="AT1" t="s">
        <v>34</v>
      </c>
      <c r="AU1" s="7" t="s">
        <v>37</v>
      </c>
      <c r="AV1" s="7"/>
      <c r="AW1" s="7"/>
      <c r="AX1" s="7"/>
      <c r="AY1" t="s">
        <v>36</v>
      </c>
      <c r="AZ1" s="7" t="s">
        <v>39</v>
      </c>
      <c r="BA1" s="7"/>
      <c r="BB1" s="7"/>
      <c r="BC1" s="7"/>
      <c r="BD1" t="s">
        <v>38</v>
      </c>
      <c r="BE1" s="7" t="s">
        <v>40</v>
      </c>
      <c r="BF1" s="7"/>
      <c r="BG1" s="7"/>
      <c r="BH1" s="7"/>
      <c r="BI1" t="s">
        <v>41</v>
      </c>
    </row>
    <row r="2" spans="1:61" ht="15.75" customHeight="1" x14ac:dyDescent="0.15">
      <c r="A2" s="3" t="s">
        <v>12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54</v>
      </c>
      <c r="O2" s="3" t="s">
        <v>55</v>
      </c>
      <c r="P2" s="3" t="s">
        <v>56</v>
      </c>
      <c r="Q2" s="3" t="s">
        <v>57</v>
      </c>
      <c r="R2" s="3" t="s">
        <v>58</v>
      </c>
      <c r="S2" s="3" t="s">
        <v>59</v>
      </c>
      <c r="T2" s="3" t="s">
        <v>60</v>
      </c>
      <c r="U2" s="3" t="s">
        <v>61</v>
      </c>
      <c r="V2" s="3" t="s">
        <v>62</v>
      </c>
      <c r="W2" s="3" t="s">
        <v>63</v>
      </c>
      <c r="X2" s="3" t="s">
        <v>64</v>
      </c>
      <c r="Y2" s="3" t="s">
        <v>65</v>
      </c>
      <c r="Z2" s="3" t="s">
        <v>66</v>
      </c>
      <c r="AA2" s="3" t="s">
        <v>67</v>
      </c>
      <c r="AB2" s="3" t="s">
        <v>68</v>
      </c>
      <c r="AC2" s="3" t="s">
        <v>69</v>
      </c>
      <c r="AD2" s="3" t="s">
        <v>70</v>
      </c>
      <c r="AE2" s="3" t="s">
        <v>71</v>
      </c>
      <c r="AF2" s="3" t="s">
        <v>72</v>
      </c>
      <c r="AG2" s="3" t="s">
        <v>73</v>
      </c>
      <c r="AH2" s="3" t="s">
        <v>74</v>
      </c>
      <c r="AI2" s="3" t="s">
        <v>75</v>
      </c>
      <c r="AJ2" s="3" t="s">
        <v>76</v>
      </c>
      <c r="AK2" s="3" t="s">
        <v>77</v>
      </c>
      <c r="AL2" s="3" t="s">
        <v>78</v>
      </c>
      <c r="AM2" s="3" t="s">
        <v>79</v>
      </c>
      <c r="AN2" s="3" t="s">
        <v>80</v>
      </c>
      <c r="AO2" s="3" t="s">
        <v>81</v>
      </c>
      <c r="AP2" s="3" t="s">
        <v>82</v>
      </c>
      <c r="AQ2" s="3" t="s">
        <v>83</v>
      </c>
      <c r="AR2" s="3" t="s">
        <v>84</v>
      </c>
      <c r="AS2" s="3" t="s">
        <v>85</v>
      </c>
      <c r="AT2" s="3" t="s">
        <v>86</v>
      </c>
      <c r="AU2" s="3" t="s">
        <v>87</v>
      </c>
      <c r="AV2" s="3" t="s">
        <v>88</v>
      </c>
      <c r="AW2" s="3" t="s">
        <v>89</v>
      </c>
      <c r="AX2" s="3" t="s">
        <v>90</v>
      </c>
      <c r="AY2" s="3" t="s">
        <v>91</v>
      </c>
      <c r="AZ2" s="3" t="s">
        <v>92</v>
      </c>
      <c r="BA2" s="3" t="s">
        <v>93</v>
      </c>
      <c r="BB2" s="3" t="s">
        <v>94</v>
      </c>
      <c r="BC2" s="3" t="s">
        <v>95</v>
      </c>
      <c r="BD2" s="3" t="s">
        <v>96</v>
      </c>
      <c r="BE2" s="3" t="s">
        <v>97</v>
      </c>
      <c r="BF2" s="3" t="s">
        <v>98</v>
      </c>
      <c r="BG2" s="3" t="s">
        <v>99</v>
      </c>
      <c r="BH2" s="3" t="s">
        <v>100</v>
      </c>
      <c r="BI2" s="3" t="s">
        <v>101</v>
      </c>
    </row>
    <row r="3" spans="1:61" ht="15.75" customHeight="1" x14ac:dyDescent="0.15">
      <c r="A3" s="3">
        <v>42131</v>
      </c>
      <c r="B3" s="3">
        <v>2079.96</v>
      </c>
      <c r="C3" s="3">
        <v>2092.9</v>
      </c>
      <c r="D3" s="3">
        <v>2074.9899999999998</v>
      </c>
      <c r="E3" s="3">
        <v>2088</v>
      </c>
      <c r="F3" s="3">
        <v>523758356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3">
        <v>75.400000000000006</v>
      </c>
      <c r="M3" s="3">
        <v>75.930000000000007</v>
      </c>
      <c r="N3" s="3">
        <v>75.209999999999994</v>
      </c>
      <c r="O3" s="3">
        <v>75.790000000000006</v>
      </c>
      <c r="P3" s="3">
        <v>5892410</v>
      </c>
      <c r="Q3" s="3">
        <v>48.48</v>
      </c>
      <c r="R3" s="3">
        <v>48.86</v>
      </c>
      <c r="S3" s="3">
        <v>48.37</v>
      </c>
      <c r="T3" s="3">
        <v>48.76</v>
      </c>
      <c r="U3" s="3">
        <v>6433797</v>
      </c>
      <c r="V3" s="3">
        <v>81.16</v>
      </c>
      <c r="W3" s="3">
        <v>81.180000000000007</v>
      </c>
      <c r="X3" s="3">
        <v>79.84</v>
      </c>
      <c r="Y3" s="3">
        <v>80.44</v>
      </c>
      <c r="Z3" s="3">
        <v>17396581</v>
      </c>
      <c r="AA3" s="3">
        <v>19.600000000000001</v>
      </c>
      <c r="AB3" s="3">
        <v>19.87</v>
      </c>
      <c r="AC3" s="3">
        <v>19.600000000000001</v>
      </c>
      <c r="AD3" s="3">
        <v>19.82</v>
      </c>
      <c r="AE3" s="3">
        <v>31917845</v>
      </c>
      <c r="AF3" s="3">
        <v>71.84</v>
      </c>
      <c r="AG3" s="3">
        <v>72.53</v>
      </c>
      <c r="AH3" s="3">
        <v>71.73</v>
      </c>
      <c r="AI3" s="3">
        <v>72.28</v>
      </c>
      <c r="AJ3" s="3">
        <v>9019729</v>
      </c>
      <c r="AK3" s="3">
        <v>55.46</v>
      </c>
      <c r="AL3" s="3">
        <v>56.05</v>
      </c>
      <c r="AM3" s="3">
        <v>55.46</v>
      </c>
      <c r="AN3" s="3">
        <v>55.92</v>
      </c>
      <c r="AO3" s="3">
        <v>10668317</v>
      </c>
      <c r="AP3" s="3">
        <v>50.26</v>
      </c>
      <c r="AQ3" s="3">
        <v>50.81</v>
      </c>
      <c r="AR3" s="3">
        <v>50.12</v>
      </c>
      <c r="AS3" s="3">
        <v>50.76</v>
      </c>
      <c r="AT3" s="3">
        <v>6230445</v>
      </c>
      <c r="AU3" s="3">
        <v>42.18</v>
      </c>
      <c r="AV3" s="3">
        <v>42.57</v>
      </c>
      <c r="AW3" s="3">
        <v>42.09</v>
      </c>
      <c r="AX3" s="3">
        <v>42.42</v>
      </c>
      <c r="AY3" s="3">
        <v>5640285</v>
      </c>
      <c r="AZ3" s="3">
        <v>43.71</v>
      </c>
      <c r="BA3" s="3">
        <v>44.02</v>
      </c>
      <c r="BB3" s="3">
        <v>43.6</v>
      </c>
      <c r="BC3" s="3">
        <v>43.72</v>
      </c>
      <c r="BD3" s="3">
        <v>12687008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</row>
    <row r="4" spans="1:61" ht="15.75" customHeight="1" x14ac:dyDescent="0.15">
      <c r="A4" s="3">
        <v>42132</v>
      </c>
      <c r="B4" s="3">
        <v>2092.13</v>
      </c>
      <c r="C4" s="3">
        <v>2117.66</v>
      </c>
      <c r="D4" s="3">
        <v>2092.13</v>
      </c>
      <c r="E4" s="3">
        <v>2116.1</v>
      </c>
      <c r="F4" s="3">
        <v>524517688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3">
        <v>76.56</v>
      </c>
      <c r="M4" s="3">
        <v>76.92</v>
      </c>
      <c r="N4" s="3">
        <v>76.53</v>
      </c>
      <c r="O4" s="3">
        <v>76.599999999999994</v>
      </c>
      <c r="P4" s="3">
        <v>5673635</v>
      </c>
      <c r="Q4" s="3">
        <v>49.01</v>
      </c>
      <c r="R4" s="3">
        <v>49.36</v>
      </c>
      <c r="S4" s="3">
        <v>49.01</v>
      </c>
      <c r="T4" s="3">
        <v>49.17</v>
      </c>
      <c r="U4" s="3">
        <v>6946516</v>
      </c>
      <c r="V4" s="3">
        <v>81.08</v>
      </c>
      <c r="W4" s="3">
        <v>81.849999999999994</v>
      </c>
      <c r="X4" s="3">
        <v>80.16</v>
      </c>
      <c r="Y4" s="3">
        <v>81.760000000000005</v>
      </c>
      <c r="Z4" s="3">
        <v>14515224</v>
      </c>
      <c r="AA4" s="3">
        <v>19.93</v>
      </c>
      <c r="AB4" s="3">
        <v>20.11</v>
      </c>
      <c r="AC4" s="3">
        <v>19.93</v>
      </c>
      <c r="AD4" s="3">
        <v>20.11</v>
      </c>
      <c r="AE4" s="3">
        <v>33074116</v>
      </c>
      <c r="AF4" s="3">
        <v>73.02</v>
      </c>
      <c r="AG4" s="3">
        <v>73.650000000000006</v>
      </c>
      <c r="AH4" s="3">
        <v>72.959999999999994</v>
      </c>
      <c r="AI4" s="3">
        <v>73.45</v>
      </c>
      <c r="AJ4" s="3">
        <v>11222370</v>
      </c>
      <c r="AK4" s="3">
        <v>56.52</v>
      </c>
      <c r="AL4" s="3">
        <v>56.74</v>
      </c>
      <c r="AM4" s="3">
        <v>56.36</v>
      </c>
      <c r="AN4" s="3">
        <v>56.58</v>
      </c>
      <c r="AO4" s="3">
        <v>7025140</v>
      </c>
      <c r="AP4" s="3">
        <v>51.35</v>
      </c>
      <c r="AQ4" s="3">
        <v>51.78</v>
      </c>
      <c r="AR4" s="3">
        <v>51.34</v>
      </c>
      <c r="AS4" s="3">
        <v>51.57</v>
      </c>
      <c r="AT4" s="3">
        <v>4630967</v>
      </c>
      <c r="AU4" s="3">
        <v>42.85</v>
      </c>
      <c r="AV4" s="3">
        <v>43.06</v>
      </c>
      <c r="AW4" s="3">
        <v>42.78</v>
      </c>
      <c r="AX4" s="3">
        <v>43.03</v>
      </c>
      <c r="AY4" s="3">
        <v>9819247</v>
      </c>
      <c r="AZ4" s="3">
        <v>44.28</v>
      </c>
      <c r="BA4" s="3">
        <v>44.52</v>
      </c>
      <c r="BB4" s="3">
        <v>43.85</v>
      </c>
      <c r="BC4" s="3">
        <v>44.03</v>
      </c>
      <c r="BD4" s="3">
        <v>14383171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</row>
    <row r="5" spans="1:61" ht="15.75" customHeight="1" x14ac:dyDescent="0.15">
      <c r="A5" s="3">
        <v>42135</v>
      </c>
      <c r="B5" s="3">
        <v>2115.56</v>
      </c>
      <c r="C5" s="3">
        <v>2117.69</v>
      </c>
      <c r="D5" s="3">
        <v>2104.58</v>
      </c>
      <c r="E5" s="3">
        <v>2105.33</v>
      </c>
      <c r="F5" s="3">
        <v>467022504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3">
        <v>76.540000000000006</v>
      </c>
      <c r="M5" s="3">
        <v>76.930000000000007</v>
      </c>
      <c r="N5" s="3">
        <v>76.25</v>
      </c>
      <c r="O5" s="3">
        <v>76.260000000000005</v>
      </c>
      <c r="P5" s="3">
        <v>6947200</v>
      </c>
      <c r="Q5" s="3">
        <v>49.03</v>
      </c>
      <c r="R5" s="3">
        <v>49.33</v>
      </c>
      <c r="S5" s="3">
        <v>48.95</v>
      </c>
      <c r="T5" s="3">
        <v>48.97</v>
      </c>
      <c r="U5" s="3">
        <v>3988447</v>
      </c>
      <c r="V5" s="3">
        <v>81.84</v>
      </c>
      <c r="W5" s="3">
        <v>81.88</v>
      </c>
      <c r="X5" s="3">
        <v>80.14</v>
      </c>
      <c r="Y5" s="3">
        <v>80.22</v>
      </c>
      <c r="Z5" s="3">
        <v>18144426</v>
      </c>
      <c r="AA5" s="3">
        <v>20.11</v>
      </c>
      <c r="AB5" s="3">
        <v>20.149999999999999</v>
      </c>
      <c r="AC5" s="3">
        <v>20</v>
      </c>
      <c r="AD5" s="3">
        <v>20.03</v>
      </c>
      <c r="AE5" s="3">
        <v>31157348</v>
      </c>
      <c r="AF5" s="3">
        <v>73.709999999999994</v>
      </c>
      <c r="AG5" s="3">
        <v>73.84</v>
      </c>
      <c r="AH5" s="3">
        <v>73.42</v>
      </c>
      <c r="AI5" s="3">
        <v>73.489999999999995</v>
      </c>
      <c r="AJ5" s="3">
        <v>7980692</v>
      </c>
      <c r="AK5" s="3">
        <v>56.56</v>
      </c>
      <c r="AL5" s="3">
        <v>56.77</v>
      </c>
      <c r="AM5" s="3">
        <v>56.48</v>
      </c>
      <c r="AN5" s="3">
        <v>56.53</v>
      </c>
      <c r="AO5" s="3">
        <v>5169762</v>
      </c>
      <c r="AP5" s="3">
        <v>51.54</v>
      </c>
      <c r="AQ5" s="3">
        <v>51.62</v>
      </c>
      <c r="AR5" s="3">
        <v>51.25</v>
      </c>
      <c r="AS5" s="3">
        <v>51.33</v>
      </c>
      <c r="AT5" s="3">
        <v>4117226</v>
      </c>
      <c r="AU5" s="3">
        <v>43</v>
      </c>
      <c r="AV5" s="3">
        <v>43.05</v>
      </c>
      <c r="AW5" s="3">
        <v>42.77</v>
      </c>
      <c r="AX5" s="3">
        <v>42.81</v>
      </c>
      <c r="AY5" s="3">
        <v>6046481</v>
      </c>
      <c r="AZ5" s="3">
        <v>44.02</v>
      </c>
      <c r="BA5" s="3">
        <v>44.39</v>
      </c>
      <c r="BB5" s="3">
        <v>43.69</v>
      </c>
      <c r="BC5" s="3">
        <v>43.73</v>
      </c>
      <c r="BD5" s="3">
        <v>12639290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</row>
    <row r="6" spans="1:61" ht="15.75" customHeight="1" x14ac:dyDescent="0.15">
      <c r="A6" s="3">
        <v>42136</v>
      </c>
      <c r="B6" s="3">
        <v>2102.87</v>
      </c>
      <c r="C6" s="3">
        <v>2105.06</v>
      </c>
      <c r="D6" s="3">
        <v>2085.5700000000002</v>
      </c>
      <c r="E6" s="3">
        <v>2099.12</v>
      </c>
      <c r="F6" s="3">
        <v>468682965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3">
        <v>75.84</v>
      </c>
      <c r="M6" s="3">
        <v>76.400000000000006</v>
      </c>
      <c r="N6" s="3">
        <v>75.540000000000006</v>
      </c>
      <c r="O6" s="3">
        <v>76.12</v>
      </c>
      <c r="P6" s="3">
        <v>7510392</v>
      </c>
      <c r="Q6" s="3">
        <v>48.51</v>
      </c>
      <c r="R6" s="3">
        <v>49.02</v>
      </c>
      <c r="S6" s="3">
        <v>48.51</v>
      </c>
      <c r="T6" s="3">
        <v>48.86</v>
      </c>
      <c r="U6" s="3">
        <v>4903389</v>
      </c>
      <c r="V6" s="3">
        <v>80.099999999999994</v>
      </c>
      <c r="W6" s="3">
        <v>81.010000000000005</v>
      </c>
      <c r="X6" s="3">
        <v>79.959999999999994</v>
      </c>
      <c r="Y6" s="3">
        <v>80.59</v>
      </c>
      <c r="Z6" s="3">
        <v>9851538</v>
      </c>
      <c r="AA6" s="3">
        <v>19.940000000000001</v>
      </c>
      <c r="AB6" s="3">
        <v>20.010000000000002</v>
      </c>
      <c r="AC6" s="3">
        <v>19.8</v>
      </c>
      <c r="AD6" s="3">
        <v>19.96</v>
      </c>
      <c r="AE6" s="3">
        <v>39610598</v>
      </c>
      <c r="AF6" s="3">
        <v>72.959999999999994</v>
      </c>
      <c r="AG6" s="3">
        <v>73.319999999999993</v>
      </c>
      <c r="AH6" s="3">
        <v>72.680000000000007</v>
      </c>
      <c r="AI6" s="3">
        <v>73.02</v>
      </c>
      <c r="AJ6" s="3">
        <v>7019849</v>
      </c>
      <c r="AK6" s="3">
        <v>56.36</v>
      </c>
      <c r="AL6" s="3">
        <v>56.66</v>
      </c>
      <c r="AM6" s="3">
        <v>56.1</v>
      </c>
      <c r="AN6" s="3">
        <v>56.47</v>
      </c>
      <c r="AO6" s="3">
        <v>7542420</v>
      </c>
      <c r="AP6" s="3">
        <v>51.14</v>
      </c>
      <c r="AQ6" s="3">
        <v>51.14</v>
      </c>
      <c r="AR6" s="3">
        <v>50.76</v>
      </c>
      <c r="AS6" s="3">
        <v>50.79</v>
      </c>
      <c r="AT6" s="3">
        <v>3774840</v>
      </c>
      <c r="AU6" s="3">
        <v>42.58</v>
      </c>
      <c r="AV6" s="3">
        <v>42.77</v>
      </c>
      <c r="AW6" s="3">
        <v>42.21</v>
      </c>
      <c r="AX6" s="3">
        <v>42.58</v>
      </c>
      <c r="AY6" s="3">
        <v>7650527</v>
      </c>
      <c r="AZ6" s="3">
        <v>43.5</v>
      </c>
      <c r="BA6" s="3">
        <v>43.73</v>
      </c>
      <c r="BB6" s="3">
        <v>43.24</v>
      </c>
      <c r="BC6" s="3">
        <v>43.68</v>
      </c>
      <c r="BD6" s="3">
        <v>13535210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</row>
    <row r="7" spans="1:61" ht="15.75" customHeight="1" x14ac:dyDescent="0.15">
      <c r="A7" s="3">
        <v>42137</v>
      </c>
      <c r="B7" s="3">
        <v>2099.62</v>
      </c>
      <c r="C7" s="3">
        <v>2110.19</v>
      </c>
      <c r="D7" s="3">
        <v>2096.04</v>
      </c>
      <c r="E7" s="3">
        <v>2098.48</v>
      </c>
      <c r="F7" s="3">
        <v>473510272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3">
        <v>76.16</v>
      </c>
      <c r="M7" s="3">
        <v>76.42</v>
      </c>
      <c r="N7" s="3">
        <v>75.58</v>
      </c>
      <c r="O7" s="3">
        <v>75.64</v>
      </c>
      <c r="P7" s="3">
        <v>7921603</v>
      </c>
      <c r="Q7" s="3">
        <v>48.85</v>
      </c>
      <c r="R7" s="3">
        <v>49.19</v>
      </c>
      <c r="S7" s="3">
        <v>48.78</v>
      </c>
      <c r="T7" s="3">
        <v>48.84</v>
      </c>
      <c r="U7" s="3">
        <v>3716893</v>
      </c>
      <c r="V7" s="3">
        <v>81.290000000000006</v>
      </c>
      <c r="W7" s="3">
        <v>81.39</v>
      </c>
      <c r="X7" s="3">
        <v>80.08</v>
      </c>
      <c r="Y7" s="3">
        <v>80.38</v>
      </c>
      <c r="Z7" s="3">
        <v>12534739</v>
      </c>
      <c r="AA7" s="3">
        <v>19.96</v>
      </c>
      <c r="AB7" s="3">
        <v>20.04</v>
      </c>
      <c r="AC7" s="3">
        <v>19.920000000000002</v>
      </c>
      <c r="AD7" s="3">
        <v>19.97</v>
      </c>
      <c r="AE7" s="3">
        <v>23907659</v>
      </c>
      <c r="AF7" s="3">
        <v>73.260000000000005</v>
      </c>
      <c r="AG7" s="3">
        <v>73.64</v>
      </c>
      <c r="AH7" s="3">
        <v>72.97</v>
      </c>
      <c r="AI7" s="3">
        <v>73.099999999999994</v>
      </c>
      <c r="AJ7" s="3">
        <v>6005823</v>
      </c>
      <c r="AK7" s="3">
        <v>56.68</v>
      </c>
      <c r="AL7" s="3">
        <v>56.97</v>
      </c>
      <c r="AM7" s="3">
        <v>56.51</v>
      </c>
      <c r="AN7" s="3">
        <v>56.59</v>
      </c>
      <c r="AO7" s="3">
        <v>7704328</v>
      </c>
      <c r="AP7" s="3">
        <v>50.65</v>
      </c>
      <c r="AQ7" s="3">
        <v>50.95</v>
      </c>
      <c r="AR7" s="3">
        <v>50.54</v>
      </c>
      <c r="AS7" s="3">
        <v>50.73</v>
      </c>
      <c r="AT7" s="3">
        <v>3814005</v>
      </c>
      <c r="AU7" s="3">
        <v>42.76</v>
      </c>
      <c r="AV7" s="3">
        <v>43.01</v>
      </c>
      <c r="AW7" s="3">
        <v>42.67</v>
      </c>
      <c r="AX7" s="3">
        <v>42.76</v>
      </c>
      <c r="AY7" s="3">
        <v>9306475</v>
      </c>
      <c r="AZ7" s="3">
        <v>43.83</v>
      </c>
      <c r="BA7" s="3">
        <v>43.97</v>
      </c>
      <c r="BB7" s="3">
        <v>43.1</v>
      </c>
      <c r="BC7" s="3">
        <v>43.25</v>
      </c>
      <c r="BD7" s="3">
        <v>13979633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</row>
    <row r="8" spans="1:61" ht="15.75" customHeight="1" x14ac:dyDescent="0.15">
      <c r="A8" s="3">
        <v>42138</v>
      </c>
      <c r="B8" s="3">
        <v>2100.4299999999998</v>
      </c>
      <c r="C8" s="3">
        <v>2121.4499999999998</v>
      </c>
      <c r="D8" s="3">
        <v>2100.4299999999998</v>
      </c>
      <c r="E8" s="3">
        <v>2121.1</v>
      </c>
      <c r="F8" s="3">
        <v>477949241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>
        <v>75.930000000000007</v>
      </c>
      <c r="M8" s="3">
        <v>76.08</v>
      </c>
      <c r="N8" s="3">
        <v>75.52</v>
      </c>
      <c r="O8" s="3">
        <v>75.98</v>
      </c>
      <c r="P8" s="3">
        <v>6830306</v>
      </c>
      <c r="Q8" s="3">
        <v>49.04</v>
      </c>
      <c r="R8" s="3">
        <v>49.61</v>
      </c>
      <c r="S8" s="3">
        <v>49.04</v>
      </c>
      <c r="T8" s="3">
        <v>49.59</v>
      </c>
      <c r="U8" s="3">
        <v>6174276</v>
      </c>
      <c r="V8" s="3">
        <v>80.61</v>
      </c>
      <c r="W8" s="3">
        <v>81.150000000000006</v>
      </c>
      <c r="X8" s="3">
        <v>80.3</v>
      </c>
      <c r="Y8" s="3">
        <v>80.349999999999994</v>
      </c>
      <c r="Z8" s="3">
        <v>9617871</v>
      </c>
      <c r="AA8" s="3">
        <v>20.07</v>
      </c>
      <c r="AB8" s="3">
        <v>20.16</v>
      </c>
      <c r="AC8" s="3">
        <v>20.03</v>
      </c>
      <c r="AD8" s="3">
        <v>20.149999999999999</v>
      </c>
      <c r="AE8" s="3">
        <v>21482855</v>
      </c>
      <c r="AF8" s="3">
        <v>73.489999999999995</v>
      </c>
      <c r="AG8" s="3">
        <v>74.14</v>
      </c>
      <c r="AH8" s="3">
        <v>73.19</v>
      </c>
      <c r="AI8" s="3">
        <v>74.11</v>
      </c>
      <c r="AJ8" s="3">
        <v>6894435</v>
      </c>
      <c r="AK8" s="3">
        <v>56.84</v>
      </c>
      <c r="AL8" s="3">
        <v>57.22</v>
      </c>
      <c r="AM8" s="3">
        <v>56.79</v>
      </c>
      <c r="AN8" s="3">
        <v>57.16</v>
      </c>
      <c r="AO8" s="3">
        <v>8698422</v>
      </c>
      <c r="AP8" s="3">
        <v>50.98</v>
      </c>
      <c r="AQ8" s="3">
        <v>51.3</v>
      </c>
      <c r="AR8" s="3">
        <v>50.98</v>
      </c>
      <c r="AS8" s="3">
        <v>51.26</v>
      </c>
      <c r="AT8" s="3">
        <v>3159475</v>
      </c>
      <c r="AU8" s="3">
        <v>43.1</v>
      </c>
      <c r="AV8" s="3">
        <v>43.47</v>
      </c>
      <c r="AW8" s="3">
        <v>43.06</v>
      </c>
      <c r="AX8" s="3">
        <v>43.45</v>
      </c>
      <c r="AY8" s="3">
        <v>6976158</v>
      </c>
      <c r="AZ8" s="3">
        <v>43.47</v>
      </c>
      <c r="BA8" s="3">
        <v>43.87</v>
      </c>
      <c r="BB8" s="3">
        <v>43.43</v>
      </c>
      <c r="BC8" s="3">
        <v>43.75</v>
      </c>
      <c r="BD8" s="3">
        <v>12242708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</row>
    <row r="9" spans="1:61" ht="15.75" customHeight="1" x14ac:dyDescent="0.15">
      <c r="A9" s="3">
        <v>42139</v>
      </c>
      <c r="B9" s="3">
        <v>2122.0700000000002</v>
      </c>
      <c r="C9" s="3">
        <v>2123.89</v>
      </c>
      <c r="D9" s="3">
        <v>2116.79</v>
      </c>
      <c r="E9" s="3">
        <v>2122.73</v>
      </c>
      <c r="F9" s="3">
        <v>609123759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3">
        <v>76.069999999999993</v>
      </c>
      <c r="M9" s="3">
        <v>76.59</v>
      </c>
      <c r="N9" s="3">
        <v>75.989999999999995</v>
      </c>
      <c r="O9" s="3">
        <v>76.59</v>
      </c>
      <c r="P9" s="3">
        <v>7189908</v>
      </c>
      <c r="Q9" s="3">
        <v>49.6</v>
      </c>
      <c r="R9" s="3">
        <v>49.75</v>
      </c>
      <c r="S9" s="3">
        <v>49.55</v>
      </c>
      <c r="T9" s="3">
        <v>49.75</v>
      </c>
      <c r="U9" s="3">
        <v>5014345</v>
      </c>
      <c r="V9" s="3">
        <v>80.010000000000005</v>
      </c>
      <c r="W9" s="3">
        <v>80.989999999999995</v>
      </c>
      <c r="X9" s="3">
        <v>79.81</v>
      </c>
      <c r="Y9" s="3">
        <v>80.67</v>
      </c>
      <c r="Z9" s="3">
        <v>9780592</v>
      </c>
      <c r="AA9" s="3">
        <v>20.16</v>
      </c>
      <c r="AB9" s="3">
        <v>20.16</v>
      </c>
      <c r="AC9" s="3">
        <v>19.989999999999998</v>
      </c>
      <c r="AD9" s="3">
        <v>20.059999999999999</v>
      </c>
      <c r="AE9" s="3">
        <v>23147840</v>
      </c>
      <c r="AF9" s="3">
        <v>74.239999999999995</v>
      </c>
      <c r="AG9" s="3">
        <v>74.349999999999994</v>
      </c>
      <c r="AH9" s="3">
        <v>74.03</v>
      </c>
      <c r="AI9" s="3">
        <v>74.260000000000005</v>
      </c>
      <c r="AJ9" s="3">
        <v>3872343</v>
      </c>
      <c r="AK9" s="3">
        <v>57.14</v>
      </c>
      <c r="AL9" s="3">
        <v>57.27</v>
      </c>
      <c r="AM9" s="3">
        <v>56.94</v>
      </c>
      <c r="AN9" s="3">
        <v>57.11</v>
      </c>
      <c r="AO9" s="3">
        <v>6266250</v>
      </c>
      <c r="AP9" s="3">
        <v>51.21</v>
      </c>
      <c r="AQ9" s="3">
        <v>51.51</v>
      </c>
      <c r="AR9" s="3">
        <v>51.09</v>
      </c>
      <c r="AS9" s="3">
        <v>51.51</v>
      </c>
      <c r="AT9" s="3">
        <v>3129890</v>
      </c>
      <c r="AU9" s="3">
        <v>43.54</v>
      </c>
      <c r="AV9" s="3">
        <v>43.58</v>
      </c>
      <c r="AW9" s="3">
        <v>43.21</v>
      </c>
      <c r="AX9" s="3">
        <v>43.31</v>
      </c>
      <c r="AY9" s="3">
        <v>8468238</v>
      </c>
      <c r="AZ9" s="3">
        <v>43.87</v>
      </c>
      <c r="BA9" s="3">
        <v>44.41</v>
      </c>
      <c r="BB9" s="3">
        <v>43.8</v>
      </c>
      <c r="BC9" s="3">
        <v>44.32</v>
      </c>
      <c r="BD9" s="3">
        <v>17791698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</row>
    <row r="10" spans="1:61" ht="15.75" customHeight="1" x14ac:dyDescent="0.15">
      <c r="A10" s="3">
        <v>42142</v>
      </c>
      <c r="B10" s="3">
        <v>2121.3000000000002</v>
      </c>
      <c r="C10" s="3">
        <v>2131.7800000000002</v>
      </c>
      <c r="D10" s="3">
        <v>2120.0100000000002</v>
      </c>
      <c r="E10" s="3">
        <v>2129.1999999999998</v>
      </c>
      <c r="F10" s="3">
        <v>444239990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v>76.459999999999994</v>
      </c>
      <c r="M10" s="3">
        <v>77.02</v>
      </c>
      <c r="N10" s="3">
        <v>76.44</v>
      </c>
      <c r="O10" s="3">
        <v>76.88</v>
      </c>
      <c r="P10" s="3">
        <v>3961471</v>
      </c>
      <c r="Q10" s="3">
        <v>49.7</v>
      </c>
      <c r="R10" s="3">
        <v>49.72</v>
      </c>
      <c r="S10" s="3">
        <v>49.51</v>
      </c>
      <c r="T10" s="3">
        <v>49.59</v>
      </c>
      <c r="U10" s="3">
        <v>6199937</v>
      </c>
      <c r="V10" s="3">
        <v>80.510000000000005</v>
      </c>
      <c r="W10" s="3">
        <v>80.84</v>
      </c>
      <c r="X10" s="3">
        <v>80.17</v>
      </c>
      <c r="Y10" s="3">
        <v>80.739999999999995</v>
      </c>
      <c r="Z10" s="3">
        <v>7229827</v>
      </c>
      <c r="AA10" s="3">
        <v>20.07</v>
      </c>
      <c r="AB10" s="3">
        <v>20.190000000000001</v>
      </c>
      <c r="AC10" s="3">
        <v>20.04</v>
      </c>
      <c r="AD10" s="3">
        <v>20.170000000000002</v>
      </c>
      <c r="AE10" s="3">
        <v>16118435</v>
      </c>
      <c r="AF10" s="3">
        <v>74.209999999999994</v>
      </c>
      <c r="AG10" s="3">
        <v>74.790000000000006</v>
      </c>
      <c r="AH10" s="3">
        <v>74.17</v>
      </c>
      <c r="AI10" s="3">
        <v>74.7</v>
      </c>
      <c r="AJ10" s="3">
        <v>6792243</v>
      </c>
      <c r="AK10" s="3">
        <v>57.26</v>
      </c>
      <c r="AL10" s="3">
        <v>57.29</v>
      </c>
      <c r="AM10" s="3">
        <v>56.98</v>
      </c>
      <c r="AN10" s="3">
        <v>57.22</v>
      </c>
      <c r="AO10" s="3">
        <v>6643755</v>
      </c>
      <c r="AP10" s="3">
        <v>51.29</v>
      </c>
      <c r="AQ10" s="3">
        <v>51.45</v>
      </c>
      <c r="AR10" s="3">
        <v>51.17</v>
      </c>
      <c r="AS10" s="3">
        <v>51.28</v>
      </c>
      <c r="AT10" s="3">
        <v>2690510</v>
      </c>
      <c r="AU10" s="3">
        <v>43.25</v>
      </c>
      <c r="AV10" s="3">
        <v>43.6</v>
      </c>
      <c r="AW10" s="3">
        <v>43.19</v>
      </c>
      <c r="AX10" s="3">
        <v>43.52</v>
      </c>
      <c r="AY10" s="3">
        <v>3393310</v>
      </c>
      <c r="AZ10" s="3">
        <v>44.1</v>
      </c>
      <c r="BA10" s="3">
        <v>44.57</v>
      </c>
      <c r="BB10" s="3">
        <v>44.1</v>
      </c>
      <c r="BC10" s="3">
        <v>44.49</v>
      </c>
      <c r="BD10" s="3">
        <v>10243631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</row>
    <row r="11" spans="1:61" ht="15.75" customHeight="1" x14ac:dyDescent="0.15">
      <c r="A11" s="3">
        <v>42143</v>
      </c>
      <c r="B11" s="3">
        <v>2129.4499999999998</v>
      </c>
      <c r="C11" s="3">
        <v>2133.02</v>
      </c>
      <c r="D11" s="3">
        <v>2124.5</v>
      </c>
      <c r="E11" s="3">
        <v>2127.83</v>
      </c>
      <c r="F11" s="3">
        <v>493349176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77.09</v>
      </c>
      <c r="M11" s="3">
        <v>77.25</v>
      </c>
      <c r="N11" s="3">
        <v>76.78</v>
      </c>
      <c r="O11" s="3">
        <v>76.86</v>
      </c>
      <c r="P11" s="3">
        <v>4645381</v>
      </c>
      <c r="Q11" s="3">
        <v>49.62</v>
      </c>
      <c r="R11" s="3">
        <v>49.62</v>
      </c>
      <c r="S11" s="3">
        <v>49.3</v>
      </c>
      <c r="T11" s="3">
        <v>49.46</v>
      </c>
      <c r="U11" s="3">
        <v>5157182</v>
      </c>
      <c r="V11" s="3">
        <v>80.2</v>
      </c>
      <c r="W11" s="3">
        <v>80.28</v>
      </c>
      <c r="X11" s="3">
        <v>79.47</v>
      </c>
      <c r="Y11" s="3">
        <v>79.59</v>
      </c>
      <c r="Z11" s="3">
        <v>13919849</v>
      </c>
      <c r="AA11" s="3">
        <v>20.21</v>
      </c>
      <c r="AB11" s="3">
        <v>20.350000000000001</v>
      </c>
      <c r="AC11" s="3">
        <v>20.2</v>
      </c>
      <c r="AD11" s="3">
        <v>20.29</v>
      </c>
      <c r="AE11" s="3">
        <v>26411949</v>
      </c>
      <c r="AF11" s="3">
        <v>74.8</v>
      </c>
      <c r="AG11" s="3">
        <v>75.239999999999995</v>
      </c>
      <c r="AH11" s="3">
        <v>74.61</v>
      </c>
      <c r="AI11" s="3">
        <v>75.05</v>
      </c>
      <c r="AJ11" s="3">
        <v>5869169</v>
      </c>
      <c r="AK11" s="3">
        <v>57.01</v>
      </c>
      <c r="AL11" s="3">
        <v>57.29</v>
      </c>
      <c r="AM11" s="3">
        <v>56.98</v>
      </c>
      <c r="AN11" s="3">
        <v>57.06</v>
      </c>
      <c r="AO11" s="3">
        <v>6186887</v>
      </c>
      <c r="AP11" s="3">
        <v>51.21</v>
      </c>
      <c r="AQ11" s="3">
        <v>51.3</v>
      </c>
      <c r="AR11" s="3">
        <v>50.88</v>
      </c>
      <c r="AS11" s="3">
        <v>51.03</v>
      </c>
      <c r="AT11" s="3">
        <v>2714466</v>
      </c>
      <c r="AU11" s="3">
        <v>43.57</v>
      </c>
      <c r="AV11" s="3">
        <v>43.62</v>
      </c>
      <c r="AW11" s="3">
        <v>43.36</v>
      </c>
      <c r="AX11" s="3">
        <v>43.41</v>
      </c>
      <c r="AY11" s="3">
        <v>4565385</v>
      </c>
      <c r="AZ11" s="3">
        <v>44.29</v>
      </c>
      <c r="BA11" s="3">
        <v>44.7</v>
      </c>
      <c r="BB11" s="3">
        <v>44.14</v>
      </c>
      <c r="BC11" s="3">
        <v>44.59</v>
      </c>
      <c r="BD11" s="3">
        <v>12908034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</row>
    <row r="12" spans="1:61" ht="15.75" customHeight="1" x14ac:dyDescent="0.15">
      <c r="A12" s="3">
        <v>42144</v>
      </c>
      <c r="B12" s="3">
        <v>2127.79</v>
      </c>
      <c r="C12" s="3">
        <v>2134.7199999999998</v>
      </c>
      <c r="D12" s="3">
        <v>2122.59</v>
      </c>
      <c r="E12" s="3">
        <v>2125.85</v>
      </c>
      <c r="F12" s="3">
        <v>477723201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76.87</v>
      </c>
      <c r="M12" s="3">
        <v>77.11</v>
      </c>
      <c r="N12" s="3">
        <v>76.5</v>
      </c>
      <c r="O12" s="3">
        <v>76.77</v>
      </c>
      <c r="P12" s="3">
        <v>7407751</v>
      </c>
      <c r="Q12" s="3">
        <v>49.39</v>
      </c>
      <c r="R12" s="3">
        <v>49.59</v>
      </c>
      <c r="S12" s="3">
        <v>49.35</v>
      </c>
      <c r="T12" s="3">
        <v>49.35</v>
      </c>
      <c r="U12" s="3">
        <v>5463241</v>
      </c>
      <c r="V12" s="3">
        <v>79.87</v>
      </c>
      <c r="W12" s="3">
        <v>80</v>
      </c>
      <c r="X12" s="3">
        <v>79.28</v>
      </c>
      <c r="Y12" s="3">
        <v>79.739999999999995</v>
      </c>
      <c r="Z12" s="3">
        <v>12623812</v>
      </c>
      <c r="AA12" s="3">
        <v>20.329999999999998</v>
      </c>
      <c r="AB12" s="3">
        <v>20.329999999999998</v>
      </c>
      <c r="AC12" s="3">
        <v>20.2</v>
      </c>
      <c r="AD12" s="3">
        <v>20.23</v>
      </c>
      <c r="AE12" s="3">
        <v>30341356</v>
      </c>
      <c r="AF12" s="3">
        <v>75.180000000000007</v>
      </c>
      <c r="AG12" s="3">
        <v>75.47</v>
      </c>
      <c r="AH12" s="3">
        <v>74.849999999999994</v>
      </c>
      <c r="AI12" s="3">
        <v>75.150000000000006</v>
      </c>
      <c r="AJ12" s="3">
        <v>10577011</v>
      </c>
      <c r="AK12" s="3">
        <v>57.1</v>
      </c>
      <c r="AL12" s="3">
        <v>57.13</v>
      </c>
      <c r="AM12" s="3">
        <v>56.76</v>
      </c>
      <c r="AN12" s="3">
        <v>56.85</v>
      </c>
      <c r="AO12" s="3">
        <v>7064403</v>
      </c>
      <c r="AP12" s="3">
        <v>51.12</v>
      </c>
      <c r="AQ12" s="3">
        <v>51.17</v>
      </c>
      <c r="AR12" s="3">
        <v>50.87</v>
      </c>
      <c r="AS12" s="3">
        <v>51</v>
      </c>
      <c r="AT12" s="3">
        <v>2203738</v>
      </c>
      <c r="AU12" s="3">
        <v>43.44</v>
      </c>
      <c r="AV12" s="3">
        <v>43.67</v>
      </c>
      <c r="AW12" s="3">
        <v>43.28</v>
      </c>
      <c r="AX12" s="3">
        <v>43.44</v>
      </c>
      <c r="AY12" s="3">
        <v>11010945</v>
      </c>
      <c r="AZ12" s="3">
        <v>44.59</v>
      </c>
      <c r="BA12" s="3">
        <v>44.98</v>
      </c>
      <c r="BB12" s="3">
        <v>44.49</v>
      </c>
      <c r="BC12" s="3">
        <v>44.66</v>
      </c>
      <c r="BD12" s="3">
        <v>9068664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</row>
    <row r="13" spans="1:61" ht="15.75" customHeight="1" x14ac:dyDescent="0.15">
      <c r="A13" s="3">
        <v>42145</v>
      </c>
      <c r="B13" s="3">
        <v>2125.5500000000002</v>
      </c>
      <c r="C13" s="3">
        <v>2134.2800000000002</v>
      </c>
      <c r="D13" s="3">
        <v>2122.9499999999998</v>
      </c>
      <c r="E13" s="3">
        <v>2130.8200000000002</v>
      </c>
      <c r="F13" s="3">
        <v>468557139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3">
        <v>76.599999999999994</v>
      </c>
      <c r="M13" s="3">
        <v>77.239999999999995</v>
      </c>
      <c r="N13" s="3">
        <v>76.599999999999994</v>
      </c>
      <c r="O13" s="3">
        <v>77.069999999999993</v>
      </c>
      <c r="P13" s="3">
        <v>2930361</v>
      </c>
      <c r="Q13" s="3">
        <v>49.36</v>
      </c>
      <c r="R13" s="3">
        <v>49.52</v>
      </c>
      <c r="S13" s="3">
        <v>49.19</v>
      </c>
      <c r="T13" s="3">
        <v>49.46</v>
      </c>
      <c r="U13" s="3">
        <v>4313587</v>
      </c>
      <c r="V13" s="3">
        <v>80.19</v>
      </c>
      <c r="W13" s="3">
        <v>80.61</v>
      </c>
      <c r="X13" s="3">
        <v>79.900000000000006</v>
      </c>
      <c r="Y13" s="3">
        <v>80.489999999999995</v>
      </c>
      <c r="Z13" s="3">
        <v>10087322</v>
      </c>
      <c r="AA13" s="3">
        <v>20.190000000000001</v>
      </c>
      <c r="AB13" s="3">
        <v>20.23</v>
      </c>
      <c r="AC13" s="3">
        <v>20.16</v>
      </c>
      <c r="AD13" s="3">
        <v>20.18</v>
      </c>
      <c r="AE13" s="3">
        <v>18823828</v>
      </c>
      <c r="AF13" s="3">
        <v>75.13</v>
      </c>
      <c r="AG13" s="3">
        <v>75.239999999999995</v>
      </c>
      <c r="AH13" s="3">
        <v>74.88</v>
      </c>
      <c r="AI13" s="3">
        <v>75.16</v>
      </c>
      <c r="AJ13" s="3">
        <v>4537941</v>
      </c>
      <c r="AK13" s="3">
        <v>56.78</v>
      </c>
      <c r="AL13" s="3">
        <v>57.28</v>
      </c>
      <c r="AM13" s="3">
        <v>56.78</v>
      </c>
      <c r="AN13" s="3">
        <v>57.16</v>
      </c>
      <c r="AO13" s="3">
        <v>6276681</v>
      </c>
      <c r="AP13" s="3">
        <v>51.02</v>
      </c>
      <c r="AQ13" s="3">
        <v>51.29</v>
      </c>
      <c r="AR13" s="3">
        <v>50.87</v>
      </c>
      <c r="AS13" s="3">
        <v>51.18</v>
      </c>
      <c r="AT13" s="3">
        <v>1909403</v>
      </c>
      <c r="AU13" s="3">
        <v>43.38</v>
      </c>
      <c r="AV13" s="3">
        <v>43.68</v>
      </c>
      <c r="AW13" s="3">
        <v>43.33</v>
      </c>
      <c r="AX13" s="3">
        <v>43.63</v>
      </c>
      <c r="AY13" s="3">
        <v>3713121</v>
      </c>
      <c r="AZ13" s="3">
        <v>44.77</v>
      </c>
      <c r="BA13" s="3">
        <v>44.82</v>
      </c>
      <c r="BB13" s="3">
        <v>44.43</v>
      </c>
      <c r="BC13" s="3">
        <v>44.64</v>
      </c>
      <c r="BD13" s="3">
        <v>8062554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</row>
    <row r="14" spans="1:61" ht="15.75" customHeight="1" x14ac:dyDescent="0.15">
      <c r="A14" s="3">
        <v>42146</v>
      </c>
      <c r="B14" s="3">
        <v>2130.36</v>
      </c>
      <c r="C14" s="3">
        <v>2132.15</v>
      </c>
      <c r="D14" s="3">
        <v>2126.06</v>
      </c>
      <c r="E14" s="3">
        <v>2126.06</v>
      </c>
      <c r="F14" s="3">
        <v>423419513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77.06</v>
      </c>
      <c r="M14" s="3">
        <v>77.23</v>
      </c>
      <c r="N14" s="3">
        <v>76.81</v>
      </c>
      <c r="O14" s="3">
        <v>76.94</v>
      </c>
      <c r="P14" s="3">
        <v>2963763</v>
      </c>
      <c r="Q14" s="3">
        <v>49.23</v>
      </c>
      <c r="R14" s="3">
        <v>49.4</v>
      </c>
      <c r="S14" s="3">
        <v>49.22</v>
      </c>
      <c r="T14" s="3">
        <v>49.25</v>
      </c>
      <c r="U14" s="3">
        <v>5336919</v>
      </c>
      <c r="V14" s="3">
        <v>79.94</v>
      </c>
      <c r="W14" s="3">
        <v>80.56</v>
      </c>
      <c r="X14" s="3">
        <v>79.790000000000006</v>
      </c>
      <c r="Y14" s="3">
        <v>80.2</v>
      </c>
      <c r="Z14" s="3">
        <v>6360710</v>
      </c>
      <c r="AA14" s="3">
        <v>20.14</v>
      </c>
      <c r="AB14" s="3">
        <v>20.239999999999998</v>
      </c>
      <c r="AC14" s="3">
        <v>20.14</v>
      </c>
      <c r="AD14" s="3">
        <v>20.190000000000001</v>
      </c>
      <c r="AE14" s="3">
        <v>13185958</v>
      </c>
      <c r="AF14" s="3">
        <v>75.03</v>
      </c>
      <c r="AG14" s="3">
        <v>75.34</v>
      </c>
      <c r="AH14" s="3">
        <v>74.92</v>
      </c>
      <c r="AI14" s="3">
        <v>74.98</v>
      </c>
      <c r="AJ14" s="3">
        <v>4612315</v>
      </c>
      <c r="AK14" s="3">
        <v>57.13</v>
      </c>
      <c r="AL14" s="3">
        <v>57.19</v>
      </c>
      <c r="AM14" s="3">
        <v>56.88</v>
      </c>
      <c r="AN14" s="3">
        <v>56.9</v>
      </c>
      <c r="AO14" s="3">
        <v>5835258</v>
      </c>
      <c r="AP14" s="3">
        <v>51.15</v>
      </c>
      <c r="AQ14" s="3">
        <v>51.22</v>
      </c>
      <c r="AR14" s="3">
        <v>51.03</v>
      </c>
      <c r="AS14" s="3">
        <v>51.12</v>
      </c>
      <c r="AT14" s="3">
        <v>1754534</v>
      </c>
      <c r="AU14" s="3">
        <v>43.49</v>
      </c>
      <c r="AV14" s="3">
        <v>43.71</v>
      </c>
      <c r="AW14" s="3">
        <v>43.49</v>
      </c>
      <c r="AX14" s="3">
        <v>43.6</v>
      </c>
      <c r="AY14" s="3">
        <v>3968539</v>
      </c>
      <c r="AZ14" s="3">
        <v>44.48</v>
      </c>
      <c r="BA14" s="3">
        <v>44.7</v>
      </c>
      <c r="BB14" s="3">
        <v>44.29</v>
      </c>
      <c r="BC14" s="3">
        <v>44.57</v>
      </c>
      <c r="BD14" s="3">
        <v>8923864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</row>
    <row r="15" spans="1:61" ht="15.75" customHeight="1" x14ac:dyDescent="0.15">
      <c r="A15" s="3">
        <v>42150</v>
      </c>
      <c r="B15" s="3">
        <v>2125.34</v>
      </c>
      <c r="C15" s="3">
        <v>2125.34</v>
      </c>
      <c r="D15" s="3">
        <v>2099.1799999999998</v>
      </c>
      <c r="E15" s="3">
        <v>2104.1999999999998</v>
      </c>
      <c r="F15" s="3">
        <v>557833108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76.88</v>
      </c>
      <c r="M15" s="3">
        <v>77.11</v>
      </c>
      <c r="N15" s="3">
        <v>76.27</v>
      </c>
      <c r="O15" s="3">
        <v>76.39</v>
      </c>
      <c r="P15" s="3">
        <v>5336010</v>
      </c>
      <c r="Q15" s="3">
        <v>49.19</v>
      </c>
      <c r="R15" s="3">
        <v>49.21</v>
      </c>
      <c r="S15" s="3">
        <v>48.76</v>
      </c>
      <c r="T15" s="3">
        <v>48.86</v>
      </c>
      <c r="U15" s="3">
        <v>8790115</v>
      </c>
      <c r="V15" s="3">
        <v>79.55</v>
      </c>
      <c r="W15" s="3">
        <v>79.72</v>
      </c>
      <c r="X15" s="3">
        <v>78.63</v>
      </c>
      <c r="Y15" s="3">
        <v>78.930000000000007</v>
      </c>
      <c r="Z15" s="3">
        <v>13183580</v>
      </c>
      <c r="AA15" s="3">
        <v>20.16</v>
      </c>
      <c r="AB15" s="3">
        <v>20.16</v>
      </c>
      <c r="AC15" s="3">
        <v>19.940000000000001</v>
      </c>
      <c r="AD15" s="3">
        <v>19.96</v>
      </c>
      <c r="AE15" s="3">
        <v>44542814</v>
      </c>
      <c r="AF15" s="3">
        <v>74.75</v>
      </c>
      <c r="AG15" s="3">
        <v>74.83</v>
      </c>
      <c r="AH15" s="3">
        <v>74.069999999999993</v>
      </c>
      <c r="AI15" s="3">
        <v>74.22</v>
      </c>
      <c r="AJ15" s="3">
        <v>9533833</v>
      </c>
      <c r="AK15" s="3">
        <v>56.81</v>
      </c>
      <c r="AL15" s="3">
        <v>56.81</v>
      </c>
      <c r="AM15" s="3">
        <v>56.14</v>
      </c>
      <c r="AN15" s="3">
        <v>56.28</v>
      </c>
      <c r="AO15" s="3">
        <v>7889870</v>
      </c>
      <c r="AP15" s="3">
        <v>50.86</v>
      </c>
      <c r="AQ15" s="3">
        <v>50.87</v>
      </c>
      <c r="AR15" s="3">
        <v>50.29</v>
      </c>
      <c r="AS15" s="3">
        <v>50.48</v>
      </c>
      <c r="AT15" s="3">
        <v>3787583</v>
      </c>
      <c r="AU15" s="3">
        <v>43.47</v>
      </c>
      <c r="AV15" s="3">
        <v>43.5</v>
      </c>
      <c r="AW15" s="3">
        <v>42.84</v>
      </c>
      <c r="AX15" s="3">
        <v>42.97</v>
      </c>
      <c r="AY15" s="3">
        <v>7924384</v>
      </c>
      <c r="AZ15" s="3">
        <v>44.5</v>
      </c>
      <c r="BA15" s="3">
        <v>44.55</v>
      </c>
      <c r="BB15" s="3">
        <v>44</v>
      </c>
      <c r="BC15" s="3">
        <v>44.29</v>
      </c>
      <c r="BD15" s="3">
        <v>10563852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</row>
    <row r="16" spans="1:61" ht="15.75" customHeight="1" x14ac:dyDescent="0.15">
      <c r="A16" s="3">
        <v>42151</v>
      </c>
      <c r="B16" s="3">
        <v>2105.13</v>
      </c>
      <c r="C16" s="3">
        <v>2126.2199999999998</v>
      </c>
      <c r="D16" s="3">
        <v>2105.13</v>
      </c>
      <c r="E16" s="3">
        <v>2123.48</v>
      </c>
      <c r="F16" s="3">
        <v>511248450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3">
        <v>76.540000000000006</v>
      </c>
      <c r="M16" s="3">
        <v>77.06</v>
      </c>
      <c r="N16" s="3">
        <v>76.38</v>
      </c>
      <c r="O16" s="3">
        <v>76.959999999999994</v>
      </c>
      <c r="P16" s="3">
        <v>3627679</v>
      </c>
      <c r="Q16" s="3">
        <v>48.96</v>
      </c>
      <c r="R16" s="3">
        <v>49.25</v>
      </c>
      <c r="S16" s="3">
        <v>48.92</v>
      </c>
      <c r="T16" s="3">
        <v>49.17</v>
      </c>
      <c r="U16" s="3">
        <v>7599854</v>
      </c>
      <c r="V16" s="3">
        <v>78.88</v>
      </c>
      <c r="W16" s="3">
        <v>79.52</v>
      </c>
      <c r="X16" s="3">
        <v>78.36</v>
      </c>
      <c r="Y16" s="3">
        <v>78.790000000000006</v>
      </c>
      <c r="Z16" s="3">
        <v>11374967</v>
      </c>
      <c r="AA16" s="3">
        <v>20.02</v>
      </c>
      <c r="AB16" s="3">
        <v>20.2</v>
      </c>
      <c r="AC16" s="3">
        <v>19.989999999999998</v>
      </c>
      <c r="AD16" s="3">
        <v>20.18</v>
      </c>
      <c r="AE16" s="3">
        <v>25811031</v>
      </c>
      <c r="AF16" s="3">
        <v>74.48</v>
      </c>
      <c r="AG16" s="3">
        <v>75.16</v>
      </c>
      <c r="AH16" s="3">
        <v>74.28</v>
      </c>
      <c r="AI16" s="3">
        <v>75.08</v>
      </c>
      <c r="AJ16" s="3">
        <v>13043718</v>
      </c>
      <c r="AK16" s="3">
        <v>56.47</v>
      </c>
      <c r="AL16" s="3">
        <v>56.71</v>
      </c>
      <c r="AM16" s="3">
        <v>56.29</v>
      </c>
      <c r="AN16" s="3">
        <v>56.64</v>
      </c>
      <c r="AO16" s="3">
        <v>5498942</v>
      </c>
      <c r="AP16" s="3">
        <v>50.48</v>
      </c>
      <c r="AQ16" s="3">
        <v>50.89</v>
      </c>
      <c r="AR16" s="3">
        <v>50.42</v>
      </c>
      <c r="AS16" s="3">
        <v>50.81</v>
      </c>
      <c r="AT16" s="3">
        <v>2792950</v>
      </c>
      <c r="AU16" s="3">
        <v>43.13</v>
      </c>
      <c r="AV16" s="3">
        <v>43.81</v>
      </c>
      <c r="AW16" s="3">
        <v>43.1</v>
      </c>
      <c r="AX16" s="3">
        <v>43.78</v>
      </c>
      <c r="AY16" s="3">
        <v>12587062</v>
      </c>
      <c r="AZ16" s="3">
        <v>44.33</v>
      </c>
      <c r="BA16" s="3">
        <v>44.55</v>
      </c>
      <c r="BB16" s="3">
        <v>44.24</v>
      </c>
      <c r="BC16" s="3">
        <v>44.47</v>
      </c>
      <c r="BD16" s="3">
        <v>7637755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</row>
    <row r="17" spans="1:61" ht="15.75" customHeight="1" x14ac:dyDescent="0.15">
      <c r="A17" s="3">
        <v>42152</v>
      </c>
      <c r="B17" s="3">
        <v>2122.27</v>
      </c>
      <c r="C17" s="3">
        <v>2122.27</v>
      </c>
      <c r="D17" s="3">
        <v>2112.86</v>
      </c>
      <c r="E17" s="3">
        <v>2120.79</v>
      </c>
      <c r="F17" s="3">
        <v>434135669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3">
        <v>76.83</v>
      </c>
      <c r="M17" s="3">
        <v>76.989999999999995</v>
      </c>
      <c r="N17" s="3">
        <v>76.63</v>
      </c>
      <c r="O17" s="3">
        <v>76.83</v>
      </c>
      <c r="P17" s="3">
        <v>3254159</v>
      </c>
      <c r="Q17" s="3">
        <v>49.12</v>
      </c>
      <c r="R17" s="3">
        <v>49.17</v>
      </c>
      <c r="S17" s="3">
        <v>48.89</v>
      </c>
      <c r="T17" s="3">
        <v>49.1</v>
      </c>
      <c r="U17" s="3">
        <v>5741289</v>
      </c>
      <c r="V17" s="3">
        <v>78.52</v>
      </c>
      <c r="W17" s="3">
        <v>78.62</v>
      </c>
      <c r="X17" s="3">
        <v>77.98</v>
      </c>
      <c r="Y17" s="3">
        <v>78.48</v>
      </c>
      <c r="Z17" s="3">
        <v>12164179</v>
      </c>
      <c r="AA17" s="3">
        <v>20.13</v>
      </c>
      <c r="AB17" s="3">
        <v>20.170000000000002</v>
      </c>
      <c r="AC17" s="3">
        <v>20.03</v>
      </c>
      <c r="AD17" s="3">
        <v>20.16</v>
      </c>
      <c r="AE17" s="3">
        <v>17790870</v>
      </c>
      <c r="AF17" s="3">
        <v>75.069999999999993</v>
      </c>
      <c r="AG17" s="3">
        <v>75.34</v>
      </c>
      <c r="AH17" s="3">
        <v>74.77</v>
      </c>
      <c r="AI17" s="3">
        <v>75.13</v>
      </c>
      <c r="AJ17" s="3">
        <v>5766396</v>
      </c>
      <c r="AK17" s="3">
        <v>56.5</v>
      </c>
      <c r="AL17" s="3">
        <v>56.54</v>
      </c>
      <c r="AM17" s="3">
        <v>56.16</v>
      </c>
      <c r="AN17" s="3">
        <v>56.37</v>
      </c>
      <c r="AO17" s="3">
        <v>5775316</v>
      </c>
      <c r="AP17" s="3">
        <v>50.73</v>
      </c>
      <c r="AQ17" s="3">
        <v>50.97</v>
      </c>
      <c r="AR17" s="3">
        <v>50.63</v>
      </c>
      <c r="AS17" s="3">
        <v>50.94</v>
      </c>
      <c r="AT17" s="3">
        <v>1742063</v>
      </c>
      <c r="AU17" s="3">
        <v>43.64</v>
      </c>
      <c r="AV17" s="3">
        <v>43.77</v>
      </c>
      <c r="AW17" s="3">
        <v>43.56</v>
      </c>
      <c r="AX17" s="3">
        <v>43.69</v>
      </c>
      <c r="AY17" s="3">
        <v>4664843</v>
      </c>
      <c r="AZ17" s="3">
        <v>44.45</v>
      </c>
      <c r="BA17" s="3">
        <v>44.68</v>
      </c>
      <c r="BB17" s="3">
        <v>44.29</v>
      </c>
      <c r="BC17" s="3">
        <v>44.57</v>
      </c>
      <c r="BD17" s="3">
        <v>9986942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</row>
    <row r="18" spans="1:61" ht="15.75" customHeight="1" x14ac:dyDescent="0.15">
      <c r="A18" s="3">
        <v>42153</v>
      </c>
      <c r="B18" s="3">
        <v>2120.66</v>
      </c>
      <c r="C18" s="3">
        <v>2120.66</v>
      </c>
      <c r="D18" s="3">
        <v>2104.89</v>
      </c>
      <c r="E18" s="3">
        <v>2107.39</v>
      </c>
      <c r="F18" s="3">
        <v>760129761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">
        <v>76.61</v>
      </c>
      <c r="M18" s="3">
        <v>76.89</v>
      </c>
      <c r="N18" s="3">
        <v>76.19</v>
      </c>
      <c r="O18" s="3">
        <v>76.3</v>
      </c>
      <c r="P18" s="3">
        <v>6166504</v>
      </c>
      <c r="Q18" s="3">
        <v>49.02</v>
      </c>
      <c r="R18" s="3">
        <v>49.07</v>
      </c>
      <c r="S18" s="3">
        <v>48.7</v>
      </c>
      <c r="T18" s="3">
        <v>48.79</v>
      </c>
      <c r="U18" s="3">
        <v>6663595</v>
      </c>
      <c r="V18" s="3">
        <v>78.459999999999994</v>
      </c>
      <c r="W18" s="3">
        <v>78.89</v>
      </c>
      <c r="X18" s="3">
        <v>78.2</v>
      </c>
      <c r="Y18" s="3">
        <v>78.39</v>
      </c>
      <c r="Z18" s="3">
        <v>12978090</v>
      </c>
      <c r="AA18" s="3">
        <v>20.16</v>
      </c>
      <c r="AB18" s="3">
        <v>20.16</v>
      </c>
      <c r="AC18" s="3">
        <v>19.93</v>
      </c>
      <c r="AD18" s="3">
        <v>19.98</v>
      </c>
      <c r="AE18" s="3">
        <v>25606435</v>
      </c>
      <c r="AF18" s="3">
        <v>75.010000000000005</v>
      </c>
      <c r="AG18" s="3">
        <v>75.62</v>
      </c>
      <c r="AH18" s="3">
        <v>74.709999999999994</v>
      </c>
      <c r="AI18" s="3">
        <v>74.94</v>
      </c>
      <c r="AJ18" s="3">
        <v>9839177</v>
      </c>
      <c r="AK18" s="3">
        <v>56.32</v>
      </c>
      <c r="AL18" s="3">
        <v>56.34</v>
      </c>
      <c r="AM18" s="3">
        <v>55.7</v>
      </c>
      <c r="AN18" s="3">
        <v>55.81</v>
      </c>
      <c r="AO18" s="3">
        <v>11798984</v>
      </c>
      <c r="AP18" s="3">
        <v>50.92</v>
      </c>
      <c r="AQ18" s="3">
        <v>50.93</v>
      </c>
      <c r="AR18" s="3">
        <v>50.48</v>
      </c>
      <c r="AS18" s="3">
        <v>50.61</v>
      </c>
      <c r="AT18" s="3">
        <v>3251153</v>
      </c>
      <c r="AU18" s="3">
        <v>43.69</v>
      </c>
      <c r="AV18" s="3">
        <v>43.71</v>
      </c>
      <c r="AW18" s="3">
        <v>43.26</v>
      </c>
      <c r="AX18" s="3">
        <v>43.37</v>
      </c>
      <c r="AY18" s="3">
        <v>7738375</v>
      </c>
      <c r="AZ18" s="3">
        <v>44.48</v>
      </c>
      <c r="BA18" s="3">
        <v>44.7</v>
      </c>
      <c r="BB18" s="3">
        <v>44.33</v>
      </c>
      <c r="BC18" s="3">
        <v>44.5</v>
      </c>
      <c r="BD18" s="3">
        <v>9160483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</row>
    <row r="19" spans="1:61" ht="15.75" customHeight="1" x14ac:dyDescent="0.15">
      <c r="A19" s="3">
        <v>42156</v>
      </c>
      <c r="B19" s="3">
        <v>2108.64</v>
      </c>
      <c r="C19" s="3">
        <v>2119.15</v>
      </c>
      <c r="D19" s="3">
        <v>2102.54</v>
      </c>
      <c r="E19" s="3">
        <v>2111.73</v>
      </c>
      <c r="F19" s="3">
        <v>488083175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">
        <v>76.37</v>
      </c>
      <c r="M19" s="3">
        <v>76.790000000000006</v>
      </c>
      <c r="N19" s="3">
        <v>76.14</v>
      </c>
      <c r="O19" s="3">
        <v>76.52</v>
      </c>
      <c r="P19" s="3">
        <v>5547524</v>
      </c>
      <c r="Q19" s="3">
        <v>48.89</v>
      </c>
      <c r="R19" s="3">
        <v>48.99</v>
      </c>
      <c r="S19" s="3">
        <v>48.62</v>
      </c>
      <c r="T19" s="3">
        <v>48.79</v>
      </c>
      <c r="U19" s="3">
        <v>5992277</v>
      </c>
      <c r="V19" s="3">
        <v>78.59</v>
      </c>
      <c r="W19" s="3">
        <v>78.599999999999994</v>
      </c>
      <c r="X19" s="3">
        <v>78.09</v>
      </c>
      <c r="Y19" s="3">
        <v>78.19</v>
      </c>
      <c r="Z19" s="3">
        <v>8487184</v>
      </c>
      <c r="AA19" s="3">
        <v>20.079999999999998</v>
      </c>
      <c r="AB19" s="3">
        <v>20.11</v>
      </c>
      <c r="AC19" s="3">
        <v>19.940000000000001</v>
      </c>
      <c r="AD19" s="3">
        <v>19.989999999999998</v>
      </c>
      <c r="AE19" s="3">
        <v>18734545</v>
      </c>
      <c r="AF19" s="3">
        <v>75.37</v>
      </c>
      <c r="AG19" s="3">
        <v>75.53</v>
      </c>
      <c r="AH19" s="3">
        <v>74.739999999999995</v>
      </c>
      <c r="AI19" s="3">
        <v>75.239999999999995</v>
      </c>
      <c r="AJ19" s="3">
        <v>7466723</v>
      </c>
      <c r="AK19" s="3">
        <v>55.99</v>
      </c>
      <c r="AL19" s="3">
        <v>56.25</v>
      </c>
      <c r="AM19" s="3">
        <v>55.67</v>
      </c>
      <c r="AN19" s="3">
        <v>56.06</v>
      </c>
      <c r="AO19" s="3">
        <v>8712908</v>
      </c>
      <c r="AP19" s="3">
        <v>50.73</v>
      </c>
      <c r="AQ19" s="3">
        <v>50.77</v>
      </c>
      <c r="AR19" s="3">
        <v>50.28</v>
      </c>
      <c r="AS19" s="3">
        <v>50.63</v>
      </c>
      <c r="AT19" s="3">
        <v>4367948</v>
      </c>
      <c r="AU19" s="3">
        <v>43.62</v>
      </c>
      <c r="AV19" s="3">
        <v>43.64</v>
      </c>
      <c r="AW19" s="3">
        <v>43.22</v>
      </c>
      <c r="AX19" s="3">
        <v>43.49</v>
      </c>
      <c r="AY19" s="3">
        <v>6936313</v>
      </c>
      <c r="AZ19" s="3">
        <v>44.62</v>
      </c>
      <c r="BA19" s="3">
        <v>44.83</v>
      </c>
      <c r="BB19" s="3">
        <v>44.42</v>
      </c>
      <c r="BC19" s="3">
        <v>44.56</v>
      </c>
      <c r="BD19" s="3">
        <v>8839059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</row>
    <row r="20" spans="1:61" ht="15.75" customHeight="1" x14ac:dyDescent="0.15">
      <c r="A20" s="3">
        <v>42157</v>
      </c>
      <c r="B20" s="3">
        <v>2110.41</v>
      </c>
      <c r="C20" s="3">
        <v>2117.59</v>
      </c>
      <c r="D20" s="3">
        <v>2099.14</v>
      </c>
      <c r="E20" s="3">
        <v>2109.6</v>
      </c>
      <c r="F20" s="3">
        <v>471166195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3">
        <v>76.349999999999994</v>
      </c>
      <c r="M20" s="3">
        <v>77.06</v>
      </c>
      <c r="N20" s="3">
        <v>76.25</v>
      </c>
      <c r="O20" s="3">
        <v>76.69</v>
      </c>
      <c r="P20" s="3">
        <v>7130786</v>
      </c>
      <c r="Q20" s="3">
        <v>48.65</v>
      </c>
      <c r="R20" s="3">
        <v>48.77</v>
      </c>
      <c r="S20" s="3">
        <v>48.42</v>
      </c>
      <c r="T20" s="3">
        <v>48.66</v>
      </c>
      <c r="U20" s="3">
        <v>4998166</v>
      </c>
      <c r="V20" s="3">
        <v>78.430000000000007</v>
      </c>
      <c r="W20" s="3">
        <v>79.11</v>
      </c>
      <c r="X20" s="3">
        <v>78.010000000000005</v>
      </c>
      <c r="Y20" s="3">
        <v>78.73</v>
      </c>
      <c r="Z20" s="3">
        <v>10183010</v>
      </c>
      <c r="AA20" s="3">
        <v>19.98</v>
      </c>
      <c r="AB20" s="3">
        <v>20.100000000000001</v>
      </c>
      <c r="AC20" s="3">
        <v>19.899999999999999</v>
      </c>
      <c r="AD20" s="3">
        <v>20.03</v>
      </c>
      <c r="AE20" s="3">
        <v>21467845</v>
      </c>
      <c r="AF20" s="3">
        <v>75</v>
      </c>
      <c r="AG20" s="3">
        <v>75.09</v>
      </c>
      <c r="AH20" s="3">
        <v>74.459999999999994</v>
      </c>
      <c r="AI20" s="3">
        <v>74.75</v>
      </c>
      <c r="AJ20" s="3">
        <v>5722417</v>
      </c>
      <c r="AK20" s="3">
        <v>55.87</v>
      </c>
      <c r="AL20" s="3">
        <v>56.41</v>
      </c>
      <c r="AM20" s="3">
        <v>55.73</v>
      </c>
      <c r="AN20" s="3">
        <v>56.17</v>
      </c>
      <c r="AO20" s="3">
        <v>6126842</v>
      </c>
      <c r="AP20" s="3">
        <v>50.56</v>
      </c>
      <c r="AQ20" s="3">
        <v>51.02</v>
      </c>
      <c r="AR20" s="3">
        <v>50.45</v>
      </c>
      <c r="AS20" s="3">
        <v>50.79</v>
      </c>
      <c r="AT20" s="3">
        <v>3655845</v>
      </c>
      <c r="AU20" s="3">
        <v>43.33</v>
      </c>
      <c r="AV20" s="3">
        <v>43.6</v>
      </c>
      <c r="AW20" s="3">
        <v>43.12</v>
      </c>
      <c r="AX20" s="3">
        <v>43.4</v>
      </c>
      <c r="AY20" s="3">
        <v>5637768</v>
      </c>
      <c r="AZ20" s="3">
        <v>44.32</v>
      </c>
      <c r="BA20" s="3">
        <v>44.36</v>
      </c>
      <c r="BB20" s="3">
        <v>43.66</v>
      </c>
      <c r="BC20" s="3">
        <v>43.97</v>
      </c>
      <c r="BD20" s="3">
        <v>12151348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</row>
    <row r="21" spans="1:61" ht="15.75" customHeight="1" x14ac:dyDescent="0.15">
      <c r="A21" s="3">
        <v>42158</v>
      </c>
      <c r="B21" s="3">
        <v>2110.64</v>
      </c>
      <c r="C21" s="3">
        <v>2121.92</v>
      </c>
      <c r="D21" s="3">
        <v>2109.61</v>
      </c>
      <c r="E21" s="3">
        <v>2114.0700000000002</v>
      </c>
      <c r="F21" s="3">
        <v>464527279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76.900000000000006</v>
      </c>
      <c r="M21" s="3">
        <v>77.400000000000006</v>
      </c>
      <c r="N21" s="3">
        <v>76.7</v>
      </c>
      <c r="O21" s="3">
        <v>77.290000000000006</v>
      </c>
      <c r="P21" s="3">
        <v>4398015</v>
      </c>
      <c r="Q21" s="3">
        <v>48.72</v>
      </c>
      <c r="R21" s="3">
        <v>48.86</v>
      </c>
      <c r="S21" s="3">
        <v>48.56</v>
      </c>
      <c r="T21" s="3">
        <v>48.63</v>
      </c>
      <c r="U21" s="3">
        <v>5892661</v>
      </c>
      <c r="V21" s="3">
        <v>78.489999999999995</v>
      </c>
      <c r="W21" s="3">
        <v>79.069999999999993</v>
      </c>
      <c r="X21" s="3">
        <v>78.08</v>
      </c>
      <c r="Y21" s="3">
        <v>78.19</v>
      </c>
      <c r="Z21" s="3">
        <v>8640272</v>
      </c>
      <c r="AA21" s="3">
        <v>20.100000000000001</v>
      </c>
      <c r="AB21" s="3">
        <v>20.25</v>
      </c>
      <c r="AC21" s="3">
        <v>20.059999999999999</v>
      </c>
      <c r="AD21" s="3">
        <v>20.2</v>
      </c>
      <c r="AE21" s="3">
        <v>33223803</v>
      </c>
      <c r="AF21" s="3">
        <v>75</v>
      </c>
      <c r="AG21" s="3">
        <v>75.069999999999993</v>
      </c>
      <c r="AH21" s="3">
        <v>74.680000000000007</v>
      </c>
      <c r="AI21" s="3">
        <v>74.89</v>
      </c>
      <c r="AJ21" s="3">
        <v>5357958</v>
      </c>
      <c r="AK21" s="3">
        <v>56.31</v>
      </c>
      <c r="AL21" s="3">
        <v>56.64</v>
      </c>
      <c r="AM21" s="3">
        <v>56.13</v>
      </c>
      <c r="AN21" s="3">
        <v>56.45</v>
      </c>
      <c r="AO21" s="3">
        <v>7916980</v>
      </c>
      <c r="AP21" s="3">
        <v>50.96</v>
      </c>
      <c r="AQ21" s="3">
        <v>51.15</v>
      </c>
      <c r="AR21" s="3">
        <v>50.75</v>
      </c>
      <c r="AS21" s="3">
        <v>50.84</v>
      </c>
      <c r="AT21" s="3">
        <v>2630240</v>
      </c>
      <c r="AU21" s="3">
        <v>43.47</v>
      </c>
      <c r="AV21" s="3">
        <v>43.73</v>
      </c>
      <c r="AW21" s="3">
        <v>43.41</v>
      </c>
      <c r="AX21" s="3">
        <v>43.49</v>
      </c>
      <c r="AY21" s="3">
        <v>5657318</v>
      </c>
      <c r="AZ21" s="3">
        <v>43.8</v>
      </c>
      <c r="BA21" s="3">
        <v>43.98</v>
      </c>
      <c r="BB21" s="3">
        <v>43.08</v>
      </c>
      <c r="BC21" s="3">
        <v>43.32</v>
      </c>
      <c r="BD21" s="3">
        <v>23362547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</row>
    <row r="22" spans="1:61" ht="15.75" customHeight="1" x14ac:dyDescent="0.15">
      <c r="A22" s="3">
        <v>42159</v>
      </c>
      <c r="B22" s="3">
        <v>2112.35</v>
      </c>
      <c r="C22" s="3">
        <v>2112.89</v>
      </c>
      <c r="D22" s="3">
        <v>2093.23</v>
      </c>
      <c r="E22" s="3">
        <v>2095.84</v>
      </c>
      <c r="F22" s="3">
        <v>521557720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3">
        <v>77.11</v>
      </c>
      <c r="M22" s="3">
        <v>77.27</v>
      </c>
      <c r="N22" s="3">
        <v>76.61</v>
      </c>
      <c r="O22" s="3">
        <v>76.739999999999995</v>
      </c>
      <c r="P22" s="3">
        <v>5660486</v>
      </c>
      <c r="Q22" s="3">
        <v>48.54</v>
      </c>
      <c r="R22" s="3">
        <v>48.66</v>
      </c>
      <c r="S22" s="3">
        <v>48.18</v>
      </c>
      <c r="T22" s="3">
        <v>48.28</v>
      </c>
      <c r="U22" s="3">
        <v>7084781</v>
      </c>
      <c r="V22" s="3">
        <v>77.78</v>
      </c>
      <c r="W22" s="3">
        <v>77.930000000000007</v>
      </c>
      <c r="X22" s="3">
        <v>77.069999999999993</v>
      </c>
      <c r="Y22" s="3">
        <v>77.13</v>
      </c>
      <c r="Z22" s="3">
        <v>15946084</v>
      </c>
      <c r="AA22" s="3">
        <v>20.14</v>
      </c>
      <c r="AB22" s="3">
        <v>20.18</v>
      </c>
      <c r="AC22" s="3">
        <v>19.98</v>
      </c>
      <c r="AD22" s="3">
        <v>20.02</v>
      </c>
      <c r="AE22" s="3">
        <v>30439739</v>
      </c>
      <c r="AF22" s="3">
        <v>74.61</v>
      </c>
      <c r="AG22" s="3">
        <v>74.91</v>
      </c>
      <c r="AH22" s="3">
        <v>74.11</v>
      </c>
      <c r="AI22" s="3">
        <v>74.37</v>
      </c>
      <c r="AJ22" s="3">
        <v>6479514</v>
      </c>
      <c r="AK22" s="3">
        <v>56.16</v>
      </c>
      <c r="AL22" s="3">
        <v>56.33</v>
      </c>
      <c r="AM22" s="3">
        <v>55.73</v>
      </c>
      <c r="AN22" s="3">
        <v>55.82</v>
      </c>
      <c r="AO22" s="3">
        <v>10183350</v>
      </c>
      <c r="AP22" s="3">
        <v>50.54</v>
      </c>
      <c r="AQ22" s="3">
        <v>50.54</v>
      </c>
      <c r="AR22" s="3">
        <v>50</v>
      </c>
      <c r="AS22" s="3">
        <v>50.24</v>
      </c>
      <c r="AT22" s="3">
        <v>3772663</v>
      </c>
      <c r="AU22" s="3">
        <v>43.25</v>
      </c>
      <c r="AV22" s="3">
        <v>43.5</v>
      </c>
      <c r="AW22" s="3">
        <v>42.99</v>
      </c>
      <c r="AX22" s="3">
        <v>43.09</v>
      </c>
      <c r="AY22" s="3">
        <v>8347252</v>
      </c>
      <c r="AZ22" s="3">
        <v>43.37</v>
      </c>
      <c r="BA22" s="3">
        <v>43.56</v>
      </c>
      <c r="BB22" s="3">
        <v>43.18</v>
      </c>
      <c r="BC22" s="3">
        <v>43.26</v>
      </c>
      <c r="BD22" s="3">
        <v>13300890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</row>
    <row r="23" spans="1:61" ht="15.75" customHeight="1" x14ac:dyDescent="0.15">
      <c r="A23" s="3">
        <v>42160</v>
      </c>
      <c r="B23" s="3">
        <v>2095.09</v>
      </c>
      <c r="C23" s="3">
        <v>2100.9899999999998</v>
      </c>
      <c r="D23" s="3">
        <v>2085.67</v>
      </c>
      <c r="E23" s="3">
        <v>2092.83</v>
      </c>
      <c r="F23" s="3">
        <v>559311850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3">
        <v>76.52</v>
      </c>
      <c r="M23" s="3">
        <v>76.7</v>
      </c>
      <c r="N23" s="3">
        <v>76.16</v>
      </c>
      <c r="O23" s="3">
        <v>76.52</v>
      </c>
      <c r="P23" s="3">
        <v>3512996</v>
      </c>
      <c r="Q23" s="3">
        <v>48.15</v>
      </c>
      <c r="R23" s="3">
        <v>48.27</v>
      </c>
      <c r="S23" s="3">
        <v>47.56</v>
      </c>
      <c r="T23" s="3">
        <v>47.59</v>
      </c>
      <c r="U23" s="3">
        <v>9482272</v>
      </c>
      <c r="V23" s="3">
        <v>76.78</v>
      </c>
      <c r="W23" s="3">
        <v>78.36</v>
      </c>
      <c r="X23" s="3">
        <v>76.75</v>
      </c>
      <c r="Y23" s="3">
        <v>77.67</v>
      </c>
      <c r="Z23" s="3">
        <v>18956004</v>
      </c>
      <c r="AA23" s="3">
        <v>20.16</v>
      </c>
      <c r="AB23" s="3">
        <v>20.260000000000002</v>
      </c>
      <c r="AC23" s="3">
        <v>20.07</v>
      </c>
      <c r="AD23" s="3">
        <v>20.13</v>
      </c>
      <c r="AE23" s="3">
        <v>42569389</v>
      </c>
      <c r="AF23" s="3">
        <v>74.27</v>
      </c>
      <c r="AG23" s="3">
        <v>74.39</v>
      </c>
      <c r="AH23" s="3">
        <v>73.739999999999995</v>
      </c>
      <c r="AI23" s="3">
        <v>74.34</v>
      </c>
      <c r="AJ23" s="3">
        <v>7772234</v>
      </c>
      <c r="AK23" s="3">
        <v>55.71</v>
      </c>
      <c r="AL23" s="3">
        <v>55.93</v>
      </c>
      <c r="AM23" s="3">
        <v>55.5</v>
      </c>
      <c r="AN23" s="3">
        <v>55.86</v>
      </c>
      <c r="AO23" s="3">
        <v>9071843</v>
      </c>
      <c r="AP23" s="3">
        <v>50.07</v>
      </c>
      <c r="AQ23" s="3">
        <v>50.25</v>
      </c>
      <c r="AR23" s="3">
        <v>49.8</v>
      </c>
      <c r="AS23" s="3">
        <v>50.01</v>
      </c>
      <c r="AT23" s="3">
        <v>2962205</v>
      </c>
      <c r="AU23" s="3">
        <v>43.04</v>
      </c>
      <c r="AV23" s="3">
        <v>43.13</v>
      </c>
      <c r="AW23" s="3">
        <v>42.76</v>
      </c>
      <c r="AX23" s="3">
        <v>42.95</v>
      </c>
      <c r="AY23" s="3">
        <v>7727487</v>
      </c>
      <c r="AZ23" s="3">
        <v>42.7</v>
      </c>
      <c r="BA23" s="3">
        <v>42.9</v>
      </c>
      <c r="BB23" s="3">
        <v>42.55</v>
      </c>
      <c r="BC23" s="3">
        <v>42.72</v>
      </c>
      <c r="BD23" s="3">
        <v>15918777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</row>
    <row r="24" spans="1:61" ht="15.75" customHeight="1" x14ac:dyDescent="0.15">
      <c r="A24" s="3">
        <v>42163</v>
      </c>
      <c r="B24" s="3">
        <v>2092.34</v>
      </c>
      <c r="C24" s="3">
        <v>2093.0100000000002</v>
      </c>
      <c r="D24" s="3">
        <v>2079.11</v>
      </c>
      <c r="E24" s="3">
        <v>2079.2800000000002</v>
      </c>
      <c r="F24" s="3">
        <v>488323296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">
        <v>76.430000000000007</v>
      </c>
      <c r="M24" s="3">
        <v>76.459999999999994</v>
      </c>
      <c r="N24" s="3">
        <v>75.959999999999994</v>
      </c>
      <c r="O24" s="3">
        <v>75.98</v>
      </c>
      <c r="P24" s="3">
        <v>3696421</v>
      </c>
      <c r="Q24" s="3">
        <v>47.56</v>
      </c>
      <c r="R24" s="3">
        <v>47.74</v>
      </c>
      <c r="S24" s="3">
        <v>47.46</v>
      </c>
      <c r="T24" s="3">
        <v>47.57</v>
      </c>
      <c r="U24" s="3">
        <v>10944033</v>
      </c>
      <c r="V24" s="3">
        <v>77.37</v>
      </c>
      <c r="W24" s="3">
        <v>77.819999999999993</v>
      </c>
      <c r="X24" s="3">
        <v>77.05</v>
      </c>
      <c r="Y24" s="3">
        <v>77.23</v>
      </c>
      <c r="Z24" s="3">
        <v>9707330</v>
      </c>
      <c r="AA24" s="3">
        <v>20.16</v>
      </c>
      <c r="AB24" s="3">
        <v>20.190000000000001</v>
      </c>
      <c r="AC24" s="3">
        <v>20</v>
      </c>
      <c r="AD24" s="3">
        <v>20.010000000000002</v>
      </c>
      <c r="AE24" s="3">
        <v>22966786</v>
      </c>
      <c r="AF24" s="3">
        <v>74.36</v>
      </c>
      <c r="AG24" s="3">
        <v>74.52</v>
      </c>
      <c r="AH24" s="3">
        <v>73.97</v>
      </c>
      <c r="AI24" s="3">
        <v>73.97</v>
      </c>
      <c r="AJ24" s="3">
        <v>6736570</v>
      </c>
      <c r="AK24" s="3">
        <v>55.77</v>
      </c>
      <c r="AL24" s="3">
        <v>55.86</v>
      </c>
      <c r="AM24" s="3">
        <v>55.44</v>
      </c>
      <c r="AN24" s="3">
        <v>55.45</v>
      </c>
      <c r="AO24" s="3">
        <v>6920477</v>
      </c>
      <c r="AP24" s="3">
        <v>50.01</v>
      </c>
      <c r="AQ24" s="3">
        <v>50.11</v>
      </c>
      <c r="AR24" s="3">
        <v>49.82</v>
      </c>
      <c r="AS24" s="3">
        <v>49.83</v>
      </c>
      <c r="AT24" s="3">
        <v>3924501</v>
      </c>
      <c r="AU24" s="3">
        <v>42.94</v>
      </c>
      <c r="AV24" s="3">
        <v>42.95</v>
      </c>
      <c r="AW24" s="3">
        <v>42.39</v>
      </c>
      <c r="AX24" s="3">
        <v>42.47</v>
      </c>
      <c r="AY24" s="3">
        <v>8379498</v>
      </c>
      <c r="AZ24" s="3">
        <v>42.76</v>
      </c>
      <c r="BA24" s="3">
        <v>42.76</v>
      </c>
      <c r="BB24" s="3">
        <v>42.44</v>
      </c>
      <c r="BC24" s="3">
        <v>42.47</v>
      </c>
      <c r="BD24" s="3">
        <v>7917693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</row>
    <row r="25" spans="1:61" ht="15.75" customHeight="1" x14ac:dyDescent="0.15">
      <c r="A25" s="3">
        <v>42164</v>
      </c>
      <c r="B25" s="3">
        <v>2079.0700000000002</v>
      </c>
      <c r="C25" s="3">
        <v>2085.62</v>
      </c>
      <c r="D25" s="3">
        <v>2072.14</v>
      </c>
      <c r="E25" s="3">
        <v>2080.15</v>
      </c>
      <c r="F25" s="3">
        <v>488823113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3">
        <v>76</v>
      </c>
      <c r="M25" s="3">
        <v>76.13</v>
      </c>
      <c r="N25" s="3">
        <v>75.44</v>
      </c>
      <c r="O25" s="3">
        <v>75.900000000000006</v>
      </c>
      <c r="P25" s="3">
        <v>4686139</v>
      </c>
      <c r="Q25" s="3">
        <v>47.63</v>
      </c>
      <c r="R25" s="3">
        <v>47.98</v>
      </c>
      <c r="S25" s="3">
        <v>47.55</v>
      </c>
      <c r="T25" s="3">
        <v>47.8</v>
      </c>
      <c r="U25" s="3">
        <v>7096711</v>
      </c>
      <c r="V25" s="3">
        <v>77.7</v>
      </c>
      <c r="W25" s="3">
        <v>78.19</v>
      </c>
      <c r="X25" s="3">
        <v>77.19</v>
      </c>
      <c r="Y25" s="3">
        <v>77.22</v>
      </c>
      <c r="Z25" s="3">
        <v>11033127</v>
      </c>
      <c r="AA25" s="3">
        <v>20.03</v>
      </c>
      <c r="AB25" s="3">
        <v>20.149999999999999</v>
      </c>
      <c r="AC25" s="3">
        <v>19.940000000000001</v>
      </c>
      <c r="AD25" s="3">
        <v>20.059999999999999</v>
      </c>
      <c r="AE25" s="3">
        <v>25315188</v>
      </c>
      <c r="AF25" s="3">
        <v>74.209999999999994</v>
      </c>
      <c r="AG25" s="3">
        <v>74.209999999999994</v>
      </c>
      <c r="AH25" s="3">
        <v>73.66</v>
      </c>
      <c r="AI25" s="3">
        <v>73.95</v>
      </c>
      <c r="AJ25" s="3">
        <v>8297533</v>
      </c>
      <c r="AK25" s="3">
        <v>55.39</v>
      </c>
      <c r="AL25" s="3">
        <v>55.68</v>
      </c>
      <c r="AM25" s="3">
        <v>55.3</v>
      </c>
      <c r="AN25" s="3">
        <v>55.44</v>
      </c>
      <c r="AO25" s="3">
        <v>5631723</v>
      </c>
      <c r="AP25" s="3">
        <v>49.8</v>
      </c>
      <c r="AQ25" s="3">
        <v>50.13</v>
      </c>
      <c r="AR25" s="3">
        <v>49.8</v>
      </c>
      <c r="AS25" s="3">
        <v>49.86</v>
      </c>
      <c r="AT25" s="3">
        <v>2608783</v>
      </c>
      <c r="AU25" s="3">
        <v>42.4</v>
      </c>
      <c r="AV25" s="3">
        <v>42.53</v>
      </c>
      <c r="AW25" s="3">
        <v>42.09</v>
      </c>
      <c r="AX25" s="3">
        <v>42.37</v>
      </c>
      <c r="AY25" s="3">
        <v>7706653</v>
      </c>
      <c r="AZ25" s="3">
        <v>42.4</v>
      </c>
      <c r="BA25" s="3">
        <v>42.63</v>
      </c>
      <c r="BB25" s="3">
        <v>42.37</v>
      </c>
      <c r="BC25" s="3">
        <v>42.37</v>
      </c>
      <c r="BD25" s="3">
        <v>10268423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</row>
    <row r="26" spans="1:61" ht="15.75" customHeight="1" x14ac:dyDescent="0.15">
      <c r="A26" s="3">
        <v>42165</v>
      </c>
      <c r="B26" s="3">
        <v>2081.12</v>
      </c>
      <c r="C26" s="3">
        <v>2108.5</v>
      </c>
      <c r="D26" s="3">
        <v>2081.12</v>
      </c>
      <c r="E26" s="3">
        <v>2105.1999999999998</v>
      </c>
      <c r="F26" s="3">
        <v>507555252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3">
        <v>76.22</v>
      </c>
      <c r="M26" s="3">
        <v>76.86</v>
      </c>
      <c r="N26" s="3">
        <v>76.13</v>
      </c>
      <c r="O26" s="3">
        <v>76.680000000000007</v>
      </c>
      <c r="P26" s="3">
        <v>4663727</v>
      </c>
      <c r="Q26" s="3">
        <v>47.92</v>
      </c>
      <c r="R26" s="3">
        <v>48.37</v>
      </c>
      <c r="S26" s="3">
        <v>47.92</v>
      </c>
      <c r="T26" s="3">
        <v>48.27</v>
      </c>
      <c r="U26" s="3">
        <v>7091575</v>
      </c>
      <c r="V26" s="3">
        <v>78.17</v>
      </c>
      <c r="W26" s="3">
        <v>78.39</v>
      </c>
      <c r="X26" s="3">
        <v>77.900000000000006</v>
      </c>
      <c r="Y26" s="3">
        <v>78.17</v>
      </c>
      <c r="Z26" s="3">
        <v>9785399</v>
      </c>
      <c r="AA26" s="3">
        <v>20.170000000000002</v>
      </c>
      <c r="AB26" s="3">
        <v>20.41</v>
      </c>
      <c r="AC26" s="3">
        <v>20.14</v>
      </c>
      <c r="AD26" s="3">
        <v>20.34</v>
      </c>
      <c r="AE26" s="3">
        <v>43840870</v>
      </c>
      <c r="AF26" s="3">
        <v>74.12</v>
      </c>
      <c r="AG26" s="3">
        <v>74.95</v>
      </c>
      <c r="AH26" s="3">
        <v>73.98</v>
      </c>
      <c r="AI26" s="3">
        <v>74.86</v>
      </c>
      <c r="AJ26" s="3">
        <v>7728761</v>
      </c>
      <c r="AK26" s="3">
        <v>55.64</v>
      </c>
      <c r="AL26" s="3">
        <v>56.14</v>
      </c>
      <c r="AM26" s="3">
        <v>55.58</v>
      </c>
      <c r="AN26" s="3">
        <v>55.99</v>
      </c>
      <c r="AO26" s="3">
        <v>7293460</v>
      </c>
      <c r="AP26" s="3">
        <v>50.16</v>
      </c>
      <c r="AQ26" s="3">
        <v>50.56</v>
      </c>
      <c r="AR26" s="3">
        <v>50.13</v>
      </c>
      <c r="AS26" s="3">
        <v>50.38</v>
      </c>
      <c r="AT26" s="3">
        <v>2727218</v>
      </c>
      <c r="AU26" s="3">
        <v>42.47</v>
      </c>
      <c r="AV26" s="3">
        <v>43.12</v>
      </c>
      <c r="AW26" s="3">
        <v>42.47</v>
      </c>
      <c r="AX26" s="3">
        <v>43.03</v>
      </c>
      <c r="AY26" s="3">
        <v>8964836</v>
      </c>
      <c r="AZ26" s="3">
        <v>42.75</v>
      </c>
      <c r="BA26" s="3">
        <v>42.9</v>
      </c>
      <c r="BB26" s="3">
        <v>42.57</v>
      </c>
      <c r="BC26" s="3">
        <v>42.58</v>
      </c>
      <c r="BD26" s="3">
        <v>11091005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</row>
    <row r="27" spans="1:61" ht="15.75" customHeight="1" x14ac:dyDescent="0.15">
      <c r="A27" s="3">
        <v>42166</v>
      </c>
      <c r="B27" s="3">
        <v>2106.2399999999998</v>
      </c>
      <c r="C27" s="3">
        <v>2115.02</v>
      </c>
      <c r="D27" s="3">
        <v>2106.2399999999998</v>
      </c>
      <c r="E27" s="3">
        <v>2108.86</v>
      </c>
      <c r="F27" s="3">
        <v>529774046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3">
        <v>76.88</v>
      </c>
      <c r="M27" s="3">
        <v>77.19</v>
      </c>
      <c r="N27" s="3">
        <v>76.81</v>
      </c>
      <c r="O27" s="3">
        <v>76.94</v>
      </c>
      <c r="P27" s="3">
        <v>4393276</v>
      </c>
      <c r="Q27" s="3">
        <v>48.31</v>
      </c>
      <c r="R27" s="3">
        <v>48.47</v>
      </c>
      <c r="S27" s="3">
        <v>48.2</v>
      </c>
      <c r="T27" s="3">
        <v>48.25</v>
      </c>
      <c r="U27" s="3">
        <v>7469331</v>
      </c>
      <c r="V27" s="3">
        <v>78.31</v>
      </c>
      <c r="W27" s="3">
        <v>78.44</v>
      </c>
      <c r="X27" s="3">
        <v>77.75</v>
      </c>
      <c r="Y27" s="3">
        <v>77.819999999999993</v>
      </c>
      <c r="Z27" s="3">
        <v>8416545</v>
      </c>
      <c r="AA27" s="3">
        <v>20.43</v>
      </c>
      <c r="AB27" s="3">
        <v>20.46</v>
      </c>
      <c r="AC27" s="3">
        <v>20.350000000000001</v>
      </c>
      <c r="AD27" s="3">
        <v>20.420000000000002</v>
      </c>
      <c r="AE27" s="3">
        <v>48768646</v>
      </c>
      <c r="AF27" s="3">
        <v>75.44</v>
      </c>
      <c r="AG27" s="3">
        <v>75.489999999999995</v>
      </c>
      <c r="AH27" s="3">
        <v>74.97</v>
      </c>
      <c r="AI27" s="3">
        <v>75.37</v>
      </c>
      <c r="AJ27" s="3">
        <v>4912014</v>
      </c>
      <c r="AK27" s="3">
        <v>56.14</v>
      </c>
      <c r="AL27" s="3">
        <v>56.34</v>
      </c>
      <c r="AM27" s="3">
        <v>56.05</v>
      </c>
      <c r="AN27" s="3">
        <v>56.31</v>
      </c>
      <c r="AO27" s="3">
        <v>5256705</v>
      </c>
      <c r="AP27" s="3">
        <v>50.43</v>
      </c>
      <c r="AQ27" s="3">
        <v>50.6</v>
      </c>
      <c r="AR27" s="3">
        <v>50.36</v>
      </c>
      <c r="AS27" s="3">
        <v>50.5</v>
      </c>
      <c r="AT27" s="3">
        <v>1858238</v>
      </c>
      <c r="AU27" s="3">
        <v>43.18</v>
      </c>
      <c r="AV27" s="3">
        <v>43.29</v>
      </c>
      <c r="AW27" s="3">
        <v>42.99</v>
      </c>
      <c r="AX27" s="3">
        <v>43.05</v>
      </c>
      <c r="AY27" s="3">
        <v>5644698</v>
      </c>
      <c r="AZ27" s="3">
        <v>42.93</v>
      </c>
      <c r="BA27" s="3">
        <v>43.01</v>
      </c>
      <c r="BB27" s="3">
        <v>42.74</v>
      </c>
      <c r="BC27" s="3">
        <v>42.92</v>
      </c>
      <c r="BD27" s="3">
        <v>8976873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</row>
    <row r="28" spans="1:61" ht="15.75" customHeight="1" x14ac:dyDescent="0.15">
      <c r="A28" s="3">
        <v>42167</v>
      </c>
      <c r="B28" s="3">
        <v>2107.4299999999998</v>
      </c>
      <c r="C28" s="3">
        <v>2107.4299999999998</v>
      </c>
      <c r="D28" s="3">
        <v>2091.33</v>
      </c>
      <c r="E28" s="3">
        <v>2094.11</v>
      </c>
      <c r="F28" s="3">
        <v>449503626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3">
        <v>76.5</v>
      </c>
      <c r="M28" s="3">
        <v>76.78</v>
      </c>
      <c r="N28" s="3">
        <v>76.45</v>
      </c>
      <c r="O28" s="3">
        <v>76.59</v>
      </c>
      <c r="P28" s="3">
        <v>4067712</v>
      </c>
      <c r="Q28" s="3">
        <v>48.13</v>
      </c>
      <c r="R28" s="3">
        <v>48.17</v>
      </c>
      <c r="S28" s="3">
        <v>47.89</v>
      </c>
      <c r="T28" s="3">
        <v>48.06</v>
      </c>
      <c r="U28" s="3">
        <v>6748776</v>
      </c>
      <c r="V28" s="3">
        <v>77.38</v>
      </c>
      <c r="W28" s="3">
        <v>77.44</v>
      </c>
      <c r="X28" s="3">
        <v>76.819999999999993</v>
      </c>
      <c r="Y28" s="3">
        <v>76.95</v>
      </c>
      <c r="Z28" s="3">
        <v>10504524</v>
      </c>
      <c r="AA28" s="3">
        <v>20.37</v>
      </c>
      <c r="AB28" s="3">
        <v>20.41</v>
      </c>
      <c r="AC28" s="3">
        <v>20.27</v>
      </c>
      <c r="AD28" s="3">
        <v>20.329999999999998</v>
      </c>
      <c r="AE28" s="3">
        <v>34286416</v>
      </c>
      <c r="AF28" s="3">
        <v>75</v>
      </c>
      <c r="AG28" s="3">
        <v>75.11</v>
      </c>
      <c r="AH28" s="3">
        <v>74.34</v>
      </c>
      <c r="AI28" s="3">
        <v>74.44</v>
      </c>
      <c r="AJ28" s="3">
        <v>6330563</v>
      </c>
      <c r="AK28" s="3">
        <v>56.01</v>
      </c>
      <c r="AL28" s="3">
        <v>56.17</v>
      </c>
      <c r="AM28" s="3">
        <v>55.83</v>
      </c>
      <c r="AN28" s="3">
        <v>55.98</v>
      </c>
      <c r="AO28" s="3">
        <v>7799261</v>
      </c>
      <c r="AP28" s="3">
        <v>50.42</v>
      </c>
      <c r="AQ28" s="3">
        <v>50.44</v>
      </c>
      <c r="AR28" s="3">
        <v>50.1</v>
      </c>
      <c r="AS28" s="3">
        <v>50.2</v>
      </c>
      <c r="AT28" s="3">
        <v>2373480</v>
      </c>
      <c r="AU28" s="3">
        <v>42.84</v>
      </c>
      <c r="AV28" s="3">
        <v>42.91</v>
      </c>
      <c r="AW28" s="3">
        <v>42.63</v>
      </c>
      <c r="AX28" s="3">
        <v>42.67</v>
      </c>
      <c r="AY28" s="3">
        <v>6158829</v>
      </c>
      <c r="AZ28" s="3">
        <v>42.74</v>
      </c>
      <c r="BA28" s="3">
        <v>42.88</v>
      </c>
      <c r="BB28" s="3">
        <v>42.53</v>
      </c>
      <c r="BC28" s="3">
        <v>42.54</v>
      </c>
      <c r="BD28" s="3">
        <v>8629277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</row>
    <row r="29" spans="1:61" ht="15.75" customHeight="1" x14ac:dyDescent="0.15">
      <c r="A29" s="3">
        <v>42170</v>
      </c>
      <c r="B29" s="3">
        <v>2091.34</v>
      </c>
      <c r="C29" s="3">
        <v>2091.34</v>
      </c>
      <c r="D29" s="3">
        <v>2072.4899999999998</v>
      </c>
      <c r="E29" s="3">
        <v>2084.4299999999998</v>
      </c>
      <c r="F29" s="3">
        <v>504787125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3">
        <v>76.11</v>
      </c>
      <c r="M29" s="3">
        <v>76.37</v>
      </c>
      <c r="N29" s="3">
        <v>75.819999999999993</v>
      </c>
      <c r="O29" s="3">
        <v>76.23</v>
      </c>
      <c r="P29" s="3">
        <v>4671420</v>
      </c>
      <c r="Q29" s="3">
        <v>47.87</v>
      </c>
      <c r="R29" s="3">
        <v>47.96</v>
      </c>
      <c r="S29" s="3">
        <v>47.68</v>
      </c>
      <c r="T29" s="3">
        <v>47.71</v>
      </c>
      <c r="U29" s="3">
        <v>7632584</v>
      </c>
      <c r="V29" s="3">
        <v>76.42</v>
      </c>
      <c r="W29" s="3">
        <v>77.180000000000007</v>
      </c>
      <c r="X29" s="3">
        <v>76.19</v>
      </c>
      <c r="Y29" s="3">
        <v>76.77</v>
      </c>
      <c r="Z29" s="3">
        <v>8075548</v>
      </c>
      <c r="AA29" s="3">
        <v>20.2</v>
      </c>
      <c r="AB29" s="3">
        <v>20.32</v>
      </c>
      <c r="AC29" s="3">
        <v>20.12</v>
      </c>
      <c r="AD29" s="3">
        <v>20.239999999999998</v>
      </c>
      <c r="AE29" s="3">
        <v>33045213</v>
      </c>
      <c r="AF29" s="3">
        <v>73.97</v>
      </c>
      <c r="AG29" s="3">
        <v>74.680000000000007</v>
      </c>
      <c r="AH29" s="3">
        <v>73.59</v>
      </c>
      <c r="AI29" s="3">
        <v>74.53</v>
      </c>
      <c r="AJ29" s="3">
        <v>7150167</v>
      </c>
      <c r="AK29" s="3">
        <v>55.56</v>
      </c>
      <c r="AL29" s="3">
        <v>55.73</v>
      </c>
      <c r="AM29" s="3">
        <v>55.25</v>
      </c>
      <c r="AN29" s="3">
        <v>55.51</v>
      </c>
      <c r="AO29" s="3">
        <v>8872425</v>
      </c>
      <c r="AP29" s="3">
        <v>49.82</v>
      </c>
      <c r="AQ29" s="3">
        <v>50.08</v>
      </c>
      <c r="AR29" s="3">
        <v>49.63</v>
      </c>
      <c r="AS29" s="3">
        <v>49.89</v>
      </c>
      <c r="AT29" s="3">
        <v>3355902</v>
      </c>
      <c r="AU29" s="3">
        <v>42.39</v>
      </c>
      <c r="AV29" s="3">
        <v>42.47</v>
      </c>
      <c r="AW29" s="3">
        <v>42.09</v>
      </c>
      <c r="AX29" s="3">
        <v>42.41</v>
      </c>
      <c r="AY29" s="3">
        <v>9179103</v>
      </c>
      <c r="AZ29" s="3">
        <v>42.42</v>
      </c>
      <c r="BA29" s="3">
        <v>42.67</v>
      </c>
      <c r="BB29" s="3">
        <v>42.29</v>
      </c>
      <c r="BC29" s="3">
        <v>42.47</v>
      </c>
      <c r="BD29" s="3">
        <v>10076120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</row>
    <row r="30" spans="1:61" ht="15.75" customHeight="1" x14ac:dyDescent="0.15">
      <c r="A30" s="3">
        <v>42171</v>
      </c>
      <c r="B30" s="3">
        <v>2084.2600000000002</v>
      </c>
      <c r="C30" s="3">
        <v>2097.4</v>
      </c>
      <c r="D30" s="3">
        <v>2082.1</v>
      </c>
      <c r="E30" s="3">
        <v>2096.29</v>
      </c>
      <c r="F30" s="3">
        <v>410710293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3">
        <v>76.150000000000006</v>
      </c>
      <c r="M30" s="3">
        <v>76.709999999999994</v>
      </c>
      <c r="N30" s="3">
        <v>76.09</v>
      </c>
      <c r="O30" s="3">
        <v>76.69</v>
      </c>
      <c r="P30" s="3">
        <v>4106788</v>
      </c>
      <c r="Q30" s="3">
        <v>47.84</v>
      </c>
      <c r="R30" s="3">
        <v>48.26</v>
      </c>
      <c r="S30" s="3">
        <v>47.77</v>
      </c>
      <c r="T30" s="3">
        <v>48.23</v>
      </c>
      <c r="U30" s="3">
        <v>5036370</v>
      </c>
      <c r="V30" s="3">
        <v>76.91</v>
      </c>
      <c r="W30" s="3">
        <v>77.39</v>
      </c>
      <c r="X30" s="3">
        <v>76.540000000000006</v>
      </c>
      <c r="Y30" s="3">
        <v>77.37</v>
      </c>
      <c r="Z30" s="3">
        <v>9017622</v>
      </c>
      <c r="AA30" s="3">
        <v>20.25</v>
      </c>
      <c r="AB30" s="3">
        <v>20.37</v>
      </c>
      <c r="AC30" s="3">
        <v>20.190000000000001</v>
      </c>
      <c r="AD30" s="3">
        <v>20.36</v>
      </c>
      <c r="AE30" s="3">
        <v>29429918</v>
      </c>
      <c r="AF30" s="3">
        <v>74.489999999999995</v>
      </c>
      <c r="AG30" s="3">
        <v>74.94</v>
      </c>
      <c r="AH30" s="3">
        <v>74.33</v>
      </c>
      <c r="AI30" s="3">
        <v>74.900000000000006</v>
      </c>
      <c r="AJ30" s="3">
        <v>6041425</v>
      </c>
      <c r="AK30" s="3">
        <v>55.44</v>
      </c>
      <c r="AL30" s="3">
        <v>55.65</v>
      </c>
      <c r="AM30" s="3">
        <v>55.33</v>
      </c>
      <c r="AN30" s="3">
        <v>55.56</v>
      </c>
      <c r="AO30" s="3">
        <v>7514411</v>
      </c>
      <c r="AP30" s="3">
        <v>49.79</v>
      </c>
      <c r="AQ30" s="3">
        <v>50.18</v>
      </c>
      <c r="AR30" s="3">
        <v>49.76</v>
      </c>
      <c r="AS30" s="3">
        <v>50.15</v>
      </c>
      <c r="AT30" s="3">
        <v>2145197</v>
      </c>
      <c r="AU30" s="3">
        <v>42.39</v>
      </c>
      <c r="AV30" s="3">
        <v>42.74</v>
      </c>
      <c r="AW30" s="3">
        <v>42.32</v>
      </c>
      <c r="AX30" s="3">
        <v>42.69</v>
      </c>
      <c r="AY30" s="3">
        <v>9173344</v>
      </c>
      <c r="AZ30" s="3">
        <v>42.39</v>
      </c>
      <c r="BA30" s="3">
        <v>42.67</v>
      </c>
      <c r="BB30" s="3">
        <v>42.21</v>
      </c>
      <c r="BC30" s="3">
        <v>42.67</v>
      </c>
      <c r="BD30" s="3">
        <v>8036782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</row>
    <row r="31" spans="1:61" ht="15.75" customHeight="1" x14ac:dyDescent="0.15">
      <c r="A31" s="3">
        <v>42172</v>
      </c>
      <c r="B31" s="3">
        <v>2097.4</v>
      </c>
      <c r="C31" s="3">
        <v>2106.79</v>
      </c>
      <c r="D31" s="3">
        <v>2088.86</v>
      </c>
      <c r="E31" s="3">
        <v>2100.44</v>
      </c>
      <c r="F31" s="3">
        <v>480805890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3">
        <v>76.83</v>
      </c>
      <c r="M31" s="3">
        <v>77.22</v>
      </c>
      <c r="N31" s="3">
        <v>76.489999999999995</v>
      </c>
      <c r="O31" s="3">
        <v>77.040000000000006</v>
      </c>
      <c r="P31" s="3">
        <v>4288608</v>
      </c>
      <c r="Q31" s="3">
        <v>48.38</v>
      </c>
      <c r="R31" s="3">
        <v>48.57</v>
      </c>
      <c r="S31" s="3">
        <v>48.12</v>
      </c>
      <c r="T31" s="3">
        <v>48.49</v>
      </c>
      <c r="U31" s="3">
        <v>10508750</v>
      </c>
      <c r="V31" s="3">
        <v>77.78</v>
      </c>
      <c r="W31" s="3">
        <v>78.12</v>
      </c>
      <c r="X31" s="3">
        <v>76.790000000000006</v>
      </c>
      <c r="Y31" s="3">
        <v>77.180000000000007</v>
      </c>
      <c r="Z31" s="3">
        <v>10413739</v>
      </c>
      <c r="AA31" s="3">
        <v>20.420000000000002</v>
      </c>
      <c r="AB31" s="3">
        <v>20.45</v>
      </c>
      <c r="AC31" s="3">
        <v>20.29</v>
      </c>
      <c r="AD31" s="3">
        <v>20.329999999999998</v>
      </c>
      <c r="AE31" s="3">
        <v>45043204</v>
      </c>
      <c r="AF31" s="3">
        <v>74.989999999999995</v>
      </c>
      <c r="AG31" s="3">
        <v>75.16</v>
      </c>
      <c r="AH31" s="3">
        <v>74.5</v>
      </c>
      <c r="AI31" s="3">
        <v>74.97</v>
      </c>
      <c r="AJ31" s="3">
        <v>5132122</v>
      </c>
      <c r="AK31" s="3">
        <v>55.59</v>
      </c>
      <c r="AL31" s="3">
        <v>55.83</v>
      </c>
      <c r="AM31" s="3">
        <v>55.26</v>
      </c>
      <c r="AN31" s="3">
        <v>55.71</v>
      </c>
      <c r="AO31" s="3">
        <v>10321010</v>
      </c>
      <c r="AP31" s="3">
        <v>50.25</v>
      </c>
      <c r="AQ31" s="3">
        <v>50.47</v>
      </c>
      <c r="AR31" s="3">
        <v>49.88</v>
      </c>
      <c r="AS31" s="3">
        <v>50.36</v>
      </c>
      <c r="AT31" s="3">
        <v>3539583</v>
      </c>
      <c r="AU31" s="3">
        <v>42.72</v>
      </c>
      <c r="AV31" s="3">
        <v>42.88</v>
      </c>
      <c r="AW31" s="3">
        <v>42.46</v>
      </c>
      <c r="AX31" s="3">
        <v>42.71</v>
      </c>
      <c r="AY31" s="3">
        <v>11023877</v>
      </c>
      <c r="AZ31" s="3">
        <v>42.69</v>
      </c>
      <c r="BA31" s="3">
        <v>43.1</v>
      </c>
      <c r="BB31" s="3">
        <v>42.56</v>
      </c>
      <c r="BC31" s="3">
        <v>43.03</v>
      </c>
      <c r="BD31" s="3">
        <v>18291918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</row>
    <row r="32" spans="1:61" ht="15.75" customHeight="1" x14ac:dyDescent="0.15">
      <c r="A32" s="3">
        <v>42173</v>
      </c>
      <c r="B32" s="3">
        <v>2101.58</v>
      </c>
      <c r="C32" s="3">
        <v>2126.65</v>
      </c>
      <c r="D32" s="3">
        <v>2101.58</v>
      </c>
      <c r="E32" s="3">
        <v>2121.2399999999998</v>
      </c>
      <c r="F32" s="3">
        <v>544428661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3">
        <v>77.05</v>
      </c>
      <c r="M32" s="3">
        <v>78.19</v>
      </c>
      <c r="N32" s="3">
        <v>77.05</v>
      </c>
      <c r="O32" s="3">
        <v>77.97</v>
      </c>
      <c r="P32" s="3">
        <v>5791712</v>
      </c>
      <c r="Q32" s="3">
        <v>48.64</v>
      </c>
      <c r="R32" s="3">
        <v>49.22</v>
      </c>
      <c r="S32" s="3">
        <v>48.6</v>
      </c>
      <c r="T32" s="3">
        <v>49.03</v>
      </c>
      <c r="U32" s="3">
        <v>8820968</v>
      </c>
      <c r="V32" s="3">
        <v>77.42</v>
      </c>
      <c r="W32" s="3">
        <v>77.77</v>
      </c>
      <c r="X32" s="3">
        <v>77.06</v>
      </c>
      <c r="Y32" s="3">
        <v>77.13</v>
      </c>
      <c r="Z32" s="3">
        <v>12672578</v>
      </c>
      <c r="AA32" s="3">
        <v>20.420000000000002</v>
      </c>
      <c r="AB32" s="3">
        <v>20.55</v>
      </c>
      <c r="AC32" s="3">
        <v>20.329999999999998</v>
      </c>
      <c r="AD32" s="3">
        <v>20.52</v>
      </c>
      <c r="AE32" s="3">
        <v>56975321</v>
      </c>
      <c r="AF32" s="3">
        <v>75.11</v>
      </c>
      <c r="AG32" s="3">
        <v>76.28</v>
      </c>
      <c r="AH32" s="3">
        <v>75.08</v>
      </c>
      <c r="AI32" s="3">
        <v>76.03</v>
      </c>
      <c r="AJ32" s="3">
        <v>9511182</v>
      </c>
      <c r="AK32" s="3">
        <v>55.58</v>
      </c>
      <c r="AL32" s="3">
        <v>56.47</v>
      </c>
      <c r="AM32" s="3">
        <v>55.58</v>
      </c>
      <c r="AN32" s="3">
        <v>56.27</v>
      </c>
      <c r="AO32" s="3">
        <v>9470346</v>
      </c>
      <c r="AP32" s="3">
        <v>50.54</v>
      </c>
      <c r="AQ32" s="3">
        <v>50.91</v>
      </c>
      <c r="AR32" s="3">
        <v>50.51</v>
      </c>
      <c r="AS32" s="3">
        <v>50.78</v>
      </c>
      <c r="AT32" s="3">
        <v>3665612</v>
      </c>
      <c r="AU32" s="3">
        <v>42.69</v>
      </c>
      <c r="AV32" s="3">
        <v>43.16</v>
      </c>
      <c r="AW32" s="3">
        <v>42.68</v>
      </c>
      <c r="AX32" s="3">
        <v>43.09</v>
      </c>
      <c r="AY32" s="3">
        <v>8963184</v>
      </c>
      <c r="AZ32" s="3">
        <v>43.08</v>
      </c>
      <c r="BA32" s="3">
        <v>43.71</v>
      </c>
      <c r="BB32" s="3">
        <v>43.08</v>
      </c>
      <c r="BC32" s="3">
        <v>43.6</v>
      </c>
      <c r="BD32" s="3">
        <v>20717048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</row>
    <row r="33" spans="1:61" ht="15.75" customHeight="1" x14ac:dyDescent="0.15">
      <c r="A33" s="3">
        <v>42174</v>
      </c>
      <c r="B33" s="3">
        <v>2121.0300000000002</v>
      </c>
      <c r="C33" s="3">
        <v>2121.64</v>
      </c>
      <c r="D33" s="3">
        <v>2109.38</v>
      </c>
      <c r="E33" s="3">
        <v>2109.9899999999998</v>
      </c>
      <c r="F33" s="3">
        <v>181680815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3">
        <v>77.86</v>
      </c>
      <c r="M33" s="3">
        <v>77.930000000000007</v>
      </c>
      <c r="N33" s="3">
        <v>77.45</v>
      </c>
      <c r="O33" s="3">
        <v>77.45</v>
      </c>
      <c r="P33" s="3">
        <v>5983307</v>
      </c>
      <c r="Q33" s="3">
        <v>48.76</v>
      </c>
      <c r="R33" s="3">
        <v>48.91</v>
      </c>
      <c r="S33" s="3">
        <v>48.66</v>
      </c>
      <c r="T33" s="3">
        <v>48.66</v>
      </c>
      <c r="U33" s="3">
        <v>8908167</v>
      </c>
      <c r="V33" s="3">
        <v>76.290000000000006</v>
      </c>
      <c r="W33" s="3">
        <v>76.599999999999994</v>
      </c>
      <c r="X33" s="3">
        <v>75.88</v>
      </c>
      <c r="Y33" s="3">
        <v>75.91</v>
      </c>
      <c r="Z33" s="3">
        <v>17234878</v>
      </c>
      <c r="AA33" s="3">
        <v>20.37</v>
      </c>
      <c r="AB33" s="3">
        <v>20.399999999999999</v>
      </c>
      <c r="AC33" s="3">
        <v>20.09</v>
      </c>
      <c r="AD33" s="3">
        <v>20.09</v>
      </c>
      <c r="AE33" s="3">
        <v>38238364</v>
      </c>
      <c r="AF33" s="3">
        <v>75.84</v>
      </c>
      <c r="AG33" s="3">
        <v>76.010000000000005</v>
      </c>
      <c r="AH33" s="3">
        <v>75.66</v>
      </c>
      <c r="AI33" s="3">
        <v>75.709999999999994</v>
      </c>
      <c r="AJ33" s="3">
        <v>10327390</v>
      </c>
      <c r="AK33" s="3">
        <v>55.88</v>
      </c>
      <c r="AL33" s="3">
        <v>56.09</v>
      </c>
      <c r="AM33" s="3">
        <v>55.72</v>
      </c>
      <c r="AN33" s="3">
        <v>55.72</v>
      </c>
      <c r="AO33" s="3">
        <v>8899766</v>
      </c>
      <c r="AP33" s="3">
        <v>50.47</v>
      </c>
      <c r="AQ33" s="3">
        <v>50.64</v>
      </c>
      <c r="AR33" s="3">
        <v>50.21</v>
      </c>
      <c r="AS33" s="3">
        <v>50.21</v>
      </c>
      <c r="AT33" s="3">
        <v>3697537</v>
      </c>
      <c r="AU33" s="3">
        <v>42.81</v>
      </c>
      <c r="AV33" s="3">
        <v>42.91</v>
      </c>
      <c r="AW33" s="3">
        <v>42.54</v>
      </c>
      <c r="AX33" s="3">
        <v>42.54</v>
      </c>
      <c r="AY33" s="3">
        <v>13434832</v>
      </c>
      <c r="AZ33" s="3">
        <v>43.29</v>
      </c>
      <c r="BA33" s="3">
        <v>43.32</v>
      </c>
      <c r="BB33" s="3">
        <v>42.77</v>
      </c>
      <c r="BC33" s="3">
        <v>42.79</v>
      </c>
      <c r="BD33" s="3">
        <v>13375489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</row>
    <row r="34" spans="1:61" ht="15.75" customHeight="1" x14ac:dyDescent="0.15">
      <c r="A34" s="3">
        <v>42177</v>
      </c>
      <c r="B34" s="3">
        <v>2112.5</v>
      </c>
      <c r="C34" s="3">
        <v>2129.87</v>
      </c>
      <c r="D34" s="3">
        <v>2112.5</v>
      </c>
      <c r="E34" s="3">
        <v>2122.85</v>
      </c>
      <c r="F34" s="3">
        <v>468228023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3">
        <v>77.849999999999994</v>
      </c>
      <c r="M34" s="3">
        <v>78.16</v>
      </c>
      <c r="N34" s="3">
        <v>77.83</v>
      </c>
      <c r="O34" s="3">
        <v>77.88</v>
      </c>
      <c r="P34" s="3">
        <v>3905998</v>
      </c>
      <c r="Q34" s="3">
        <v>48.93</v>
      </c>
      <c r="R34" s="3">
        <v>49.05</v>
      </c>
      <c r="S34" s="3">
        <v>48.8</v>
      </c>
      <c r="T34" s="3">
        <v>48.85</v>
      </c>
      <c r="U34" s="3">
        <v>4445930</v>
      </c>
      <c r="V34" s="3">
        <v>76.599999999999994</v>
      </c>
      <c r="W34" s="3">
        <v>76.91</v>
      </c>
      <c r="X34" s="3">
        <v>76.260000000000005</v>
      </c>
      <c r="Y34" s="3">
        <v>76.84</v>
      </c>
      <c r="Z34" s="3">
        <v>10577416</v>
      </c>
      <c r="AA34" s="3">
        <v>20.38</v>
      </c>
      <c r="AB34" s="3">
        <v>20.48</v>
      </c>
      <c r="AC34" s="3">
        <v>20.37</v>
      </c>
      <c r="AD34" s="3">
        <v>20.399999999999999</v>
      </c>
      <c r="AE34" s="3">
        <v>33045060</v>
      </c>
      <c r="AF34" s="3">
        <v>76.27</v>
      </c>
      <c r="AG34" s="3">
        <v>76.66</v>
      </c>
      <c r="AH34" s="3">
        <v>76.209999999999994</v>
      </c>
      <c r="AI34" s="3">
        <v>76.3</v>
      </c>
      <c r="AJ34" s="3">
        <v>6635028</v>
      </c>
      <c r="AK34" s="3">
        <v>56.03</v>
      </c>
      <c r="AL34" s="3">
        <v>56.2</v>
      </c>
      <c r="AM34" s="3">
        <v>55.94</v>
      </c>
      <c r="AN34" s="3">
        <v>56.06</v>
      </c>
      <c r="AO34" s="3">
        <v>4913253</v>
      </c>
      <c r="AP34" s="3">
        <v>50.48</v>
      </c>
      <c r="AQ34" s="3">
        <v>50.48</v>
      </c>
      <c r="AR34" s="3">
        <v>50.25</v>
      </c>
      <c r="AS34" s="3">
        <v>50.4</v>
      </c>
      <c r="AT34" s="3">
        <v>1981282</v>
      </c>
      <c r="AU34" s="3">
        <v>42.9</v>
      </c>
      <c r="AV34" s="3">
        <v>43.02</v>
      </c>
      <c r="AW34" s="3">
        <v>42.79</v>
      </c>
      <c r="AX34" s="3">
        <v>42.89</v>
      </c>
      <c r="AY34" s="3">
        <v>5437990</v>
      </c>
      <c r="AZ34" s="3">
        <v>42.86</v>
      </c>
      <c r="BA34" s="3">
        <v>42.96</v>
      </c>
      <c r="BB34" s="3">
        <v>42.63</v>
      </c>
      <c r="BC34" s="3">
        <v>42.73</v>
      </c>
      <c r="BD34" s="3">
        <v>10273804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</row>
    <row r="35" spans="1:61" ht="15.75" customHeight="1" x14ac:dyDescent="0.15">
      <c r="A35" s="3">
        <v>42178</v>
      </c>
      <c r="B35" s="3">
        <v>2123.16</v>
      </c>
      <c r="C35" s="3">
        <v>2128.0300000000002</v>
      </c>
      <c r="D35" s="3">
        <v>2119.89</v>
      </c>
      <c r="E35" s="3">
        <v>2124.1999999999998</v>
      </c>
      <c r="F35" s="3">
        <v>453115170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3">
        <v>78.069999999999993</v>
      </c>
      <c r="M35" s="3">
        <v>78.25</v>
      </c>
      <c r="N35" s="3">
        <v>77.989999999999995</v>
      </c>
      <c r="O35" s="3">
        <v>78.19</v>
      </c>
      <c r="P35" s="3">
        <v>3511642</v>
      </c>
      <c r="Q35" s="3">
        <v>48.87</v>
      </c>
      <c r="R35" s="3">
        <v>48.88</v>
      </c>
      <c r="S35" s="3">
        <v>48.54</v>
      </c>
      <c r="T35" s="3">
        <v>48.64</v>
      </c>
      <c r="U35" s="3">
        <v>5107522</v>
      </c>
      <c r="V35" s="3">
        <v>76.73</v>
      </c>
      <c r="W35" s="3">
        <v>77.23</v>
      </c>
      <c r="X35" s="3">
        <v>76.650000000000006</v>
      </c>
      <c r="Y35" s="3">
        <v>77.09</v>
      </c>
      <c r="Z35" s="3">
        <v>7117715</v>
      </c>
      <c r="AA35" s="3">
        <v>20.46</v>
      </c>
      <c r="AB35" s="3">
        <v>20.5</v>
      </c>
      <c r="AC35" s="3">
        <v>20.41</v>
      </c>
      <c r="AD35" s="3">
        <v>20.440000000000001</v>
      </c>
      <c r="AE35" s="3">
        <v>27248017</v>
      </c>
      <c r="AF35" s="3">
        <v>76.41</v>
      </c>
      <c r="AG35" s="3">
        <v>76.650000000000006</v>
      </c>
      <c r="AH35" s="3">
        <v>76.180000000000007</v>
      </c>
      <c r="AI35" s="3">
        <v>76.45</v>
      </c>
      <c r="AJ35" s="3">
        <v>4631642</v>
      </c>
      <c r="AK35" s="3">
        <v>56.14</v>
      </c>
      <c r="AL35" s="3">
        <v>56.17</v>
      </c>
      <c r="AM35" s="3">
        <v>55.84</v>
      </c>
      <c r="AN35" s="3">
        <v>55.92</v>
      </c>
      <c r="AO35" s="3">
        <v>3837368</v>
      </c>
      <c r="AP35" s="3">
        <v>50.42</v>
      </c>
      <c r="AQ35" s="3">
        <v>50.48</v>
      </c>
      <c r="AR35" s="3">
        <v>50.16</v>
      </c>
      <c r="AS35" s="3">
        <v>50.26</v>
      </c>
      <c r="AT35" s="3">
        <v>2251578</v>
      </c>
      <c r="AU35" s="3">
        <v>42.98</v>
      </c>
      <c r="AV35" s="3">
        <v>42.99</v>
      </c>
      <c r="AW35" s="3">
        <v>42.82</v>
      </c>
      <c r="AX35" s="3">
        <v>42.92</v>
      </c>
      <c r="AY35" s="3">
        <v>3993334</v>
      </c>
      <c r="AZ35" s="3">
        <v>42.57</v>
      </c>
      <c r="BA35" s="3">
        <v>42.66</v>
      </c>
      <c r="BB35" s="3">
        <v>42.09</v>
      </c>
      <c r="BC35" s="3">
        <v>42.15</v>
      </c>
      <c r="BD35" s="3">
        <v>16276894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</row>
    <row r="36" spans="1:61" ht="15.75" customHeight="1" x14ac:dyDescent="0.15">
      <c r="A36" s="3">
        <v>42179</v>
      </c>
      <c r="B36" s="3">
        <v>2123.33</v>
      </c>
      <c r="C36" s="3">
        <v>2125.1</v>
      </c>
      <c r="D36" s="3">
        <v>2108.58</v>
      </c>
      <c r="E36" s="3">
        <v>2108.58</v>
      </c>
      <c r="F36" s="3">
        <v>534019481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">
        <v>77.95</v>
      </c>
      <c r="M36" s="3">
        <v>78.31</v>
      </c>
      <c r="N36" s="3">
        <v>77.64</v>
      </c>
      <c r="O36" s="3">
        <v>77.650000000000006</v>
      </c>
      <c r="P36" s="3">
        <v>5986683</v>
      </c>
      <c r="Q36" s="3">
        <v>48.62</v>
      </c>
      <c r="R36" s="3">
        <v>48.7</v>
      </c>
      <c r="S36" s="3">
        <v>48.42</v>
      </c>
      <c r="T36" s="3">
        <v>48.42</v>
      </c>
      <c r="U36" s="3">
        <v>6765086</v>
      </c>
      <c r="V36" s="3">
        <v>76.92</v>
      </c>
      <c r="W36" s="3">
        <v>77.36</v>
      </c>
      <c r="X36" s="3">
        <v>76.58</v>
      </c>
      <c r="Y36" s="3">
        <v>76.61</v>
      </c>
      <c r="Z36" s="3">
        <v>6798255</v>
      </c>
      <c r="AA36" s="3">
        <v>20.41</v>
      </c>
      <c r="AB36" s="3">
        <v>20.440000000000001</v>
      </c>
      <c r="AC36" s="3">
        <v>20.27</v>
      </c>
      <c r="AD36" s="3">
        <v>20.27</v>
      </c>
      <c r="AE36" s="3">
        <v>21560633</v>
      </c>
      <c r="AF36" s="3">
        <v>76.349999999999994</v>
      </c>
      <c r="AG36" s="3">
        <v>76.42</v>
      </c>
      <c r="AH36" s="3">
        <v>75.680000000000007</v>
      </c>
      <c r="AI36" s="3">
        <v>75.680000000000007</v>
      </c>
      <c r="AJ36" s="3">
        <v>7294405</v>
      </c>
      <c r="AK36" s="3">
        <v>55.8</v>
      </c>
      <c r="AL36" s="3">
        <v>55.89</v>
      </c>
      <c r="AM36" s="3">
        <v>55.39</v>
      </c>
      <c r="AN36" s="3">
        <v>55.4</v>
      </c>
      <c r="AO36" s="3">
        <v>5976608</v>
      </c>
      <c r="AP36" s="3">
        <v>50.15</v>
      </c>
      <c r="AQ36" s="3">
        <v>50.18</v>
      </c>
      <c r="AR36" s="3">
        <v>49.61</v>
      </c>
      <c r="AS36" s="3">
        <v>49.62</v>
      </c>
      <c r="AT36" s="3">
        <v>3141321</v>
      </c>
      <c r="AU36" s="3">
        <v>42.82</v>
      </c>
      <c r="AV36" s="3">
        <v>43.07</v>
      </c>
      <c r="AW36" s="3">
        <v>42.72</v>
      </c>
      <c r="AX36" s="3">
        <v>42.72</v>
      </c>
      <c r="AY36" s="3">
        <v>4846785</v>
      </c>
      <c r="AZ36" s="3">
        <v>42.2</v>
      </c>
      <c r="BA36" s="3">
        <v>42.29</v>
      </c>
      <c r="BB36" s="3">
        <v>41.8</v>
      </c>
      <c r="BC36" s="3">
        <v>41.82</v>
      </c>
      <c r="BD36" s="3">
        <v>12229870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</row>
    <row r="37" spans="1:61" ht="15.75" customHeight="1" x14ac:dyDescent="0.15">
      <c r="A37" s="3">
        <v>42180</v>
      </c>
      <c r="B37" s="3">
        <v>2109.96</v>
      </c>
      <c r="C37" s="3">
        <v>2116.04</v>
      </c>
      <c r="D37" s="3">
        <v>2101.7800000000002</v>
      </c>
      <c r="E37" s="3">
        <v>2102.31</v>
      </c>
      <c r="F37" s="3">
        <v>494346810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3">
        <v>77.790000000000006</v>
      </c>
      <c r="M37" s="3">
        <v>78.03</v>
      </c>
      <c r="N37" s="3">
        <v>77.540000000000006</v>
      </c>
      <c r="O37" s="3">
        <v>77.59</v>
      </c>
      <c r="P37" s="3">
        <v>4429652</v>
      </c>
      <c r="Q37" s="3">
        <v>48.61</v>
      </c>
      <c r="R37" s="3">
        <v>48.61</v>
      </c>
      <c r="S37" s="3">
        <v>48.33</v>
      </c>
      <c r="T37" s="3">
        <v>48.33</v>
      </c>
      <c r="U37" s="3">
        <v>6443662</v>
      </c>
      <c r="V37" s="3">
        <v>76.59</v>
      </c>
      <c r="W37" s="3">
        <v>76.680000000000007</v>
      </c>
      <c r="X37" s="3">
        <v>75.81</v>
      </c>
      <c r="Y37" s="3">
        <v>75.83</v>
      </c>
      <c r="Z37" s="3">
        <v>8685674</v>
      </c>
      <c r="AA37" s="3">
        <v>20.329999999999998</v>
      </c>
      <c r="AB37" s="3">
        <v>20.329999999999998</v>
      </c>
      <c r="AC37" s="3">
        <v>20.13</v>
      </c>
      <c r="AD37" s="3">
        <v>20.149999999999999</v>
      </c>
      <c r="AE37" s="3">
        <v>35508962</v>
      </c>
      <c r="AF37" s="3">
        <v>75.91</v>
      </c>
      <c r="AG37" s="3">
        <v>76.459999999999994</v>
      </c>
      <c r="AH37" s="3">
        <v>75.709999999999994</v>
      </c>
      <c r="AI37" s="3">
        <v>76.099999999999994</v>
      </c>
      <c r="AJ37" s="3">
        <v>9232471</v>
      </c>
      <c r="AK37" s="3">
        <v>55.35</v>
      </c>
      <c r="AL37" s="3">
        <v>55.57</v>
      </c>
      <c r="AM37" s="3">
        <v>54.97</v>
      </c>
      <c r="AN37" s="3">
        <v>54.97</v>
      </c>
      <c r="AO37" s="3">
        <v>8323286</v>
      </c>
      <c r="AP37" s="3">
        <v>49.64</v>
      </c>
      <c r="AQ37" s="3">
        <v>49.82</v>
      </c>
      <c r="AR37" s="3">
        <v>49.43</v>
      </c>
      <c r="AS37" s="3">
        <v>49.58</v>
      </c>
      <c r="AT37" s="3">
        <v>2448051</v>
      </c>
      <c r="AU37" s="3">
        <v>42.95</v>
      </c>
      <c r="AV37" s="3">
        <v>42.98</v>
      </c>
      <c r="AW37" s="3">
        <v>42.61</v>
      </c>
      <c r="AX37" s="3">
        <v>42.62</v>
      </c>
      <c r="AY37" s="3">
        <v>4913848</v>
      </c>
      <c r="AZ37" s="3">
        <v>41.85</v>
      </c>
      <c r="BA37" s="3">
        <v>41.95</v>
      </c>
      <c r="BB37" s="3">
        <v>41.53</v>
      </c>
      <c r="BC37" s="3">
        <v>41.54</v>
      </c>
      <c r="BD37" s="3">
        <v>11687278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</row>
    <row r="38" spans="1:61" ht="15.75" customHeight="1" x14ac:dyDescent="0.15">
      <c r="A38" s="3">
        <v>42181</v>
      </c>
      <c r="B38" s="3">
        <v>2102.62</v>
      </c>
      <c r="C38" s="3">
        <v>2108.92</v>
      </c>
      <c r="D38" s="3">
        <v>2095.38</v>
      </c>
      <c r="E38" s="3">
        <v>2101.4899999999998</v>
      </c>
      <c r="F38" s="3">
        <v>927539503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">
        <v>77.91</v>
      </c>
      <c r="M38" s="3">
        <v>78.14</v>
      </c>
      <c r="N38" s="3">
        <v>77.64</v>
      </c>
      <c r="O38" s="3">
        <v>77.900000000000006</v>
      </c>
      <c r="P38" s="3">
        <v>8308634</v>
      </c>
      <c r="Q38" s="3">
        <v>48.4</v>
      </c>
      <c r="R38" s="3">
        <v>48.6</v>
      </c>
      <c r="S38" s="3">
        <v>48.34</v>
      </c>
      <c r="T38" s="3">
        <v>48.43</v>
      </c>
      <c r="U38" s="3">
        <v>4608042</v>
      </c>
      <c r="V38" s="3">
        <v>75.760000000000005</v>
      </c>
      <c r="W38" s="3">
        <v>76.099999999999994</v>
      </c>
      <c r="X38" s="3">
        <v>75.34</v>
      </c>
      <c r="Y38" s="3">
        <v>76.08</v>
      </c>
      <c r="Z38" s="3">
        <v>11772332</v>
      </c>
      <c r="AA38" s="3">
        <v>20.239999999999998</v>
      </c>
      <c r="AB38" s="3">
        <v>20.27</v>
      </c>
      <c r="AC38" s="3">
        <v>20.16</v>
      </c>
      <c r="AD38" s="3">
        <v>20.21</v>
      </c>
      <c r="AE38" s="3">
        <v>24969296</v>
      </c>
      <c r="AF38" s="3">
        <v>76.209999999999994</v>
      </c>
      <c r="AG38" s="3">
        <v>76.5</v>
      </c>
      <c r="AH38" s="3">
        <v>75.72</v>
      </c>
      <c r="AI38" s="3">
        <v>75.989999999999995</v>
      </c>
      <c r="AJ38" s="3">
        <v>6147481</v>
      </c>
      <c r="AK38" s="3">
        <v>55.13</v>
      </c>
      <c r="AL38" s="3">
        <v>55.24</v>
      </c>
      <c r="AM38" s="3">
        <v>54.95</v>
      </c>
      <c r="AN38" s="3">
        <v>55.07</v>
      </c>
      <c r="AO38" s="3">
        <v>6424779</v>
      </c>
      <c r="AP38" s="3">
        <v>49.68</v>
      </c>
      <c r="AQ38" s="3">
        <v>49.77</v>
      </c>
      <c r="AR38" s="3">
        <v>49.32</v>
      </c>
      <c r="AS38" s="3">
        <v>49.39</v>
      </c>
      <c r="AT38" s="3">
        <v>2906020</v>
      </c>
      <c r="AU38" s="3">
        <v>42.59</v>
      </c>
      <c r="AV38" s="3">
        <v>42.64</v>
      </c>
      <c r="AW38" s="3">
        <v>42.14</v>
      </c>
      <c r="AX38" s="3">
        <v>42.26</v>
      </c>
      <c r="AY38" s="3">
        <v>10174298</v>
      </c>
      <c r="AZ38" s="3">
        <v>41.45</v>
      </c>
      <c r="BA38" s="3">
        <v>41.86</v>
      </c>
      <c r="BB38" s="3">
        <v>41.31</v>
      </c>
      <c r="BC38" s="3">
        <v>41.79</v>
      </c>
      <c r="BD38" s="3">
        <v>8770711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</row>
    <row r="39" spans="1:61" ht="15.75" customHeight="1" x14ac:dyDescent="0.15">
      <c r="A39" s="3">
        <v>42184</v>
      </c>
      <c r="B39" s="3">
        <v>2098.63</v>
      </c>
      <c r="C39" s="3">
        <v>2098.63</v>
      </c>
      <c r="D39" s="3">
        <v>2056.64</v>
      </c>
      <c r="E39" s="3">
        <v>2057.64</v>
      </c>
      <c r="F39" s="3">
        <v>586955148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77.209999999999994</v>
      </c>
      <c r="M39" s="3">
        <v>77.56</v>
      </c>
      <c r="N39" s="3">
        <v>76.08</v>
      </c>
      <c r="O39" s="3">
        <v>76.14</v>
      </c>
      <c r="P39" s="3">
        <v>8979817</v>
      </c>
      <c r="Q39" s="3">
        <v>48.18</v>
      </c>
      <c r="R39" s="3">
        <v>48.27</v>
      </c>
      <c r="S39" s="3">
        <v>47.66</v>
      </c>
      <c r="T39" s="3">
        <v>47.68</v>
      </c>
      <c r="U39" s="3">
        <v>8106247</v>
      </c>
      <c r="V39" s="3">
        <v>75.12</v>
      </c>
      <c r="W39" s="3">
        <v>75.599999999999994</v>
      </c>
      <c r="X39" s="3">
        <v>74.58</v>
      </c>
      <c r="Y39" s="3">
        <v>74.64</v>
      </c>
      <c r="Z39" s="3">
        <v>13897203</v>
      </c>
      <c r="AA39" s="3">
        <v>19.989999999999998</v>
      </c>
      <c r="AB39" s="3">
        <v>20.079999999999998</v>
      </c>
      <c r="AC39" s="3">
        <v>19.72</v>
      </c>
      <c r="AD39" s="3">
        <v>19.72</v>
      </c>
      <c r="AE39" s="3">
        <v>42983257</v>
      </c>
      <c r="AF39" s="3">
        <v>75.33</v>
      </c>
      <c r="AG39" s="3">
        <v>75.72</v>
      </c>
      <c r="AH39" s="3">
        <v>74.09</v>
      </c>
      <c r="AI39" s="3">
        <v>74.13</v>
      </c>
      <c r="AJ39" s="3">
        <v>13675872</v>
      </c>
      <c r="AK39" s="3">
        <v>54.63</v>
      </c>
      <c r="AL39" s="3">
        <v>54.84</v>
      </c>
      <c r="AM39" s="3">
        <v>54</v>
      </c>
      <c r="AN39" s="3">
        <v>54.03</v>
      </c>
      <c r="AO39" s="3">
        <v>13132849</v>
      </c>
      <c r="AP39" s="3">
        <v>49.01</v>
      </c>
      <c r="AQ39" s="3">
        <v>49.17</v>
      </c>
      <c r="AR39" s="3">
        <v>48.19</v>
      </c>
      <c r="AS39" s="3">
        <v>48.24</v>
      </c>
      <c r="AT39" s="3">
        <v>6202663</v>
      </c>
      <c r="AU39" s="3">
        <v>41.81</v>
      </c>
      <c r="AV39" s="3">
        <v>42.06</v>
      </c>
      <c r="AW39" s="3">
        <v>41.35</v>
      </c>
      <c r="AX39" s="3">
        <v>41.36</v>
      </c>
      <c r="AY39" s="3">
        <v>13107438</v>
      </c>
      <c r="AZ39" s="3">
        <v>41.72</v>
      </c>
      <c r="BA39" s="3">
        <v>42.26</v>
      </c>
      <c r="BB39" s="3">
        <v>41.54</v>
      </c>
      <c r="BC39" s="3">
        <v>41.57</v>
      </c>
      <c r="BD39" s="3">
        <v>16171494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</row>
    <row r="40" spans="1:61" ht="13" x14ac:dyDescent="0.15">
      <c r="A40" s="3">
        <v>42185</v>
      </c>
      <c r="B40" s="3">
        <v>2061.19</v>
      </c>
      <c r="C40" s="3">
        <v>2074.2800000000002</v>
      </c>
      <c r="D40" s="3">
        <v>2056.3200000000002</v>
      </c>
      <c r="E40" s="3">
        <v>2063.11</v>
      </c>
      <c r="F40" s="3">
        <v>717671106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3">
        <v>76.91</v>
      </c>
      <c r="M40" s="3">
        <v>76.92</v>
      </c>
      <c r="N40" s="3">
        <v>76.16</v>
      </c>
      <c r="O40" s="3">
        <v>76.48</v>
      </c>
      <c r="P40" s="3">
        <v>7237296</v>
      </c>
      <c r="Q40" s="3">
        <v>48.18</v>
      </c>
      <c r="R40" s="3">
        <v>48.18</v>
      </c>
      <c r="S40" s="3">
        <v>47.59</v>
      </c>
      <c r="T40" s="3">
        <v>47.6</v>
      </c>
      <c r="U40" s="3">
        <v>10039870</v>
      </c>
      <c r="V40" s="3">
        <v>75.33</v>
      </c>
      <c r="W40" s="3">
        <v>75.45</v>
      </c>
      <c r="X40" s="3">
        <v>74.680000000000007</v>
      </c>
      <c r="Y40" s="3">
        <v>75.16</v>
      </c>
      <c r="Z40" s="3">
        <v>15170577</v>
      </c>
      <c r="AA40" s="3">
        <v>19.920000000000002</v>
      </c>
      <c r="AB40" s="3">
        <v>19.97</v>
      </c>
      <c r="AC40" s="3">
        <v>19.73</v>
      </c>
      <c r="AD40" s="3">
        <v>19.8</v>
      </c>
      <c r="AE40" s="3">
        <v>62862124</v>
      </c>
      <c r="AF40" s="3">
        <v>74.930000000000007</v>
      </c>
      <c r="AG40" s="3">
        <v>74.95</v>
      </c>
      <c r="AH40" s="3">
        <v>74.150000000000006</v>
      </c>
      <c r="AI40" s="3">
        <v>74.39</v>
      </c>
      <c r="AJ40" s="3">
        <v>8722219</v>
      </c>
      <c r="AK40" s="3">
        <v>54.57</v>
      </c>
      <c r="AL40" s="3">
        <v>54.57</v>
      </c>
      <c r="AM40" s="3">
        <v>53.97</v>
      </c>
      <c r="AN40" s="3">
        <v>54.06</v>
      </c>
      <c r="AO40" s="3">
        <v>12494934</v>
      </c>
      <c r="AP40" s="3">
        <v>48.66</v>
      </c>
      <c r="AQ40" s="3">
        <v>48.8</v>
      </c>
      <c r="AR40" s="3">
        <v>48.28</v>
      </c>
      <c r="AS40" s="3">
        <v>48.39</v>
      </c>
      <c r="AT40" s="3">
        <v>6299199</v>
      </c>
      <c r="AU40" s="3">
        <v>41.67</v>
      </c>
      <c r="AV40" s="3">
        <v>41.69</v>
      </c>
      <c r="AW40" s="3">
        <v>41.29</v>
      </c>
      <c r="AX40" s="3">
        <v>41.4</v>
      </c>
      <c r="AY40" s="3">
        <v>11382948</v>
      </c>
      <c r="AZ40" s="3">
        <v>41.77</v>
      </c>
      <c r="BA40" s="3">
        <v>41.81</v>
      </c>
      <c r="BB40" s="3">
        <v>41.37</v>
      </c>
      <c r="BC40" s="3">
        <v>41.46</v>
      </c>
      <c r="BD40" s="3">
        <v>11108737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</row>
    <row r="41" spans="1:61" ht="13" x14ac:dyDescent="0.15">
      <c r="A41" s="3">
        <v>42186</v>
      </c>
      <c r="B41" s="3">
        <v>2067</v>
      </c>
      <c r="C41" s="3">
        <v>2082.7800000000002</v>
      </c>
      <c r="D41" s="3">
        <v>2067</v>
      </c>
      <c r="E41" s="3">
        <v>2077.42</v>
      </c>
      <c r="F41" s="3">
        <v>531751257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3">
        <v>77.13</v>
      </c>
      <c r="M41" s="3">
        <v>77.37</v>
      </c>
      <c r="N41" s="3">
        <v>76.959999999999994</v>
      </c>
      <c r="O41" s="3">
        <v>77.349999999999994</v>
      </c>
      <c r="P41" s="3">
        <v>6022567</v>
      </c>
      <c r="Q41" s="3">
        <v>47.92</v>
      </c>
      <c r="R41" s="3">
        <v>48.21</v>
      </c>
      <c r="S41" s="3">
        <v>47.72</v>
      </c>
      <c r="T41" s="3">
        <v>48.21</v>
      </c>
      <c r="U41" s="3">
        <v>6859599</v>
      </c>
      <c r="V41" s="3">
        <v>75.31</v>
      </c>
      <c r="W41" s="3">
        <v>75.34</v>
      </c>
      <c r="X41" s="3">
        <v>73.900000000000006</v>
      </c>
      <c r="Y41" s="3">
        <v>74.2</v>
      </c>
      <c r="Z41" s="3">
        <v>13910120</v>
      </c>
      <c r="AA41" s="3">
        <v>20.11</v>
      </c>
      <c r="AB41" s="3">
        <v>20.149999999999999</v>
      </c>
      <c r="AC41" s="3">
        <v>19.98</v>
      </c>
      <c r="AD41" s="3">
        <v>20.100000000000001</v>
      </c>
      <c r="AE41" s="3">
        <v>42546763</v>
      </c>
      <c r="AF41" s="3">
        <v>75.16</v>
      </c>
      <c r="AG41" s="3">
        <v>75.260000000000005</v>
      </c>
      <c r="AH41" s="3">
        <v>74.75</v>
      </c>
      <c r="AI41" s="3">
        <v>75.19</v>
      </c>
      <c r="AJ41" s="3">
        <v>7756536</v>
      </c>
      <c r="AK41" s="3">
        <v>54.6</v>
      </c>
      <c r="AL41" s="3">
        <v>54.7</v>
      </c>
      <c r="AM41" s="3">
        <v>54.06</v>
      </c>
      <c r="AN41" s="3">
        <v>54.33</v>
      </c>
      <c r="AO41" s="3">
        <v>10981592</v>
      </c>
      <c r="AP41" s="3">
        <v>48.87</v>
      </c>
      <c r="AQ41" s="3">
        <v>48.89</v>
      </c>
      <c r="AR41" s="3">
        <v>48.53</v>
      </c>
      <c r="AS41" s="3">
        <v>48.66</v>
      </c>
      <c r="AT41" s="3">
        <v>5416286</v>
      </c>
      <c r="AU41" s="3">
        <v>41.77</v>
      </c>
      <c r="AV41" s="3">
        <v>41.86</v>
      </c>
      <c r="AW41" s="3">
        <v>41.5</v>
      </c>
      <c r="AX41" s="3">
        <v>41.68</v>
      </c>
      <c r="AY41" s="3">
        <v>8149497</v>
      </c>
      <c r="AZ41" s="3">
        <v>41.51</v>
      </c>
      <c r="BA41" s="3">
        <v>41.72</v>
      </c>
      <c r="BB41" s="3">
        <v>41.4</v>
      </c>
      <c r="BC41" s="3">
        <v>41.71</v>
      </c>
      <c r="BD41" s="3">
        <v>11251781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</row>
    <row r="42" spans="1:61" ht="13" x14ac:dyDescent="0.15">
      <c r="A42" s="3">
        <v>42187</v>
      </c>
      <c r="B42" s="3">
        <v>2078.0300000000002</v>
      </c>
      <c r="C42" s="3">
        <v>2085.06</v>
      </c>
      <c r="D42" s="3">
        <v>2071.02</v>
      </c>
      <c r="E42" s="3">
        <v>2076.7800000000002</v>
      </c>
      <c r="F42" s="3">
        <v>484440239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3">
        <v>77.58</v>
      </c>
      <c r="M42" s="3">
        <v>77.819999999999993</v>
      </c>
      <c r="N42" s="3">
        <v>76.97</v>
      </c>
      <c r="O42" s="3">
        <v>77.2</v>
      </c>
      <c r="P42" s="3">
        <v>6258889</v>
      </c>
      <c r="Q42" s="3">
        <v>48.24</v>
      </c>
      <c r="R42" s="3">
        <v>48.43</v>
      </c>
      <c r="S42" s="3">
        <v>48.03</v>
      </c>
      <c r="T42" s="3">
        <v>48.17</v>
      </c>
      <c r="U42" s="3">
        <v>6956570</v>
      </c>
      <c r="V42" s="3">
        <v>74.400000000000006</v>
      </c>
      <c r="W42" s="3">
        <v>74.930000000000007</v>
      </c>
      <c r="X42" s="3">
        <v>74.34</v>
      </c>
      <c r="Y42" s="3">
        <v>74.53</v>
      </c>
      <c r="Z42" s="3">
        <v>9700239</v>
      </c>
      <c r="AA42" s="3">
        <v>20.09</v>
      </c>
      <c r="AB42" s="3">
        <v>20.14</v>
      </c>
      <c r="AC42" s="3">
        <v>19.93</v>
      </c>
      <c r="AD42" s="3">
        <v>20.010000000000002</v>
      </c>
      <c r="AE42" s="3">
        <v>19562536</v>
      </c>
      <c r="AF42" s="3">
        <v>75.36</v>
      </c>
      <c r="AG42" s="3">
        <v>75.41</v>
      </c>
      <c r="AH42" s="3">
        <v>74.69</v>
      </c>
      <c r="AI42" s="3">
        <v>74.84</v>
      </c>
      <c r="AJ42" s="3">
        <v>5678771</v>
      </c>
      <c r="AK42" s="3">
        <v>54.48</v>
      </c>
      <c r="AL42" s="3">
        <v>54.52</v>
      </c>
      <c r="AM42" s="3">
        <v>54.13</v>
      </c>
      <c r="AN42" s="3">
        <v>54.23</v>
      </c>
      <c r="AO42" s="3">
        <v>10477834</v>
      </c>
      <c r="AP42" s="3">
        <v>48.73</v>
      </c>
      <c r="AQ42" s="3">
        <v>48.84</v>
      </c>
      <c r="AR42" s="3">
        <v>48.33</v>
      </c>
      <c r="AS42" s="3">
        <v>48.51</v>
      </c>
      <c r="AT42" s="3">
        <v>5138327</v>
      </c>
      <c r="AU42" s="3">
        <v>41.8</v>
      </c>
      <c r="AV42" s="3">
        <v>41.88</v>
      </c>
      <c r="AW42" s="3">
        <v>41.58</v>
      </c>
      <c r="AX42" s="3">
        <v>41.74</v>
      </c>
      <c r="AY42" s="3">
        <v>5160664</v>
      </c>
      <c r="AZ42" s="3">
        <v>41.99</v>
      </c>
      <c r="BA42" s="3">
        <v>42.36</v>
      </c>
      <c r="BB42" s="3">
        <v>41.9</v>
      </c>
      <c r="BC42" s="3">
        <v>42.23</v>
      </c>
      <c r="BD42" s="3">
        <v>9575445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</row>
    <row r="43" spans="1:61" ht="13" x14ac:dyDescent="0.15">
      <c r="A43" s="3">
        <v>42191</v>
      </c>
      <c r="B43" s="3">
        <v>2073.9499999999998</v>
      </c>
      <c r="C43" s="3">
        <v>2078.61</v>
      </c>
      <c r="D43" s="3">
        <v>2058.4</v>
      </c>
      <c r="E43" s="3">
        <v>2068.7600000000002</v>
      </c>
      <c r="F43" s="3">
        <v>586209073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3">
        <v>76.67</v>
      </c>
      <c r="M43" s="3">
        <v>77.569999999999993</v>
      </c>
      <c r="N43" s="3">
        <v>76.5</v>
      </c>
      <c r="O43" s="3">
        <v>77.05</v>
      </c>
      <c r="P43" s="3">
        <v>4049663</v>
      </c>
      <c r="Q43" s="3">
        <v>47.85</v>
      </c>
      <c r="R43" s="3">
        <v>48.31</v>
      </c>
      <c r="S43" s="3">
        <v>47.8</v>
      </c>
      <c r="T43" s="3">
        <v>48.13</v>
      </c>
      <c r="U43" s="3">
        <v>8740692</v>
      </c>
      <c r="V43" s="3">
        <v>73.55</v>
      </c>
      <c r="W43" s="3">
        <v>74.260000000000005</v>
      </c>
      <c r="X43" s="3">
        <v>73.239999999999995</v>
      </c>
      <c r="Y43" s="3">
        <v>73.55</v>
      </c>
      <c r="Z43" s="3">
        <v>13509147</v>
      </c>
      <c r="AA43" s="3">
        <v>19.78</v>
      </c>
      <c r="AB43" s="3">
        <v>19.98</v>
      </c>
      <c r="AC43" s="3">
        <v>19.760000000000002</v>
      </c>
      <c r="AD43" s="3">
        <v>19.93</v>
      </c>
      <c r="AE43" s="3">
        <v>26989358</v>
      </c>
      <c r="AF43" s="3">
        <v>74.14</v>
      </c>
      <c r="AG43" s="3">
        <v>75.28</v>
      </c>
      <c r="AH43" s="3">
        <v>74.14</v>
      </c>
      <c r="AI43" s="3">
        <v>74.81</v>
      </c>
      <c r="AJ43" s="3">
        <v>9352585</v>
      </c>
      <c r="AK43" s="3">
        <v>53.86</v>
      </c>
      <c r="AL43" s="3">
        <v>54.38</v>
      </c>
      <c r="AM43" s="3">
        <v>53.77</v>
      </c>
      <c r="AN43" s="3">
        <v>54.02</v>
      </c>
      <c r="AO43" s="3">
        <v>10782511</v>
      </c>
      <c r="AP43" s="3">
        <v>48.11</v>
      </c>
      <c r="AQ43" s="3">
        <v>48.57</v>
      </c>
      <c r="AR43" s="3">
        <v>47.84</v>
      </c>
      <c r="AS43" s="3">
        <v>48.11</v>
      </c>
      <c r="AT43" s="3">
        <v>6435337</v>
      </c>
      <c r="AU43" s="3">
        <v>41.45</v>
      </c>
      <c r="AV43" s="3">
        <v>41.76</v>
      </c>
      <c r="AW43" s="3">
        <v>41.34</v>
      </c>
      <c r="AX43" s="3">
        <v>41.57</v>
      </c>
      <c r="AY43" s="3">
        <v>7509025</v>
      </c>
      <c r="AZ43" s="3">
        <v>42.17</v>
      </c>
      <c r="BA43" s="3">
        <v>42.51</v>
      </c>
      <c r="BB43" s="3">
        <v>42.02</v>
      </c>
      <c r="BC43" s="3">
        <v>42.4</v>
      </c>
      <c r="BD43" s="3">
        <v>13998153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</row>
    <row r="44" spans="1:61" ht="13" x14ac:dyDescent="0.15">
      <c r="A44" s="3">
        <v>42192</v>
      </c>
      <c r="B44" s="3">
        <v>2069.52</v>
      </c>
      <c r="C44" s="3">
        <v>2083.7399999999998</v>
      </c>
      <c r="D44" s="3">
        <v>2044.02</v>
      </c>
      <c r="E44" s="3">
        <v>2081.34</v>
      </c>
      <c r="F44" s="3">
        <v>624382379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3">
        <v>77.13</v>
      </c>
      <c r="M44" s="3">
        <v>77.73</v>
      </c>
      <c r="N44" s="3">
        <v>76.2</v>
      </c>
      <c r="O44" s="3">
        <v>77.72</v>
      </c>
      <c r="P44" s="3">
        <v>6961719</v>
      </c>
      <c r="Q44" s="3">
        <v>48.26</v>
      </c>
      <c r="R44" s="3">
        <v>49.16</v>
      </c>
      <c r="S44" s="3">
        <v>48.1</v>
      </c>
      <c r="T44" s="3">
        <v>49.12</v>
      </c>
      <c r="U44" s="3">
        <v>17427002</v>
      </c>
      <c r="V44" s="3">
        <v>73.260000000000005</v>
      </c>
      <c r="W44" s="3">
        <v>74.48</v>
      </c>
      <c r="X44" s="3">
        <v>72.430000000000007</v>
      </c>
      <c r="Y44" s="3">
        <v>74.22</v>
      </c>
      <c r="Z44" s="3">
        <v>20686087</v>
      </c>
      <c r="AA44" s="3">
        <v>19.899999999999999</v>
      </c>
      <c r="AB44" s="3">
        <v>19.98</v>
      </c>
      <c r="AC44" s="3">
        <v>19.59</v>
      </c>
      <c r="AD44" s="3">
        <v>19.97</v>
      </c>
      <c r="AE44" s="3">
        <v>51240855</v>
      </c>
      <c r="AF44" s="3">
        <v>74.91</v>
      </c>
      <c r="AG44" s="3">
        <v>75.17</v>
      </c>
      <c r="AH44" s="3">
        <v>73.89</v>
      </c>
      <c r="AI44" s="3">
        <v>75.17</v>
      </c>
      <c r="AJ44" s="3">
        <v>10653269</v>
      </c>
      <c r="AK44" s="3">
        <v>53.94</v>
      </c>
      <c r="AL44" s="3">
        <v>54.49</v>
      </c>
      <c r="AM44" s="3">
        <v>53.45</v>
      </c>
      <c r="AN44" s="3">
        <v>54.46</v>
      </c>
      <c r="AO44" s="3">
        <v>16635985</v>
      </c>
      <c r="AP44" s="3">
        <v>48</v>
      </c>
      <c r="AQ44" s="3">
        <v>48.11</v>
      </c>
      <c r="AR44" s="3">
        <v>47.13</v>
      </c>
      <c r="AS44" s="3">
        <v>47.95</v>
      </c>
      <c r="AT44" s="3">
        <v>6859147</v>
      </c>
      <c r="AU44" s="3">
        <v>41.65</v>
      </c>
      <c r="AV44" s="3">
        <v>41.69</v>
      </c>
      <c r="AW44" s="3">
        <v>40.85</v>
      </c>
      <c r="AX44" s="3">
        <v>41.63</v>
      </c>
      <c r="AY44" s="3">
        <v>19659913</v>
      </c>
      <c r="AZ44" s="3">
        <v>42.54</v>
      </c>
      <c r="BA44" s="3">
        <v>43.62</v>
      </c>
      <c r="BB44" s="3">
        <v>42.54</v>
      </c>
      <c r="BC44" s="3">
        <v>43.45</v>
      </c>
      <c r="BD44" s="3">
        <v>26118315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</row>
    <row r="45" spans="1:61" ht="13" x14ac:dyDescent="0.15">
      <c r="A45" s="3">
        <v>42193</v>
      </c>
      <c r="B45" s="3">
        <v>2077.66</v>
      </c>
      <c r="C45" s="3">
        <v>2077.66</v>
      </c>
      <c r="D45" s="3">
        <v>2044.66</v>
      </c>
      <c r="E45" s="3">
        <v>2046.68</v>
      </c>
      <c r="F45" s="3">
        <v>372276830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3">
        <v>77.099999999999994</v>
      </c>
      <c r="M45" s="3">
        <v>77.290000000000006</v>
      </c>
      <c r="N45" s="3">
        <v>76.14</v>
      </c>
      <c r="O45" s="3">
        <v>76.239999999999995</v>
      </c>
      <c r="P45" s="3">
        <v>6825260</v>
      </c>
      <c r="Q45" s="3">
        <v>48.7</v>
      </c>
      <c r="R45" s="3">
        <v>48.93</v>
      </c>
      <c r="S45" s="3">
        <v>48.54</v>
      </c>
      <c r="T45" s="3">
        <v>48.57</v>
      </c>
      <c r="U45" s="3">
        <v>11754345</v>
      </c>
      <c r="V45" s="3">
        <v>73.709999999999994</v>
      </c>
      <c r="W45" s="3">
        <v>74.22</v>
      </c>
      <c r="X45" s="3">
        <v>72.42</v>
      </c>
      <c r="Y45" s="3">
        <v>72.72</v>
      </c>
      <c r="Z45" s="3">
        <v>16521292</v>
      </c>
      <c r="AA45" s="3">
        <v>19.7</v>
      </c>
      <c r="AB45" s="3">
        <v>19.829999999999998</v>
      </c>
      <c r="AC45" s="3">
        <v>19.59</v>
      </c>
      <c r="AD45" s="3">
        <v>19.62</v>
      </c>
      <c r="AE45" s="3">
        <v>46132714</v>
      </c>
      <c r="AF45" s="3">
        <v>74.569999999999993</v>
      </c>
      <c r="AG45" s="3">
        <v>74.8</v>
      </c>
      <c r="AH45" s="3">
        <v>73.86</v>
      </c>
      <c r="AI45" s="3">
        <v>73.88</v>
      </c>
      <c r="AJ45" s="3">
        <v>13074865</v>
      </c>
      <c r="AK45" s="3">
        <v>53.92</v>
      </c>
      <c r="AL45" s="3">
        <v>54.08</v>
      </c>
      <c r="AM45" s="3">
        <v>53.35</v>
      </c>
      <c r="AN45" s="3">
        <v>53.48</v>
      </c>
      <c r="AO45" s="3">
        <v>12608911</v>
      </c>
      <c r="AP45" s="3">
        <v>47.55</v>
      </c>
      <c r="AQ45" s="3">
        <v>47.69</v>
      </c>
      <c r="AR45" s="3">
        <v>46.86</v>
      </c>
      <c r="AS45" s="3">
        <v>46.9</v>
      </c>
      <c r="AT45" s="3">
        <v>7490816</v>
      </c>
      <c r="AU45" s="3">
        <v>41.29</v>
      </c>
      <c r="AV45" s="3">
        <v>41.38</v>
      </c>
      <c r="AW45" s="3">
        <v>40.93</v>
      </c>
      <c r="AX45" s="3">
        <v>40.950000000000003</v>
      </c>
      <c r="AY45" s="3">
        <v>16160046</v>
      </c>
      <c r="AZ45" s="3">
        <v>43.3</v>
      </c>
      <c r="BA45" s="3">
        <v>43.57</v>
      </c>
      <c r="BB45" s="3">
        <v>43.14</v>
      </c>
      <c r="BC45" s="3">
        <v>43.22</v>
      </c>
      <c r="BD45" s="3">
        <v>15496809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</row>
    <row r="46" spans="1:61" ht="13" x14ac:dyDescent="0.15">
      <c r="A46" s="3">
        <v>42194</v>
      </c>
      <c r="B46" s="3">
        <v>2049.73</v>
      </c>
      <c r="C46" s="3">
        <v>2074.2800000000002</v>
      </c>
      <c r="D46" s="3">
        <v>2049.73</v>
      </c>
      <c r="E46" s="3">
        <v>2051.31</v>
      </c>
      <c r="F46" s="3">
        <v>553570988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3">
        <v>77</v>
      </c>
      <c r="M46" s="3">
        <v>77.349999999999994</v>
      </c>
      <c r="N46" s="3">
        <v>76.489999999999995</v>
      </c>
      <c r="O46" s="3">
        <v>76.56</v>
      </c>
      <c r="P46" s="3">
        <v>5927672</v>
      </c>
      <c r="Q46" s="3">
        <v>49.16</v>
      </c>
      <c r="R46" s="3">
        <v>49.25</v>
      </c>
      <c r="S46" s="3">
        <v>48.61</v>
      </c>
      <c r="T46" s="3">
        <v>48.61</v>
      </c>
      <c r="U46" s="3">
        <v>8359924</v>
      </c>
      <c r="V46" s="3">
        <v>73.72</v>
      </c>
      <c r="W46" s="3">
        <v>74.03</v>
      </c>
      <c r="X46" s="3">
        <v>73.09</v>
      </c>
      <c r="Y46" s="3">
        <v>73.09</v>
      </c>
      <c r="Z46" s="3">
        <v>11956038</v>
      </c>
      <c r="AA46" s="3">
        <v>19.899999999999999</v>
      </c>
      <c r="AB46" s="3">
        <v>19.93</v>
      </c>
      <c r="AC46" s="3">
        <v>19.73</v>
      </c>
      <c r="AD46" s="3">
        <v>19.77</v>
      </c>
      <c r="AE46" s="3">
        <v>25375007</v>
      </c>
      <c r="AF46" s="3">
        <v>74.680000000000007</v>
      </c>
      <c r="AG46" s="3">
        <v>74.87</v>
      </c>
      <c r="AH46" s="3">
        <v>74.239999999999995</v>
      </c>
      <c r="AI46" s="3">
        <v>74.28</v>
      </c>
      <c r="AJ46" s="3">
        <v>6654595</v>
      </c>
      <c r="AK46" s="3">
        <v>54.01</v>
      </c>
      <c r="AL46" s="3">
        <v>54.26</v>
      </c>
      <c r="AM46" s="3">
        <v>53.61</v>
      </c>
      <c r="AN46" s="3">
        <v>53.61</v>
      </c>
      <c r="AO46" s="3">
        <v>8918189</v>
      </c>
      <c r="AP46" s="3">
        <v>47.59</v>
      </c>
      <c r="AQ46" s="3">
        <v>47.65</v>
      </c>
      <c r="AR46" s="3">
        <v>47.03</v>
      </c>
      <c r="AS46" s="3">
        <v>47.04</v>
      </c>
      <c r="AT46" s="3">
        <v>4903810</v>
      </c>
      <c r="AU46" s="3">
        <v>41.42</v>
      </c>
      <c r="AV46" s="3">
        <v>41.53</v>
      </c>
      <c r="AW46" s="3">
        <v>40.79</v>
      </c>
      <c r="AX46" s="3">
        <v>40.79</v>
      </c>
      <c r="AY46" s="3">
        <v>8993801</v>
      </c>
      <c r="AZ46" s="3">
        <v>43.35</v>
      </c>
      <c r="BA46" s="3">
        <v>43.45</v>
      </c>
      <c r="BB46" s="3">
        <v>42.6</v>
      </c>
      <c r="BC46" s="3">
        <v>42.74</v>
      </c>
      <c r="BD46" s="3">
        <v>15575996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</row>
    <row r="47" spans="1:61" ht="13" x14ac:dyDescent="0.15">
      <c r="A47" s="3">
        <v>42195</v>
      </c>
      <c r="B47" s="3">
        <v>2052.7399999999998</v>
      </c>
      <c r="C47" s="3">
        <v>2081.31</v>
      </c>
      <c r="D47" s="3">
        <v>2052.7399999999998</v>
      </c>
      <c r="E47" s="3">
        <v>2076.62</v>
      </c>
      <c r="F47" s="3">
        <v>487492213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3">
        <v>77.319999999999993</v>
      </c>
      <c r="M47" s="3">
        <v>77.83</v>
      </c>
      <c r="N47" s="3">
        <v>77.13</v>
      </c>
      <c r="O47" s="3">
        <v>77.67</v>
      </c>
      <c r="P47" s="3">
        <v>4658306</v>
      </c>
      <c r="Q47" s="3">
        <v>49.06</v>
      </c>
      <c r="R47" s="3">
        <v>49.3</v>
      </c>
      <c r="S47" s="3">
        <v>49.01</v>
      </c>
      <c r="T47" s="3">
        <v>49.18</v>
      </c>
      <c r="U47" s="3">
        <v>7782475</v>
      </c>
      <c r="V47" s="3">
        <v>73.53</v>
      </c>
      <c r="W47" s="3">
        <v>73.989999999999995</v>
      </c>
      <c r="X47" s="3">
        <v>73.13</v>
      </c>
      <c r="Y47" s="3">
        <v>73.489999999999995</v>
      </c>
      <c r="Z47" s="3">
        <v>13250366</v>
      </c>
      <c r="AA47" s="3">
        <v>20.05</v>
      </c>
      <c r="AB47" s="3">
        <v>20.059999999999999</v>
      </c>
      <c r="AC47" s="3">
        <v>19.920000000000002</v>
      </c>
      <c r="AD47" s="3">
        <v>20.010000000000002</v>
      </c>
      <c r="AE47" s="3">
        <v>29342483</v>
      </c>
      <c r="AF47" s="3">
        <v>75.209999999999994</v>
      </c>
      <c r="AG47" s="3">
        <v>75.37</v>
      </c>
      <c r="AH47" s="3">
        <v>74.78</v>
      </c>
      <c r="AI47" s="3">
        <v>75.28</v>
      </c>
      <c r="AJ47" s="3">
        <v>8059479</v>
      </c>
      <c r="AK47" s="3">
        <v>54.14</v>
      </c>
      <c r="AL47" s="3">
        <v>54.37</v>
      </c>
      <c r="AM47" s="3">
        <v>53.96</v>
      </c>
      <c r="AN47" s="3">
        <v>54.17</v>
      </c>
      <c r="AO47" s="3">
        <v>8348005</v>
      </c>
      <c r="AP47" s="3">
        <v>47.57</v>
      </c>
      <c r="AQ47" s="3">
        <v>47.8</v>
      </c>
      <c r="AR47" s="3">
        <v>47.45</v>
      </c>
      <c r="AS47" s="3">
        <v>47.7</v>
      </c>
      <c r="AT47" s="3">
        <v>3804160</v>
      </c>
      <c r="AU47" s="3">
        <v>41.31</v>
      </c>
      <c r="AV47" s="3">
        <v>41.58</v>
      </c>
      <c r="AW47" s="3">
        <v>41.21</v>
      </c>
      <c r="AX47" s="3">
        <v>41.44</v>
      </c>
      <c r="AY47" s="3">
        <v>6748349</v>
      </c>
      <c r="AZ47" s="3">
        <v>42.76</v>
      </c>
      <c r="BA47" s="3">
        <v>43.28</v>
      </c>
      <c r="BB47" s="3">
        <v>42.62</v>
      </c>
      <c r="BC47" s="3">
        <v>42.97</v>
      </c>
      <c r="BD47" s="3">
        <v>12405102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</row>
    <row r="48" spans="1:61" ht="13" x14ac:dyDescent="0.15">
      <c r="A48" s="3">
        <v>42198</v>
      </c>
      <c r="B48" s="3">
        <v>2080.0300000000002</v>
      </c>
      <c r="C48" s="3">
        <v>2100.67</v>
      </c>
      <c r="D48" s="3">
        <v>2080.0300000000002</v>
      </c>
      <c r="E48" s="3">
        <v>2099.6</v>
      </c>
      <c r="F48" s="3">
        <v>504047608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3">
        <v>78.22</v>
      </c>
      <c r="M48" s="3">
        <v>78.84</v>
      </c>
      <c r="N48" s="3">
        <v>78.22</v>
      </c>
      <c r="O48" s="3">
        <v>78.790000000000006</v>
      </c>
      <c r="P48" s="3">
        <v>6064712</v>
      </c>
      <c r="Q48" s="3">
        <v>49.41</v>
      </c>
      <c r="R48" s="3">
        <v>49.66</v>
      </c>
      <c r="S48" s="3">
        <v>49.41</v>
      </c>
      <c r="T48" s="3">
        <v>49.64</v>
      </c>
      <c r="U48" s="3">
        <v>7031821</v>
      </c>
      <c r="V48" s="3">
        <v>73.739999999999995</v>
      </c>
      <c r="W48" s="3">
        <v>74.19</v>
      </c>
      <c r="X48" s="3">
        <v>73.540000000000006</v>
      </c>
      <c r="Y48" s="3">
        <v>74.010000000000005</v>
      </c>
      <c r="Z48" s="3">
        <v>14358752</v>
      </c>
      <c r="AA48" s="3">
        <v>20.18</v>
      </c>
      <c r="AB48" s="3">
        <v>20.25</v>
      </c>
      <c r="AC48" s="3">
        <v>20.14</v>
      </c>
      <c r="AD48" s="3">
        <v>20.25</v>
      </c>
      <c r="AE48" s="3">
        <v>33461568</v>
      </c>
      <c r="AF48" s="3">
        <v>75.819999999999993</v>
      </c>
      <c r="AG48" s="3">
        <v>76.08</v>
      </c>
      <c r="AH48" s="3">
        <v>75.61</v>
      </c>
      <c r="AI48" s="3">
        <v>75.92</v>
      </c>
      <c r="AJ48" s="3">
        <v>7815118</v>
      </c>
      <c r="AK48" s="3">
        <v>54.53</v>
      </c>
      <c r="AL48" s="3">
        <v>54.8</v>
      </c>
      <c r="AM48" s="3">
        <v>54.53</v>
      </c>
      <c r="AN48" s="3">
        <v>54.77</v>
      </c>
      <c r="AO48" s="3">
        <v>6754573</v>
      </c>
      <c r="AP48" s="3">
        <v>48</v>
      </c>
      <c r="AQ48" s="3">
        <v>48.27</v>
      </c>
      <c r="AR48" s="3">
        <v>47.92</v>
      </c>
      <c r="AS48" s="3">
        <v>48.22</v>
      </c>
      <c r="AT48" s="3">
        <v>2899932</v>
      </c>
      <c r="AU48" s="3">
        <v>41.7</v>
      </c>
      <c r="AV48" s="3">
        <v>42.1</v>
      </c>
      <c r="AW48" s="3">
        <v>41.69</v>
      </c>
      <c r="AX48" s="3">
        <v>42.07</v>
      </c>
      <c r="AY48" s="3">
        <v>7071532</v>
      </c>
      <c r="AZ48" s="3">
        <v>43.09</v>
      </c>
      <c r="BA48" s="3">
        <v>43.27</v>
      </c>
      <c r="BB48" s="3">
        <v>42.73</v>
      </c>
      <c r="BC48" s="3">
        <v>42.99</v>
      </c>
      <c r="BD48" s="3">
        <v>8584709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</row>
    <row r="49" spans="1:61" ht="13" x14ac:dyDescent="0.15">
      <c r="A49" s="3">
        <v>42199</v>
      </c>
      <c r="B49" s="3">
        <v>2099.7199999999998</v>
      </c>
      <c r="C49" s="3">
        <v>2111.98</v>
      </c>
      <c r="D49" s="3">
        <v>2098.1799999999998</v>
      </c>
      <c r="E49" s="3">
        <v>2108.9499999999998</v>
      </c>
      <c r="F49" s="3">
        <v>501243649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3">
        <v>78.97</v>
      </c>
      <c r="M49" s="3">
        <v>79.03</v>
      </c>
      <c r="N49" s="3">
        <v>78.72</v>
      </c>
      <c r="O49" s="3">
        <v>78.89</v>
      </c>
      <c r="P49" s="3">
        <v>3751024</v>
      </c>
      <c r="Q49" s="3">
        <v>49.65</v>
      </c>
      <c r="R49" s="3">
        <v>49.74</v>
      </c>
      <c r="S49" s="3">
        <v>49.56</v>
      </c>
      <c r="T49" s="3">
        <v>49.72</v>
      </c>
      <c r="U49" s="3">
        <v>6858313</v>
      </c>
      <c r="V49" s="3">
        <v>73.8</v>
      </c>
      <c r="W49" s="3">
        <v>74.84</v>
      </c>
      <c r="X49" s="3">
        <v>73.77</v>
      </c>
      <c r="Y49" s="3">
        <v>74.540000000000006</v>
      </c>
      <c r="Z49" s="3">
        <v>12654247</v>
      </c>
      <c r="AA49" s="3">
        <v>20.190000000000001</v>
      </c>
      <c r="AB49" s="3">
        <v>20.34</v>
      </c>
      <c r="AC49" s="3">
        <v>20.149999999999999</v>
      </c>
      <c r="AD49" s="3">
        <v>20.3</v>
      </c>
      <c r="AE49" s="3">
        <v>22495511</v>
      </c>
      <c r="AF49" s="3">
        <v>75.959999999999994</v>
      </c>
      <c r="AG49" s="3">
        <v>76.78</v>
      </c>
      <c r="AH49" s="3">
        <v>75.790000000000006</v>
      </c>
      <c r="AI49" s="3">
        <v>76.680000000000007</v>
      </c>
      <c r="AJ49" s="3">
        <v>5831836</v>
      </c>
      <c r="AK49" s="3">
        <v>54.71</v>
      </c>
      <c r="AL49" s="3">
        <v>55.01</v>
      </c>
      <c r="AM49" s="3">
        <v>54.61</v>
      </c>
      <c r="AN49" s="3">
        <v>54.92</v>
      </c>
      <c r="AO49" s="3">
        <v>9130440</v>
      </c>
      <c r="AP49" s="3">
        <v>48.08</v>
      </c>
      <c r="AQ49" s="3">
        <v>48.59</v>
      </c>
      <c r="AR49" s="3">
        <v>48.08</v>
      </c>
      <c r="AS49" s="3">
        <v>48.49</v>
      </c>
      <c r="AT49" s="3">
        <v>2444527</v>
      </c>
      <c r="AU49" s="3">
        <v>42.08</v>
      </c>
      <c r="AV49" s="3">
        <v>42.34</v>
      </c>
      <c r="AW49" s="3">
        <v>42.06</v>
      </c>
      <c r="AX49" s="3">
        <v>42.23</v>
      </c>
      <c r="AY49" s="3">
        <v>6126352</v>
      </c>
      <c r="AZ49" s="3">
        <v>42.94</v>
      </c>
      <c r="BA49" s="3">
        <v>43.23</v>
      </c>
      <c r="BB49" s="3">
        <v>42.8</v>
      </c>
      <c r="BC49" s="3">
        <v>42.93</v>
      </c>
      <c r="BD49" s="3">
        <v>6821231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</row>
    <row r="50" spans="1:61" ht="13" x14ac:dyDescent="0.15">
      <c r="A50" s="3">
        <v>42200</v>
      </c>
      <c r="B50" s="3">
        <v>2109.0100000000002</v>
      </c>
      <c r="C50" s="3">
        <v>2114.14</v>
      </c>
      <c r="D50" s="3">
        <v>2102.4899999999998</v>
      </c>
      <c r="E50" s="3">
        <v>2107.4</v>
      </c>
      <c r="F50" s="3">
        <v>538810633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3">
        <v>78.930000000000007</v>
      </c>
      <c r="M50" s="3">
        <v>79.010000000000005</v>
      </c>
      <c r="N50" s="3">
        <v>78.63</v>
      </c>
      <c r="O50" s="3">
        <v>78.81</v>
      </c>
      <c r="P50" s="3">
        <v>2714320</v>
      </c>
      <c r="Q50" s="3">
        <v>49.71</v>
      </c>
      <c r="R50" s="3">
        <v>49.73</v>
      </c>
      <c r="S50" s="3">
        <v>49.49</v>
      </c>
      <c r="T50" s="3">
        <v>49.59</v>
      </c>
      <c r="U50" s="3">
        <v>5980479</v>
      </c>
      <c r="V50" s="3">
        <v>74.16</v>
      </c>
      <c r="W50" s="3">
        <v>74.53</v>
      </c>
      <c r="X50" s="3">
        <v>72.97</v>
      </c>
      <c r="Y50" s="3">
        <v>73.23</v>
      </c>
      <c r="Z50" s="3">
        <v>12708285</v>
      </c>
      <c r="AA50" s="3">
        <v>20.399999999999999</v>
      </c>
      <c r="AB50" s="3">
        <v>20.5</v>
      </c>
      <c r="AC50" s="3">
        <v>20.329999999999998</v>
      </c>
      <c r="AD50" s="3">
        <v>20.47</v>
      </c>
      <c r="AE50" s="3">
        <v>50496282</v>
      </c>
      <c r="AF50" s="3">
        <v>76.92</v>
      </c>
      <c r="AG50" s="3">
        <v>77.260000000000005</v>
      </c>
      <c r="AH50" s="3">
        <v>76.56</v>
      </c>
      <c r="AI50" s="3">
        <v>76.78</v>
      </c>
      <c r="AJ50" s="3">
        <v>6994934</v>
      </c>
      <c r="AK50" s="3">
        <v>54.93</v>
      </c>
      <c r="AL50" s="3">
        <v>54.94</v>
      </c>
      <c r="AM50" s="3">
        <v>54.58</v>
      </c>
      <c r="AN50" s="3">
        <v>54.69</v>
      </c>
      <c r="AO50" s="3">
        <v>7249235</v>
      </c>
      <c r="AP50" s="3">
        <v>48.5</v>
      </c>
      <c r="AQ50" s="3">
        <v>48.52</v>
      </c>
      <c r="AR50" s="3">
        <v>47.99</v>
      </c>
      <c r="AS50" s="3">
        <v>48.11</v>
      </c>
      <c r="AT50" s="3">
        <v>3065938</v>
      </c>
      <c r="AU50" s="3">
        <v>42.21</v>
      </c>
      <c r="AV50" s="3">
        <v>42.37</v>
      </c>
      <c r="AW50" s="3">
        <v>42.12</v>
      </c>
      <c r="AX50" s="3">
        <v>42.24</v>
      </c>
      <c r="AY50" s="3">
        <v>6538481</v>
      </c>
      <c r="AZ50" s="3">
        <v>42.88</v>
      </c>
      <c r="BA50" s="3">
        <v>43.15</v>
      </c>
      <c r="BB50" s="3">
        <v>42.7</v>
      </c>
      <c r="BC50" s="3">
        <v>43.14</v>
      </c>
      <c r="BD50" s="3">
        <v>9900796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</row>
    <row r="51" spans="1:61" ht="13" x14ac:dyDescent="0.15">
      <c r="A51" s="3">
        <v>42201</v>
      </c>
      <c r="B51" s="3">
        <v>2110.5500000000002</v>
      </c>
      <c r="C51" s="3">
        <v>2124.42</v>
      </c>
      <c r="D51" s="3">
        <v>2110.5500000000002</v>
      </c>
      <c r="E51" s="3">
        <v>2124.29</v>
      </c>
      <c r="F51" s="3">
        <v>531489666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3">
        <v>79.36</v>
      </c>
      <c r="M51" s="3">
        <v>79.38</v>
      </c>
      <c r="N51" s="3">
        <v>78.900000000000006</v>
      </c>
      <c r="O51" s="3">
        <v>79.290000000000006</v>
      </c>
      <c r="P51" s="3">
        <v>3277435</v>
      </c>
      <c r="Q51" s="3">
        <v>49.84</v>
      </c>
      <c r="R51" s="3">
        <v>50.17</v>
      </c>
      <c r="S51" s="3">
        <v>49.78</v>
      </c>
      <c r="T51" s="3">
        <v>50.1</v>
      </c>
      <c r="U51" s="3">
        <v>4451157</v>
      </c>
      <c r="V51" s="3">
        <v>73.650000000000006</v>
      </c>
      <c r="W51" s="3">
        <v>73.87</v>
      </c>
      <c r="X51" s="3">
        <v>73.19</v>
      </c>
      <c r="Y51" s="3">
        <v>73.33</v>
      </c>
      <c r="Z51" s="3">
        <v>7860701</v>
      </c>
      <c r="AA51" s="3">
        <v>20.63</v>
      </c>
      <c r="AB51" s="3">
        <v>20.67</v>
      </c>
      <c r="AC51" s="3">
        <v>20.6</v>
      </c>
      <c r="AD51" s="3">
        <v>20.67</v>
      </c>
      <c r="AE51" s="3">
        <v>32316333</v>
      </c>
      <c r="AF51" s="3">
        <v>77.06</v>
      </c>
      <c r="AG51" s="3">
        <v>77.25</v>
      </c>
      <c r="AH51" s="3">
        <v>76.84</v>
      </c>
      <c r="AI51" s="3">
        <v>77.14</v>
      </c>
      <c r="AJ51" s="3">
        <v>5109242</v>
      </c>
      <c r="AK51" s="3">
        <v>55</v>
      </c>
      <c r="AL51" s="3">
        <v>55.11</v>
      </c>
      <c r="AM51" s="3">
        <v>54.84</v>
      </c>
      <c r="AN51" s="3">
        <v>54.94</v>
      </c>
      <c r="AO51" s="3">
        <v>8273040</v>
      </c>
      <c r="AP51" s="3">
        <v>47.99</v>
      </c>
      <c r="AQ51" s="3">
        <v>48.14</v>
      </c>
      <c r="AR51" s="3">
        <v>47.83</v>
      </c>
      <c r="AS51" s="3">
        <v>47.99</v>
      </c>
      <c r="AT51" s="3">
        <v>4581718</v>
      </c>
      <c r="AU51" s="3">
        <v>42.57</v>
      </c>
      <c r="AV51" s="3">
        <v>42.8</v>
      </c>
      <c r="AW51" s="3">
        <v>42.49</v>
      </c>
      <c r="AX51" s="3">
        <v>42.78</v>
      </c>
      <c r="AY51" s="3">
        <v>5206622</v>
      </c>
      <c r="AZ51" s="3">
        <v>43.14</v>
      </c>
      <c r="BA51" s="3">
        <v>43.85</v>
      </c>
      <c r="BB51" s="3">
        <v>43.08</v>
      </c>
      <c r="BC51" s="3">
        <v>43.78</v>
      </c>
      <c r="BD51" s="3">
        <v>12592698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</row>
    <row r="52" spans="1:61" ht="13" x14ac:dyDescent="0.15">
      <c r="A52" s="3">
        <v>42202</v>
      </c>
      <c r="B52" s="3">
        <v>2126.8000000000002</v>
      </c>
      <c r="C52" s="3">
        <v>2128.91</v>
      </c>
      <c r="D52" s="3">
        <v>2119.88</v>
      </c>
      <c r="E52" s="3">
        <v>2126.64</v>
      </c>
      <c r="F52" s="3">
        <v>626055481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3">
        <v>79.41</v>
      </c>
      <c r="M52" s="3">
        <v>79.42</v>
      </c>
      <c r="N52" s="3">
        <v>78.89</v>
      </c>
      <c r="O52" s="3">
        <v>79.150000000000006</v>
      </c>
      <c r="P52" s="3">
        <v>3244752</v>
      </c>
      <c r="Q52" s="3">
        <v>49.98</v>
      </c>
      <c r="R52" s="3">
        <v>50.08</v>
      </c>
      <c r="S52" s="3">
        <v>49.78</v>
      </c>
      <c r="T52" s="3">
        <v>50.07</v>
      </c>
      <c r="U52" s="3">
        <v>4874380</v>
      </c>
      <c r="V52" s="3">
        <v>73.260000000000005</v>
      </c>
      <c r="W52" s="3">
        <v>73.33</v>
      </c>
      <c r="X52" s="3">
        <v>72.2</v>
      </c>
      <c r="Y52" s="3">
        <v>72.44</v>
      </c>
      <c r="Z52" s="3">
        <v>14096029</v>
      </c>
      <c r="AA52" s="3">
        <v>20.66</v>
      </c>
      <c r="AB52" s="3">
        <v>20.68</v>
      </c>
      <c r="AC52" s="3">
        <v>20.53</v>
      </c>
      <c r="AD52" s="3">
        <v>20.62</v>
      </c>
      <c r="AE52" s="3">
        <v>18104610</v>
      </c>
      <c r="AF52" s="3">
        <v>77.05</v>
      </c>
      <c r="AG52" s="3">
        <v>77.069999999999993</v>
      </c>
      <c r="AH52" s="3">
        <v>76.66</v>
      </c>
      <c r="AI52" s="3">
        <v>76.97</v>
      </c>
      <c r="AJ52" s="3">
        <v>3877857</v>
      </c>
      <c r="AK52" s="3">
        <v>55.03</v>
      </c>
      <c r="AL52" s="3">
        <v>55.15</v>
      </c>
      <c r="AM52" s="3">
        <v>54.78</v>
      </c>
      <c r="AN52" s="3">
        <v>54.92</v>
      </c>
      <c r="AO52" s="3">
        <v>5506049</v>
      </c>
      <c r="AP52" s="3">
        <v>47.84</v>
      </c>
      <c r="AQ52" s="3">
        <v>47.97</v>
      </c>
      <c r="AR52" s="3">
        <v>47.41</v>
      </c>
      <c r="AS52" s="3">
        <v>47.66</v>
      </c>
      <c r="AT52" s="3">
        <v>7248481</v>
      </c>
      <c r="AU52" s="3">
        <v>43.15</v>
      </c>
      <c r="AV52" s="3">
        <v>43.44</v>
      </c>
      <c r="AW52" s="3">
        <v>43.09</v>
      </c>
      <c r="AX52" s="3">
        <v>43.44</v>
      </c>
      <c r="AY52" s="3">
        <v>7775002</v>
      </c>
      <c r="AZ52" s="3">
        <v>43.78</v>
      </c>
      <c r="BA52" s="3">
        <v>43.84</v>
      </c>
      <c r="BB52" s="3">
        <v>43.33</v>
      </c>
      <c r="BC52" s="3">
        <v>43.35</v>
      </c>
      <c r="BD52" s="3">
        <v>10492258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</row>
    <row r="53" spans="1:61" ht="13" x14ac:dyDescent="0.15">
      <c r="A53" s="3">
        <v>42205</v>
      </c>
      <c r="B53" s="3">
        <v>2126.85</v>
      </c>
      <c r="C53" s="3">
        <v>2132.8200000000002</v>
      </c>
      <c r="D53" s="3">
        <v>2123.65</v>
      </c>
      <c r="E53" s="3">
        <v>2128.2800000000002</v>
      </c>
      <c r="F53" s="3">
        <v>498063871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3">
        <v>79.56</v>
      </c>
      <c r="M53" s="3">
        <v>79.56</v>
      </c>
      <c r="N53" s="3">
        <v>79.069999999999993</v>
      </c>
      <c r="O53" s="3">
        <v>79.19</v>
      </c>
      <c r="P53" s="3">
        <v>2554701</v>
      </c>
      <c r="Q53" s="3">
        <v>50.1</v>
      </c>
      <c r="R53" s="3">
        <v>50.22</v>
      </c>
      <c r="S53" s="3">
        <v>49.96</v>
      </c>
      <c r="T53" s="3">
        <v>50.16</v>
      </c>
      <c r="U53" s="3">
        <v>6345397</v>
      </c>
      <c r="V53" s="3">
        <v>72.569999999999993</v>
      </c>
      <c r="W53" s="3">
        <v>72.58</v>
      </c>
      <c r="X53" s="3">
        <v>71.39</v>
      </c>
      <c r="Y53" s="3">
        <v>71.48</v>
      </c>
      <c r="Z53" s="3">
        <v>13833374</v>
      </c>
      <c r="AA53" s="3">
        <v>20.67</v>
      </c>
      <c r="AB53" s="3">
        <v>20.71</v>
      </c>
      <c r="AC53" s="3">
        <v>20.59</v>
      </c>
      <c r="AD53" s="3">
        <v>20.64</v>
      </c>
      <c r="AE53" s="3">
        <v>20596334</v>
      </c>
      <c r="AF53" s="3">
        <v>77.069999999999993</v>
      </c>
      <c r="AG53" s="3">
        <v>77.400000000000006</v>
      </c>
      <c r="AH53" s="3">
        <v>76.989999999999995</v>
      </c>
      <c r="AI53" s="3">
        <v>77.22</v>
      </c>
      <c r="AJ53" s="3">
        <v>3874760</v>
      </c>
      <c r="AK53" s="3">
        <v>54.92</v>
      </c>
      <c r="AL53" s="3">
        <v>55.05</v>
      </c>
      <c r="AM53" s="3">
        <v>54.84</v>
      </c>
      <c r="AN53" s="3">
        <v>54.93</v>
      </c>
      <c r="AO53" s="3">
        <v>5163093</v>
      </c>
      <c r="AP53" s="3">
        <v>47.67</v>
      </c>
      <c r="AQ53" s="3">
        <v>47.67</v>
      </c>
      <c r="AR53" s="3">
        <v>47.17</v>
      </c>
      <c r="AS53" s="3">
        <v>47.26</v>
      </c>
      <c r="AT53" s="3">
        <v>4447721</v>
      </c>
      <c r="AU53" s="3">
        <v>43.59</v>
      </c>
      <c r="AV53" s="3">
        <v>43.81</v>
      </c>
      <c r="AW53" s="3">
        <v>43.44</v>
      </c>
      <c r="AX53" s="3">
        <v>43.67</v>
      </c>
      <c r="AY53" s="3">
        <v>9309458</v>
      </c>
      <c r="AZ53" s="3">
        <v>43.17</v>
      </c>
      <c r="BA53" s="3">
        <v>43.37</v>
      </c>
      <c r="BB53" s="3">
        <v>42.91</v>
      </c>
      <c r="BC53" s="3">
        <v>43.13</v>
      </c>
      <c r="BD53" s="3">
        <v>9812517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</row>
    <row r="54" spans="1:61" ht="13" x14ac:dyDescent="0.15">
      <c r="A54" s="3">
        <v>42206</v>
      </c>
      <c r="B54" s="3">
        <v>2127.5500000000002</v>
      </c>
      <c r="C54" s="3">
        <v>2128.4899999999998</v>
      </c>
      <c r="D54" s="3">
        <v>2115.4</v>
      </c>
      <c r="E54" s="3">
        <v>2119.21</v>
      </c>
      <c r="F54" s="3">
        <v>549092745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3">
        <v>79.569999999999993</v>
      </c>
      <c r="M54" s="3">
        <v>79.569999999999993</v>
      </c>
      <c r="N54" s="3">
        <v>78.72</v>
      </c>
      <c r="O54" s="3">
        <v>78.94</v>
      </c>
      <c r="P54" s="3">
        <v>2676886</v>
      </c>
      <c r="Q54" s="3">
        <v>50.04</v>
      </c>
      <c r="R54" s="3">
        <v>50.19</v>
      </c>
      <c r="S54" s="3">
        <v>49.9</v>
      </c>
      <c r="T54" s="3">
        <v>50.04</v>
      </c>
      <c r="U54" s="3">
        <v>6146042</v>
      </c>
      <c r="V54" s="3">
        <v>71.650000000000006</v>
      </c>
      <c r="W54" s="3">
        <v>72.22</v>
      </c>
      <c r="X54" s="3">
        <v>71.290000000000006</v>
      </c>
      <c r="Y54" s="3">
        <v>71.510000000000005</v>
      </c>
      <c r="Z54" s="3">
        <v>10619013</v>
      </c>
      <c r="AA54" s="3">
        <v>20.65</v>
      </c>
      <c r="AB54" s="3">
        <v>20.73</v>
      </c>
      <c r="AC54" s="3">
        <v>20.57</v>
      </c>
      <c r="AD54" s="3">
        <v>20.62</v>
      </c>
      <c r="AE54" s="3">
        <v>19813295</v>
      </c>
      <c r="AF54" s="3">
        <v>77.19</v>
      </c>
      <c r="AG54" s="3">
        <v>77.39</v>
      </c>
      <c r="AH54" s="3">
        <v>76.53</v>
      </c>
      <c r="AI54" s="3">
        <v>76.88</v>
      </c>
      <c r="AJ54" s="3">
        <v>8140190</v>
      </c>
      <c r="AK54" s="3">
        <v>54.52</v>
      </c>
      <c r="AL54" s="3">
        <v>54.71</v>
      </c>
      <c r="AM54" s="3">
        <v>54.28</v>
      </c>
      <c r="AN54" s="3">
        <v>54.34</v>
      </c>
      <c r="AO54" s="3">
        <v>7287449</v>
      </c>
      <c r="AP54" s="3">
        <v>47.22</v>
      </c>
      <c r="AQ54" s="3">
        <v>47.6</v>
      </c>
      <c r="AR54" s="3">
        <v>46.83</v>
      </c>
      <c r="AS54" s="3">
        <v>46.97</v>
      </c>
      <c r="AT54" s="3">
        <v>3459342</v>
      </c>
      <c r="AU54" s="3">
        <v>43.45</v>
      </c>
      <c r="AV54" s="3">
        <v>43.61</v>
      </c>
      <c r="AW54" s="3">
        <v>43.34</v>
      </c>
      <c r="AX54" s="3">
        <v>43.38</v>
      </c>
      <c r="AY54" s="3">
        <v>5975225</v>
      </c>
      <c r="AZ54" s="3">
        <v>43.05</v>
      </c>
      <c r="BA54" s="3">
        <v>43.15</v>
      </c>
      <c r="BB54" s="3">
        <v>42.56</v>
      </c>
      <c r="BC54" s="3">
        <v>42.74</v>
      </c>
      <c r="BD54" s="3">
        <v>10284757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</row>
    <row r="55" spans="1:61" ht="13" x14ac:dyDescent="0.15">
      <c r="A55" s="3">
        <v>42207</v>
      </c>
      <c r="B55" s="3">
        <v>2118.21</v>
      </c>
      <c r="C55" s="3">
        <v>2118.5100000000002</v>
      </c>
      <c r="D55" s="3">
        <v>2110</v>
      </c>
      <c r="E55" s="3">
        <v>2114.15</v>
      </c>
      <c r="F55" s="3">
        <v>604850316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3">
        <v>78.930000000000007</v>
      </c>
      <c r="M55" s="3">
        <v>79.45</v>
      </c>
      <c r="N55" s="3">
        <v>78.83</v>
      </c>
      <c r="O55" s="3">
        <v>79.319999999999993</v>
      </c>
      <c r="P55" s="3">
        <v>3209736</v>
      </c>
      <c r="Q55" s="3">
        <v>50.04</v>
      </c>
      <c r="R55" s="3">
        <v>50.33</v>
      </c>
      <c r="S55" s="3">
        <v>50.01</v>
      </c>
      <c r="T55" s="3">
        <v>50.15</v>
      </c>
      <c r="U55" s="3">
        <v>6107881</v>
      </c>
      <c r="V55" s="3">
        <v>71.22</v>
      </c>
      <c r="W55" s="3">
        <v>71.650000000000006</v>
      </c>
      <c r="X55" s="3">
        <v>70.78</v>
      </c>
      <c r="Y55" s="3">
        <v>70.930000000000007</v>
      </c>
      <c r="Z55" s="3">
        <v>15209285</v>
      </c>
      <c r="AA55" s="3">
        <v>20.63</v>
      </c>
      <c r="AB55" s="3">
        <v>20.8</v>
      </c>
      <c r="AC55" s="3">
        <v>20.6</v>
      </c>
      <c r="AD55" s="3">
        <v>20.77</v>
      </c>
      <c r="AE55" s="3">
        <v>29617459</v>
      </c>
      <c r="AF55" s="3">
        <v>76.67</v>
      </c>
      <c r="AG55" s="3">
        <v>77.12</v>
      </c>
      <c r="AH55" s="3">
        <v>76.55</v>
      </c>
      <c r="AI55" s="3">
        <v>77.05</v>
      </c>
      <c r="AJ55" s="3">
        <v>5765359</v>
      </c>
      <c r="AK55" s="3">
        <v>54.25</v>
      </c>
      <c r="AL55" s="3">
        <v>54.52</v>
      </c>
      <c r="AM55" s="3">
        <v>53.96</v>
      </c>
      <c r="AN55" s="3">
        <v>54.1</v>
      </c>
      <c r="AO55" s="3">
        <v>7549157</v>
      </c>
      <c r="AP55" s="3">
        <v>46.87</v>
      </c>
      <c r="AQ55" s="3">
        <v>47.01</v>
      </c>
      <c r="AR55" s="3">
        <v>46.66</v>
      </c>
      <c r="AS55" s="3">
        <v>46.77</v>
      </c>
      <c r="AT55" s="3">
        <v>5892544</v>
      </c>
      <c r="AU55" s="3">
        <v>42.53</v>
      </c>
      <c r="AV55" s="3">
        <v>42.89</v>
      </c>
      <c r="AW55" s="3">
        <v>42.5</v>
      </c>
      <c r="AX55" s="3">
        <v>42.68</v>
      </c>
      <c r="AY55" s="3">
        <v>8591254</v>
      </c>
      <c r="AZ55" s="3">
        <v>42.81</v>
      </c>
      <c r="BA55" s="3">
        <v>43.15</v>
      </c>
      <c r="BB55" s="3">
        <v>42.7</v>
      </c>
      <c r="BC55" s="3">
        <v>42.93</v>
      </c>
      <c r="BD55" s="3">
        <v>8252158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</row>
    <row r="56" spans="1:61" ht="13" x14ac:dyDescent="0.15">
      <c r="A56" s="3">
        <v>42208</v>
      </c>
      <c r="B56" s="3">
        <v>2114.16</v>
      </c>
      <c r="C56" s="3">
        <v>2116.87</v>
      </c>
      <c r="D56" s="3">
        <v>2098.63</v>
      </c>
      <c r="E56" s="3">
        <v>2102.15</v>
      </c>
      <c r="F56" s="3">
        <v>583756482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3">
        <v>79.48</v>
      </c>
      <c r="M56" s="3">
        <v>79.63</v>
      </c>
      <c r="N56" s="3">
        <v>78.67</v>
      </c>
      <c r="O56" s="3">
        <v>78.849999999999994</v>
      </c>
      <c r="P56" s="3">
        <v>3760993</v>
      </c>
      <c r="Q56" s="3">
        <v>50.26</v>
      </c>
      <c r="R56" s="3">
        <v>50.26</v>
      </c>
      <c r="S56" s="3">
        <v>49.89</v>
      </c>
      <c r="T56" s="3">
        <v>49.96</v>
      </c>
      <c r="U56" s="3">
        <v>4535057</v>
      </c>
      <c r="V56" s="3">
        <v>71</v>
      </c>
      <c r="W56" s="3">
        <v>71.45</v>
      </c>
      <c r="X56" s="3">
        <v>70.33</v>
      </c>
      <c r="Y56" s="3">
        <v>70.87</v>
      </c>
      <c r="Z56" s="3">
        <v>11284564</v>
      </c>
      <c r="AA56" s="3">
        <v>20.79</v>
      </c>
      <c r="AB56" s="3">
        <v>20.8</v>
      </c>
      <c r="AC56" s="3">
        <v>20.55</v>
      </c>
      <c r="AD56" s="3">
        <v>20.59</v>
      </c>
      <c r="AE56" s="3">
        <v>29700822</v>
      </c>
      <c r="AF56" s="3">
        <v>77.19</v>
      </c>
      <c r="AG56" s="3">
        <v>77.349999999999994</v>
      </c>
      <c r="AH56" s="3">
        <v>76.63</v>
      </c>
      <c r="AI56" s="3">
        <v>76.77</v>
      </c>
      <c r="AJ56" s="3">
        <v>5677435</v>
      </c>
      <c r="AK56" s="3">
        <v>53.91</v>
      </c>
      <c r="AL56" s="3">
        <v>54.2</v>
      </c>
      <c r="AM56" s="3">
        <v>53.47</v>
      </c>
      <c r="AN56" s="3">
        <v>53.6</v>
      </c>
      <c r="AO56" s="3">
        <v>11547981</v>
      </c>
      <c r="AP56" s="3">
        <v>46.88</v>
      </c>
      <c r="AQ56" s="3">
        <v>47</v>
      </c>
      <c r="AR56" s="3">
        <v>45.97</v>
      </c>
      <c r="AS56" s="3">
        <v>46.09</v>
      </c>
      <c r="AT56" s="3">
        <v>4857571</v>
      </c>
      <c r="AU56" s="3">
        <v>42.8</v>
      </c>
      <c r="AV56" s="3">
        <v>42.97</v>
      </c>
      <c r="AW56" s="3">
        <v>42.49</v>
      </c>
      <c r="AX56" s="3">
        <v>42.59</v>
      </c>
      <c r="AY56" s="3">
        <v>6322622</v>
      </c>
      <c r="AZ56" s="3">
        <v>42.89</v>
      </c>
      <c r="BA56" s="3">
        <v>42.92</v>
      </c>
      <c r="BB56" s="3">
        <v>42.08</v>
      </c>
      <c r="BC56" s="3">
        <v>42.29</v>
      </c>
      <c r="BD56" s="3">
        <v>13947266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</row>
    <row r="57" spans="1:61" ht="13" x14ac:dyDescent="0.15">
      <c r="A57" s="3">
        <v>42209</v>
      </c>
      <c r="B57" s="3">
        <v>2102.2399999999998</v>
      </c>
      <c r="C57" s="3">
        <v>2106.0100000000002</v>
      </c>
      <c r="D57" s="3">
        <v>2077.09</v>
      </c>
      <c r="E57" s="3">
        <v>2079.65</v>
      </c>
      <c r="F57" s="3">
        <v>622862924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3">
        <v>80.400000000000006</v>
      </c>
      <c r="M57" s="3">
        <v>80.400000000000006</v>
      </c>
      <c r="N57" s="3">
        <v>78.709999999999994</v>
      </c>
      <c r="O57" s="3">
        <v>78.849999999999994</v>
      </c>
      <c r="P57" s="3">
        <v>5169588</v>
      </c>
      <c r="Q57" s="3">
        <v>50.08</v>
      </c>
      <c r="R57" s="3">
        <v>50.08</v>
      </c>
      <c r="S57" s="3">
        <v>49.62</v>
      </c>
      <c r="T57" s="3">
        <v>49.68</v>
      </c>
      <c r="U57" s="3">
        <v>9950133</v>
      </c>
      <c r="V57" s="3">
        <v>70.87</v>
      </c>
      <c r="W57" s="3">
        <v>70.900000000000006</v>
      </c>
      <c r="X57" s="3">
        <v>69.25</v>
      </c>
      <c r="Y57" s="3">
        <v>69.510000000000005</v>
      </c>
      <c r="Z57" s="3">
        <v>12554077</v>
      </c>
      <c r="AA57" s="3">
        <v>20.57</v>
      </c>
      <c r="AB57" s="3">
        <v>20.59</v>
      </c>
      <c r="AC57" s="3">
        <v>20.37</v>
      </c>
      <c r="AD57" s="3">
        <v>20.399999999999999</v>
      </c>
      <c r="AE57" s="3">
        <v>26116669</v>
      </c>
      <c r="AF57" s="3">
        <v>76</v>
      </c>
      <c r="AG57" s="3">
        <v>76.05</v>
      </c>
      <c r="AH57" s="3">
        <v>74.709999999999994</v>
      </c>
      <c r="AI57" s="3">
        <v>74.849999999999994</v>
      </c>
      <c r="AJ57" s="3">
        <v>13229714</v>
      </c>
      <c r="AK57" s="3">
        <v>53.58</v>
      </c>
      <c r="AL57" s="3">
        <v>53.62</v>
      </c>
      <c r="AM57" s="3">
        <v>52.81</v>
      </c>
      <c r="AN57" s="3">
        <v>52.9</v>
      </c>
      <c r="AO57" s="3">
        <v>10889114</v>
      </c>
      <c r="AP57" s="3">
        <v>46.08</v>
      </c>
      <c r="AQ57" s="3">
        <v>46.1</v>
      </c>
      <c r="AR57" s="3">
        <v>44.79</v>
      </c>
      <c r="AS57" s="3">
        <v>45.08</v>
      </c>
      <c r="AT57" s="3">
        <v>7262228</v>
      </c>
      <c r="AU57" s="3">
        <v>42.8</v>
      </c>
      <c r="AV57" s="3">
        <v>42.86</v>
      </c>
      <c r="AW57" s="3">
        <v>42.33</v>
      </c>
      <c r="AX57" s="3">
        <v>42.36</v>
      </c>
      <c r="AY57" s="3">
        <v>9746087</v>
      </c>
      <c r="AZ57" s="3">
        <v>42.31</v>
      </c>
      <c r="BA57" s="3">
        <v>42.48</v>
      </c>
      <c r="BB57" s="3">
        <v>42.18</v>
      </c>
      <c r="BC57" s="3">
        <v>42.33</v>
      </c>
      <c r="BD57" s="3">
        <v>8589088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</row>
    <row r="58" spans="1:61" ht="13" x14ac:dyDescent="0.15">
      <c r="A58" s="3">
        <v>42212</v>
      </c>
      <c r="B58" s="3">
        <v>2078.19</v>
      </c>
      <c r="C58" s="3">
        <v>2078.19</v>
      </c>
      <c r="D58" s="3">
        <v>2063.52</v>
      </c>
      <c r="E58" s="3">
        <v>2067.64</v>
      </c>
      <c r="F58" s="3">
        <v>658424497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3">
        <v>78.55</v>
      </c>
      <c r="M58" s="3">
        <v>78.900000000000006</v>
      </c>
      <c r="N58" s="3">
        <v>78.05</v>
      </c>
      <c r="O58" s="3">
        <v>78.260000000000005</v>
      </c>
      <c r="P58" s="3">
        <v>5552323</v>
      </c>
      <c r="Q58" s="3">
        <v>49.48</v>
      </c>
      <c r="R58" s="3">
        <v>49.73</v>
      </c>
      <c r="S58" s="3">
        <v>49.33</v>
      </c>
      <c r="T58" s="3">
        <v>49.65</v>
      </c>
      <c r="U58" s="3">
        <v>9567088</v>
      </c>
      <c r="V58" s="3">
        <v>68.62</v>
      </c>
      <c r="W58" s="3">
        <v>69.319999999999993</v>
      </c>
      <c r="X58" s="3">
        <v>68.209999999999994</v>
      </c>
      <c r="Y58" s="3">
        <v>68.510000000000005</v>
      </c>
      <c r="Z58" s="3">
        <v>17196710</v>
      </c>
      <c r="AA58" s="3">
        <v>20.260000000000002</v>
      </c>
      <c r="AB58" s="3">
        <v>20.309999999999999</v>
      </c>
      <c r="AC58" s="3">
        <v>20.18</v>
      </c>
      <c r="AD58" s="3">
        <v>20.25</v>
      </c>
      <c r="AE58" s="3">
        <v>28273752</v>
      </c>
      <c r="AF58" s="3">
        <v>74.67</v>
      </c>
      <c r="AG58" s="3">
        <v>74.930000000000007</v>
      </c>
      <c r="AH58" s="3">
        <v>74.39</v>
      </c>
      <c r="AI58" s="3">
        <v>74.78</v>
      </c>
      <c r="AJ58" s="3">
        <v>11036985</v>
      </c>
      <c r="AK58" s="3">
        <v>52.54</v>
      </c>
      <c r="AL58" s="3">
        <v>52.8</v>
      </c>
      <c r="AM58" s="3">
        <v>52.46</v>
      </c>
      <c r="AN58" s="3">
        <v>52.64</v>
      </c>
      <c r="AO58" s="3">
        <v>11680663</v>
      </c>
      <c r="AP58" s="3">
        <v>44.61</v>
      </c>
      <c r="AQ58" s="3">
        <v>45.12</v>
      </c>
      <c r="AR58" s="3">
        <v>44.47</v>
      </c>
      <c r="AS58" s="3">
        <v>44.58</v>
      </c>
      <c r="AT58" s="3">
        <v>9276929</v>
      </c>
      <c r="AU58" s="3">
        <v>42.02</v>
      </c>
      <c r="AV58" s="3">
        <v>42.29</v>
      </c>
      <c r="AW58" s="3">
        <v>41.92</v>
      </c>
      <c r="AX58" s="3">
        <v>41.98</v>
      </c>
      <c r="AY58" s="3">
        <v>8653585</v>
      </c>
      <c r="AZ58" s="3">
        <v>42.33</v>
      </c>
      <c r="BA58" s="3">
        <v>43.06</v>
      </c>
      <c r="BB58" s="3">
        <v>42.21</v>
      </c>
      <c r="BC58" s="3">
        <v>42.87</v>
      </c>
      <c r="BD58" s="3">
        <v>11952839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</row>
    <row r="59" spans="1:61" ht="13" x14ac:dyDescent="0.15">
      <c r="A59" s="3">
        <v>42213</v>
      </c>
      <c r="B59" s="3">
        <v>2070.75</v>
      </c>
      <c r="C59" s="3">
        <v>2095.6</v>
      </c>
      <c r="D59" s="3">
        <v>2069.09</v>
      </c>
      <c r="E59" s="3">
        <v>2093.25</v>
      </c>
      <c r="F59" s="3">
        <v>612199117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3">
        <v>78.03</v>
      </c>
      <c r="M59" s="3">
        <v>79.03</v>
      </c>
      <c r="N59" s="3">
        <v>78.03</v>
      </c>
      <c r="O59" s="3">
        <v>78.87</v>
      </c>
      <c r="P59" s="3">
        <v>5448454</v>
      </c>
      <c r="Q59" s="3">
        <v>49.87</v>
      </c>
      <c r="R59" s="3">
        <v>50.22</v>
      </c>
      <c r="S59" s="3">
        <v>49.73</v>
      </c>
      <c r="T59" s="3">
        <v>50.21</v>
      </c>
      <c r="U59" s="3">
        <v>8765751</v>
      </c>
      <c r="V59" s="3">
        <v>68.61</v>
      </c>
      <c r="W59" s="3">
        <v>70.849999999999994</v>
      </c>
      <c r="X59" s="3">
        <v>68.56</v>
      </c>
      <c r="Y59" s="3">
        <v>70.47</v>
      </c>
      <c r="Z59" s="3">
        <v>18938605</v>
      </c>
      <c r="AA59" s="3">
        <v>20.41</v>
      </c>
      <c r="AB59" s="3">
        <v>20.41</v>
      </c>
      <c r="AC59" s="3">
        <v>20.2</v>
      </c>
      <c r="AD59" s="3">
        <v>20.329999999999998</v>
      </c>
      <c r="AE59" s="3">
        <v>24108226</v>
      </c>
      <c r="AF59" s="3">
        <v>75.2</v>
      </c>
      <c r="AG59" s="3">
        <v>76.150000000000006</v>
      </c>
      <c r="AH59" s="3">
        <v>74.819999999999993</v>
      </c>
      <c r="AI59" s="3">
        <v>76.13</v>
      </c>
      <c r="AJ59" s="3">
        <v>11445082</v>
      </c>
      <c r="AK59" s="3">
        <v>52.84</v>
      </c>
      <c r="AL59" s="3">
        <v>53.74</v>
      </c>
      <c r="AM59" s="3">
        <v>52.84</v>
      </c>
      <c r="AN59" s="3">
        <v>53.66</v>
      </c>
      <c r="AO59" s="3">
        <v>15470321</v>
      </c>
      <c r="AP59" s="3">
        <v>44.65</v>
      </c>
      <c r="AQ59" s="3">
        <v>45.63</v>
      </c>
      <c r="AR59" s="3">
        <v>44.43</v>
      </c>
      <c r="AS59" s="3">
        <v>45.51</v>
      </c>
      <c r="AT59" s="3">
        <v>14388236</v>
      </c>
      <c r="AU59" s="3">
        <v>42.16</v>
      </c>
      <c r="AV59" s="3">
        <v>42.44</v>
      </c>
      <c r="AW59" s="3">
        <v>41.87</v>
      </c>
      <c r="AX59" s="3">
        <v>42.36</v>
      </c>
      <c r="AY59" s="3">
        <v>7887533</v>
      </c>
      <c r="AZ59" s="3">
        <v>42.87</v>
      </c>
      <c r="BA59" s="3">
        <v>43.11</v>
      </c>
      <c r="BB59" s="3">
        <v>42.71</v>
      </c>
      <c r="BC59" s="3">
        <v>43.07</v>
      </c>
      <c r="BD59" s="3">
        <v>8742640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</row>
    <row r="60" spans="1:61" ht="13" x14ac:dyDescent="0.15">
      <c r="A60" s="3">
        <v>42214</v>
      </c>
      <c r="B60" s="3">
        <v>2094.6999999999998</v>
      </c>
      <c r="C60" s="3">
        <v>2110.6</v>
      </c>
      <c r="D60" s="3">
        <v>2094.08</v>
      </c>
      <c r="E60" s="3">
        <v>2108.5700000000002</v>
      </c>
      <c r="F60" s="3">
        <v>568110723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3">
        <v>79.08</v>
      </c>
      <c r="M60" s="3">
        <v>79.81</v>
      </c>
      <c r="N60" s="3">
        <v>79</v>
      </c>
      <c r="O60" s="3">
        <v>79.680000000000007</v>
      </c>
      <c r="P60" s="3">
        <v>5812230</v>
      </c>
      <c r="Q60" s="3">
        <v>50.26</v>
      </c>
      <c r="R60" s="3">
        <v>50.49</v>
      </c>
      <c r="S60" s="3">
        <v>50.16</v>
      </c>
      <c r="T60" s="3">
        <v>50.38</v>
      </c>
      <c r="U60" s="3">
        <v>6105070</v>
      </c>
      <c r="V60" s="3">
        <v>70.290000000000006</v>
      </c>
      <c r="W60" s="3">
        <v>71.5</v>
      </c>
      <c r="X60" s="3">
        <v>70.069999999999993</v>
      </c>
      <c r="Y60" s="3">
        <v>71.430000000000007</v>
      </c>
      <c r="Z60" s="3">
        <v>23427257</v>
      </c>
      <c r="AA60" s="3">
        <v>20.399999999999999</v>
      </c>
      <c r="AB60" s="3">
        <v>20.54</v>
      </c>
      <c r="AC60" s="3">
        <v>20.350000000000001</v>
      </c>
      <c r="AD60" s="3">
        <v>20.54</v>
      </c>
      <c r="AE60" s="3">
        <v>26881740</v>
      </c>
      <c r="AF60" s="3">
        <v>76.459999999999994</v>
      </c>
      <c r="AG60" s="3">
        <v>76.61</v>
      </c>
      <c r="AH60" s="3">
        <v>75.94</v>
      </c>
      <c r="AI60" s="3">
        <v>76.260000000000005</v>
      </c>
      <c r="AJ60" s="3">
        <v>9367016</v>
      </c>
      <c r="AK60" s="3">
        <v>53.56</v>
      </c>
      <c r="AL60" s="3">
        <v>54.36</v>
      </c>
      <c r="AM60" s="3">
        <v>53.53</v>
      </c>
      <c r="AN60" s="3">
        <v>54.32</v>
      </c>
      <c r="AO60" s="3">
        <v>13128764</v>
      </c>
      <c r="AP60" s="3">
        <v>45.58</v>
      </c>
      <c r="AQ60" s="3">
        <v>45.98</v>
      </c>
      <c r="AR60" s="3">
        <v>45.36</v>
      </c>
      <c r="AS60" s="3">
        <v>45.84</v>
      </c>
      <c r="AT60" s="3">
        <v>9585414</v>
      </c>
      <c r="AU60" s="3">
        <v>42.36</v>
      </c>
      <c r="AV60" s="3">
        <v>42.73</v>
      </c>
      <c r="AW60" s="3">
        <v>42.21</v>
      </c>
      <c r="AX60" s="3">
        <v>42.64</v>
      </c>
      <c r="AY60" s="3">
        <v>8376345</v>
      </c>
      <c r="AZ60" s="3">
        <v>43.07</v>
      </c>
      <c r="BA60" s="3">
        <v>43.27</v>
      </c>
      <c r="BB60" s="3">
        <v>42.75</v>
      </c>
      <c r="BC60" s="3">
        <v>43.23</v>
      </c>
      <c r="BD60" s="3">
        <v>13500760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</row>
    <row r="61" spans="1:61" ht="13" x14ac:dyDescent="0.15">
      <c r="A61" s="3">
        <v>42215</v>
      </c>
      <c r="B61" s="3">
        <v>2106.7800000000002</v>
      </c>
      <c r="C61" s="3">
        <v>2110.48</v>
      </c>
      <c r="D61" s="3">
        <v>2094.9699999999998</v>
      </c>
      <c r="E61" s="3">
        <v>2108.63</v>
      </c>
      <c r="F61" s="3">
        <v>505302182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3">
        <v>79.34</v>
      </c>
      <c r="M61" s="3">
        <v>80.06</v>
      </c>
      <c r="N61" s="3">
        <v>79.2</v>
      </c>
      <c r="O61" s="3">
        <v>79.97</v>
      </c>
      <c r="P61" s="3">
        <v>3303234</v>
      </c>
      <c r="Q61" s="3">
        <v>50.14</v>
      </c>
      <c r="R61" s="3">
        <v>50.28</v>
      </c>
      <c r="S61" s="3">
        <v>49.88</v>
      </c>
      <c r="T61" s="3">
        <v>50.21</v>
      </c>
      <c r="U61" s="3">
        <v>7029085</v>
      </c>
      <c r="V61" s="3">
        <v>71.28</v>
      </c>
      <c r="W61" s="3">
        <v>71.489999999999995</v>
      </c>
      <c r="X61" s="3">
        <v>70.62</v>
      </c>
      <c r="Y61" s="3">
        <v>70.930000000000007</v>
      </c>
      <c r="Z61" s="3">
        <v>12627235</v>
      </c>
      <c r="AA61" s="3">
        <v>20.5</v>
      </c>
      <c r="AB61" s="3">
        <v>20.55</v>
      </c>
      <c r="AC61" s="3">
        <v>20.420000000000002</v>
      </c>
      <c r="AD61" s="3">
        <v>20.54</v>
      </c>
      <c r="AE61" s="3">
        <v>16732723</v>
      </c>
      <c r="AF61" s="3">
        <v>76.19</v>
      </c>
      <c r="AG61" s="3">
        <v>76.33</v>
      </c>
      <c r="AH61" s="3">
        <v>75.56</v>
      </c>
      <c r="AI61" s="3">
        <v>76.150000000000006</v>
      </c>
      <c r="AJ61" s="3">
        <v>5381101</v>
      </c>
      <c r="AK61" s="3">
        <v>54.03</v>
      </c>
      <c r="AL61" s="3">
        <v>54.32</v>
      </c>
      <c r="AM61" s="3">
        <v>53.97</v>
      </c>
      <c r="AN61" s="3">
        <v>54.27</v>
      </c>
      <c r="AO61" s="3">
        <v>5884461</v>
      </c>
      <c r="AP61" s="3">
        <v>45.85</v>
      </c>
      <c r="AQ61" s="3">
        <v>46.14</v>
      </c>
      <c r="AR61" s="3">
        <v>45.8</v>
      </c>
      <c r="AS61" s="3">
        <v>46.07</v>
      </c>
      <c r="AT61" s="3">
        <v>5595813</v>
      </c>
      <c r="AU61" s="3">
        <v>42.46</v>
      </c>
      <c r="AV61" s="3">
        <v>42.79</v>
      </c>
      <c r="AW61" s="3">
        <v>42.26</v>
      </c>
      <c r="AX61" s="3">
        <v>42.72</v>
      </c>
      <c r="AY61" s="3">
        <v>6808201</v>
      </c>
      <c r="AZ61" s="3">
        <v>43.19</v>
      </c>
      <c r="BA61" s="3">
        <v>43.69</v>
      </c>
      <c r="BB61" s="3">
        <v>43.01</v>
      </c>
      <c r="BC61" s="3">
        <v>43.55</v>
      </c>
      <c r="BD61" s="3">
        <v>11315355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</row>
    <row r="62" spans="1:61" ht="13" x14ac:dyDescent="0.15">
      <c r="A62" s="3">
        <v>42216</v>
      </c>
      <c r="B62" s="3">
        <v>2111.6</v>
      </c>
      <c r="C62" s="3">
        <v>2114.2399999999998</v>
      </c>
      <c r="D62" s="3">
        <v>2102.0700000000002</v>
      </c>
      <c r="E62" s="3">
        <v>2103.84</v>
      </c>
      <c r="F62" s="3">
        <v>639716945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3">
        <v>80.150000000000006</v>
      </c>
      <c r="M62" s="3">
        <v>80.53</v>
      </c>
      <c r="N62" s="3">
        <v>79.94</v>
      </c>
      <c r="O62" s="3">
        <v>80.22</v>
      </c>
      <c r="P62" s="3">
        <v>3665190</v>
      </c>
      <c r="Q62" s="3">
        <v>50.38</v>
      </c>
      <c r="R62" s="3">
        <v>50.42</v>
      </c>
      <c r="S62" s="3">
        <v>50.24</v>
      </c>
      <c r="T62" s="3">
        <v>50.31</v>
      </c>
      <c r="U62" s="3">
        <v>6168772</v>
      </c>
      <c r="V62" s="3">
        <v>70.319999999999993</v>
      </c>
      <c r="W62" s="3">
        <v>70.42</v>
      </c>
      <c r="X62" s="3">
        <v>69.27</v>
      </c>
      <c r="Y62" s="3">
        <v>69.38</v>
      </c>
      <c r="Z62" s="3">
        <v>21789434</v>
      </c>
      <c r="AA62" s="3">
        <v>20.51</v>
      </c>
      <c r="AB62" s="3">
        <v>20.56</v>
      </c>
      <c r="AC62" s="3">
        <v>20.41</v>
      </c>
      <c r="AD62" s="3">
        <v>20.47</v>
      </c>
      <c r="AE62" s="3">
        <v>19608075</v>
      </c>
      <c r="AF62" s="3">
        <v>76.44</v>
      </c>
      <c r="AG62" s="3">
        <v>76.930000000000007</v>
      </c>
      <c r="AH62" s="3">
        <v>76.39</v>
      </c>
      <c r="AI62" s="3">
        <v>76.59</v>
      </c>
      <c r="AJ62" s="3">
        <v>7910277</v>
      </c>
      <c r="AK62" s="3">
        <v>54.49</v>
      </c>
      <c r="AL62" s="3">
        <v>54.5</v>
      </c>
      <c r="AM62" s="3">
        <v>54.16</v>
      </c>
      <c r="AN62" s="3">
        <v>54.22</v>
      </c>
      <c r="AO62" s="3">
        <v>7504222</v>
      </c>
      <c r="AP62" s="3">
        <v>46.39</v>
      </c>
      <c r="AQ62" s="3">
        <v>46.39</v>
      </c>
      <c r="AR62" s="3">
        <v>45.86</v>
      </c>
      <c r="AS62" s="3">
        <v>45.95</v>
      </c>
      <c r="AT62" s="3">
        <v>4698040</v>
      </c>
      <c r="AU62" s="3">
        <v>42.77</v>
      </c>
      <c r="AV62" s="3">
        <v>42.84</v>
      </c>
      <c r="AW62" s="3">
        <v>42.5</v>
      </c>
      <c r="AX62" s="3">
        <v>42.58</v>
      </c>
      <c r="AY62" s="3">
        <v>10911997</v>
      </c>
      <c r="AZ62" s="3">
        <v>43.95</v>
      </c>
      <c r="BA62" s="3">
        <v>44.34</v>
      </c>
      <c r="BB62" s="3">
        <v>43.9</v>
      </c>
      <c r="BC62" s="3">
        <v>43.99</v>
      </c>
      <c r="BD62" s="3">
        <v>12054155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</row>
    <row r="63" spans="1:61" ht="13" x14ac:dyDescent="0.15">
      <c r="A63" s="3">
        <v>42219</v>
      </c>
      <c r="B63" s="3">
        <v>2104.4899999999998</v>
      </c>
      <c r="C63" s="3">
        <v>2105.6999999999998</v>
      </c>
      <c r="D63" s="3">
        <v>2087.31</v>
      </c>
      <c r="E63" s="3">
        <v>2098.04</v>
      </c>
      <c r="F63" s="3">
        <v>546235777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3">
        <v>80.06</v>
      </c>
      <c r="M63" s="3">
        <v>80.5</v>
      </c>
      <c r="N63" s="3">
        <v>79.52</v>
      </c>
      <c r="O63" s="3">
        <v>79.95</v>
      </c>
      <c r="P63" s="3">
        <v>5757089</v>
      </c>
      <c r="Q63" s="3">
        <v>50.3</v>
      </c>
      <c r="R63" s="3">
        <v>50.43</v>
      </c>
      <c r="S63" s="3">
        <v>50.16</v>
      </c>
      <c r="T63" s="3">
        <v>50.38</v>
      </c>
      <c r="U63" s="3">
        <v>6961369</v>
      </c>
      <c r="V63" s="3">
        <v>68.64</v>
      </c>
      <c r="W63" s="3">
        <v>69.069999999999993</v>
      </c>
      <c r="X63" s="3">
        <v>67.78</v>
      </c>
      <c r="Y63" s="3">
        <v>67.92</v>
      </c>
      <c r="Z63" s="3">
        <v>16926625</v>
      </c>
      <c r="AA63" s="3">
        <v>20.47</v>
      </c>
      <c r="AB63" s="3">
        <v>20.5</v>
      </c>
      <c r="AC63" s="3">
        <v>20.309999999999999</v>
      </c>
      <c r="AD63" s="3">
        <v>20.45</v>
      </c>
      <c r="AE63" s="3">
        <v>34139428</v>
      </c>
      <c r="AF63" s="3">
        <v>76.67</v>
      </c>
      <c r="AG63" s="3">
        <v>76.900000000000006</v>
      </c>
      <c r="AH63" s="3">
        <v>76.010000000000005</v>
      </c>
      <c r="AI63" s="3">
        <v>76.53</v>
      </c>
      <c r="AJ63" s="3">
        <v>8447825</v>
      </c>
      <c r="AK63" s="3">
        <v>54.12</v>
      </c>
      <c r="AL63" s="3">
        <v>54.23</v>
      </c>
      <c r="AM63" s="3">
        <v>53.69</v>
      </c>
      <c r="AN63" s="3">
        <v>53.96</v>
      </c>
      <c r="AO63" s="3">
        <v>14268352</v>
      </c>
      <c r="AP63" s="3">
        <v>45.91</v>
      </c>
      <c r="AQ63" s="3">
        <v>46.12</v>
      </c>
      <c r="AR63" s="3">
        <v>45.35</v>
      </c>
      <c r="AS63" s="3">
        <v>45.59</v>
      </c>
      <c r="AT63" s="3">
        <v>5704167</v>
      </c>
      <c r="AU63" s="3">
        <v>42.56</v>
      </c>
      <c r="AV63" s="3">
        <v>42.63</v>
      </c>
      <c r="AW63" s="3">
        <v>42.09</v>
      </c>
      <c r="AX63" s="3">
        <v>42.35</v>
      </c>
      <c r="AY63" s="3">
        <v>9198287</v>
      </c>
      <c r="AZ63" s="3">
        <v>44.05</v>
      </c>
      <c r="BA63" s="3">
        <v>44.47</v>
      </c>
      <c r="BB63" s="3">
        <v>44</v>
      </c>
      <c r="BC63" s="3">
        <v>44.22</v>
      </c>
      <c r="BD63" s="3">
        <v>13197348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</row>
    <row r="64" spans="1:61" ht="13" x14ac:dyDescent="0.15">
      <c r="A64" s="3">
        <v>42220</v>
      </c>
      <c r="B64" s="3">
        <v>2097.6799999999998</v>
      </c>
      <c r="C64" s="3">
        <v>2102.5100000000002</v>
      </c>
      <c r="D64" s="3">
        <v>2088.6</v>
      </c>
      <c r="E64" s="3">
        <v>2093.3200000000002</v>
      </c>
      <c r="F64" s="3">
        <v>545885014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3">
        <v>80.05</v>
      </c>
      <c r="M64" s="3">
        <v>80.47</v>
      </c>
      <c r="N64" s="3">
        <v>79.930000000000007</v>
      </c>
      <c r="O64" s="3">
        <v>80.290000000000006</v>
      </c>
      <c r="P64" s="3">
        <v>5703658</v>
      </c>
      <c r="Q64" s="3">
        <v>50.35</v>
      </c>
      <c r="R64" s="3">
        <v>50.45</v>
      </c>
      <c r="S64" s="3">
        <v>50.11</v>
      </c>
      <c r="T64" s="3">
        <v>50.38</v>
      </c>
      <c r="U64" s="3">
        <v>5633040</v>
      </c>
      <c r="V64" s="3">
        <v>68.22</v>
      </c>
      <c r="W64" s="3">
        <v>68.75</v>
      </c>
      <c r="X64" s="3">
        <v>67.400000000000006</v>
      </c>
      <c r="Y64" s="3">
        <v>67.69</v>
      </c>
      <c r="Z64" s="3">
        <v>12762505</v>
      </c>
      <c r="AA64" s="3">
        <v>20.46</v>
      </c>
      <c r="AB64" s="3">
        <v>20.52</v>
      </c>
      <c r="AC64" s="3">
        <v>20.38</v>
      </c>
      <c r="AD64" s="3">
        <v>20.41</v>
      </c>
      <c r="AE64" s="3">
        <v>24921699</v>
      </c>
      <c r="AF64" s="3">
        <v>76.91</v>
      </c>
      <c r="AG64" s="3">
        <v>76.95</v>
      </c>
      <c r="AH64" s="3">
        <v>76.25</v>
      </c>
      <c r="AI64" s="3">
        <v>76.489999999999995</v>
      </c>
      <c r="AJ64" s="3">
        <v>10778684</v>
      </c>
      <c r="AK64" s="3">
        <v>53.93</v>
      </c>
      <c r="AL64" s="3">
        <v>54.26</v>
      </c>
      <c r="AM64" s="3">
        <v>53.8</v>
      </c>
      <c r="AN64" s="3">
        <v>53.93</v>
      </c>
      <c r="AO64" s="3">
        <v>8623721</v>
      </c>
      <c r="AP64" s="3">
        <v>45.62</v>
      </c>
      <c r="AQ64" s="3">
        <v>46.05</v>
      </c>
      <c r="AR64" s="3">
        <v>45.61</v>
      </c>
      <c r="AS64" s="3">
        <v>45.79</v>
      </c>
      <c r="AT64" s="3">
        <v>6597844</v>
      </c>
      <c r="AU64" s="3">
        <v>42.31</v>
      </c>
      <c r="AV64" s="3">
        <v>42.35</v>
      </c>
      <c r="AW64" s="3">
        <v>41.95</v>
      </c>
      <c r="AX64" s="3">
        <v>42.1</v>
      </c>
      <c r="AY64" s="3">
        <v>7382741</v>
      </c>
      <c r="AZ64" s="3">
        <v>44.11</v>
      </c>
      <c r="BA64" s="3">
        <v>44.17</v>
      </c>
      <c r="BB64" s="3">
        <v>43.42</v>
      </c>
      <c r="BC64" s="3">
        <v>43.51</v>
      </c>
      <c r="BD64" s="3">
        <v>12033555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</row>
    <row r="65" spans="1:61" ht="13" x14ac:dyDescent="0.15">
      <c r="A65" s="3">
        <v>42221</v>
      </c>
      <c r="B65" s="3">
        <v>2095.27</v>
      </c>
      <c r="C65" s="3">
        <v>2112.66</v>
      </c>
      <c r="D65" s="3">
        <v>2095.27</v>
      </c>
      <c r="E65" s="3">
        <v>2099.84</v>
      </c>
      <c r="F65" s="3">
        <v>580780772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3">
        <v>80.400000000000006</v>
      </c>
      <c r="M65" s="3">
        <v>80.61</v>
      </c>
      <c r="N65" s="3">
        <v>79.28</v>
      </c>
      <c r="O65" s="3">
        <v>79.42</v>
      </c>
      <c r="P65" s="3">
        <v>5941265</v>
      </c>
      <c r="Q65" s="3">
        <v>50.54</v>
      </c>
      <c r="R65" s="3">
        <v>50.89</v>
      </c>
      <c r="S65" s="3">
        <v>50.52</v>
      </c>
      <c r="T65" s="3">
        <v>50.82</v>
      </c>
      <c r="U65" s="3">
        <v>5239860</v>
      </c>
      <c r="V65" s="3">
        <v>68.22</v>
      </c>
      <c r="W65" s="3">
        <v>68.97</v>
      </c>
      <c r="X65" s="3">
        <v>67.11</v>
      </c>
      <c r="Y65" s="3">
        <v>67.180000000000007</v>
      </c>
      <c r="Z65" s="3">
        <v>18473784</v>
      </c>
      <c r="AA65" s="3">
        <v>20.55</v>
      </c>
      <c r="AB65" s="3">
        <v>20.62</v>
      </c>
      <c r="AC65" s="3">
        <v>20.440000000000001</v>
      </c>
      <c r="AD65" s="3">
        <v>20.5</v>
      </c>
      <c r="AE65" s="3">
        <v>20123140</v>
      </c>
      <c r="AF65" s="3">
        <v>76.959999999999994</v>
      </c>
      <c r="AG65" s="3">
        <v>77.260000000000005</v>
      </c>
      <c r="AH65" s="3">
        <v>76.83</v>
      </c>
      <c r="AI65" s="3">
        <v>77.13</v>
      </c>
      <c r="AJ65" s="3">
        <v>5391231</v>
      </c>
      <c r="AK65" s="3">
        <v>54.21</v>
      </c>
      <c r="AL65" s="3">
        <v>54.58</v>
      </c>
      <c r="AM65" s="3">
        <v>54.15</v>
      </c>
      <c r="AN65" s="3">
        <v>54.23</v>
      </c>
      <c r="AO65" s="3">
        <v>8099729</v>
      </c>
      <c r="AP65" s="3">
        <v>46.12</v>
      </c>
      <c r="AQ65" s="3">
        <v>46.51</v>
      </c>
      <c r="AR65" s="3">
        <v>45.87</v>
      </c>
      <c r="AS65" s="3">
        <v>46.02</v>
      </c>
      <c r="AT65" s="3">
        <v>5836737</v>
      </c>
      <c r="AU65" s="3">
        <v>42.37</v>
      </c>
      <c r="AV65" s="3">
        <v>42.81</v>
      </c>
      <c r="AW65" s="3">
        <v>42.28</v>
      </c>
      <c r="AX65" s="3">
        <v>42.51</v>
      </c>
      <c r="AY65" s="3">
        <v>10392779</v>
      </c>
      <c r="AZ65" s="3">
        <v>43.68</v>
      </c>
      <c r="BA65" s="3">
        <v>43.93</v>
      </c>
      <c r="BB65" s="3">
        <v>43.49</v>
      </c>
      <c r="BC65" s="3">
        <v>43.62</v>
      </c>
      <c r="BD65" s="3">
        <v>11156553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</row>
    <row r="66" spans="1:61" ht="13" x14ac:dyDescent="0.15">
      <c r="A66" s="3">
        <v>42222</v>
      </c>
      <c r="B66" s="3">
        <v>2100.75</v>
      </c>
      <c r="C66" s="3">
        <v>2103.3200000000002</v>
      </c>
      <c r="D66" s="3">
        <v>2075.5300000000002</v>
      </c>
      <c r="E66" s="3">
        <v>2083.56</v>
      </c>
      <c r="F66" s="3">
        <v>611690579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3">
        <v>79.7</v>
      </c>
      <c r="M66" s="3">
        <v>79.7</v>
      </c>
      <c r="N66" s="3">
        <v>77.489999999999995</v>
      </c>
      <c r="O66" s="3">
        <v>78.34</v>
      </c>
      <c r="P66" s="3">
        <v>7744717</v>
      </c>
      <c r="Q66" s="3">
        <v>50.95</v>
      </c>
      <c r="R66" s="3">
        <v>50.95</v>
      </c>
      <c r="S66" s="3">
        <v>50.37</v>
      </c>
      <c r="T66" s="3">
        <v>50.44</v>
      </c>
      <c r="U66" s="3">
        <v>7889450</v>
      </c>
      <c r="V66" s="3">
        <v>66.78</v>
      </c>
      <c r="W66" s="3">
        <v>68.430000000000007</v>
      </c>
      <c r="X66" s="3">
        <v>66.290000000000006</v>
      </c>
      <c r="Y66" s="3">
        <v>68.25</v>
      </c>
      <c r="Z66" s="3">
        <v>23259648</v>
      </c>
      <c r="AA66" s="3">
        <v>20.51</v>
      </c>
      <c r="AB66" s="3">
        <v>20.54</v>
      </c>
      <c r="AC66" s="3">
        <v>20.350000000000001</v>
      </c>
      <c r="AD66" s="3">
        <v>20.420000000000002</v>
      </c>
      <c r="AE66" s="3">
        <v>19432502</v>
      </c>
      <c r="AF66" s="3">
        <v>77.2</v>
      </c>
      <c r="AG66" s="3">
        <v>77.27</v>
      </c>
      <c r="AH66" s="3">
        <v>75.38</v>
      </c>
      <c r="AI66" s="3">
        <v>75.45</v>
      </c>
      <c r="AJ66" s="3">
        <v>13360150</v>
      </c>
      <c r="AK66" s="3">
        <v>54.24</v>
      </c>
      <c r="AL66" s="3">
        <v>54.32</v>
      </c>
      <c r="AM66" s="3">
        <v>53.84</v>
      </c>
      <c r="AN66" s="3">
        <v>53.95</v>
      </c>
      <c r="AO66" s="3">
        <v>5672497</v>
      </c>
      <c r="AP66" s="3">
        <v>46.01</v>
      </c>
      <c r="AQ66" s="3">
        <v>46.18</v>
      </c>
      <c r="AR66" s="3">
        <v>45.79</v>
      </c>
      <c r="AS66" s="3">
        <v>45.86</v>
      </c>
      <c r="AT66" s="3">
        <v>6113368</v>
      </c>
      <c r="AU66" s="3">
        <v>42.51</v>
      </c>
      <c r="AV66" s="3">
        <v>42.68</v>
      </c>
      <c r="AW66" s="3">
        <v>41.94</v>
      </c>
      <c r="AX66" s="3">
        <v>42.09</v>
      </c>
      <c r="AY66" s="3">
        <v>6509876</v>
      </c>
      <c r="AZ66" s="3">
        <v>43.73</v>
      </c>
      <c r="BA66" s="3">
        <v>43.89</v>
      </c>
      <c r="BB66" s="3">
        <v>43.23</v>
      </c>
      <c r="BC66" s="3">
        <v>43.85</v>
      </c>
      <c r="BD66" s="3">
        <v>17145137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</row>
    <row r="67" spans="1:61" ht="13" x14ac:dyDescent="0.15">
      <c r="A67" s="3">
        <v>42223</v>
      </c>
      <c r="B67" s="3">
        <v>2082.61</v>
      </c>
      <c r="C67" s="3">
        <v>2082.61</v>
      </c>
      <c r="D67" s="3">
        <v>2067.91</v>
      </c>
      <c r="E67" s="3">
        <v>2077.5700000000002</v>
      </c>
      <c r="F67" s="3">
        <v>529686686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3">
        <v>78.430000000000007</v>
      </c>
      <c r="M67" s="3">
        <v>78.5</v>
      </c>
      <c r="N67" s="3">
        <v>77.73</v>
      </c>
      <c r="O67" s="3">
        <v>78.28</v>
      </c>
      <c r="P67" s="3">
        <v>6452885</v>
      </c>
      <c r="Q67" s="3">
        <v>50.36</v>
      </c>
      <c r="R67" s="3">
        <v>50.5</v>
      </c>
      <c r="S67" s="3">
        <v>49.94</v>
      </c>
      <c r="T67" s="3">
        <v>50.16</v>
      </c>
      <c r="U67" s="3">
        <v>6889664</v>
      </c>
      <c r="V67" s="3">
        <v>67.97</v>
      </c>
      <c r="W67" s="3">
        <v>68.510000000000005</v>
      </c>
      <c r="X67" s="3">
        <v>66.790000000000006</v>
      </c>
      <c r="Y67" s="3">
        <v>67.03</v>
      </c>
      <c r="Z67" s="3">
        <v>17081652</v>
      </c>
      <c r="AA67" s="3">
        <v>20.41</v>
      </c>
      <c r="AB67" s="3">
        <v>20.49</v>
      </c>
      <c r="AC67" s="3">
        <v>20.29</v>
      </c>
      <c r="AD67" s="3">
        <v>20.46</v>
      </c>
      <c r="AE67" s="3">
        <v>24917827</v>
      </c>
      <c r="AF67" s="3">
        <v>75.430000000000007</v>
      </c>
      <c r="AG67" s="3">
        <v>75.569999999999993</v>
      </c>
      <c r="AH67" s="3">
        <v>74.53</v>
      </c>
      <c r="AI67" s="3">
        <v>75.319999999999993</v>
      </c>
      <c r="AJ67" s="3">
        <v>10863619</v>
      </c>
      <c r="AK67" s="3">
        <v>53.84</v>
      </c>
      <c r="AL67" s="3">
        <v>53.95</v>
      </c>
      <c r="AM67" s="3">
        <v>53.53</v>
      </c>
      <c r="AN67" s="3">
        <v>53.69</v>
      </c>
      <c r="AO67" s="3">
        <v>8335211</v>
      </c>
      <c r="AP67" s="3">
        <v>45.56</v>
      </c>
      <c r="AQ67" s="3">
        <v>45.85</v>
      </c>
      <c r="AR67" s="3">
        <v>45.07</v>
      </c>
      <c r="AS67" s="3">
        <v>45.22</v>
      </c>
      <c r="AT67" s="3">
        <v>5851493</v>
      </c>
      <c r="AU67" s="3">
        <v>41.99</v>
      </c>
      <c r="AV67" s="3">
        <v>42.18</v>
      </c>
      <c r="AW67" s="3">
        <v>41.83</v>
      </c>
      <c r="AX67" s="3">
        <v>42.12</v>
      </c>
      <c r="AY67" s="3">
        <v>7912517</v>
      </c>
      <c r="AZ67" s="3">
        <v>43.81</v>
      </c>
      <c r="BA67" s="3">
        <v>44.58</v>
      </c>
      <c r="BB67" s="3">
        <v>43.58</v>
      </c>
      <c r="BC67" s="3">
        <v>44.39</v>
      </c>
      <c r="BD67" s="3">
        <v>21163253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</row>
    <row r="68" spans="1:61" ht="13" x14ac:dyDescent="0.15">
      <c r="A68" s="3">
        <v>42226</v>
      </c>
      <c r="B68" s="3">
        <v>2080.98</v>
      </c>
      <c r="C68" s="3">
        <v>2105.35</v>
      </c>
      <c r="D68" s="3">
        <v>2080.98</v>
      </c>
      <c r="E68" s="3">
        <v>2104.1799999999998</v>
      </c>
      <c r="F68" s="3">
        <v>536952747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3">
        <v>78.87</v>
      </c>
      <c r="M68" s="3">
        <v>79.16</v>
      </c>
      <c r="N68" s="3">
        <v>78.75</v>
      </c>
      <c r="O68" s="3">
        <v>78.91</v>
      </c>
      <c r="P68" s="3">
        <v>3837136</v>
      </c>
      <c r="Q68" s="3">
        <v>50.3</v>
      </c>
      <c r="R68" s="3">
        <v>50.51</v>
      </c>
      <c r="S68" s="3">
        <v>50.26</v>
      </c>
      <c r="T68" s="3">
        <v>50.35</v>
      </c>
      <c r="U68" s="3">
        <v>5779953</v>
      </c>
      <c r="V68" s="3">
        <v>67.17</v>
      </c>
      <c r="W68" s="3">
        <v>69.22</v>
      </c>
      <c r="X68" s="3">
        <v>67.17</v>
      </c>
      <c r="Y68" s="3">
        <v>69.17</v>
      </c>
      <c r="Z68" s="3">
        <v>19444368</v>
      </c>
      <c r="AA68" s="3">
        <v>20.6</v>
      </c>
      <c r="AB68" s="3">
        <v>20.67</v>
      </c>
      <c r="AC68" s="3">
        <v>20.54</v>
      </c>
      <c r="AD68" s="3">
        <v>20.66</v>
      </c>
      <c r="AE68" s="3">
        <v>24505145</v>
      </c>
      <c r="AF68" s="3">
        <v>75.569999999999993</v>
      </c>
      <c r="AG68" s="3">
        <v>76.260000000000005</v>
      </c>
      <c r="AH68" s="3">
        <v>75.569999999999993</v>
      </c>
      <c r="AI68" s="3">
        <v>75.930000000000007</v>
      </c>
      <c r="AJ68" s="3">
        <v>7951120</v>
      </c>
      <c r="AK68" s="3">
        <v>54.14</v>
      </c>
      <c r="AL68" s="3">
        <v>54.77</v>
      </c>
      <c r="AM68" s="3">
        <v>54.09</v>
      </c>
      <c r="AN68" s="3">
        <v>54.74</v>
      </c>
      <c r="AO68" s="3">
        <v>9164555</v>
      </c>
      <c r="AP68" s="3">
        <v>45.65</v>
      </c>
      <c r="AQ68" s="3">
        <v>46.36</v>
      </c>
      <c r="AR68" s="3">
        <v>45.37</v>
      </c>
      <c r="AS68" s="3">
        <v>46.33</v>
      </c>
      <c r="AT68" s="3">
        <v>5311542</v>
      </c>
      <c r="AU68" s="3">
        <v>42.31</v>
      </c>
      <c r="AV68" s="3">
        <v>42.83</v>
      </c>
      <c r="AW68" s="3">
        <v>42.31</v>
      </c>
      <c r="AX68" s="3">
        <v>42.78</v>
      </c>
      <c r="AY68" s="3">
        <v>5572027</v>
      </c>
      <c r="AZ68" s="3">
        <v>44.4</v>
      </c>
      <c r="BA68" s="3">
        <v>44.61</v>
      </c>
      <c r="BB68" s="3">
        <v>44.12</v>
      </c>
      <c r="BC68" s="3">
        <v>44.21</v>
      </c>
      <c r="BD68" s="3">
        <v>12089532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</row>
    <row r="69" spans="1:61" ht="13" x14ac:dyDescent="0.15">
      <c r="A69" s="3">
        <v>42227</v>
      </c>
      <c r="B69" s="3">
        <v>2102.66</v>
      </c>
      <c r="C69" s="3">
        <v>2102.66</v>
      </c>
      <c r="D69" s="3">
        <v>2076.4899999999998</v>
      </c>
      <c r="E69" s="3">
        <v>2084.0700000000002</v>
      </c>
      <c r="F69" s="3">
        <v>562080936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3">
        <v>78.400000000000006</v>
      </c>
      <c r="M69" s="3">
        <v>78.59</v>
      </c>
      <c r="N69" s="3">
        <v>77.83</v>
      </c>
      <c r="O69" s="3">
        <v>78.2</v>
      </c>
      <c r="P69" s="3">
        <v>5674738</v>
      </c>
      <c r="Q69" s="3">
        <v>50.02</v>
      </c>
      <c r="R69" s="3">
        <v>50.28</v>
      </c>
      <c r="S69" s="3">
        <v>50</v>
      </c>
      <c r="T69" s="3">
        <v>50.17</v>
      </c>
      <c r="U69" s="3">
        <v>5616152</v>
      </c>
      <c r="V69" s="3">
        <v>67.790000000000006</v>
      </c>
      <c r="W69" s="3">
        <v>69.37</v>
      </c>
      <c r="X69" s="3">
        <v>67.66</v>
      </c>
      <c r="Y69" s="3">
        <v>69.3</v>
      </c>
      <c r="Z69" s="3">
        <v>21053854</v>
      </c>
      <c r="AA69" s="3">
        <v>20.46</v>
      </c>
      <c r="AB69" s="3">
        <v>20.54</v>
      </c>
      <c r="AC69" s="3">
        <v>20.39</v>
      </c>
      <c r="AD69" s="3">
        <v>20.47</v>
      </c>
      <c r="AE69" s="3">
        <v>53166667</v>
      </c>
      <c r="AF69" s="3">
        <v>75.41</v>
      </c>
      <c r="AG69" s="3">
        <v>75.69</v>
      </c>
      <c r="AH69" s="3">
        <v>74.91</v>
      </c>
      <c r="AI69" s="3">
        <v>75.290000000000006</v>
      </c>
      <c r="AJ69" s="3">
        <v>7914867</v>
      </c>
      <c r="AK69" s="3">
        <v>54.08</v>
      </c>
      <c r="AL69" s="3">
        <v>54.32</v>
      </c>
      <c r="AM69" s="3">
        <v>53.86</v>
      </c>
      <c r="AN69" s="3">
        <v>54.07</v>
      </c>
      <c r="AO69" s="3">
        <v>10203208</v>
      </c>
      <c r="AP69" s="3">
        <v>45.6</v>
      </c>
      <c r="AQ69" s="3">
        <v>45.83</v>
      </c>
      <c r="AR69" s="3">
        <v>45.28</v>
      </c>
      <c r="AS69" s="3">
        <v>45.47</v>
      </c>
      <c r="AT69" s="3">
        <v>5851927</v>
      </c>
      <c r="AU69" s="3">
        <v>42.66</v>
      </c>
      <c r="AV69" s="3">
        <v>42.72</v>
      </c>
      <c r="AW69" s="3">
        <v>42.02</v>
      </c>
      <c r="AX69" s="3">
        <v>42.14</v>
      </c>
      <c r="AY69" s="3">
        <v>27344543</v>
      </c>
      <c r="AZ69" s="3">
        <v>44.38</v>
      </c>
      <c r="BA69" s="3">
        <v>44.77</v>
      </c>
      <c r="BB69" s="3">
        <v>44.1</v>
      </c>
      <c r="BC69" s="3">
        <v>44.43</v>
      </c>
      <c r="BD69" s="3">
        <v>15122310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</row>
    <row r="70" spans="1:61" ht="13" x14ac:dyDescent="0.15">
      <c r="A70" s="3">
        <v>42228</v>
      </c>
      <c r="B70" s="3">
        <v>2081.1</v>
      </c>
      <c r="C70" s="3">
        <v>2089.06</v>
      </c>
      <c r="D70" s="3">
        <v>2052.09</v>
      </c>
      <c r="E70" s="3">
        <v>2086.0500000000002</v>
      </c>
      <c r="F70" s="3">
        <v>632320464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3">
        <v>77.959999999999994</v>
      </c>
      <c r="M70" s="3">
        <v>77.98</v>
      </c>
      <c r="N70" s="3">
        <v>76.58</v>
      </c>
      <c r="O70" s="3">
        <v>77.86</v>
      </c>
      <c r="P70" s="3">
        <v>7136936</v>
      </c>
      <c r="Q70" s="3">
        <v>49.85</v>
      </c>
      <c r="R70" s="3">
        <v>50.23</v>
      </c>
      <c r="S70" s="3">
        <v>49.51</v>
      </c>
      <c r="T70" s="3">
        <v>50.2</v>
      </c>
      <c r="U70" s="3">
        <v>8275075</v>
      </c>
      <c r="V70" s="3">
        <v>69.06</v>
      </c>
      <c r="W70" s="3">
        <v>70.739999999999995</v>
      </c>
      <c r="X70" s="3">
        <v>68.66</v>
      </c>
      <c r="Y70" s="3">
        <v>70.56</v>
      </c>
      <c r="Z70" s="3">
        <v>23483011</v>
      </c>
      <c r="AA70" s="3">
        <v>20.3</v>
      </c>
      <c r="AB70" s="3">
        <v>20.32</v>
      </c>
      <c r="AC70" s="3">
        <v>19.98</v>
      </c>
      <c r="AD70" s="3">
        <v>20.29</v>
      </c>
      <c r="AE70" s="3">
        <v>62964477</v>
      </c>
      <c r="AF70" s="3">
        <v>74.72</v>
      </c>
      <c r="AG70" s="3">
        <v>75.42</v>
      </c>
      <c r="AH70" s="3">
        <v>73.900000000000006</v>
      </c>
      <c r="AI70" s="3">
        <v>75.34</v>
      </c>
      <c r="AJ70" s="3">
        <v>9665895</v>
      </c>
      <c r="AK70" s="3">
        <v>53.61</v>
      </c>
      <c r="AL70" s="3">
        <v>54.18</v>
      </c>
      <c r="AM70" s="3">
        <v>53.24</v>
      </c>
      <c r="AN70" s="3">
        <v>54.08</v>
      </c>
      <c r="AO70" s="3">
        <v>8130518</v>
      </c>
      <c r="AP70" s="3">
        <v>45.1</v>
      </c>
      <c r="AQ70" s="3">
        <v>45.7</v>
      </c>
      <c r="AR70" s="3">
        <v>44.97</v>
      </c>
      <c r="AS70" s="3">
        <v>45.64</v>
      </c>
      <c r="AT70" s="3">
        <v>6642250</v>
      </c>
      <c r="AU70" s="3">
        <v>41.83</v>
      </c>
      <c r="AV70" s="3">
        <v>42.41</v>
      </c>
      <c r="AW70" s="3">
        <v>41.44</v>
      </c>
      <c r="AX70" s="3">
        <v>42.33</v>
      </c>
      <c r="AY70" s="3">
        <v>10035699</v>
      </c>
      <c r="AZ70" s="3">
        <v>44.38</v>
      </c>
      <c r="BA70" s="3">
        <v>45.3</v>
      </c>
      <c r="BB70" s="3">
        <v>44.28</v>
      </c>
      <c r="BC70" s="3">
        <v>45.22</v>
      </c>
      <c r="BD70" s="3">
        <v>23459770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</row>
    <row r="71" spans="1:61" ht="13" x14ac:dyDescent="0.15">
      <c r="A71" s="3">
        <v>42229</v>
      </c>
      <c r="B71" s="3">
        <v>2086.19</v>
      </c>
      <c r="C71" s="3">
        <v>2092.9299999999998</v>
      </c>
      <c r="D71" s="3">
        <v>2078.2600000000002</v>
      </c>
      <c r="E71" s="3">
        <v>2083.39</v>
      </c>
      <c r="F71" s="3">
        <v>502475309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3">
        <v>77.81</v>
      </c>
      <c r="M71" s="3">
        <v>78.790000000000006</v>
      </c>
      <c r="N71" s="3">
        <v>77.790000000000006</v>
      </c>
      <c r="O71" s="3">
        <v>78.31</v>
      </c>
      <c r="P71" s="3">
        <v>4424313</v>
      </c>
      <c r="Q71" s="3">
        <v>50.15</v>
      </c>
      <c r="R71" s="3">
        <v>50.28</v>
      </c>
      <c r="S71" s="3">
        <v>49.94</v>
      </c>
      <c r="T71" s="3">
        <v>50</v>
      </c>
      <c r="U71" s="3">
        <v>4935225</v>
      </c>
      <c r="V71" s="3">
        <v>70.099999999999994</v>
      </c>
      <c r="W71" s="3">
        <v>70.36</v>
      </c>
      <c r="X71" s="3">
        <v>69.400000000000006</v>
      </c>
      <c r="Y71" s="3">
        <v>69.489999999999995</v>
      </c>
      <c r="Z71" s="3">
        <v>19813575</v>
      </c>
      <c r="AA71" s="3">
        <v>20.329999999999998</v>
      </c>
      <c r="AB71" s="3">
        <v>20.43</v>
      </c>
      <c r="AC71" s="3">
        <v>20.2</v>
      </c>
      <c r="AD71" s="3">
        <v>20.36</v>
      </c>
      <c r="AE71" s="3">
        <v>22378231</v>
      </c>
      <c r="AF71" s="3">
        <v>75.400000000000006</v>
      </c>
      <c r="AG71" s="3">
        <v>75.680000000000007</v>
      </c>
      <c r="AH71" s="3">
        <v>74.989999999999995</v>
      </c>
      <c r="AI71" s="3">
        <v>75.17</v>
      </c>
      <c r="AJ71" s="3">
        <v>6329317</v>
      </c>
      <c r="AK71" s="3">
        <v>54.11</v>
      </c>
      <c r="AL71" s="3">
        <v>54.22</v>
      </c>
      <c r="AM71" s="3">
        <v>53.82</v>
      </c>
      <c r="AN71" s="3">
        <v>54.04</v>
      </c>
      <c r="AO71" s="3">
        <v>4747203</v>
      </c>
      <c r="AP71" s="3">
        <v>45.5</v>
      </c>
      <c r="AQ71" s="3">
        <v>45.71</v>
      </c>
      <c r="AR71" s="3">
        <v>45.35</v>
      </c>
      <c r="AS71" s="3">
        <v>45.51</v>
      </c>
      <c r="AT71" s="3">
        <v>3028035</v>
      </c>
      <c r="AU71" s="3">
        <v>42.36</v>
      </c>
      <c r="AV71" s="3">
        <v>42.49</v>
      </c>
      <c r="AW71" s="3">
        <v>42.13</v>
      </c>
      <c r="AX71" s="3">
        <v>42.21</v>
      </c>
      <c r="AY71" s="3">
        <v>6643870</v>
      </c>
      <c r="AZ71" s="3">
        <v>45.04</v>
      </c>
      <c r="BA71" s="3">
        <v>45.36</v>
      </c>
      <c r="BB71" s="3">
        <v>44.7</v>
      </c>
      <c r="BC71" s="3">
        <v>45.23</v>
      </c>
      <c r="BD71" s="3">
        <v>10778928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</row>
    <row r="72" spans="1:61" ht="13" x14ac:dyDescent="0.15">
      <c r="A72" s="3">
        <v>42230</v>
      </c>
      <c r="B72" s="3">
        <v>2083.15</v>
      </c>
      <c r="C72" s="3">
        <v>2092.4499999999998</v>
      </c>
      <c r="D72" s="3">
        <v>2080.61</v>
      </c>
      <c r="E72" s="3">
        <v>2091.54</v>
      </c>
      <c r="F72" s="3">
        <v>448636523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3">
        <v>78.22</v>
      </c>
      <c r="M72" s="3">
        <v>78.47</v>
      </c>
      <c r="N72" s="3">
        <v>78.069999999999993</v>
      </c>
      <c r="O72" s="3">
        <v>78.36</v>
      </c>
      <c r="P72" s="3">
        <v>4739584</v>
      </c>
      <c r="Q72" s="3">
        <v>49.99</v>
      </c>
      <c r="R72" s="3">
        <v>50.17</v>
      </c>
      <c r="S72" s="3">
        <v>49.87</v>
      </c>
      <c r="T72" s="3">
        <v>50.16</v>
      </c>
      <c r="U72" s="3">
        <v>5247043</v>
      </c>
      <c r="V72" s="3">
        <v>69.64</v>
      </c>
      <c r="W72" s="3">
        <v>70.12</v>
      </c>
      <c r="X72" s="3">
        <v>69.180000000000007</v>
      </c>
      <c r="Y72" s="3">
        <v>69.34</v>
      </c>
      <c r="Z72" s="3">
        <v>12121178</v>
      </c>
      <c r="AA72" s="3">
        <v>20.329999999999998</v>
      </c>
      <c r="AB72" s="3">
        <v>20.5</v>
      </c>
      <c r="AC72" s="3">
        <v>20.329999999999998</v>
      </c>
      <c r="AD72" s="3">
        <v>20.5</v>
      </c>
      <c r="AE72" s="3">
        <v>27297572</v>
      </c>
      <c r="AF72" s="3">
        <v>74.959999999999994</v>
      </c>
      <c r="AG72" s="3">
        <v>75.42</v>
      </c>
      <c r="AH72" s="3">
        <v>74.8</v>
      </c>
      <c r="AI72" s="3">
        <v>75.38</v>
      </c>
      <c r="AJ72" s="3">
        <v>5503959</v>
      </c>
      <c r="AK72" s="3">
        <v>53.98</v>
      </c>
      <c r="AL72" s="3">
        <v>54.41</v>
      </c>
      <c r="AM72" s="3">
        <v>53.96</v>
      </c>
      <c r="AN72" s="3">
        <v>54.38</v>
      </c>
      <c r="AO72" s="3">
        <v>6666154</v>
      </c>
      <c r="AP72" s="3">
        <v>45.56</v>
      </c>
      <c r="AQ72" s="3">
        <v>45.76</v>
      </c>
      <c r="AR72" s="3">
        <v>45.44</v>
      </c>
      <c r="AS72" s="3">
        <v>45.72</v>
      </c>
      <c r="AT72" s="3">
        <v>2137764</v>
      </c>
      <c r="AU72" s="3">
        <v>42.1</v>
      </c>
      <c r="AV72" s="3">
        <v>42.46</v>
      </c>
      <c r="AW72" s="3">
        <v>42.07</v>
      </c>
      <c r="AX72" s="3">
        <v>42.42</v>
      </c>
      <c r="AY72" s="3">
        <v>5953004</v>
      </c>
      <c r="AZ72" s="3">
        <v>45.05</v>
      </c>
      <c r="BA72" s="3">
        <v>45.6</v>
      </c>
      <c r="BB72" s="3">
        <v>44.95</v>
      </c>
      <c r="BC72" s="3">
        <v>45.57</v>
      </c>
      <c r="BD72" s="3">
        <v>10334314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</row>
    <row r="73" spans="1:61" ht="13" x14ac:dyDescent="0.15">
      <c r="A73" s="3">
        <v>42233</v>
      </c>
      <c r="B73" s="3">
        <v>2089.6999999999998</v>
      </c>
      <c r="C73" s="3">
        <v>2102.87</v>
      </c>
      <c r="D73" s="3">
        <v>2079.3000000000002</v>
      </c>
      <c r="E73" s="3">
        <v>2102.44</v>
      </c>
      <c r="F73" s="3">
        <v>426042175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3">
        <v>78.08</v>
      </c>
      <c r="M73" s="3">
        <v>79.16</v>
      </c>
      <c r="N73" s="3">
        <v>78.010000000000005</v>
      </c>
      <c r="O73" s="3">
        <v>79.11</v>
      </c>
      <c r="P73" s="3">
        <v>4420502</v>
      </c>
      <c r="Q73" s="3">
        <v>50</v>
      </c>
      <c r="R73" s="3">
        <v>50.23</v>
      </c>
      <c r="S73" s="3">
        <v>49.82</v>
      </c>
      <c r="T73" s="3">
        <v>50.21</v>
      </c>
      <c r="U73" s="3">
        <v>4978436</v>
      </c>
      <c r="V73" s="3">
        <v>69</v>
      </c>
      <c r="W73" s="3">
        <v>69.83</v>
      </c>
      <c r="X73" s="3">
        <v>68.77</v>
      </c>
      <c r="Y73" s="3">
        <v>69.489999999999995</v>
      </c>
      <c r="Z73" s="3">
        <v>9532053</v>
      </c>
      <c r="AA73" s="3">
        <v>20.41</v>
      </c>
      <c r="AB73" s="3">
        <v>20.55</v>
      </c>
      <c r="AC73" s="3">
        <v>20.34</v>
      </c>
      <c r="AD73" s="3">
        <v>20.54</v>
      </c>
      <c r="AE73" s="3">
        <v>23372125</v>
      </c>
      <c r="AF73" s="3">
        <v>75.13</v>
      </c>
      <c r="AG73" s="3">
        <v>76.16</v>
      </c>
      <c r="AH73" s="3">
        <v>74.83</v>
      </c>
      <c r="AI73" s="3">
        <v>76.14</v>
      </c>
      <c r="AJ73" s="3">
        <v>5795993</v>
      </c>
      <c r="AK73" s="3">
        <v>54.12</v>
      </c>
      <c r="AL73" s="3">
        <v>54.65</v>
      </c>
      <c r="AM73" s="3">
        <v>53.87</v>
      </c>
      <c r="AN73" s="3">
        <v>54.65</v>
      </c>
      <c r="AO73" s="3">
        <v>5610970</v>
      </c>
      <c r="AP73" s="3">
        <v>45.61</v>
      </c>
      <c r="AQ73" s="3">
        <v>46</v>
      </c>
      <c r="AR73" s="3">
        <v>45.41</v>
      </c>
      <c r="AS73" s="3">
        <v>45.98</v>
      </c>
      <c r="AT73" s="3">
        <v>2547882</v>
      </c>
      <c r="AU73" s="3">
        <v>42.26</v>
      </c>
      <c r="AV73" s="3">
        <v>42.67</v>
      </c>
      <c r="AW73" s="3">
        <v>42.12</v>
      </c>
      <c r="AX73" s="3">
        <v>42.66</v>
      </c>
      <c r="AY73" s="3">
        <v>5591698</v>
      </c>
      <c r="AZ73" s="3">
        <v>45.72</v>
      </c>
      <c r="BA73" s="3">
        <v>45.99</v>
      </c>
      <c r="BB73" s="3">
        <v>45.49</v>
      </c>
      <c r="BC73" s="3">
        <v>45.79</v>
      </c>
      <c r="BD73" s="3">
        <v>9159738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</row>
    <row r="74" spans="1:61" ht="13" x14ac:dyDescent="0.15">
      <c r="A74" s="3">
        <v>42234</v>
      </c>
      <c r="B74" s="3">
        <v>2101.9899999999998</v>
      </c>
      <c r="C74" s="3">
        <v>2103.4699999999998</v>
      </c>
      <c r="D74" s="3">
        <v>2094.14</v>
      </c>
      <c r="E74" s="3">
        <v>2096.92</v>
      </c>
      <c r="F74" s="3">
        <v>444211630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3">
        <v>79.2</v>
      </c>
      <c r="M74" s="3">
        <v>79.5</v>
      </c>
      <c r="N74" s="3">
        <v>79.03</v>
      </c>
      <c r="O74" s="3">
        <v>79.180000000000007</v>
      </c>
      <c r="P74" s="3">
        <v>5849675</v>
      </c>
      <c r="Q74" s="3">
        <v>50.03</v>
      </c>
      <c r="R74" s="3">
        <v>50.17</v>
      </c>
      <c r="S74" s="3">
        <v>49.9</v>
      </c>
      <c r="T74" s="3">
        <v>49.96</v>
      </c>
      <c r="U74" s="3">
        <v>5108275</v>
      </c>
      <c r="V74" s="3">
        <v>69.36</v>
      </c>
      <c r="W74" s="3">
        <v>69.540000000000006</v>
      </c>
      <c r="X74" s="3">
        <v>68.89</v>
      </c>
      <c r="Y74" s="3">
        <v>69.23</v>
      </c>
      <c r="Z74" s="3">
        <v>11063398</v>
      </c>
      <c r="AA74" s="3">
        <v>20.52</v>
      </c>
      <c r="AB74" s="3">
        <v>20.58</v>
      </c>
      <c r="AC74" s="3">
        <v>20.48</v>
      </c>
      <c r="AD74" s="3">
        <v>20.53</v>
      </c>
      <c r="AE74" s="3">
        <v>16446489</v>
      </c>
      <c r="AF74" s="3">
        <v>76.06</v>
      </c>
      <c r="AG74" s="3">
        <v>76.44</v>
      </c>
      <c r="AH74" s="3">
        <v>75.91</v>
      </c>
      <c r="AI74" s="3">
        <v>76.03</v>
      </c>
      <c r="AJ74" s="3">
        <v>5465905</v>
      </c>
      <c r="AK74" s="3">
        <v>54.35</v>
      </c>
      <c r="AL74" s="3">
        <v>54.64</v>
      </c>
      <c r="AM74" s="3">
        <v>54.35</v>
      </c>
      <c r="AN74" s="3">
        <v>54.55</v>
      </c>
      <c r="AO74" s="3">
        <v>3844992</v>
      </c>
      <c r="AP74" s="3">
        <v>45.89</v>
      </c>
      <c r="AQ74" s="3">
        <v>45.97</v>
      </c>
      <c r="AR74" s="3">
        <v>45.63</v>
      </c>
      <c r="AS74" s="3">
        <v>45.68</v>
      </c>
      <c r="AT74" s="3">
        <v>2853958</v>
      </c>
      <c r="AU74" s="3">
        <v>42.56</v>
      </c>
      <c r="AV74" s="3">
        <v>42.62</v>
      </c>
      <c r="AW74" s="3">
        <v>42.39</v>
      </c>
      <c r="AX74" s="3">
        <v>42.44</v>
      </c>
      <c r="AY74" s="3">
        <v>4691890</v>
      </c>
      <c r="AZ74" s="3">
        <v>45.64</v>
      </c>
      <c r="BA74" s="3">
        <v>45.76</v>
      </c>
      <c r="BB74" s="3">
        <v>45.49</v>
      </c>
      <c r="BC74" s="3">
        <v>45.68</v>
      </c>
      <c r="BD74" s="3">
        <v>11741333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</row>
    <row r="75" spans="1:61" ht="13" x14ac:dyDescent="0.15">
      <c r="A75" s="3">
        <v>42235</v>
      </c>
      <c r="B75" s="3">
        <v>2095.69</v>
      </c>
      <c r="C75" s="3">
        <v>2096.17</v>
      </c>
      <c r="D75" s="3">
        <v>2070.5300000000002</v>
      </c>
      <c r="E75" s="3">
        <v>2079.61</v>
      </c>
      <c r="F75" s="3">
        <v>571231726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3">
        <v>78.95</v>
      </c>
      <c r="M75" s="3">
        <v>79.63</v>
      </c>
      <c r="N75" s="3">
        <v>78.66</v>
      </c>
      <c r="O75" s="3">
        <v>79.040000000000006</v>
      </c>
      <c r="P75" s="3">
        <v>5740905</v>
      </c>
      <c r="Q75" s="3">
        <v>49.85</v>
      </c>
      <c r="R75" s="3">
        <v>49.87</v>
      </c>
      <c r="S75" s="3">
        <v>49.26</v>
      </c>
      <c r="T75" s="3">
        <v>49.5</v>
      </c>
      <c r="U75" s="3">
        <v>9309247</v>
      </c>
      <c r="V75" s="3">
        <v>68.849999999999994</v>
      </c>
      <c r="W75" s="3">
        <v>68.959999999999994</v>
      </c>
      <c r="X75" s="3">
        <v>67</v>
      </c>
      <c r="Y75" s="3">
        <v>67.319999999999993</v>
      </c>
      <c r="Z75" s="3">
        <v>20183041</v>
      </c>
      <c r="AA75" s="3">
        <v>20.47</v>
      </c>
      <c r="AB75" s="3">
        <v>20.52</v>
      </c>
      <c r="AC75" s="3">
        <v>20.260000000000002</v>
      </c>
      <c r="AD75" s="3">
        <v>20.34</v>
      </c>
      <c r="AE75" s="3">
        <v>46614198</v>
      </c>
      <c r="AF75" s="3">
        <v>75.62</v>
      </c>
      <c r="AG75" s="3">
        <v>76.239999999999995</v>
      </c>
      <c r="AH75" s="3">
        <v>75.180000000000007</v>
      </c>
      <c r="AI75" s="3">
        <v>75.72</v>
      </c>
      <c r="AJ75" s="3">
        <v>10070340</v>
      </c>
      <c r="AK75" s="3">
        <v>54.38</v>
      </c>
      <c r="AL75" s="3">
        <v>54.52</v>
      </c>
      <c r="AM75" s="3">
        <v>53.85</v>
      </c>
      <c r="AN75" s="3">
        <v>54.04</v>
      </c>
      <c r="AO75" s="3">
        <v>9147270</v>
      </c>
      <c r="AP75" s="3">
        <v>45.45</v>
      </c>
      <c r="AQ75" s="3">
        <v>45.47</v>
      </c>
      <c r="AR75" s="3">
        <v>44.93</v>
      </c>
      <c r="AS75" s="3">
        <v>45.12</v>
      </c>
      <c r="AT75" s="3">
        <v>4286604</v>
      </c>
      <c r="AU75" s="3">
        <v>42.31</v>
      </c>
      <c r="AV75" s="3">
        <v>42.52</v>
      </c>
      <c r="AW75" s="3">
        <v>41.92</v>
      </c>
      <c r="AX75" s="3">
        <v>42.16</v>
      </c>
      <c r="AY75" s="3">
        <v>9227613</v>
      </c>
      <c r="AZ75" s="3">
        <v>45.57</v>
      </c>
      <c r="BA75" s="3">
        <v>46.01</v>
      </c>
      <c r="BB75" s="3">
        <v>45.33</v>
      </c>
      <c r="BC75" s="3">
        <v>45.87</v>
      </c>
      <c r="BD75" s="3">
        <v>9245573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</row>
    <row r="76" spans="1:61" ht="13" x14ac:dyDescent="0.15">
      <c r="A76" s="3">
        <v>42236</v>
      </c>
      <c r="B76" s="3">
        <v>2076.61</v>
      </c>
      <c r="C76" s="3">
        <v>2076.61</v>
      </c>
      <c r="D76" s="3">
        <v>2035.73</v>
      </c>
      <c r="E76" s="3">
        <v>2035.73</v>
      </c>
      <c r="F76" s="3">
        <v>674625605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3">
        <v>78.28</v>
      </c>
      <c r="M76" s="3">
        <v>78.45</v>
      </c>
      <c r="N76" s="3">
        <v>76.8</v>
      </c>
      <c r="O76" s="3">
        <v>76.819999999999993</v>
      </c>
      <c r="P76" s="3">
        <v>9412255</v>
      </c>
      <c r="Q76" s="3">
        <v>49.16</v>
      </c>
      <c r="R76" s="3">
        <v>49.49</v>
      </c>
      <c r="S76" s="3">
        <v>48.95</v>
      </c>
      <c r="T76" s="3">
        <v>49.05</v>
      </c>
      <c r="U76" s="3">
        <v>12756272</v>
      </c>
      <c r="V76" s="3">
        <v>67.14</v>
      </c>
      <c r="W76" s="3">
        <v>67.599999999999994</v>
      </c>
      <c r="X76" s="3">
        <v>65.790000000000006</v>
      </c>
      <c r="Y76" s="3">
        <v>65.8</v>
      </c>
      <c r="Z76" s="3">
        <v>25336591</v>
      </c>
      <c r="AA76" s="3">
        <v>20.13</v>
      </c>
      <c r="AB76" s="3">
        <v>20.16</v>
      </c>
      <c r="AC76" s="3">
        <v>19.91</v>
      </c>
      <c r="AD76" s="3">
        <v>19.91</v>
      </c>
      <c r="AE76" s="3">
        <v>55021564</v>
      </c>
      <c r="AF76" s="3">
        <v>75.16</v>
      </c>
      <c r="AG76" s="3">
        <v>75.45</v>
      </c>
      <c r="AH76" s="3">
        <v>73.959999999999994</v>
      </c>
      <c r="AI76" s="3">
        <v>73.959999999999994</v>
      </c>
      <c r="AJ76" s="3">
        <v>12992869</v>
      </c>
      <c r="AK76" s="3">
        <v>53.58</v>
      </c>
      <c r="AL76" s="3">
        <v>53.71</v>
      </c>
      <c r="AM76" s="3">
        <v>52.91</v>
      </c>
      <c r="AN76" s="3">
        <v>52.92</v>
      </c>
      <c r="AO76" s="3">
        <v>18301130</v>
      </c>
      <c r="AP76" s="3">
        <v>44.84</v>
      </c>
      <c r="AQ76" s="3">
        <v>44.97</v>
      </c>
      <c r="AR76" s="3">
        <v>44.27</v>
      </c>
      <c r="AS76" s="3">
        <v>44.27</v>
      </c>
      <c r="AT76" s="3">
        <v>5808673</v>
      </c>
      <c r="AU76" s="3">
        <v>41.71</v>
      </c>
      <c r="AV76" s="3">
        <v>41.89</v>
      </c>
      <c r="AW76" s="3">
        <v>41.13</v>
      </c>
      <c r="AX76" s="3">
        <v>41.13</v>
      </c>
      <c r="AY76" s="3">
        <v>13726872</v>
      </c>
      <c r="AZ76" s="3">
        <v>45.68</v>
      </c>
      <c r="BA76" s="3">
        <v>46.14</v>
      </c>
      <c r="BB76" s="3">
        <v>45.44</v>
      </c>
      <c r="BC76" s="3">
        <v>45.6</v>
      </c>
      <c r="BD76" s="3">
        <v>12775956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</row>
    <row r="77" spans="1:61" ht="13" x14ac:dyDescent="0.15">
      <c r="A77" s="3">
        <v>42237</v>
      </c>
      <c r="B77" s="3">
        <v>2034.08</v>
      </c>
      <c r="C77" s="3">
        <v>2034.08</v>
      </c>
      <c r="D77" s="3">
        <v>1970.89</v>
      </c>
      <c r="E77" s="3">
        <v>1970.89</v>
      </c>
      <c r="F77" s="3">
        <v>1064386975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3">
        <v>76.05</v>
      </c>
      <c r="M77" s="3">
        <v>76.290000000000006</v>
      </c>
      <c r="N77" s="3">
        <v>74.290000000000006</v>
      </c>
      <c r="O77" s="3">
        <v>74.36</v>
      </c>
      <c r="P77" s="3">
        <v>18601289</v>
      </c>
      <c r="Q77" s="3">
        <v>48.67</v>
      </c>
      <c r="R77" s="3">
        <v>48.78</v>
      </c>
      <c r="S77" s="3">
        <v>47.71</v>
      </c>
      <c r="T77" s="3">
        <v>47.71</v>
      </c>
      <c r="U77" s="3">
        <v>23544294</v>
      </c>
      <c r="V77" s="3">
        <v>65.14</v>
      </c>
      <c r="W77" s="3">
        <v>65.849999999999994</v>
      </c>
      <c r="X77" s="3">
        <v>63.46</v>
      </c>
      <c r="Y77" s="3">
        <v>63.5</v>
      </c>
      <c r="Z77" s="3">
        <v>25420233</v>
      </c>
      <c r="AA77" s="3">
        <v>19.66</v>
      </c>
      <c r="AB77" s="3">
        <v>19.809999999999999</v>
      </c>
      <c r="AC77" s="3">
        <v>19.2</v>
      </c>
      <c r="AD77" s="3">
        <v>19.2</v>
      </c>
      <c r="AE77" s="3">
        <v>103749725</v>
      </c>
      <c r="AF77" s="3">
        <v>73.22</v>
      </c>
      <c r="AG77" s="3">
        <v>73.849999999999994</v>
      </c>
      <c r="AH77" s="3">
        <v>71.69</v>
      </c>
      <c r="AI77" s="3">
        <v>71.7</v>
      </c>
      <c r="AJ77" s="3">
        <v>24008292</v>
      </c>
      <c r="AK77" s="3">
        <v>52.33</v>
      </c>
      <c r="AL77" s="3">
        <v>52.57</v>
      </c>
      <c r="AM77" s="3">
        <v>51.46</v>
      </c>
      <c r="AN77" s="3">
        <v>51.46</v>
      </c>
      <c r="AO77" s="3">
        <v>27372912</v>
      </c>
      <c r="AP77" s="3">
        <v>44.01</v>
      </c>
      <c r="AQ77" s="3">
        <v>44.09</v>
      </c>
      <c r="AR77" s="3">
        <v>43.19</v>
      </c>
      <c r="AS77" s="3">
        <v>43.19</v>
      </c>
      <c r="AT77" s="3">
        <v>12550160</v>
      </c>
      <c r="AU77" s="3">
        <v>40.69</v>
      </c>
      <c r="AV77" s="3">
        <v>41</v>
      </c>
      <c r="AW77" s="3">
        <v>39.56</v>
      </c>
      <c r="AX77" s="3">
        <v>39.56</v>
      </c>
      <c r="AY77" s="3">
        <v>23666433</v>
      </c>
      <c r="AZ77" s="3">
        <v>45.45</v>
      </c>
      <c r="BA77" s="3">
        <v>45.65</v>
      </c>
      <c r="BB77" s="3">
        <v>45.02</v>
      </c>
      <c r="BC77" s="3">
        <v>45.05</v>
      </c>
      <c r="BD77" s="3">
        <v>18747414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</row>
    <row r="78" spans="1:61" ht="13" x14ac:dyDescent="0.15">
      <c r="A78" s="3">
        <v>42240</v>
      </c>
      <c r="B78" s="3">
        <v>1965.15</v>
      </c>
      <c r="C78" s="3">
        <v>1965.15</v>
      </c>
      <c r="D78" s="3">
        <v>1867.01</v>
      </c>
      <c r="E78" s="3">
        <v>1893.21</v>
      </c>
      <c r="F78" s="3">
        <v>259667692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3">
        <v>70.06</v>
      </c>
      <c r="M78" s="3">
        <v>73.86</v>
      </c>
      <c r="N78" s="3">
        <v>66</v>
      </c>
      <c r="O78" s="3">
        <v>71.39</v>
      </c>
      <c r="P78" s="3">
        <v>23817067</v>
      </c>
      <c r="Q78" s="3">
        <v>45.4</v>
      </c>
      <c r="R78" s="3">
        <v>47.1</v>
      </c>
      <c r="S78" s="3">
        <v>43.72</v>
      </c>
      <c r="T78" s="3">
        <v>46.05</v>
      </c>
      <c r="U78" s="3">
        <v>68723789</v>
      </c>
      <c r="V78" s="3">
        <v>59.79</v>
      </c>
      <c r="W78" s="3">
        <v>62.58</v>
      </c>
      <c r="X78" s="3">
        <v>58.74</v>
      </c>
      <c r="Y78" s="3">
        <v>60.09</v>
      </c>
      <c r="Z78" s="3">
        <v>43001115</v>
      </c>
      <c r="AA78" s="3">
        <v>18.02</v>
      </c>
      <c r="AB78" s="3">
        <v>19.03</v>
      </c>
      <c r="AC78" s="3">
        <v>15.04</v>
      </c>
      <c r="AD78" s="3">
        <v>18.39</v>
      </c>
      <c r="AE78" s="3">
        <v>116695094</v>
      </c>
      <c r="AF78" s="3">
        <v>67.39</v>
      </c>
      <c r="AG78" s="3">
        <v>71.069999999999993</v>
      </c>
      <c r="AH78" s="3">
        <v>56.63</v>
      </c>
      <c r="AI78" s="3">
        <v>68.650000000000006</v>
      </c>
      <c r="AJ78" s="3">
        <v>33675689</v>
      </c>
      <c r="AK78" s="3">
        <v>47.91</v>
      </c>
      <c r="AL78" s="3">
        <v>51.06</v>
      </c>
      <c r="AM78" s="3">
        <v>47.6</v>
      </c>
      <c r="AN78" s="3">
        <v>49.57</v>
      </c>
      <c r="AO78" s="3">
        <v>66306684</v>
      </c>
      <c r="AP78" s="3">
        <v>40.64</v>
      </c>
      <c r="AQ78" s="3">
        <v>42.86</v>
      </c>
      <c r="AR78" s="3">
        <v>39.35</v>
      </c>
      <c r="AS78" s="3">
        <v>41.38</v>
      </c>
      <c r="AT78" s="3">
        <v>27681098</v>
      </c>
      <c r="AU78" s="3">
        <v>37.01</v>
      </c>
      <c r="AV78" s="3">
        <v>39.61</v>
      </c>
      <c r="AW78" s="3">
        <v>31.32</v>
      </c>
      <c r="AX78" s="3">
        <v>38.14</v>
      </c>
      <c r="AY78" s="3">
        <v>36103937</v>
      </c>
      <c r="AZ78" s="3">
        <v>44.16</v>
      </c>
      <c r="BA78" s="3">
        <v>44.57</v>
      </c>
      <c r="BB78" s="3">
        <v>43.15</v>
      </c>
      <c r="BC78" s="3">
        <v>43.37</v>
      </c>
      <c r="BD78" s="3">
        <v>35100462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</row>
    <row r="79" spans="1:61" ht="13" x14ac:dyDescent="0.15">
      <c r="A79" s="3">
        <v>42241</v>
      </c>
      <c r="B79" s="3">
        <v>1898.08</v>
      </c>
      <c r="C79" s="3">
        <v>1948.04</v>
      </c>
      <c r="D79" s="3">
        <v>1867.08</v>
      </c>
      <c r="E79" s="3">
        <v>1867.61</v>
      </c>
      <c r="F79" s="3">
        <v>1051285330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3">
        <v>73.180000000000007</v>
      </c>
      <c r="M79" s="3">
        <v>73.760000000000005</v>
      </c>
      <c r="N79" s="3">
        <v>71.06</v>
      </c>
      <c r="O79" s="3">
        <v>71.099999999999994</v>
      </c>
      <c r="P79" s="3">
        <v>12093806</v>
      </c>
      <c r="Q79" s="3">
        <v>47.71</v>
      </c>
      <c r="R79" s="3">
        <v>47.71</v>
      </c>
      <c r="S79" s="3">
        <v>45.65</v>
      </c>
      <c r="T79" s="3">
        <v>45.7</v>
      </c>
      <c r="U79" s="3">
        <v>35853861</v>
      </c>
      <c r="V79" s="3">
        <v>62.73</v>
      </c>
      <c r="W79" s="3">
        <v>62.73</v>
      </c>
      <c r="X79" s="3">
        <v>59.17</v>
      </c>
      <c r="Y79" s="3">
        <v>59.22</v>
      </c>
      <c r="Z79" s="3">
        <v>27696557</v>
      </c>
      <c r="AA79" s="3">
        <v>19.05</v>
      </c>
      <c r="AB79" s="3">
        <v>19.07</v>
      </c>
      <c r="AC79" s="3">
        <v>18.07</v>
      </c>
      <c r="AD79" s="3">
        <v>18.13</v>
      </c>
      <c r="AE79" s="3">
        <v>68998091</v>
      </c>
      <c r="AF79" s="3">
        <v>70.8</v>
      </c>
      <c r="AG79" s="3">
        <v>71.34</v>
      </c>
      <c r="AH79" s="3">
        <v>67.86</v>
      </c>
      <c r="AI79" s="3">
        <v>67.959999999999994</v>
      </c>
      <c r="AJ79" s="3">
        <v>17883746</v>
      </c>
      <c r="AK79" s="3">
        <v>50.62</v>
      </c>
      <c r="AL79" s="3">
        <v>51.49</v>
      </c>
      <c r="AM79" s="3">
        <v>48.95</v>
      </c>
      <c r="AN79" s="3">
        <v>48.98</v>
      </c>
      <c r="AO79" s="3">
        <v>25681278</v>
      </c>
      <c r="AP79" s="3">
        <v>42.04</v>
      </c>
      <c r="AQ79" s="3">
        <v>42.94</v>
      </c>
      <c r="AR79" s="3">
        <v>40.659999999999997</v>
      </c>
      <c r="AS79" s="3">
        <v>40.729999999999997</v>
      </c>
      <c r="AT79" s="3">
        <v>13339511</v>
      </c>
      <c r="AU79" s="3">
        <v>39.47</v>
      </c>
      <c r="AV79" s="3">
        <v>39.54</v>
      </c>
      <c r="AW79" s="3">
        <v>37.659999999999997</v>
      </c>
      <c r="AX79" s="3">
        <v>37.700000000000003</v>
      </c>
      <c r="AY79" s="3">
        <v>18605422</v>
      </c>
      <c r="AZ79" s="3">
        <v>43.9</v>
      </c>
      <c r="BA79" s="3">
        <v>44.18</v>
      </c>
      <c r="BB79" s="3">
        <v>41.99</v>
      </c>
      <c r="BC79" s="3">
        <v>42.03</v>
      </c>
      <c r="BD79" s="3">
        <v>28632725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</row>
    <row r="80" spans="1:61" ht="13" x14ac:dyDescent="0.15">
      <c r="A80" s="3">
        <v>42242</v>
      </c>
      <c r="B80" s="3">
        <v>1872.75</v>
      </c>
      <c r="C80" s="3">
        <v>1943.09</v>
      </c>
      <c r="D80" s="3">
        <v>1872.75</v>
      </c>
      <c r="E80" s="3">
        <v>1940.51</v>
      </c>
      <c r="F80" s="3">
        <v>1028890548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3">
        <v>72.73</v>
      </c>
      <c r="M80" s="3">
        <v>73.89</v>
      </c>
      <c r="N80" s="3">
        <v>71.34</v>
      </c>
      <c r="O80" s="3">
        <v>73.8</v>
      </c>
      <c r="P80" s="3">
        <v>18895053</v>
      </c>
      <c r="Q80" s="3">
        <v>46.61</v>
      </c>
      <c r="R80" s="3">
        <v>47.13</v>
      </c>
      <c r="S80" s="3">
        <v>45.75</v>
      </c>
      <c r="T80" s="3">
        <v>47.05</v>
      </c>
      <c r="U80" s="3">
        <v>24372846</v>
      </c>
      <c r="V80" s="3">
        <v>60.72</v>
      </c>
      <c r="W80" s="3">
        <v>61.33</v>
      </c>
      <c r="X80" s="3">
        <v>59.54</v>
      </c>
      <c r="Y80" s="3">
        <v>61.26</v>
      </c>
      <c r="Z80" s="3">
        <v>39732247</v>
      </c>
      <c r="AA80" s="3">
        <v>18.559999999999999</v>
      </c>
      <c r="AB80" s="3">
        <v>18.82</v>
      </c>
      <c r="AC80" s="3">
        <v>18.22</v>
      </c>
      <c r="AD80" s="3">
        <v>18.82</v>
      </c>
      <c r="AE80" s="3">
        <v>118648630</v>
      </c>
      <c r="AF80" s="3">
        <v>69.84</v>
      </c>
      <c r="AG80" s="3">
        <v>70.900000000000006</v>
      </c>
      <c r="AH80" s="3">
        <v>68.17</v>
      </c>
      <c r="AI80" s="3">
        <v>70.83</v>
      </c>
      <c r="AJ80" s="3">
        <v>26115647</v>
      </c>
      <c r="AK80" s="3">
        <v>49.95</v>
      </c>
      <c r="AL80" s="3">
        <v>50.57</v>
      </c>
      <c r="AM80" s="3">
        <v>49.15</v>
      </c>
      <c r="AN80" s="3">
        <v>50.51</v>
      </c>
      <c r="AO80" s="3">
        <v>26147351</v>
      </c>
      <c r="AP80" s="3">
        <v>41.58</v>
      </c>
      <c r="AQ80" s="3">
        <v>41.92</v>
      </c>
      <c r="AR80" s="3">
        <v>40.89</v>
      </c>
      <c r="AS80" s="3">
        <v>41.83</v>
      </c>
      <c r="AT80" s="3">
        <v>24487891</v>
      </c>
      <c r="AU80" s="3">
        <v>38.450000000000003</v>
      </c>
      <c r="AV80" s="3">
        <v>39.659999999999997</v>
      </c>
      <c r="AW80" s="3">
        <v>38.119999999999997</v>
      </c>
      <c r="AX80" s="3">
        <v>39.6</v>
      </c>
      <c r="AY80" s="3">
        <v>34388362</v>
      </c>
      <c r="AZ80" s="3">
        <v>42.32</v>
      </c>
      <c r="BA80" s="3">
        <v>42.88</v>
      </c>
      <c r="BB80" s="3">
        <v>41.97</v>
      </c>
      <c r="BC80" s="3">
        <v>42.78</v>
      </c>
      <c r="BD80" s="3">
        <v>21869934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</row>
    <row r="81" spans="1:61" ht="13" x14ac:dyDescent="0.15">
      <c r="A81" s="3">
        <v>42243</v>
      </c>
      <c r="B81" s="3">
        <v>1942.77</v>
      </c>
      <c r="C81" s="3">
        <v>1989.6</v>
      </c>
      <c r="D81" s="3">
        <v>1942.77</v>
      </c>
      <c r="E81" s="3">
        <v>1987.66</v>
      </c>
      <c r="F81" s="3">
        <v>924279973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3">
        <v>74.95</v>
      </c>
      <c r="M81" s="3">
        <v>75.73</v>
      </c>
      <c r="N81" s="3">
        <v>74.010000000000005</v>
      </c>
      <c r="O81" s="3">
        <v>75.53</v>
      </c>
      <c r="P81" s="3">
        <v>16115557</v>
      </c>
      <c r="Q81" s="3">
        <v>47.43</v>
      </c>
      <c r="R81" s="3">
        <v>47.89</v>
      </c>
      <c r="S81" s="3">
        <v>46.87</v>
      </c>
      <c r="T81" s="3">
        <v>47.74</v>
      </c>
      <c r="U81" s="3">
        <v>19550365</v>
      </c>
      <c r="V81" s="3">
        <v>62.68</v>
      </c>
      <c r="W81" s="3">
        <v>64.44</v>
      </c>
      <c r="X81" s="3">
        <v>62.45</v>
      </c>
      <c r="Y81" s="3">
        <v>64.290000000000006</v>
      </c>
      <c r="Z81" s="3">
        <v>32241447</v>
      </c>
      <c r="AA81" s="3">
        <v>19.059999999999999</v>
      </c>
      <c r="AB81" s="3">
        <v>19.32</v>
      </c>
      <c r="AC81" s="3">
        <v>18.899999999999999</v>
      </c>
      <c r="AD81" s="3">
        <v>19.28</v>
      </c>
      <c r="AE81" s="3">
        <v>78164031</v>
      </c>
      <c r="AF81" s="3">
        <v>71.75</v>
      </c>
      <c r="AG81" s="3">
        <v>72.31</v>
      </c>
      <c r="AH81" s="3">
        <v>70.69</v>
      </c>
      <c r="AI81" s="3">
        <v>72.209999999999994</v>
      </c>
      <c r="AJ81" s="3">
        <v>18689677</v>
      </c>
      <c r="AK81" s="3">
        <v>50.98</v>
      </c>
      <c r="AL81" s="3">
        <v>51.77</v>
      </c>
      <c r="AM81" s="3">
        <v>50.47</v>
      </c>
      <c r="AN81" s="3">
        <v>51.73</v>
      </c>
      <c r="AO81" s="3">
        <v>21356594</v>
      </c>
      <c r="AP81" s="3">
        <v>42.5</v>
      </c>
      <c r="AQ81" s="3">
        <v>43.56</v>
      </c>
      <c r="AR81" s="3">
        <v>42.45</v>
      </c>
      <c r="AS81" s="3">
        <v>43.35</v>
      </c>
      <c r="AT81" s="3">
        <v>11637653</v>
      </c>
      <c r="AU81" s="3">
        <v>40.14</v>
      </c>
      <c r="AV81" s="3">
        <v>40.53</v>
      </c>
      <c r="AW81" s="3">
        <v>39.630000000000003</v>
      </c>
      <c r="AX81" s="3">
        <v>40.520000000000003</v>
      </c>
      <c r="AY81" s="3">
        <v>20105542</v>
      </c>
      <c r="AZ81" s="3">
        <v>43.02</v>
      </c>
      <c r="BA81" s="3">
        <v>43.3</v>
      </c>
      <c r="BB81" s="3">
        <v>42.69</v>
      </c>
      <c r="BC81" s="3">
        <v>43.28</v>
      </c>
      <c r="BD81" s="3">
        <v>17045454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</row>
    <row r="82" spans="1:61" ht="13" x14ac:dyDescent="0.15">
      <c r="A82" s="3">
        <v>42244</v>
      </c>
      <c r="B82" s="3">
        <v>1986.06</v>
      </c>
      <c r="C82" s="3">
        <v>1993.48</v>
      </c>
      <c r="D82" s="3">
        <v>1975.19</v>
      </c>
      <c r="E82" s="3">
        <v>1988.87</v>
      </c>
      <c r="F82" s="3">
        <v>723484652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3">
        <v>75.28</v>
      </c>
      <c r="M82" s="3">
        <v>76</v>
      </c>
      <c r="N82" s="3">
        <v>75.099999999999994</v>
      </c>
      <c r="O82" s="3">
        <v>75.56</v>
      </c>
      <c r="P82" s="3">
        <v>7644485</v>
      </c>
      <c r="Q82" s="3">
        <v>47.61</v>
      </c>
      <c r="R82" s="3">
        <v>47.69</v>
      </c>
      <c r="S82" s="3">
        <v>47.35</v>
      </c>
      <c r="T82" s="3">
        <v>47.64</v>
      </c>
      <c r="U82" s="3">
        <v>8695280</v>
      </c>
      <c r="V82" s="3">
        <v>64.069999999999993</v>
      </c>
      <c r="W82" s="3">
        <v>66.42</v>
      </c>
      <c r="X82" s="3">
        <v>64.040000000000006</v>
      </c>
      <c r="Y82" s="3">
        <v>65.75</v>
      </c>
      <c r="Z82" s="3">
        <v>31463423</v>
      </c>
      <c r="AA82" s="3">
        <v>19.21</v>
      </c>
      <c r="AB82" s="3">
        <v>19.25</v>
      </c>
      <c r="AC82" s="3">
        <v>19.07</v>
      </c>
      <c r="AD82" s="3">
        <v>19.190000000000001</v>
      </c>
      <c r="AE82" s="3">
        <v>32776858</v>
      </c>
      <c r="AF82" s="3">
        <v>71.849999999999994</v>
      </c>
      <c r="AG82" s="3">
        <v>72.239999999999995</v>
      </c>
      <c r="AH82" s="3">
        <v>71.23</v>
      </c>
      <c r="AI82" s="3">
        <v>71.8</v>
      </c>
      <c r="AJ82" s="3">
        <v>10045598</v>
      </c>
      <c r="AK82" s="3">
        <v>51.54</v>
      </c>
      <c r="AL82" s="3">
        <v>51.82</v>
      </c>
      <c r="AM82" s="3">
        <v>51.26</v>
      </c>
      <c r="AN82" s="3">
        <v>51.75</v>
      </c>
      <c r="AO82" s="3">
        <v>7899924</v>
      </c>
      <c r="AP82" s="3">
        <v>43.24</v>
      </c>
      <c r="AQ82" s="3">
        <v>43.76</v>
      </c>
      <c r="AR82" s="3">
        <v>43.1</v>
      </c>
      <c r="AS82" s="3">
        <v>43.6</v>
      </c>
      <c r="AT82" s="3">
        <v>6370261</v>
      </c>
      <c r="AU82" s="3">
        <v>40.340000000000003</v>
      </c>
      <c r="AV82" s="3">
        <v>40.67</v>
      </c>
      <c r="AW82" s="3">
        <v>40.25</v>
      </c>
      <c r="AX82" s="3">
        <v>40.6</v>
      </c>
      <c r="AY82" s="3">
        <v>13836134</v>
      </c>
      <c r="AZ82" s="3">
        <v>43.22</v>
      </c>
      <c r="BA82" s="3">
        <v>43.35</v>
      </c>
      <c r="BB82" s="3">
        <v>42.56</v>
      </c>
      <c r="BC82" s="3">
        <v>43.15</v>
      </c>
      <c r="BD82" s="3">
        <v>9680746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</row>
    <row r="83" spans="1:61" ht="13" x14ac:dyDescent="0.15">
      <c r="A83" s="3">
        <v>42247</v>
      </c>
      <c r="B83" s="3">
        <v>1986.73</v>
      </c>
      <c r="C83" s="3">
        <v>1986.73</v>
      </c>
      <c r="D83" s="3">
        <v>1965.98</v>
      </c>
      <c r="E83" s="3">
        <v>1972.18</v>
      </c>
      <c r="F83" s="3">
        <v>764741387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3">
        <v>75.22</v>
      </c>
      <c r="M83" s="3">
        <v>75.650000000000006</v>
      </c>
      <c r="N83" s="3">
        <v>74.760000000000005</v>
      </c>
      <c r="O83" s="3">
        <v>74.98</v>
      </c>
      <c r="P83" s="3">
        <v>10108895</v>
      </c>
      <c r="Q83" s="3">
        <v>47.52</v>
      </c>
      <c r="R83" s="3">
        <v>47.52</v>
      </c>
      <c r="S83" s="3">
        <v>47.18</v>
      </c>
      <c r="T83" s="3">
        <v>47.31</v>
      </c>
      <c r="U83" s="3">
        <v>12948307</v>
      </c>
      <c r="V83" s="3">
        <v>65.25</v>
      </c>
      <c r="W83" s="3">
        <v>66.86</v>
      </c>
      <c r="X83" s="3">
        <v>64.08</v>
      </c>
      <c r="Y83" s="3">
        <v>66.430000000000007</v>
      </c>
      <c r="Z83" s="3">
        <v>36193519</v>
      </c>
      <c r="AA83" s="3">
        <v>19.07</v>
      </c>
      <c r="AB83" s="3">
        <v>19.149999999999999</v>
      </c>
      <c r="AC83" s="3">
        <v>19.010000000000002</v>
      </c>
      <c r="AD83" s="3">
        <v>19.03</v>
      </c>
      <c r="AE83" s="3">
        <v>47802710</v>
      </c>
      <c r="AF83" s="3">
        <v>71.48</v>
      </c>
      <c r="AG83" s="3">
        <v>72.099999999999994</v>
      </c>
      <c r="AH83" s="3">
        <v>70.31</v>
      </c>
      <c r="AI83" s="3">
        <v>70.489999999999995</v>
      </c>
      <c r="AJ83" s="3">
        <v>15143084</v>
      </c>
      <c r="AK83" s="3">
        <v>51.39</v>
      </c>
      <c r="AL83" s="3">
        <v>51.73</v>
      </c>
      <c r="AM83" s="3">
        <v>51.11</v>
      </c>
      <c r="AN83" s="3">
        <v>51.29</v>
      </c>
      <c r="AO83" s="3">
        <v>13446838</v>
      </c>
      <c r="AP83" s="3">
        <v>43.44</v>
      </c>
      <c r="AQ83" s="3">
        <v>43.68</v>
      </c>
      <c r="AR83" s="3">
        <v>42.88</v>
      </c>
      <c r="AS83" s="3">
        <v>43.36</v>
      </c>
      <c r="AT83" s="3">
        <v>8999365</v>
      </c>
      <c r="AU83" s="3">
        <v>40.270000000000003</v>
      </c>
      <c r="AV83" s="3">
        <v>40.67</v>
      </c>
      <c r="AW83" s="3">
        <v>40.130000000000003</v>
      </c>
      <c r="AX83" s="3">
        <v>40.229999999999997</v>
      </c>
      <c r="AY83" s="3">
        <v>11050274</v>
      </c>
      <c r="AZ83" s="3">
        <v>43.09</v>
      </c>
      <c r="BA83" s="3">
        <v>43.09</v>
      </c>
      <c r="BB83" s="3">
        <v>42.11</v>
      </c>
      <c r="BC83" s="3">
        <v>42.46</v>
      </c>
      <c r="BD83" s="3">
        <v>12078424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</row>
    <row r="84" spans="1:61" ht="13" x14ac:dyDescent="0.15">
      <c r="A84" s="3">
        <v>42248</v>
      </c>
      <c r="B84" s="3">
        <v>1970.09</v>
      </c>
      <c r="C84" s="3">
        <v>1970.09</v>
      </c>
      <c r="D84" s="3">
        <v>1903.07</v>
      </c>
      <c r="E84" s="3">
        <v>1913.85</v>
      </c>
      <c r="F84" s="3">
        <v>870125463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3">
        <v>73.34</v>
      </c>
      <c r="M84" s="3">
        <v>74.209999999999994</v>
      </c>
      <c r="N84" s="3">
        <v>72.67</v>
      </c>
      <c r="O84" s="3">
        <v>73.08</v>
      </c>
      <c r="P84" s="3">
        <v>13939912</v>
      </c>
      <c r="Q84" s="3">
        <v>46.37</v>
      </c>
      <c r="R84" s="3">
        <v>46.85</v>
      </c>
      <c r="S84" s="3">
        <v>46.05</v>
      </c>
      <c r="T84" s="3">
        <v>46.34</v>
      </c>
      <c r="U84" s="3">
        <v>15589260</v>
      </c>
      <c r="V84" s="3">
        <v>64.52</v>
      </c>
      <c r="W84" s="3">
        <v>65.28</v>
      </c>
      <c r="X84" s="3">
        <v>63.54</v>
      </c>
      <c r="Y84" s="3">
        <v>64.09</v>
      </c>
      <c r="Z84" s="3">
        <v>28712604</v>
      </c>
      <c r="AA84" s="3">
        <v>18.62</v>
      </c>
      <c r="AB84" s="3">
        <v>18.72</v>
      </c>
      <c r="AC84" s="3">
        <v>18.27</v>
      </c>
      <c r="AD84" s="3">
        <v>18.41</v>
      </c>
      <c r="AE84" s="3">
        <v>70101114</v>
      </c>
      <c r="AF84" s="3">
        <v>68.64</v>
      </c>
      <c r="AG84" s="3">
        <v>69.760000000000005</v>
      </c>
      <c r="AH84" s="3">
        <v>68.319999999999993</v>
      </c>
      <c r="AI84" s="3">
        <v>68.64</v>
      </c>
      <c r="AJ84" s="3">
        <v>21723623</v>
      </c>
      <c r="AK84" s="3">
        <v>50.21</v>
      </c>
      <c r="AL84" s="3">
        <v>50.78</v>
      </c>
      <c r="AM84" s="3">
        <v>49.68</v>
      </c>
      <c r="AN84" s="3">
        <v>49.93</v>
      </c>
      <c r="AO84" s="3">
        <v>14607007</v>
      </c>
      <c r="AP84" s="3">
        <v>42.22</v>
      </c>
      <c r="AQ84" s="3">
        <v>42.76</v>
      </c>
      <c r="AR84" s="3">
        <v>41.78</v>
      </c>
      <c r="AS84" s="3">
        <v>42.04</v>
      </c>
      <c r="AT84" s="3">
        <v>8989213</v>
      </c>
      <c r="AU84" s="3">
        <v>39.380000000000003</v>
      </c>
      <c r="AV84" s="3">
        <v>39.72</v>
      </c>
      <c r="AW84" s="3">
        <v>38.75</v>
      </c>
      <c r="AX84" s="3">
        <v>38.94</v>
      </c>
      <c r="AY84" s="3">
        <v>21289046</v>
      </c>
      <c r="AZ84" s="3">
        <v>42</v>
      </c>
      <c r="BA84" s="3">
        <v>42.08</v>
      </c>
      <c r="BB84" s="3">
        <v>41.08</v>
      </c>
      <c r="BC84" s="3">
        <v>41.31</v>
      </c>
      <c r="BD84" s="3">
        <v>19406217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</row>
    <row r="85" spans="1:61" ht="13" x14ac:dyDescent="0.15">
      <c r="A85" s="3">
        <v>42249</v>
      </c>
      <c r="B85" s="3">
        <v>1916.52</v>
      </c>
      <c r="C85" s="3">
        <v>1948.91</v>
      </c>
      <c r="D85" s="3">
        <v>1916.52</v>
      </c>
      <c r="E85" s="3">
        <v>1948.86</v>
      </c>
      <c r="F85" s="3">
        <v>732830759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3">
        <v>73.81</v>
      </c>
      <c r="M85" s="3">
        <v>74.64</v>
      </c>
      <c r="N85" s="3">
        <v>73.42</v>
      </c>
      <c r="O85" s="3">
        <v>74.62</v>
      </c>
      <c r="P85" s="3">
        <v>7694615</v>
      </c>
      <c r="Q85" s="3">
        <v>46.74</v>
      </c>
      <c r="R85" s="3">
        <v>46.98</v>
      </c>
      <c r="S85" s="3">
        <v>46.52</v>
      </c>
      <c r="T85" s="3">
        <v>46.97</v>
      </c>
      <c r="U85" s="3">
        <v>9637270</v>
      </c>
      <c r="V85" s="3">
        <v>65</v>
      </c>
      <c r="W85" s="3">
        <v>65.099999999999994</v>
      </c>
      <c r="X85" s="3">
        <v>63.18</v>
      </c>
      <c r="Y85" s="3">
        <v>64.680000000000007</v>
      </c>
      <c r="Z85" s="3">
        <v>25528924</v>
      </c>
      <c r="AA85" s="3">
        <v>18.649999999999999</v>
      </c>
      <c r="AB85" s="3">
        <v>18.71</v>
      </c>
      <c r="AC85" s="3">
        <v>18.420000000000002</v>
      </c>
      <c r="AD85" s="3">
        <v>18.66</v>
      </c>
      <c r="AE85" s="3">
        <v>42675581</v>
      </c>
      <c r="AF85" s="3">
        <v>69.78</v>
      </c>
      <c r="AG85" s="3">
        <v>70.05</v>
      </c>
      <c r="AH85" s="3">
        <v>68.91</v>
      </c>
      <c r="AI85" s="3">
        <v>70.05</v>
      </c>
      <c r="AJ85" s="3">
        <v>12491700</v>
      </c>
      <c r="AK85" s="3">
        <v>50.69</v>
      </c>
      <c r="AL85" s="3">
        <v>51.05</v>
      </c>
      <c r="AM85" s="3">
        <v>50.21</v>
      </c>
      <c r="AN85" s="3">
        <v>51.04</v>
      </c>
      <c r="AO85" s="3">
        <v>18173204</v>
      </c>
      <c r="AP85" s="3">
        <v>42.55</v>
      </c>
      <c r="AQ85" s="3">
        <v>42.69</v>
      </c>
      <c r="AR85" s="3">
        <v>41.99</v>
      </c>
      <c r="AS85" s="3">
        <v>42.64</v>
      </c>
      <c r="AT85" s="3">
        <v>7376502</v>
      </c>
      <c r="AU85" s="3">
        <v>39.520000000000003</v>
      </c>
      <c r="AV85" s="3">
        <v>39.92</v>
      </c>
      <c r="AW85" s="3">
        <v>39.14</v>
      </c>
      <c r="AX85" s="3">
        <v>39.880000000000003</v>
      </c>
      <c r="AY85" s="3">
        <v>12685139</v>
      </c>
      <c r="AZ85" s="3">
        <v>41.6</v>
      </c>
      <c r="BA85" s="3">
        <v>41.73</v>
      </c>
      <c r="BB85" s="3">
        <v>40.99</v>
      </c>
      <c r="BC85" s="3">
        <v>41.34</v>
      </c>
      <c r="BD85" s="3">
        <v>9121700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</row>
    <row r="86" spans="1:61" ht="13" x14ac:dyDescent="0.15">
      <c r="A86" s="3">
        <v>42250</v>
      </c>
      <c r="B86" s="3">
        <v>1950.79</v>
      </c>
      <c r="C86" s="3">
        <v>1975.01</v>
      </c>
      <c r="D86" s="3">
        <v>1944.72</v>
      </c>
      <c r="E86" s="3">
        <v>1951.13</v>
      </c>
      <c r="F86" s="3">
        <v>632699986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3">
        <v>74.77</v>
      </c>
      <c r="M86" s="3">
        <v>75.61</v>
      </c>
      <c r="N86" s="3">
        <v>74.400000000000006</v>
      </c>
      <c r="O86" s="3">
        <v>74.650000000000006</v>
      </c>
      <c r="P86" s="3">
        <v>6600759</v>
      </c>
      <c r="Q86" s="3">
        <v>47.16</v>
      </c>
      <c r="R86" s="3">
        <v>47.58</v>
      </c>
      <c r="S86" s="3">
        <v>47.06</v>
      </c>
      <c r="T86" s="3">
        <v>47.29</v>
      </c>
      <c r="U86" s="3">
        <v>7626783</v>
      </c>
      <c r="V86" s="3">
        <v>65.11</v>
      </c>
      <c r="W86" s="3">
        <v>66.25</v>
      </c>
      <c r="X86" s="3">
        <v>64.459999999999994</v>
      </c>
      <c r="Y86" s="3">
        <v>64.86</v>
      </c>
      <c r="Z86" s="3">
        <v>21895034</v>
      </c>
      <c r="AA86" s="3">
        <v>18.72</v>
      </c>
      <c r="AB86" s="3">
        <v>18.96</v>
      </c>
      <c r="AC86" s="3">
        <v>18.690000000000001</v>
      </c>
      <c r="AD86" s="3">
        <v>18.77</v>
      </c>
      <c r="AE86" s="3">
        <v>48963103</v>
      </c>
      <c r="AF86" s="3">
        <v>70.45</v>
      </c>
      <c r="AG86" s="3">
        <v>70.84</v>
      </c>
      <c r="AH86" s="3">
        <v>69.39</v>
      </c>
      <c r="AI86" s="3">
        <v>69.55</v>
      </c>
      <c r="AJ86" s="3">
        <v>14080063</v>
      </c>
      <c r="AK86" s="3">
        <v>51.16</v>
      </c>
      <c r="AL86" s="3">
        <v>51.58</v>
      </c>
      <c r="AM86" s="3">
        <v>50.93</v>
      </c>
      <c r="AN86" s="3">
        <v>51.07</v>
      </c>
      <c r="AO86" s="3">
        <v>10907311</v>
      </c>
      <c r="AP86" s="3">
        <v>42.75</v>
      </c>
      <c r="AQ86" s="3">
        <v>43.38</v>
      </c>
      <c r="AR86" s="3">
        <v>42.71</v>
      </c>
      <c r="AS86" s="3">
        <v>42.9</v>
      </c>
      <c r="AT86" s="3">
        <v>4859450</v>
      </c>
      <c r="AU86" s="3">
        <v>40.1</v>
      </c>
      <c r="AV86" s="3">
        <v>40.42</v>
      </c>
      <c r="AW86" s="3">
        <v>39.79</v>
      </c>
      <c r="AX86" s="3">
        <v>39.909999999999997</v>
      </c>
      <c r="AY86" s="3">
        <v>11031133</v>
      </c>
      <c r="AZ86" s="3">
        <v>41.25</v>
      </c>
      <c r="BA86" s="3">
        <v>41.74</v>
      </c>
      <c r="BB86" s="3">
        <v>41.25</v>
      </c>
      <c r="BC86" s="3">
        <v>41.53</v>
      </c>
      <c r="BD86" s="3">
        <v>8585161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</row>
    <row r="87" spans="1:61" ht="13" x14ac:dyDescent="0.15">
      <c r="A87" s="3">
        <v>42251</v>
      </c>
      <c r="B87" s="3">
        <v>1947.76</v>
      </c>
      <c r="C87" s="3">
        <v>1947.76</v>
      </c>
      <c r="D87" s="3">
        <v>1911.21</v>
      </c>
      <c r="E87" s="3">
        <v>1921.22</v>
      </c>
      <c r="F87" s="3">
        <v>665450828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3">
        <v>73.569999999999993</v>
      </c>
      <c r="M87" s="3">
        <v>74.28</v>
      </c>
      <c r="N87" s="3">
        <v>73.23</v>
      </c>
      <c r="O87" s="3">
        <v>73.849999999999994</v>
      </c>
      <c r="P87" s="3">
        <v>7155582</v>
      </c>
      <c r="Q87" s="3">
        <v>46.67</v>
      </c>
      <c r="R87" s="3">
        <v>46.79</v>
      </c>
      <c r="S87" s="3">
        <v>46.34</v>
      </c>
      <c r="T87" s="3">
        <v>46.52</v>
      </c>
      <c r="U87" s="3">
        <v>10507112</v>
      </c>
      <c r="V87" s="3">
        <v>63.93</v>
      </c>
      <c r="W87" s="3">
        <v>64.25</v>
      </c>
      <c r="X87" s="3">
        <v>63.52</v>
      </c>
      <c r="Y87" s="3">
        <v>63.79</v>
      </c>
      <c r="Z87" s="3">
        <v>16684209</v>
      </c>
      <c r="AA87" s="3">
        <v>18.5</v>
      </c>
      <c r="AB87" s="3">
        <v>18.559999999999999</v>
      </c>
      <c r="AC87" s="3">
        <v>18.27</v>
      </c>
      <c r="AD87" s="3">
        <v>18.39</v>
      </c>
      <c r="AE87" s="3">
        <v>44037443</v>
      </c>
      <c r="AF87" s="3">
        <v>68.489999999999995</v>
      </c>
      <c r="AG87" s="3">
        <v>69.27</v>
      </c>
      <c r="AH87" s="3">
        <v>68.180000000000007</v>
      </c>
      <c r="AI87" s="3">
        <v>68.680000000000007</v>
      </c>
      <c r="AJ87" s="3">
        <v>16587918</v>
      </c>
      <c r="AK87" s="3">
        <v>50.66</v>
      </c>
      <c r="AL87" s="3">
        <v>50.66</v>
      </c>
      <c r="AM87" s="3">
        <v>50.18</v>
      </c>
      <c r="AN87" s="3">
        <v>50.36</v>
      </c>
      <c r="AO87" s="3">
        <v>10212517</v>
      </c>
      <c r="AP87" s="3">
        <v>42.23</v>
      </c>
      <c r="AQ87" s="3">
        <v>42.44</v>
      </c>
      <c r="AR87" s="3">
        <v>41.98</v>
      </c>
      <c r="AS87" s="3">
        <v>42.05</v>
      </c>
      <c r="AT87" s="3">
        <v>7268024</v>
      </c>
      <c r="AU87" s="3">
        <v>39.380000000000003</v>
      </c>
      <c r="AV87" s="3">
        <v>39.58</v>
      </c>
      <c r="AW87" s="3">
        <v>39.11</v>
      </c>
      <c r="AX87" s="3">
        <v>39.299999999999997</v>
      </c>
      <c r="AY87" s="3">
        <v>13780461</v>
      </c>
      <c r="AZ87" s="3">
        <v>41.2</v>
      </c>
      <c r="BA87" s="3">
        <v>41.29</v>
      </c>
      <c r="BB87" s="3">
        <v>40.799999999999997</v>
      </c>
      <c r="BC87" s="3">
        <v>40.96</v>
      </c>
      <c r="BD87" s="3">
        <v>13429630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</row>
    <row r="88" spans="1:61" ht="13" x14ac:dyDescent="0.15">
      <c r="A88" s="3">
        <v>42255</v>
      </c>
      <c r="B88" s="3">
        <v>1927.3</v>
      </c>
      <c r="C88" s="3">
        <v>1970.42</v>
      </c>
      <c r="D88" s="3">
        <v>1927.3</v>
      </c>
      <c r="E88" s="3">
        <v>1969.41</v>
      </c>
      <c r="F88" s="3">
        <v>683168139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3">
        <v>75.239999999999995</v>
      </c>
      <c r="M88" s="3">
        <v>75.63</v>
      </c>
      <c r="N88" s="3">
        <v>74.7</v>
      </c>
      <c r="O88" s="3">
        <v>75.56</v>
      </c>
      <c r="P88" s="3">
        <v>5255219</v>
      </c>
      <c r="Q88" s="3">
        <v>47.27</v>
      </c>
      <c r="R88" s="3">
        <v>47.54</v>
      </c>
      <c r="S88" s="3">
        <v>46.94</v>
      </c>
      <c r="T88" s="3">
        <v>47.49</v>
      </c>
      <c r="U88" s="3">
        <v>6867296</v>
      </c>
      <c r="V88" s="3">
        <v>64.48</v>
      </c>
      <c r="W88" s="3">
        <v>64.88</v>
      </c>
      <c r="X88" s="3">
        <v>63.69</v>
      </c>
      <c r="Y88" s="3">
        <v>64.790000000000006</v>
      </c>
      <c r="Z88" s="3">
        <v>15627575</v>
      </c>
      <c r="AA88" s="3">
        <v>18.75</v>
      </c>
      <c r="AB88" s="3">
        <v>18.88</v>
      </c>
      <c r="AC88" s="3">
        <v>18.62</v>
      </c>
      <c r="AD88" s="3">
        <v>18.86</v>
      </c>
      <c r="AE88" s="3">
        <v>40394993</v>
      </c>
      <c r="AF88" s="3">
        <v>69.94</v>
      </c>
      <c r="AG88" s="3">
        <v>70.7</v>
      </c>
      <c r="AH88" s="3">
        <v>69.52</v>
      </c>
      <c r="AI88" s="3">
        <v>70.599999999999994</v>
      </c>
      <c r="AJ88" s="3">
        <v>11697448</v>
      </c>
      <c r="AK88" s="3">
        <v>51.12</v>
      </c>
      <c r="AL88" s="3">
        <v>51.78</v>
      </c>
      <c r="AM88" s="3">
        <v>51.02</v>
      </c>
      <c r="AN88" s="3">
        <v>51.75</v>
      </c>
      <c r="AO88" s="3">
        <v>8437760</v>
      </c>
      <c r="AP88" s="3">
        <v>42.81</v>
      </c>
      <c r="AQ88" s="3">
        <v>43.14</v>
      </c>
      <c r="AR88" s="3">
        <v>42.58</v>
      </c>
      <c r="AS88" s="3">
        <v>43.1</v>
      </c>
      <c r="AT88" s="3">
        <v>6574802</v>
      </c>
      <c r="AU88" s="3">
        <v>40.049999999999997</v>
      </c>
      <c r="AV88" s="3">
        <v>40.43</v>
      </c>
      <c r="AW88" s="3">
        <v>39.950000000000003</v>
      </c>
      <c r="AX88" s="3">
        <v>40.4</v>
      </c>
      <c r="AY88" s="3">
        <v>9454634</v>
      </c>
      <c r="AZ88" s="3">
        <v>41.34</v>
      </c>
      <c r="BA88" s="3">
        <v>41.83</v>
      </c>
      <c r="BB88" s="3">
        <v>41.3</v>
      </c>
      <c r="BC88" s="3">
        <v>41.83</v>
      </c>
      <c r="BD88" s="3">
        <v>11206911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</row>
    <row r="89" spans="1:61" ht="13" x14ac:dyDescent="0.15">
      <c r="A89" s="3">
        <v>42256</v>
      </c>
      <c r="B89" s="3">
        <v>1971.45</v>
      </c>
      <c r="C89" s="3">
        <v>1988.63</v>
      </c>
      <c r="D89" s="3">
        <v>1937.88</v>
      </c>
      <c r="E89" s="3">
        <v>1942.04</v>
      </c>
      <c r="F89" s="3">
        <v>666981166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3">
        <v>76.27</v>
      </c>
      <c r="M89" s="3">
        <v>76.37</v>
      </c>
      <c r="N89" s="3">
        <v>74.58</v>
      </c>
      <c r="O89" s="3">
        <v>74.75</v>
      </c>
      <c r="P89" s="3">
        <v>7682071</v>
      </c>
      <c r="Q89" s="3">
        <v>47.93</v>
      </c>
      <c r="R89" s="3">
        <v>47.94</v>
      </c>
      <c r="S89" s="3">
        <v>46.59</v>
      </c>
      <c r="T89" s="3">
        <v>46.71</v>
      </c>
      <c r="U89" s="3">
        <v>7587430</v>
      </c>
      <c r="V89" s="3">
        <v>65.239999999999995</v>
      </c>
      <c r="W89" s="3">
        <v>66.02</v>
      </c>
      <c r="X89" s="3">
        <v>63.47</v>
      </c>
      <c r="Y89" s="3">
        <v>63.57</v>
      </c>
      <c r="Z89" s="3">
        <v>18477687</v>
      </c>
      <c r="AA89" s="3">
        <v>19.03</v>
      </c>
      <c r="AB89" s="3">
        <v>19.12</v>
      </c>
      <c r="AC89" s="3">
        <v>18.559999999999999</v>
      </c>
      <c r="AD89" s="3">
        <v>18.600000000000001</v>
      </c>
      <c r="AE89" s="3">
        <v>35533482</v>
      </c>
      <c r="AF89" s="3">
        <v>71.42</v>
      </c>
      <c r="AG89" s="3">
        <v>71.47</v>
      </c>
      <c r="AH89" s="3">
        <v>69.33</v>
      </c>
      <c r="AI89" s="3">
        <v>69.510000000000005</v>
      </c>
      <c r="AJ89" s="3">
        <v>12423990</v>
      </c>
      <c r="AK89" s="3">
        <v>52.19</v>
      </c>
      <c r="AL89" s="3">
        <v>53.05</v>
      </c>
      <c r="AM89" s="3">
        <v>51.12</v>
      </c>
      <c r="AN89" s="3">
        <v>51.2</v>
      </c>
      <c r="AO89" s="3">
        <v>8866218</v>
      </c>
      <c r="AP89" s="3">
        <v>43.36</v>
      </c>
      <c r="AQ89" s="3">
        <v>43.73</v>
      </c>
      <c r="AR89" s="3">
        <v>42.7</v>
      </c>
      <c r="AS89" s="3">
        <v>42.77</v>
      </c>
      <c r="AT89" s="3">
        <v>6834377</v>
      </c>
      <c r="AU89" s="3">
        <v>40.659999999999997</v>
      </c>
      <c r="AV89" s="3">
        <v>40.86</v>
      </c>
      <c r="AW89" s="3">
        <v>39.78</v>
      </c>
      <c r="AX89" s="3">
        <v>39.869999999999997</v>
      </c>
      <c r="AY89" s="3">
        <v>9652295</v>
      </c>
      <c r="AZ89" s="3">
        <v>41.93</v>
      </c>
      <c r="BA89" s="3">
        <v>42.05</v>
      </c>
      <c r="BB89" s="3">
        <v>41.23</v>
      </c>
      <c r="BC89" s="3">
        <v>41.31</v>
      </c>
      <c r="BD89" s="3">
        <v>11542506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</row>
    <row r="90" spans="1:61" ht="13" x14ac:dyDescent="0.15">
      <c r="A90" s="3">
        <v>42257</v>
      </c>
      <c r="B90" s="3">
        <v>1941.59</v>
      </c>
      <c r="C90" s="3">
        <v>1965.29</v>
      </c>
      <c r="D90" s="3">
        <v>1937.19</v>
      </c>
      <c r="E90" s="3">
        <v>1952.29</v>
      </c>
      <c r="F90" s="3">
        <v>668618889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3">
        <v>74.489999999999995</v>
      </c>
      <c r="M90" s="3">
        <v>75.430000000000007</v>
      </c>
      <c r="N90" s="3">
        <v>74.44</v>
      </c>
      <c r="O90" s="3">
        <v>74.959999999999994</v>
      </c>
      <c r="P90" s="3">
        <v>6206093</v>
      </c>
      <c r="Q90" s="3">
        <v>46.49</v>
      </c>
      <c r="R90" s="3">
        <v>47.12</v>
      </c>
      <c r="S90" s="3">
        <v>46.47</v>
      </c>
      <c r="T90" s="3">
        <v>46.79</v>
      </c>
      <c r="U90" s="3">
        <v>14986290</v>
      </c>
      <c r="V90" s="3">
        <v>63.84</v>
      </c>
      <c r="W90" s="3">
        <v>64.3</v>
      </c>
      <c r="X90" s="3">
        <v>62.96</v>
      </c>
      <c r="Y90" s="3">
        <v>63.94</v>
      </c>
      <c r="Z90" s="3">
        <v>18492803</v>
      </c>
      <c r="AA90" s="3">
        <v>18.59</v>
      </c>
      <c r="AB90" s="3">
        <v>18.829999999999998</v>
      </c>
      <c r="AC90" s="3">
        <v>18.53</v>
      </c>
      <c r="AD90" s="3">
        <v>18.690000000000001</v>
      </c>
      <c r="AE90" s="3">
        <v>35461816</v>
      </c>
      <c r="AF90" s="3">
        <v>69.540000000000006</v>
      </c>
      <c r="AG90" s="3">
        <v>70.709999999999994</v>
      </c>
      <c r="AH90" s="3">
        <v>69.319999999999993</v>
      </c>
      <c r="AI90" s="3">
        <v>70.180000000000007</v>
      </c>
      <c r="AJ90" s="3">
        <v>17313714</v>
      </c>
      <c r="AK90" s="3">
        <v>51.05</v>
      </c>
      <c r="AL90" s="3">
        <v>51.59</v>
      </c>
      <c r="AM90" s="3">
        <v>50.99</v>
      </c>
      <c r="AN90" s="3">
        <v>51.23</v>
      </c>
      <c r="AO90" s="3">
        <v>9706979</v>
      </c>
      <c r="AP90" s="3">
        <v>42.53</v>
      </c>
      <c r="AQ90" s="3">
        <v>43.16</v>
      </c>
      <c r="AR90" s="3">
        <v>42.53</v>
      </c>
      <c r="AS90" s="3">
        <v>42.87</v>
      </c>
      <c r="AT90" s="3">
        <v>5473672</v>
      </c>
      <c r="AU90" s="3">
        <v>39.81</v>
      </c>
      <c r="AV90" s="3">
        <v>40.5</v>
      </c>
      <c r="AW90" s="3">
        <v>39.79</v>
      </c>
      <c r="AX90" s="3">
        <v>40.270000000000003</v>
      </c>
      <c r="AY90" s="3">
        <v>14024421</v>
      </c>
      <c r="AZ90" s="3">
        <v>41.29</v>
      </c>
      <c r="BA90" s="3">
        <v>41.65</v>
      </c>
      <c r="BB90" s="3">
        <v>41.12</v>
      </c>
      <c r="BC90" s="3">
        <v>41.24</v>
      </c>
      <c r="BD90" s="3">
        <v>6766424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</row>
    <row r="91" spans="1:61" ht="13" x14ac:dyDescent="0.15">
      <c r="A91" s="3">
        <v>42258</v>
      </c>
      <c r="B91" s="3">
        <v>1951.45</v>
      </c>
      <c r="C91" s="3">
        <v>1961.05</v>
      </c>
      <c r="D91" s="3">
        <v>1939.19</v>
      </c>
      <c r="E91" s="3">
        <v>1961.05</v>
      </c>
      <c r="F91" s="3">
        <v>589037146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3">
        <v>74.760000000000005</v>
      </c>
      <c r="M91" s="3">
        <v>75.53</v>
      </c>
      <c r="N91" s="3">
        <v>74.599999999999994</v>
      </c>
      <c r="O91" s="3">
        <v>75.52</v>
      </c>
      <c r="P91" s="3">
        <v>4609646</v>
      </c>
      <c r="Q91" s="3">
        <v>46.74</v>
      </c>
      <c r="R91" s="3">
        <v>47.11</v>
      </c>
      <c r="S91" s="3">
        <v>46.57</v>
      </c>
      <c r="T91" s="3">
        <v>47.1</v>
      </c>
      <c r="U91" s="3">
        <v>5127313</v>
      </c>
      <c r="V91" s="3">
        <v>63.3</v>
      </c>
      <c r="W91" s="3">
        <v>63.45</v>
      </c>
      <c r="X91" s="3">
        <v>62.49</v>
      </c>
      <c r="Y91" s="3">
        <v>63.37</v>
      </c>
      <c r="Z91" s="3">
        <v>13344252</v>
      </c>
      <c r="AA91" s="3">
        <v>18.600000000000001</v>
      </c>
      <c r="AB91" s="3">
        <v>18.77</v>
      </c>
      <c r="AC91" s="3">
        <v>18.559999999999999</v>
      </c>
      <c r="AD91" s="3">
        <v>18.77</v>
      </c>
      <c r="AE91" s="3">
        <v>21779014</v>
      </c>
      <c r="AF91" s="3">
        <v>69.89</v>
      </c>
      <c r="AG91" s="3">
        <v>70.66</v>
      </c>
      <c r="AH91" s="3">
        <v>69.69</v>
      </c>
      <c r="AI91" s="3">
        <v>70.63</v>
      </c>
      <c r="AJ91" s="3">
        <v>7633029</v>
      </c>
      <c r="AK91" s="3">
        <v>51.18</v>
      </c>
      <c r="AL91" s="3">
        <v>51.51</v>
      </c>
      <c r="AM91" s="3">
        <v>50.99</v>
      </c>
      <c r="AN91" s="3">
        <v>51.51</v>
      </c>
      <c r="AO91" s="3">
        <v>6120089</v>
      </c>
      <c r="AP91" s="3">
        <v>42.49</v>
      </c>
      <c r="AQ91" s="3">
        <v>42.83</v>
      </c>
      <c r="AR91" s="3">
        <v>42.43</v>
      </c>
      <c r="AS91" s="3">
        <v>42.81</v>
      </c>
      <c r="AT91" s="3">
        <v>2899502</v>
      </c>
      <c r="AU91" s="3">
        <v>39.99</v>
      </c>
      <c r="AV91" s="3">
        <v>40.46</v>
      </c>
      <c r="AW91" s="3">
        <v>39.979999999999997</v>
      </c>
      <c r="AX91" s="3">
        <v>40.46</v>
      </c>
      <c r="AY91" s="3">
        <v>6859731</v>
      </c>
      <c r="AZ91" s="3">
        <v>41.19</v>
      </c>
      <c r="BA91" s="3">
        <v>41.57</v>
      </c>
      <c r="BB91" s="3">
        <v>41</v>
      </c>
      <c r="BC91" s="3">
        <v>41.55</v>
      </c>
      <c r="BD91" s="3">
        <v>7477909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</row>
    <row r="92" spans="1:61" ht="13" x14ac:dyDescent="0.15">
      <c r="A92" s="3">
        <v>42261</v>
      </c>
      <c r="B92" s="3">
        <v>1963.06</v>
      </c>
      <c r="C92" s="3">
        <v>1963.06</v>
      </c>
      <c r="D92" s="3">
        <v>1948.27</v>
      </c>
      <c r="E92" s="3">
        <v>1953.03</v>
      </c>
      <c r="F92" s="3">
        <v>546552646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3">
        <v>75.47</v>
      </c>
      <c r="M92" s="3">
        <v>75.55</v>
      </c>
      <c r="N92" s="3">
        <v>74.849999999999994</v>
      </c>
      <c r="O92" s="3">
        <v>75.12</v>
      </c>
      <c r="P92" s="3">
        <v>3592263</v>
      </c>
      <c r="Q92" s="3">
        <v>47.08</v>
      </c>
      <c r="R92" s="3">
        <v>47.17</v>
      </c>
      <c r="S92" s="3">
        <v>46.76</v>
      </c>
      <c r="T92" s="3">
        <v>46.95</v>
      </c>
      <c r="U92" s="3">
        <v>6180096</v>
      </c>
      <c r="V92" s="3">
        <v>62.93</v>
      </c>
      <c r="W92" s="3">
        <v>63.21</v>
      </c>
      <c r="X92" s="3">
        <v>62.5</v>
      </c>
      <c r="Y92" s="3">
        <v>62.82</v>
      </c>
      <c r="Z92" s="3">
        <v>12481263</v>
      </c>
      <c r="AA92" s="3">
        <v>18.73</v>
      </c>
      <c r="AB92" s="3">
        <v>18.79</v>
      </c>
      <c r="AC92" s="3">
        <v>18.66</v>
      </c>
      <c r="AD92" s="3">
        <v>18.73</v>
      </c>
      <c r="AE92" s="3">
        <v>25862999</v>
      </c>
      <c r="AF92" s="3">
        <v>70.650000000000006</v>
      </c>
      <c r="AG92" s="3">
        <v>70.78</v>
      </c>
      <c r="AH92" s="3">
        <v>70.09</v>
      </c>
      <c r="AI92" s="3">
        <v>70.41</v>
      </c>
      <c r="AJ92" s="3">
        <v>6232241</v>
      </c>
      <c r="AK92" s="3">
        <v>51.61</v>
      </c>
      <c r="AL92" s="3">
        <v>51.61</v>
      </c>
      <c r="AM92" s="3">
        <v>51.14</v>
      </c>
      <c r="AN92" s="3">
        <v>51.25</v>
      </c>
      <c r="AO92" s="3">
        <v>8436893</v>
      </c>
      <c r="AP92" s="3">
        <v>42.75</v>
      </c>
      <c r="AQ92" s="3">
        <v>42.76</v>
      </c>
      <c r="AR92" s="3">
        <v>42.2</v>
      </c>
      <c r="AS92" s="3">
        <v>42.3</v>
      </c>
      <c r="AT92" s="3">
        <v>3342914</v>
      </c>
      <c r="AU92" s="3">
        <v>40.630000000000003</v>
      </c>
      <c r="AV92" s="3">
        <v>40.67</v>
      </c>
      <c r="AW92" s="3">
        <v>40.26</v>
      </c>
      <c r="AX92" s="3">
        <v>40.36</v>
      </c>
      <c r="AY92" s="3">
        <v>7445376</v>
      </c>
      <c r="AZ92" s="3">
        <v>41.7</v>
      </c>
      <c r="BA92" s="3">
        <v>41.93</v>
      </c>
      <c r="BB92" s="3">
        <v>41.56</v>
      </c>
      <c r="BC92" s="3">
        <v>41.65</v>
      </c>
      <c r="BD92" s="3">
        <v>8372591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</row>
    <row r="93" spans="1:61" ht="13" x14ac:dyDescent="0.15">
      <c r="A93" s="3">
        <v>42262</v>
      </c>
      <c r="B93" s="3">
        <v>1955.1</v>
      </c>
      <c r="C93" s="3">
        <v>1983.19</v>
      </c>
      <c r="D93" s="3">
        <v>1954.3</v>
      </c>
      <c r="E93" s="3">
        <v>1978.09</v>
      </c>
      <c r="F93" s="3">
        <v>538205710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3">
        <v>75.14</v>
      </c>
      <c r="M93" s="3">
        <v>76.11</v>
      </c>
      <c r="N93" s="3">
        <v>74.77</v>
      </c>
      <c r="O93" s="3">
        <v>75.91</v>
      </c>
      <c r="P93" s="3">
        <v>5570389</v>
      </c>
      <c r="Q93" s="3">
        <v>47.01</v>
      </c>
      <c r="R93" s="3">
        <v>47.6</v>
      </c>
      <c r="S93" s="3">
        <v>46.82</v>
      </c>
      <c r="T93" s="3">
        <v>47.51</v>
      </c>
      <c r="U93" s="3">
        <v>7284509</v>
      </c>
      <c r="V93" s="3">
        <v>63.02</v>
      </c>
      <c r="W93" s="3">
        <v>63.73</v>
      </c>
      <c r="X93" s="3">
        <v>63.01</v>
      </c>
      <c r="Y93" s="3">
        <v>63.52</v>
      </c>
      <c r="Z93" s="3">
        <v>14816578</v>
      </c>
      <c r="AA93" s="3">
        <v>18.809999999999999</v>
      </c>
      <c r="AB93" s="3">
        <v>19.059999999999999</v>
      </c>
      <c r="AC93" s="3">
        <v>18.73</v>
      </c>
      <c r="AD93" s="3">
        <v>19</v>
      </c>
      <c r="AE93" s="3">
        <v>33345453</v>
      </c>
      <c r="AF93" s="3">
        <v>70.760000000000005</v>
      </c>
      <c r="AG93" s="3">
        <v>71.59</v>
      </c>
      <c r="AH93" s="3">
        <v>70.5</v>
      </c>
      <c r="AI93" s="3">
        <v>71.42</v>
      </c>
      <c r="AJ93" s="3">
        <v>8414579</v>
      </c>
      <c r="AK93" s="3">
        <v>51.46</v>
      </c>
      <c r="AL93" s="3">
        <v>52.24</v>
      </c>
      <c r="AM93" s="3">
        <v>51.35</v>
      </c>
      <c r="AN93" s="3">
        <v>52.14</v>
      </c>
      <c r="AO93" s="3">
        <v>7747124</v>
      </c>
      <c r="AP93" s="3">
        <v>42.38</v>
      </c>
      <c r="AQ93" s="3">
        <v>42.73</v>
      </c>
      <c r="AR93" s="3">
        <v>42.28</v>
      </c>
      <c r="AS93" s="3">
        <v>42.61</v>
      </c>
      <c r="AT93" s="3">
        <v>3562004</v>
      </c>
      <c r="AU93" s="3">
        <v>40.49</v>
      </c>
      <c r="AV93" s="3">
        <v>40.99</v>
      </c>
      <c r="AW93" s="3">
        <v>40.380000000000003</v>
      </c>
      <c r="AX93" s="3">
        <v>40.880000000000003</v>
      </c>
      <c r="AY93" s="3">
        <v>8805981</v>
      </c>
      <c r="AZ93" s="3">
        <v>41.7</v>
      </c>
      <c r="BA93" s="3">
        <v>41.97</v>
      </c>
      <c r="BB93" s="3">
        <v>41.44</v>
      </c>
      <c r="BC93" s="3">
        <v>41.87</v>
      </c>
      <c r="BD93" s="3">
        <v>6579144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</row>
    <row r="94" spans="1:61" ht="13" x14ac:dyDescent="0.15">
      <c r="A94" s="3">
        <v>42263</v>
      </c>
      <c r="B94" s="3">
        <v>1978.02</v>
      </c>
      <c r="C94" s="3">
        <v>1997.26</v>
      </c>
      <c r="D94" s="3">
        <v>1977.93</v>
      </c>
      <c r="E94" s="3">
        <v>1995.31</v>
      </c>
      <c r="F94" s="3">
        <v>592020686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3">
        <v>76.040000000000006</v>
      </c>
      <c r="M94" s="3">
        <v>76.87</v>
      </c>
      <c r="N94" s="3">
        <v>75.83</v>
      </c>
      <c r="O94" s="3">
        <v>76.77</v>
      </c>
      <c r="P94" s="3">
        <v>6615888</v>
      </c>
      <c r="Q94" s="3">
        <v>47.94</v>
      </c>
      <c r="R94" s="3">
        <v>48.11</v>
      </c>
      <c r="S94" s="3">
        <v>47.67</v>
      </c>
      <c r="T94" s="3">
        <v>48.05</v>
      </c>
      <c r="U94" s="3">
        <v>11470705</v>
      </c>
      <c r="V94" s="3">
        <v>64.03</v>
      </c>
      <c r="W94" s="3">
        <v>65.41</v>
      </c>
      <c r="X94" s="3">
        <v>63.93</v>
      </c>
      <c r="Y94" s="3">
        <v>65.319999999999993</v>
      </c>
      <c r="Z94" s="3">
        <v>17216657</v>
      </c>
      <c r="AA94" s="3">
        <v>19.02</v>
      </c>
      <c r="AB94" s="3">
        <v>19.16</v>
      </c>
      <c r="AC94" s="3">
        <v>18.920000000000002</v>
      </c>
      <c r="AD94" s="3">
        <v>19.12</v>
      </c>
      <c r="AE94" s="3">
        <v>22752547</v>
      </c>
      <c r="AF94" s="3">
        <v>71.45</v>
      </c>
      <c r="AG94" s="3">
        <v>71.75</v>
      </c>
      <c r="AH94" s="3">
        <v>70.91</v>
      </c>
      <c r="AI94" s="3">
        <v>71.62</v>
      </c>
      <c r="AJ94" s="3">
        <v>12003378</v>
      </c>
      <c r="AK94" s="3">
        <v>52.17</v>
      </c>
      <c r="AL94" s="3">
        <v>52.62</v>
      </c>
      <c r="AM94" s="3">
        <v>52.06</v>
      </c>
      <c r="AN94" s="3">
        <v>52.52</v>
      </c>
      <c r="AO94" s="3">
        <v>19320854</v>
      </c>
      <c r="AP94" s="3">
        <v>42.65</v>
      </c>
      <c r="AQ94" s="3">
        <v>43.26</v>
      </c>
      <c r="AR94" s="3">
        <v>42.6</v>
      </c>
      <c r="AS94" s="3">
        <v>43.22</v>
      </c>
      <c r="AT94" s="3">
        <v>4363540</v>
      </c>
      <c r="AU94" s="3">
        <v>40.83</v>
      </c>
      <c r="AV94" s="3">
        <v>41.09</v>
      </c>
      <c r="AW94" s="3">
        <v>40.78</v>
      </c>
      <c r="AX94" s="3">
        <v>41.05</v>
      </c>
      <c r="AY94" s="3">
        <v>7718131</v>
      </c>
      <c r="AZ94" s="3">
        <v>41.99</v>
      </c>
      <c r="BA94" s="3">
        <v>42.42</v>
      </c>
      <c r="BB94" s="3">
        <v>41.85</v>
      </c>
      <c r="BC94" s="3">
        <v>42.29</v>
      </c>
      <c r="BD94" s="3">
        <v>8619804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</row>
    <row r="95" spans="1:61" ht="13" x14ac:dyDescent="0.15">
      <c r="A95" s="3">
        <v>42264</v>
      </c>
      <c r="B95" s="3">
        <v>1995.33</v>
      </c>
      <c r="C95" s="3">
        <v>2020.86</v>
      </c>
      <c r="D95" s="3">
        <v>1986.73</v>
      </c>
      <c r="E95" s="3">
        <v>1990.2</v>
      </c>
      <c r="F95" s="3">
        <v>704674713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3">
        <v>76.8</v>
      </c>
      <c r="M95" s="3">
        <v>78.13</v>
      </c>
      <c r="N95" s="3">
        <v>76.680000000000007</v>
      </c>
      <c r="O95" s="3">
        <v>76.97</v>
      </c>
      <c r="P95" s="3">
        <v>10995155</v>
      </c>
      <c r="Q95" s="3">
        <v>48.01</v>
      </c>
      <c r="R95" s="3">
        <v>48.62</v>
      </c>
      <c r="S95" s="3">
        <v>47.91</v>
      </c>
      <c r="T95" s="3">
        <v>48.05</v>
      </c>
      <c r="U95" s="3">
        <v>13063925</v>
      </c>
      <c r="V95" s="3">
        <v>65.37</v>
      </c>
      <c r="W95" s="3">
        <v>66.44</v>
      </c>
      <c r="X95" s="3">
        <v>64.86</v>
      </c>
      <c r="Y95" s="3">
        <v>65.28</v>
      </c>
      <c r="Z95" s="3">
        <v>19822670</v>
      </c>
      <c r="AA95" s="3">
        <v>19.11</v>
      </c>
      <c r="AB95" s="3">
        <v>19.239999999999998</v>
      </c>
      <c r="AC95" s="3">
        <v>18.82</v>
      </c>
      <c r="AD95" s="3">
        <v>18.86</v>
      </c>
      <c r="AE95" s="3">
        <v>61105967</v>
      </c>
      <c r="AF95" s="3">
        <v>71.55</v>
      </c>
      <c r="AG95" s="3">
        <v>73.260000000000005</v>
      </c>
      <c r="AH95" s="3">
        <v>71.55</v>
      </c>
      <c r="AI95" s="3">
        <v>72.27</v>
      </c>
      <c r="AJ95" s="3">
        <v>19148977</v>
      </c>
      <c r="AK95" s="3">
        <v>52.45</v>
      </c>
      <c r="AL95" s="3">
        <v>53.12</v>
      </c>
      <c r="AM95" s="3">
        <v>52.16</v>
      </c>
      <c r="AN95" s="3">
        <v>52.29</v>
      </c>
      <c r="AO95" s="3">
        <v>18977405</v>
      </c>
      <c r="AP95" s="3">
        <v>43.14</v>
      </c>
      <c r="AQ95" s="3">
        <v>43.74</v>
      </c>
      <c r="AR95" s="3">
        <v>42.93</v>
      </c>
      <c r="AS95" s="3">
        <v>43.02</v>
      </c>
      <c r="AT95" s="3">
        <v>9138014</v>
      </c>
      <c r="AU95" s="3">
        <v>40.880000000000003</v>
      </c>
      <c r="AV95" s="3">
        <v>41.4</v>
      </c>
      <c r="AW95" s="3">
        <v>40.630000000000003</v>
      </c>
      <c r="AX95" s="3">
        <v>40.770000000000003</v>
      </c>
      <c r="AY95" s="3">
        <v>16782643</v>
      </c>
      <c r="AZ95" s="3">
        <v>42.17</v>
      </c>
      <c r="BA95" s="3">
        <v>43.42</v>
      </c>
      <c r="BB95" s="3">
        <v>42.17</v>
      </c>
      <c r="BC95" s="3">
        <v>42.87</v>
      </c>
      <c r="BD95" s="3">
        <v>22723109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</row>
    <row r="96" spans="1:61" ht="13" x14ac:dyDescent="0.15">
      <c r="A96" s="3">
        <v>42265</v>
      </c>
      <c r="B96" s="3">
        <v>1989.66</v>
      </c>
      <c r="C96" s="3">
        <v>1989.66</v>
      </c>
      <c r="D96" s="3">
        <v>1953.45</v>
      </c>
      <c r="E96" s="3">
        <v>1958.03</v>
      </c>
      <c r="F96" s="3">
        <v>787228057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3">
        <v>75.77</v>
      </c>
      <c r="M96" s="3">
        <v>76.489999999999995</v>
      </c>
      <c r="N96" s="3">
        <v>75.34</v>
      </c>
      <c r="O96" s="3">
        <v>75.459999999999994</v>
      </c>
      <c r="P96" s="3">
        <v>9861451</v>
      </c>
      <c r="Q96" s="3">
        <v>47.19</v>
      </c>
      <c r="R96" s="3">
        <v>47.71</v>
      </c>
      <c r="S96" s="3">
        <v>47</v>
      </c>
      <c r="T96" s="3">
        <v>47.19</v>
      </c>
      <c r="U96" s="3">
        <v>10970796</v>
      </c>
      <c r="V96" s="3">
        <v>63.58</v>
      </c>
      <c r="W96" s="3">
        <v>64.05</v>
      </c>
      <c r="X96" s="3">
        <v>62.72</v>
      </c>
      <c r="Y96" s="3">
        <v>63.1</v>
      </c>
      <c r="Z96" s="3">
        <v>21236946</v>
      </c>
      <c r="AA96" s="3">
        <v>18.510000000000002</v>
      </c>
      <c r="AB96" s="3">
        <v>18.600000000000001</v>
      </c>
      <c r="AC96" s="3">
        <v>18.37</v>
      </c>
      <c r="AD96" s="3">
        <v>18.399999999999999</v>
      </c>
      <c r="AE96" s="3">
        <v>69285845</v>
      </c>
      <c r="AF96" s="3">
        <v>71.02</v>
      </c>
      <c r="AG96" s="3">
        <v>71.67</v>
      </c>
      <c r="AH96" s="3">
        <v>70.81</v>
      </c>
      <c r="AI96" s="3">
        <v>70.91</v>
      </c>
      <c r="AJ96" s="3">
        <v>23715976</v>
      </c>
      <c r="AK96" s="3">
        <v>51.21</v>
      </c>
      <c r="AL96" s="3">
        <v>51.47</v>
      </c>
      <c r="AM96" s="3">
        <v>50.77</v>
      </c>
      <c r="AN96" s="3">
        <v>50.86</v>
      </c>
      <c r="AO96" s="3">
        <v>20172452</v>
      </c>
      <c r="AP96" s="3">
        <v>42.09</v>
      </c>
      <c r="AQ96" s="3">
        <v>42.35</v>
      </c>
      <c r="AR96" s="3">
        <v>41.74</v>
      </c>
      <c r="AS96" s="3">
        <v>41.88</v>
      </c>
      <c r="AT96" s="3">
        <v>10128610</v>
      </c>
      <c r="AU96" s="3">
        <v>40.11</v>
      </c>
      <c r="AV96" s="3">
        <v>40.479999999999997</v>
      </c>
      <c r="AW96" s="3">
        <v>39.97</v>
      </c>
      <c r="AX96" s="3">
        <v>40.06</v>
      </c>
      <c r="AY96" s="3">
        <v>18115054</v>
      </c>
      <c r="AZ96" s="3">
        <v>42.29</v>
      </c>
      <c r="BA96" s="3">
        <v>42.72</v>
      </c>
      <c r="BB96" s="3">
        <v>42.13</v>
      </c>
      <c r="BC96" s="3">
        <v>42.23</v>
      </c>
      <c r="BD96" s="3">
        <v>14358703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</row>
    <row r="97" spans="1:61" ht="13" x14ac:dyDescent="0.15">
      <c r="A97" s="3">
        <v>42268</v>
      </c>
      <c r="B97" s="3">
        <v>1960.84</v>
      </c>
      <c r="C97" s="3">
        <v>1979.64</v>
      </c>
      <c r="D97" s="3">
        <v>1955.8</v>
      </c>
      <c r="E97" s="3">
        <v>1966.97</v>
      </c>
      <c r="F97" s="3">
        <v>570775068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3">
        <v>75.819999999999993</v>
      </c>
      <c r="M97" s="3">
        <v>76.48</v>
      </c>
      <c r="N97" s="3">
        <v>75.489999999999995</v>
      </c>
      <c r="O97" s="3">
        <v>76.12</v>
      </c>
      <c r="P97" s="3">
        <v>7018088</v>
      </c>
      <c r="Q97" s="3">
        <v>47.31</v>
      </c>
      <c r="R97" s="3">
        <v>47.67</v>
      </c>
      <c r="S97" s="3">
        <v>47.3</v>
      </c>
      <c r="T97" s="3">
        <v>47.54</v>
      </c>
      <c r="U97" s="3">
        <v>9770603</v>
      </c>
      <c r="V97" s="3">
        <v>63.77</v>
      </c>
      <c r="W97" s="3">
        <v>63.93</v>
      </c>
      <c r="X97" s="3">
        <v>63.06</v>
      </c>
      <c r="Y97" s="3">
        <v>63.46</v>
      </c>
      <c r="Z97" s="3">
        <v>15689677</v>
      </c>
      <c r="AA97" s="3">
        <v>18.52</v>
      </c>
      <c r="AB97" s="3">
        <v>18.68</v>
      </c>
      <c r="AC97" s="3">
        <v>18.489999999999998</v>
      </c>
      <c r="AD97" s="3">
        <v>18.61</v>
      </c>
      <c r="AE97" s="3">
        <v>38259451</v>
      </c>
      <c r="AF97" s="3">
        <v>71.400000000000006</v>
      </c>
      <c r="AG97" s="3">
        <v>71.569999999999993</v>
      </c>
      <c r="AH97" s="3">
        <v>69.5</v>
      </c>
      <c r="AI97" s="3">
        <v>69.97</v>
      </c>
      <c r="AJ97" s="3">
        <v>23860059</v>
      </c>
      <c r="AK97" s="3">
        <v>51.14</v>
      </c>
      <c r="AL97" s="3">
        <v>51.45</v>
      </c>
      <c r="AM97" s="3">
        <v>50.87</v>
      </c>
      <c r="AN97" s="3">
        <v>51.11</v>
      </c>
      <c r="AO97" s="3">
        <v>10205156</v>
      </c>
      <c r="AP97" s="3">
        <v>42.18</v>
      </c>
      <c r="AQ97" s="3">
        <v>42.35</v>
      </c>
      <c r="AR97" s="3">
        <v>41.87</v>
      </c>
      <c r="AS97" s="3">
        <v>42.02</v>
      </c>
      <c r="AT97" s="3">
        <v>6017342</v>
      </c>
      <c r="AU97" s="3">
        <v>40.130000000000003</v>
      </c>
      <c r="AV97" s="3">
        <v>40.58</v>
      </c>
      <c r="AW97" s="3">
        <v>40.090000000000003</v>
      </c>
      <c r="AX97" s="3">
        <v>40.46</v>
      </c>
      <c r="AY97" s="3">
        <v>6960565</v>
      </c>
      <c r="AZ97" s="3">
        <v>42.2</v>
      </c>
      <c r="BA97" s="3">
        <v>42.62</v>
      </c>
      <c r="BB97" s="3">
        <v>42.2</v>
      </c>
      <c r="BC97" s="3">
        <v>42.4</v>
      </c>
      <c r="BD97" s="3">
        <v>8770879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</row>
    <row r="98" spans="1:61" ht="13" x14ac:dyDescent="0.15">
      <c r="A98" s="3">
        <v>42269</v>
      </c>
      <c r="B98" s="3">
        <v>1961.39</v>
      </c>
      <c r="C98" s="3">
        <v>1961.39</v>
      </c>
      <c r="D98" s="3">
        <v>1929.22</v>
      </c>
      <c r="E98" s="3">
        <v>1942.74</v>
      </c>
      <c r="F98" s="3">
        <v>692587353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3">
        <v>75.17</v>
      </c>
      <c r="M98" s="3">
        <v>75.319999999999993</v>
      </c>
      <c r="N98" s="3">
        <v>74.569999999999993</v>
      </c>
      <c r="O98" s="3">
        <v>75.11</v>
      </c>
      <c r="P98" s="3">
        <v>7645217</v>
      </c>
      <c r="Q98" s="3">
        <v>47.06</v>
      </c>
      <c r="R98" s="3">
        <v>47.14</v>
      </c>
      <c r="S98" s="3">
        <v>46.77</v>
      </c>
      <c r="T98" s="3">
        <v>47.02</v>
      </c>
      <c r="U98" s="3">
        <v>10674784</v>
      </c>
      <c r="V98" s="3">
        <v>62.48</v>
      </c>
      <c r="W98" s="3">
        <v>63.45</v>
      </c>
      <c r="X98" s="3">
        <v>62.35</v>
      </c>
      <c r="Y98" s="3">
        <v>62.79</v>
      </c>
      <c r="Z98" s="3">
        <v>17050396</v>
      </c>
      <c r="AA98" s="3">
        <v>18.34</v>
      </c>
      <c r="AB98" s="3">
        <v>18.440000000000001</v>
      </c>
      <c r="AC98" s="3">
        <v>18.239999999999998</v>
      </c>
      <c r="AD98" s="3">
        <v>18.38</v>
      </c>
      <c r="AE98" s="3">
        <v>53075527</v>
      </c>
      <c r="AF98" s="3">
        <v>69.010000000000005</v>
      </c>
      <c r="AG98" s="3">
        <v>69.66</v>
      </c>
      <c r="AH98" s="3">
        <v>68.760000000000005</v>
      </c>
      <c r="AI98" s="3">
        <v>69.540000000000006</v>
      </c>
      <c r="AJ98" s="3">
        <v>29233976</v>
      </c>
      <c r="AK98" s="3">
        <v>50.39</v>
      </c>
      <c r="AL98" s="3">
        <v>50.55</v>
      </c>
      <c r="AM98" s="3">
        <v>50.04</v>
      </c>
      <c r="AN98" s="3">
        <v>50.37</v>
      </c>
      <c r="AO98" s="3">
        <v>12687074</v>
      </c>
      <c r="AP98" s="3">
        <v>41.39</v>
      </c>
      <c r="AQ98" s="3">
        <v>41.43</v>
      </c>
      <c r="AR98" s="3">
        <v>40.880000000000003</v>
      </c>
      <c r="AS98" s="3">
        <v>41.24</v>
      </c>
      <c r="AT98" s="3">
        <v>6594791</v>
      </c>
      <c r="AU98" s="3">
        <v>39.81</v>
      </c>
      <c r="AV98" s="3">
        <v>39.97</v>
      </c>
      <c r="AW98" s="3">
        <v>39.53</v>
      </c>
      <c r="AX98" s="3">
        <v>39.78</v>
      </c>
      <c r="AY98" s="3">
        <v>12288203</v>
      </c>
      <c r="AZ98" s="3">
        <v>42.21</v>
      </c>
      <c r="BA98" s="3">
        <v>42.39</v>
      </c>
      <c r="BB98" s="3">
        <v>41.75</v>
      </c>
      <c r="BC98" s="3">
        <v>41.87</v>
      </c>
      <c r="BD98" s="3">
        <v>10972165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</row>
    <row r="99" spans="1:61" ht="13" x14ac:dyDescent="0.15">
      <c r="A99" s="3">
        <v>42270</v>
      </c>
      <c r="B99" s="3">
        <v>1943.24</v>
      </c>
      <c r="C99" s="3">
        <v>1949.52</v>
      </c>
      <c r="D99" s="3">
        <v>1932.57</v>
      </c>
      <c r="E99" s="3">
        <v>1938.76</v>
      </c>
      <c r="F99" s="3">
        <v>505058172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3">
        <v>75.099999999999994</v>
      </c>
      <c r="M99" s="3">
        <v>75.31</v>
      </c>
      <c r="N99" s="3">
        <v>74.66</v>
      </c>
      <c r="O99" s="3">
        <v>74.91</v>
      </c>
      <c r="P99" s="3">
        <v>5385582</v>
      </c>
      <c r="Q99" s="3">
        <v>47.01</v>
      </c>
      <c r="R99" s="3">
        <v>47.18</v>
      </c>
      <c r="S99" s="3">
        <v>46.86</v>
      </c>
      <c r="T99" s="3">
        <v>47.1</v>
      </c>
      <c r="U99" s="3">
        <v>6458479</v>
      </c>
      <c r="V99" s="3">
        <v>63.03</v>
      </c>
      <c r="W99" s="3">
        <v>63.32</v>
      </c>
      <c r="X99" s="3">
        <v>61.95</v>
      </c>
      <c r="Y99" s="3">
        <v>61.98</v>
      </c>
      <c r="Z99" s="3">
        <v>13984709</v>
      </c>
      <c r="AA99" s="3">
        <v>18.38</v>
      </c>
      <c r="AB99" s="3">
        <v>18.45</v>
      </c>
      <c r="AC99" s="3">
        <v>18.28</v>
      </c>
      <c r="AD99" s="3">
        <v>18.38</v>
      </c>
      <c r="AE99" s="3">
        <v>28343744</v>
      </c>
      <c r="AF99" s="3">
        <v>69.599999999999994</v>
      </c>
      <c r="AG99" s="3">
        <v>70.12</v>
      </c>
      <c r="AH99" s="3">
        <v>69.11</v>
      </c>
      <c r="AI99" s="3">
        <v>69.47</v>
      </c>
      <c r="AJ99" s="3">
        <v>9578719</v>
      </c>
      <c r="AK99" s="3">
        <v>50.38</v>
      </c>
      <c r="AL99" s="3">
        <v>50.49</v>
      </c>
      <c r="AM99" s="3">
        <v>49.84</v>
      </c>
      <c r="AN99" s="3">
        <v>50.02</v>
      </c>
      <c r="AO99" s="3">
        <v>7970925</v>
      </c>
      <c r="AP99" s="3">
        <v>41.3</v>
      </c>
      <c r="AQ99" s="3">
        <v>41.32</v>
      </c>
      <c r="AR99" s="3">
        <v>40.299999999999997</v>
      </c>
      <c r="AS99" s="3">
        <v>40.36</v>
      </c>
      <c r="AT99" s="3">
        <v>6928079</v>
      </c>
      <c r="AU99" s="3">
        <v>39.92</v>
      </c>
      <c r="AV99" s="3">
        <v>40.03</v>
      </c>
      <c r="AW99" s="3">
        <v>39.659999999999997</v>
      </c>
      <c r="AX99" s="3">
        <v>39.880000000000003</v>
      </c>
      <c r="AY99" s="3">
        <v>5678204</v>
      </c>
      <c r="AZ99" s="3">
        <v>41.88</v>
      </c>
      <c r="BA99" s="3">
        <v>42.08</v>
      </c>
      <c r="BB99" s="3">
        <v>41.73</v>
      </c>
      <c r="BC99" s="3">
        <v>41.98</v>
      </c>
      <c r="BD99" s="3">
        <v>5266549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</row>
    <row r="100" spans="1:61" ht="13" x14ac:dyDescent="0.15">
      <c r="A100" s="3">
        <v>42271</v>
      </c>
      <c r="B100" s="3">
        <v>1934.81</v>
      </c>
      <c r="C100" s="3">
        <v>1937.17</v>
      </c>
      <c r="D100" s="3">
        <v>1908.92</v>
      </c>
      <c r="E100" s="3">
        <v>1932.24</v>
      </c>
      <c r="F100" s="3">
        <v>715118376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v>74.47</v>
      </c>
      <c r="M100" s="3">
        <v>74.819999999999993</v>
      </c>
      <c r="N100" s="3">
        <v>73.680000000000007</v>
      </c>
      <c r="O100" s="3">
        <v>74.709999999999994</v>
      </c>
      <c r="P100" s="3">
        <v>6978707</v>
      </c>
      <c r="Q100" s="3">
        <v>46.75</v>
      </c>
      <c r="R100" s="3">
        <v>47.25</v>
      </c>
      <c r="S100" s="3">
        <v>46.73</v>
      </c>
      <c r="T100" s="3">
        <v>47.18</v>
      </c>
      <c r="U100" s="3">
        <v>7740110</v>
      </c>
      <c r="V100" s="3">
        <v>61.5</v>
      </c>
      <c r="W100" s="3">
        <v>62.69</v>
      </c>
      <c r="X100" s="3">
        <v>61.09</v>
      </c>
      <c r="Y100" s="3">
        <v>62.25</v>
      </c>
      <c r="Z100" s="3">
        <v>18911999</v>
      </c>
      <c r="AA100" s="3">
        <v>18.170000000000002</v>
      </c>
      <c r="AB100" s="3">
        <v>18.28</v>
      </c>
      <c r="AC100" s="3">
        <v>18.09</v>
      </c>
      <c r="AD100" s="3">
        <v>18.25</v>
      </c>
      <c r="AE100" s="3">
        <v>41649908</v>
      </c>
      <c r="AF100" s="3">
        <v>68.900000000000006</v>
      </c>
      <c r="AG100" s="3">
        <v>69.17</v>
      </c>
      <c r="AH100" s="3">
        <v>67.989999999999995</v>
      </c>
      <c r="AI100" s="3">
        <v>68.760000000000005</v>
      </c>
      <c r="AJ100" s="3">
        <v>20064475</v>
      </c>
      <c r="AK100" s="3">
        <v>49.43</v>
      </c>
      <c r="AL100" s="3">
        <v>49.83</v>
      </c>
      <c r="AM100" s="3">
        <v>49.04</v>
      </c>
      <c r="AN100" s="3">
        <v>49.71</v>
      </c>
      <c r="AO100" s="3">
        <v>13891631</v>
      </c>
      <c r="AP100" s="3">
        <v>40.01</v>
      </c>
      <c r="AQ100" s="3">
        <v>40.380000000000003</v>
      </c>
      <c r="AR100" s="3">
        <v>39.46</v>
      </c>
      <c r="AS100" s="3">
        <v>40.25</v>
      </c>
      <c r="AT100" s="3">
        <v>9294513</v>
      </c>
      <c r="AU100" s="3">
        <v>39.43</v>
      </c>
      <c r="AV100" s="3">
        <v>39.99</v>
      </c>
      <c r="AW100" s="3">
        <v>39.22</v>
      </c>
      <c r="AX100" s="3">
        <v>39.880000000000003</v>
      </c>
      <c r="AY100" s="3">
        <v>11028166</v>
      </c>
      <c r="AZ100" s="3">
        <v>41.97</v>
      </c>
      <c r="BA100" s="3">
        <v>42.4</v>
      </c>
      <c r="BB100" s="3">
        <v>41.83</v>
      </c>
      <c r="BC100" s="3">
        <v>42.32</v>
      </c>
      <c r="BD100" s="3">
        <v>11326049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</row>
    <row r="101" spans="1:61" ht="13" x14ac:dyDescent="0.15">
      <c r="A101" s="3">
        <v>42272</v>
      </c>
      <c r="B101" s="3">
        <v>1935.93</v>
      </c>
      <c r="C101" s="3">
        <v>1952.89</v>
      </c>
      <c r="D101" s="3">
        <v>1921.5</v>
      </c>
      <c r="E101" s="3">
        <v>1931.34</v>
      </c>
      <c r="F101" s="3">
        <v>691099595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v>75.53</v>
      </c>
      <c r="M101" s="3">
        <v>75.7</v>
      </c>
      <c r="N101" s="3">
        <v>74.34</v>
      </c>
      <c r="O101" s="3">
        <v>74.7</v>
      </c>
      <c r="P101" s="3">
        <v>5854032</v>
      </c>
      <c r="Q101" s="3">
        <v>47.45</v>
      </c>
      <c r="R101" s="3">
        <v>47.96</v>
      </c>
      <c r="S101" s="3">
        <v>47.3</v>
      </c>
      <c r="T101" s="3">
        <v>47.48</v>
      </c>
      <c r="U101" s="3">
        <v>12257293</v>
      </c>
      <c r="V101" s="3">
        <v>62.94</v>
      </c>
      <c r="W101" s="3">
        <v>62.94</v>
      </c>
      <c r="X101" s="3">
        <v>61.81</v>
      </c>
      <c r="Y101" s="3">
        <v>62.37</v>
      </c>
      <c r="Z101" s="3">
        <v>15833436</v>
      </c>
      <c r="AA101" s="3">
        <v>18.510000000000002</v>
      </c>
      <c r="AB101" s="3">
        <v>18.64</v>
      </c>
      <c r="AC101" s="3">
        <v>18.43</v>
      </c>
      <c r="AD101" s="3">
        <v>18.52</v>
      </c>
      <c r="AE101" s="3">
        <v>45017222</v>
      </c>
      <c r="AF101" s="3">
        <v>69.31</v>
      </c>
      <c r="AG101" s="3">
        <v>69.52</v>
      </c>
      <c r="AH101" s="3">
        <v>66.349999999999994</v>
      </c>
      <c r="AI101" s="3">
        <v>66.88</v>
      </c>
      <c r="AJ101" s="3">
        <v>30973747</v>
      </c>
      <c r="AK101" s="3">
        <v>50.22</v>
      </c>
      <c r="AL101" s="3">
        <v>50.22</v>
      </c>
      <c r="AM101" s="3">
        <v>49.6</v>
      </c>
      <c r="AN101" s="3">
        <v>49.81</v>
      </c>
      <c r="AO101" s="3">
        <v>10210312</v>
      </c>
      <c r="AP101" s="3">
        <v>40.630000000000003</v>
      </c>
      <c r="AQ101" s="3">
        <v>40.630000000000003</v>
      </c>
      <c r="AR101" s="3">
        <v>39.96</v>
      </c>
      <c r="AS101" s="3">
        <v>40.200000000000003</v>
      </c>
      <c r="AT101" s="3">
        <v>7317050</v>
      </c>
      <c r="AU101" s="3">
        <v>40.25</v>
      </c>
      <c r="AV101" s="3">
        <v>40.299999999999997</v>
      </c>
      <c r="AW101" s="3">
        <v>39.630000000000003</v>
      </c>
      <c r="AX101" s="3">
        <v>39.81</v>
      </c>
      <c r="AY101" s="3">
        <v>10828935</v>
      </c>
      <c r="AZ101" s="3">
        <v>42.4</v>
      </c>
      <c r="BA101" s="3">
        <v>43.15</v>
      </c>
      <c r="BB101" s="3">
        <v>42.2</v>
      </c>
      <c r="BC101" s="3">
        <v>42.73</v>
      </c>
      <c r="BD101" s="3">
        <v>9505005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</row>
    <row r="102" spans="1:61" ht="13" x14ac:dyDescent="0.15">
      <c r="A102" s="3">
        <v>42275</v>
      </c>
      <c r="B102" s="3">
        <v>1929.18</v>
      </c>
      <c r="C102" s="3">
        <v>1929.18</v>
      </c>
      <c r="D102" s="3">
        <v>1879.21</v>
      </c>
      <c r="E102" s="3">
        <v>1881.77</v>
      </c>
      <c r="F102" s="3">
        <v>776043095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v>74.19</v>
      </c>
      <c r="M102" s="3">
        <v>74.459999999999994</v>
      </c>
      <c r="N102" s="3">
        <v>72.37</v>
      </c>
      <c r="O102" s="3">
        <v>72.55</v>
      </c>
      <c r="P102" s="3">
        <v>12015407</v>
      </c>
      <c r="Q102" s="3">
        <v>47.36</v>
      </c>
      <c r="R102" s="3">
        <v>47.46</v>
      </c>
      <c r="S102" s="3">
        <v>46.69</v>
      </c>
      <c r="T102" s="3">
        <v>46.78</v>
      </c>
      <c r="U102" s="3">
        <v>15815963</v>
      </c>
      <c r="V102" s="3">
        <v>61.72</v>
      </c>
      <c r="W102" s="3">
        <v>61.72</v>
      </c>
      <c r="X102" s="3">
        <v>59.83</v>
      </c>
      <c r="Y102" s="3">
        <v>59.88</v>
      </c>
      <c r="Z102" s="3">
        <v>16351433</v>
      </c>
      <c r="AA102" s="3">
        <v>18.39</v>
      </c>
      <c r="AB102" s="3">
        <v>18.43</v>
      </c>
      <c r="AC102" s="3">
        <v>18.04</v>
      </c>
      <c r="AD102" s="3">
        <v>18.09</v>
      </c>
      <c r="AE102" s="3">
        <v>47459728</v>
      </c>
      <c r="AF102" s="3">
        <v>66.459999999999994</v>
      </c>
      <c r="AG102" s="3">
        <v>66.599999999999994</v>
      </c>
      <c r="AH102" s="3">
        <v>63.73</v>
      </c>
      <c r="AI102" s="3">
        <v>64.290000000000006</v>
      </c>
      <c r="AJ102" s="3">
        <v>66470176</v>
      </c>
      <c r="AK102" s="3">
        <v>49.53</v>
      </c>
      <c r="AL102" s="3">
        <v>49.59</v>
      </c>
      <c r="AM102" s="3">
        <v>48.83</v>
      </c>
      <c r="AN102" s="3">
        <v>48.83</v>
      </c>
      <c r="AO102" s="3">
        <v>14443677</v>
      </c>
      <c r="AP102" s="3">
        <v>40.020000000000003</v>
      </c>
      <c r="AQ102" s="3">
        <v>40.03</v>
      </c>
      <c r="AR102" s="3">
        <v>38.85</v>
      </c>
      <c r="AS102" s="3">
        <v>38.950000000000003</v>
      </c>
      <c r="AT102" s="3">
        <v>12341760</v>
      </c>
      <c r="AU102" s="3">
        <v>39.64</v>
      </c>
      <c r="AV102" s="3">
        <v>39.700000000000003</v>
      </c>
      <c r="AW102" s="3">
        <v>38.880000000000003</v>
      </c>
      <c r="AX102" s="3">
        <v>38.9</v>
      </c>
      <c r="AY102" s="3">
        <v>12583343</v>
      </c>
      <c r="AZ102" s="3">
        <v>42.73</v>
      </c>
      <c r="BA102" s="3">
        <v>42.99</v>
      </c>
      <c r="BB102" s="3">
        <v>42.44</v>
      </c>
      <c r="BC102" s="3">
        <v>42.52</v>
      </c>
      <c r="BD102" s="3">
        <v>9506950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</row>
    <row r="103" spans="1:61" ht="13" x14ac:dyDescent="0.15">
      <c r="A103" s="3">
        <v>42276</v>
      </c>
      <c r="B103" s="3">
        <v>1881.9</v>
      </c>
      <c r="C103" s="3">
        <v>1899.48</v>
      </c>
      <c r="D103" s="3">
        <v>1871.91</v>
      </c>
      <c r="E103" s="3">
        <v>1884.09</v>
      </c>
      <c r="F103" s="3">
        <v>735886295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v>72.58</v>
      </c>
      <c r="M103" s="3">
        <v>73.099999999999994</v>
      </c>
      <c r="N103" s="3">
        <v>71.86</v>
      </c>
      <c r="O103" s="3">
        <v>72.31</v>
      </c>
      <c r="P103" s="3">
        <v>6177144</v>
      </c>
      <c r="Q103" s="3">
        <v>46.91</v>
      </c>
      <c r="R103" s="3">
        <v>46.93</v>
      </c>
      <c r="S103" s="3">
        <v>46.48</v>
      </c>
      <c r="T103" s="3">
        <v>46.76</v>
      </c>
      <c r="U103" s="3">
        <v>15304069</v>
      </c>
      <c r="V103" s="3">
        <v>60.17</v>
      </c>
      <c r="W103" s="3">
        <v>60.66</v>
      </c>
      <c r="X103" s="3">
        <v>59.39</v>
      </c>
      <c r="Y103" s="3">
        <v>59.79</v>
      </c>
      <c r="Z103" s="3">
        <v>18881223</v>
      </c>
      <c r="AA103" s="3">
        <v>18.11</v>
      </c>
      <c r="AB103" s="3">
        <v>18.18</v>
      </c>
      <c r="AC103" s="3">
        <v>17.96</v>
      </c>
      <c r="AD103" s="3">
        <v>18.12</v>
      </c>
      <c r="AE103" s="3">
        <v>39207385</v>
      </c>
      <c r="AF103" s="3">
        <v>64.459999999999994</v>
      </c>
      <c r="AG103" s="3">
        <v>65.98</v>
      </c>
      <c r="AH103" s="3">
        <v>64.08</v>
      </c>
      <c r="AI103" s="3">
        <v>64.88</v>
      </c>
      <c r="AJ103" s="3">
        <v>31776031</v>
      </c>
      <c r="AK103" s="3">
        <v>49.09</v>
      </c>
      <c r="AL103" s="3">
        <v>49.33</v>
      </c>
      <c r="AM103" s="3">
        <v>48.81</v>
      </c>
      <c r="AN103" s="3">
        <v>49.15</v>
      </c>
      <c r="AO103" s="3">
        <v>15337797</v>
      </c>
      <c r="AP103" s="3">
        <v>39.14</v>
      </c>
      <c r="AQ103" s="3">
        <v>39.450000000000003</v>
      </c>
      <c r="AR103" s="3">
        <v>38.83</v>
      </c>
      <c r="AS103" s="3">
        <v>39.1</v>
      </c>
      <c r="AT103" s="3">
        <v>13472105</v>
      </c>
      <c r="AU103" s="3">
        <v>39</v>
      </c>
      <c r="AV103" s="3">
        <v>39.26</v>
      </c>
      <c r="AW103" s="3">
        <v>38.450000000000003</v>
      </c>
      <c r="AX103" s="3">
        <v>38.729999999999997</v>
      </c>
      <c r="AY103" s="3">
        <v>13103413</v>
      </c>
      <c r="AZ103" s="3">
        <v>42.6</v>
      </c>
      <c r="BA103" s="3">
        <v>42.78</v>
      </c>
      <c r="BB103" s="3">
        <v>42.36</v>
      </c>
      <c r="BC103" s="3">
        <v>42.53</v>
      </c>
      <c r="BD103" s="3">
        <v>8681435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</row>
    <row r="104" spans="1:61" ht="13" x14ac:dyDescent="0.15">
      <c r="A104" s="3">
        <v>42277</v>
      </c>
      <c r="B104" s="3">
        <v>1887.14</v>
      </c>
      <c r="C104" s="3">
        <v>1920.53</v>
      </c>
      <c r="D104" s="3">
        <v>1887.14</v>
      </c>
      <c r="E104" s="3">
        <v>1920.03</v>
      </c>
      <c r="F104" s="3">
        <v>848521002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3">
        <v>73.38</v>
      </c>
      <c r="M104" s="3">
        <v>74.34</v>
      </c>
      <c r="N104" s="3">
        <v>73.040000000000006</v>
      </c>
      <c r="O104" s="3">
        <v>74.260000000000005</v>
      </c>
      <c r="P104" s="3">
        <v>10798607</v>
      </c>
      <c r="Q104" s="3">
        <v>46.95</v>
      </c>
      <c r="R104" s="3">
        <v>47.35</v>
      </c>
      <c r="S104" s="3">
        <v>46.87</v>
      </c>
      <c r="T104" s="3">
        <v>47.19</v>
      </c>
      <c r="U104" s="3">
        <v>12715608</v>
      </c>
      <c r="V104" s="3">
        <v>60.34</v>
      </c>
      <c r="W104" s="3">
        <v>61.43</v>
      </c>
      <c r="X104" s="3">
        <v>60.27</v>
      </c>
      <c r="Y104" s="3">
        <v>61.2</v>
      </c>
      <c r="Z104" s="3">
        <v>16128089</v>
      </c>
      <c r="AA104" s="3">
        <v>18.37</v>
      </c>
      <c r="AB104" s="3">
        <v>18.399999999999999</v>
      </c>
      <c r="AC104" s="3">
        <v>18.18</v>
      </c>
      <c r="AD104" s="3">
        <v>18.399999999999999</v>
      </c>
      <c r="AE104" s="3">
        <v>39875522</v>
      </c>
      <c r="AF104" s="3">
        <v>65.84</v>
      </c>
      <c r="AG104" s="3">
        <v>66.42</v>
      </c>
      <c r="AH104" s="3">
        <v>65.38</v>
      </c>
      <c r="AI104" s="3">
        <v>66.23</v>
      </c>
      <c r="AJ104" s="3">
        <v>26565616</v>
      </c>
      <c r="AK104" s="3">
        <v>49.55</v>
      </c>
      <c r="AL104" s="3">
        <v>49.95</v>
      </c>
      <c r="AM104" s="3">
        <v>49.27</v>
      </c>
      <c r="AN104" s="3">
        <v>49.89</v>
      </c>
      <c r="AO104" s="3">
        <v>17662407</v>
      </c>
      <c r="AP104" s="3">
        <v>39.58</v>
      </c>
      <c r="AQ104" s="3">
        <v>40</v>
      </c>
      <c r="AR104" s="3">
        <v>39.4</v>
      </c>
      <c r="AS104" s="3">
        <v>39.92</v>
      </c>
      <c r="AT104" s="3">
        <v>7652233</v>
      </c>
      <c r="AU104" s="3">
        <v>39.200000000000003</v>
      </c>
      <c r="AV104" s="3">
        <v>39.56</v>
      </c>
      <c r="AW104" s="3">
        <v>39.090000000000003</v>
      </c>
      <c r="AX104" s="3">
        <v>39.5</v>
      </c>
      <c r="AY104" s="3">
        <v>12466813</v>
      </c>
      <c r="AZ104" s="3">
        <v>42.62</v>
      </c>
      <c r="BA104" s="3">
        <v>43.34</v>
      </c>
      <c r="BB104" s="3">
        <v>42.61</v>
      </c>
      <c r="BC104" s="3">
        <v>43.29</v>
      </c>
      <c r="BD104" s="3">
        <v>9637983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</row>
    <row r="105" spans="1:61" ht="13" x14ac:dyDescent="0.15">
      <c r="A105" s="3">
        <v>42278</v>
      </c>
      <c r="B105" s="3">
        <v>1919.65</v>
      </c>
      <c r="C105" s="3">
        <v>1927.21</v>
      </c>
      <c r="D105" s="3">
        <v>1900.7</v>
      </c>
      <c r="E105" s="3">
        <v>1923.82</v>
      </c>
      <c r="F105" s="3">
        <v>676563545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v>74.3</v>
      </c>
      <c r="M105" s="3">
        <v>74.819999999999993</v>
      </c>
      <c r="N105" s="3">
        <v>73.67</v>
      </c>
      <c r="O105" s="3">
        <v>74.81</v>
      </c>
      <c r="P105" s="3">
        <v>8362690</v>
      </c>
      <c r="Q105" s="3">
        <v>47.22</v>
      </c>
      <c r="R105" s="3">
        <v>47.33</v>
      </c>
      <c r="S105" s="3">
        <v>46.84</v>
      </c>
      <c r="T105" s="3">
        <v>47.19</v>
      </c>
      <c r="U105" s="3">
        <v>13766236</v>
      </c>
      <c r="V105" s="3">
        <v>61.98</v>
      </c>
      <c r="W105" s="3">
        <v>62.66</v>
      </c>
      <c r="X105" s="3">
        <v>60.77</v>
      </c>
      <c r="Y105" s="3">
        <v>61.32</v>
      </c>
      <c r="Z105" s="3">
        <v>17445508</v>
      </c>
      <c r="AA105" s="3">
        <v>18.39</v>
      </c>
      <c r="AB105" s="3">
        <v>18.48</v>
      </c>
      <c r="AC105" s="3">
        <v>18.21</v>
      </c>
      <c r="AD105" s="3">
        <v>18.41</v>
      </c>
      <c r="AE105" s="3">
        <v>39409430</v>
      </c>
      <c r="AF105" s="3">
        <v>66.39</v>
      </c>
      <c r="AG105" s="3">
        <v>66.95</v>
      </c>
      <c r="AH105" s="3">
        <v>65.75</v>
      </c>
      <c r="AI105" s="3">
        <v>66.900000000000006</v>
      </c>
      <c r="AJ105" s="3">
        <v>19853143</v>
      </c>
      <c r="AK105" s="3">
        <v>49.82</v>
      </c>
      <c r="AL105" s="3">
        <v>50.13</v>
      </c>
      <c r="AM105" s="3">
        <v>49.31</v>
      </c>
      <c r="AN105" s="3">
        <v>49.78</v>
      </c>
      <c r="AO105" s="3">
        <v>10529662</v>
      </c>
      <c r="AP105" s="3">
        <v>40.08</v>
      </c>
      <c r="AQ105" s="3">
        <v>40.369999999999997</v>
      </c>
      <c r="AR105" s="3">
        <v>39.56</v>
      </c>
      <c r="AS105" s="3">
        <v>40.369999999999997</v>
      </c>
      <c r="AT105" s="3">
        <v>9613097</v>
      </c>
      <c r="AU105" s="3">
        <v>39.5</v>
      </c>
      <c r="AV105" s="3">
        <v>39.64</v>
      </c>
      <c r="AW105" s="3">
        <v>38.99</v>
      </c>
      <c r="AX105" s="3">
        <v>39.520000000000003</v>
      </c>
      <c r="AY105" s="3">
        <v>13518040</v>
      </c>
      <c r="AZ105" s="3">
        <v>43.39</v>
      </c>
      <c r="BA105" s="3">
        <v>43.45</v>
      </c>
      <c r="BB105" s="3">
        <v>42.46</v>
      </c>
      <c r="BC105" s="3">
        <v>42.78</v>
      </c>
      <c r="BD105" s="3">
        <v>15645955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</row>
    <row r="106" spans="1:61" ht="13" x14ac:dyDescent="0.15">
      <c r="A106" s="3">
        <v>42279</v>
      </c>
      <c r="B106" s="3">
        <v>1921.77</v>
      </c>
      <c r="C106" s="3">
        <v>1951.36</v>
      </c>
      <c r="D106" s="3">
        <v>1893.7</v>
      </c>
      <c r="E106" s="3">
        <v>1951.36</v>
      </c>
      <c r="F106" s="3">
        <v>763255552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v>73.650000000000006</v>
      </c>
      <c r="M106" s="3">
        <v>75.88</v>
      </c>
      <c r="N106" s="3">
        <v>73.55</v>
      </c>
      <c r="O106" s="3">
        <v>75.88</v>
      </c>
      <c r="P106" s="3">
        <v>8201806</v>
      </c>
      <c r="Q106" s="3">
        <v>46.93</v>
      </c>
      <c r="R106" s="3">
        <v>47.86</v>
      </c>
      <c r="S106" s="3">
        <v>46.69</v>
      </c>
      <c r="T106" s="3">
        <v>47.84</v>
      </c>
      <c r="U106" s="3">
        <v>13196654</v>
      </c>
      <c r="V106" s="3">
        <v>60.62</v>
      </c>
      <c r="W106" s="3">
        <v>63.89</v>
      </c>
      <c r="X106" s="3">
        <v>60.51</v>
      </c>
      <c r="Y106" s="3">
        <v>63.85</v>
      </c>
      <c r="Z106" s="3">
        <v>19929759</v>
      </c>
      <c r="AA106" s="3">
        <v>18.010000000000002</v>
      </c>
      <c r="AB106" s="3">
        <v>18.43</v>
      </c>
      <c r="AC106" s="3">
        <v>17.850000000000001</v>
      </c>
      <c r="AD106" s="3">
        <v>18.43</v>
      </c>
      <c r="AE106" s="3">
        <v>61207244</v>
      </c>
      <c r="AF106" s="3">
        <v>66.03</v>
      </c>
      <c r="AG106" s="3">
        <v>68.3</v>
      </c>
      <c r="AH106" s="3">
        <v>65.72</v>
      </c>
      <c r="AI106" s="3">
        <v>68.290000000000006</v>
      </c>
      <c r="AJ106" s="3">
        <v>23741758</v>
      </c>
      <c r="AK106" s="3">
        <v>49.12</v>
      </c>
      <c r="AL106" s="3">
        <v>50.41</v>
      </c>
      <c r="AM106" s="3">
        <v>48.99</v>
      </c>
      <c r="AN106" s="3">
        <v>50.41</v>
      </c>
      <c r="AO106" s="3">
        <v>12274554</v>
      </c>
      <c r="AP106" s="3">
        <v>39.69</v>
      </c>
      <c r="AQ106" s="3">
        <v>41.36</v>
      </c>
      <c r="AR106" s="3">
        <v>39.69</v>
      </c>
      <c r="AS106" s="3">
        <v>41.36</v>
      </c>
      <c r="AT106" s="3">
        <v>23138028</v>
      </c>
      <c r="AU106" s="3">
        <v>39.06</v>
      </c>
      <c r="AV106" s="3">
        <v>40.08</v>
      </c>
      <c r="AW106" s="3">
        <v>38.92</v>
      </c>
      <c r="AX106" s="3">
        <v>40.08</v>
      </c>
      <c r="AY106" s="3">
        <v>14917041</v>
      </c>
      <c r="AZ106" s="3">
        <v>43.1</v>
      </c>
      <c r="BA106" s="3">
        <v>43.35</v>
      </c>
      <c r="BB106" s="3">
        <v>42.71</v>
      </c>
      <c r="BC106" s="3">
        <v>43.35</v>
      </c>
      <c r="BD106" s="3">
        <v>13198358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</row>
    <row r="107" spans="1:61" ht="13" x14ac:dyDescent="0.15">
      <c r="A107" s="3">
        <v>42282</v>
      </c>
      <c r="B107" s="3">
        <v>1954.33</v>
      </c>
      <c r="C107" s="3">
        <v>1989.17</v>
      </c>
      <c r="D107" s="3">
        <v>1954.33</v>
      </c>
      <c r="E107" s="3">
        <v>1987.05</v>
      </c>
      <c r="F107" s="3">
        <v>725881817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v>76.430000000000007</v>
      </c>
      <c r="M107" s="3">
        <v>77.14</v>
      </c>
      <c r="N107" s="3">
        <v>76.17</v>
      </c>
      <c r="O107" s="3">
        <v>77</v>
      </c>
      <c r="P107" s="3">
        <v>7018012</v>
      </c>
      <c r="Q107" s="3">
        <v>48.19</v>
      </c>
      <c r="R107" s="3">
        <v>48.72</v>
      </c>
      <c r="S107" s="3">
        <v>48.04</v>
      </c>
      <c r="T107" s="3">
        <v>48.66</v>
      </c>
      <c r="U107" s="3">
        <v>10515836</v>
      </c>
      <c r="V107" s="3">
        <v>64.650000000000006</v>
      </c>
      <c r="W107" s="3">
        <v>66</v>
      </c>
      <c r="X107" s="3">
        <v>64.59</v>
      </c>
      <c r="Y107" s="3">
        <v>65.78</v>
      </c>
      <c r="Z107" s="3">
        <v>23806985</v>
      </c>
      <c r="AA107" s="3">
        <v>18.559999999999999</v>
      </c>
      <c r="AB107" s="3">
        <v>18.850000000000001</v>
      </c>
      <c r="AC107" s="3">
        <v>18.55</v>
      </c>
      <c r="AD107" s="3">
        <v>18.82</v>
      </c>
      <c r="AE107" s="3">
        <v>38972776</v>
      </c>
      <c r="AF107" s="3">
        <v>68.88</v>
      </c>
      <c r="AG107" s="3">
        <v>69.02</v>
      </c>
      <c r="AH107" s="3">
        <v>67.8</v>
      </c>
      <c r="AI107" s="3">
        <v>68.47</v>
      </c>
      <c r="AJ107" s="3">
        <v>18389806</v>
      </c>
      <c r="AK107" s="3">
        <v>51.15</v>
      </c>
      <c r="AL107" s="3">
        <v>51.96</v>
      </c>
      <c r="AM107" s="3">
        <v>50.71</v>
      </c>
      <c r="AN107" s="3">
        <v>51.84</v>
      </c>
      <c r="AO107" s="3">
        <v>10410502</v>
      </c>
      <c r="AP107" s="3">
        <v>41.8</v>
      </c>
      <c r="AQ107" s="3">
        <v>42.45</v>
      </c>
      <c r="AR107" s="3">
        <v>41.44</v>
      </c>
      <c r="AS107" s="3">
        <v>42.44</v>
      </c>
      <c r="AT107" s="3">
        <v>13911977</v>
      </c>
      <c r="AU107" s="3">
        <v>40.33</v>
      </c>
      <c r="AV107" s="3">
        <v>40.97</v>
      </c>
      <c r="AW107" s="3">
        <v>40.25</v>
      </c>
      <c r="AX107" s="3">
        <v>40.869999999999997</v>
      </c>
      <c r="AY107" s="3">
        <v>8568850</v>
      </c>
      <c r="AZ107" s="3">
        <v>43.47</v>
      </c>
      <c r="BA107" s="3">
        <v>43.98</v>
      </c>
      <c r="BB107" s="3">
        <v>43.31</v>
      </c>
      <c r="BC107" s="3">
        <v>43.91</v>
      </c>
      <c r="BD107" s="3">
        <v>12011182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</row>
    <row r="108" spans="1:61" ht="13" x14ac:dyDescent="0.15">
      <c r="A108" s="3">
        <v>42283</v>
      </c>
      <c r="B108" s="3">
        <v>1986.63</v>
      </c>
      <c r="C108" s="3">
        <v>1991.62</v>
      </c>
      <c r="D108" s="3">
        <v>1971.99</v>
      </c>
      <c r="E108" s="3">
        <v>1979.92</v>
      </c>
      <c r="F108" s="3">
        <v>679866164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v>76.75</v>
      </c>
      <c r="M108" s="3">
        <v>77.260000000000005</v>
      </c>
      <c r="N108" s="3">
        <v>76.069999999999993</v>
      </c>
      <c r="O108" s="3">
        <v>76.430000000000007</v>
      </c>
      <c r="P108" s="3">
        <v>9086048</v>
      </c>
      <c r="Q108" s="3">
        <v>48.56</v>
      </c>
      <c r="R108" s="3">
        <v>48.73</v>
      </c>
      <c r="S108" s="3">
        <v>48.31</v>
      </c>
      <c r="T108" s="3">
        <v>48.33</v>
      </c>
      <c r="U108" s="3">
        <v>9443980</v>
      </c>
      <c r="V108" s="3">
        <v>66.010000000000005</v>
      </c>
      <c r="W108" s="3">
        <v>67.739999999999995</v>
      </c>
      <c r="X108" s="3">
        <v>65.66</v>
      </c>
      <c r="Y108" s="3">
        <v>67.239999999999995</v>
      </c>
      <c r="Z108" s="3">
        <v>27466390</v>
      </c>
      <c r="AA108" s="3">
        <v>18.78</v>
      </c>
      <c r="AB108" s="3">
        <v>18.850000000000001</v>
      </c>
      <c r="AC108" s="3">
        <v>18.7</v>
      </c>
      <c r="AD108" s="3">
        <v>18.73</v>
      </c>
      <c r="AE108" s="3">
        <v>29800939</v>
      </c>
      <c r="AF108" s="3">
        <v>68.25</v>
      </c>
      <c r="AG108" s="3">
        <v>68.45</v>
      </c>
      <c r="AH108" s="3">
        <v>65.91</v>
      </c>
      <c r="AI108" s="3">
        <v>66.86</v>
      </c>
      <c r="AJ108" s="3">
        <v>30431551</v>
      </c>
      <c r="AK108" s="3">
        <v>51.75</v>
      </c>
      <c r="AL108" s="3">
        <v>52.11</v>
      </c>
      <c r="AM108" s="3">
        <v>51.72</v>
      </c>
      <c r="AN108" s="3">
        <v>51.79</v>
      </c>
      <c r="AO108" s="3">
        <v>11798622</v>
      </c>
      <c r="AP108" s="3">
        <v>42.7</v>
      </c>
      <c r="AQ108" s="3">
        <v>43.32</v>
      </c>
      <c r="AR108" s="3">
        <v>42.65</v>
      </c>
      <c r="AS108" s="3">
        <v>42.99</v>
      </c>
      <c r="AT108" s="3">
        <v>14076648</v>
      </c>
      <c r="AU108" s="3">
        <v>40.729999999999997</v>
      </c>
      <c r="AV108" s="3">
        <v>41.01</v>
      </c>
      <c r="AW108" s="3">
        <v>40.72</v>
      </c>
      <c r="AX108" s="3">
        <v>40.92</v>
      </c>
      <c r="AY108" s="3">
        <v>9857852</v>
      </c>
      <c r="AZ108" s="3">
        <v>43.82</v>
      </c>
      <c r="BA108" s="3">
        <v>43.95</v>
      </c>
      <c r="BB108" s="3">
        <v>43.34</v>
      </c>
      <c r="BC108" s="3">
        <v>43.61</v>
      </c>
      <c r="BD108" s="3">
        <v>11521938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</row>
    <row r="109" spans="1:61" ht="13" x14ac:dyDescent="0.15">
      <c r="A109" s="3">
        <v>42284</v>
      </c>
      <c r="B109" s="3">
        <v>1982.34</v>
      </c>
      <c r="C109" s="3">
        <v>1999.31</v>
      </c>
      <c r="D109" s="3">
        <v>1976.44</v>
      </c>
      <c r="E109" s="3">
        <v>1995.83</v>
      </c>
      <c r="F109" s="3">
        <v>735394471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v>76.599999999999994</v>
      </c>
      <c r="M109" s="3">
        <v>76.88</v>
      </c>
      <c r="N109" s="3">
        <v>75.95</v>
      </c>
      <c r="O109" s="3">
        <v>76.69</v>
      </c>
      <c r="P109" s="3">
        <v>7794334</v>
      </c>
      <c r="Q109" s="3">
        <v>48.56</v>
      </c>
      <c r="R109" s="3">
        <v>48.86</v>
      </c>
      <c r="S109" s="3">
        <v>48.4</v>
      </c>
      <c r="T109" s="3">
        <v>48.77</v>
      </c>
      <c r="U109" s="3">
        <v>11943952</v>
      </c>
      <c r="V109" s="3">
        <v>68.099999999999994</v>
      </c>
      <c r="W109" s="3">
        <v>68.94</v>
      </c>
      <c r="X109" s="3">
        <v>66.7</v>
      </c>
      <c r="Y109" s="3">
        <v>68.09</v>
      </c>
      <c r="Z109" s="3">
        <v>40003076</v>
      </c>
      <c r="AA109" s="3">
        <v>18.86</v>
      </c>
      <c r="AB109" s="3">
        <v>18.989999999999998</v>
      </c>
      <c r="AC109" s="3">
        <v>18.739999999999998</v>
      </c>
      <c r="AD109" s="3">
        <v>18.88</v>
      </c>
      <c r="AE109" s="3">
        <v>31354208</v>
      </c>
      <c r="AF109" s="3">
        <v>67.349999999999994</v>
      </c>
      <c r="AG109" s="3">
        <v>68.260000000000005</v>
      </c>
      <c r="AH109" s="3">
        <v>66.53</v>
      </c>
      <c r="AI109" s="3">
        <v>67.930000000000007</v>
      </c>
      <c r="AJ109" s="3">
        <v>27466142</v>
      </c>
      <c r="AK109" s="3">
        <v>52.06</v>
      </c>
      <c r="AL109" s="3">
        <v>52.71</v>
      </c>
      <c r="AM109" s="3">
        <v>51.96</v>
      </c>
      <c r="AN109" s="3">
        <v>52.47</v>
      </c>
      <c r="AO109" s="3">
        <v>15540397</v>
      </c>
      <c r="AP109" s="3">
        <v>43.11</v>
      </c>
      <c r="AQ109" s="3">
        <v>43.69</v>
      </c>
      <c r="AR109" s="3">
        <v>42.89</v>
      </c>
      <c r="AS109" s="3">
        <v>43.56</v>
      </c>
      <c r="AT109" s="3">
        <v>15933032</v>
      </c>
      <c r="AU109" s="3">
        <v>41.14</v>
      </c>
      <c r="AV109" s="3">
        <v>41.28</v>
      </c>
      <c r="AW109" s="3">
        <v>40.619999999999997</v>
      </c>
      <c r="AX109" s="3">
        <v>41.11</v>
      </c>
      <c r="AY109" s="3">
        <v>15218922</v>
      </c>
      <c r="AZ109" s="3">
        <v>43.66</v>
      </c>
      <c r="BA109" s="3">
        <v>43.75</v>
      </c>
      <c r="BB109" s="3">
        <v>43.39</v>
      </c>
      <c r="BC109" s="3">
        <v>43.46</v>
      </c>
      <c r="BD109" s="3">
        <v>9528416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</row>
    <row r="110" spans="1:61" ht="13" x14ac:dyDescent="0.15">
      <c r="A110" s="3">
        <v>42285</v>
      </c>
      <c r="B110" s="3">
        <v>1994.01</v>
      </c>
      <c r="C110" s="3">
        <v>2016.5</v>
      </c>
      <c r="D110" s="3">
        <v>1987.53</v>
      </c>
      <c r="E110" s="3">
        <v>2013.43</v>
      </c>
      <c r="F110" s="3">
        <v>604478359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v>76.36</v>
      </c>
      <c r="M110" s="3">
        <v>77.739999999999995</v>
      </c>
      <c r="N110" s="3">
        <v>76.33</v>
      </c>
      <c r="O110" s="3">
        <v>77.63</v>
      </c>
      <c r="P110" s="3">
        <v>6341600</v>
      </c>
      <c r="Q110" s="3">
        <v>48.7</v>
      </c>
      <c r="R110" s="3">
        <v>49.37</v>
      </c>
      <c r="S110" s="3">
        <v>48.61</v>
      </c>
      <c r="T110" s="3">
        <v>49.35</v>
      </c>
      <c r="U110" s="3">
        <v>12447140</v>
      </c>
      <c r="V110" s="3">
        <v>67.959999999999994</v>
      </c>
      <c r="W110" s="3">
        <v>69.67</v>
      </c>
      <c r="X110" s="3">
        <v>67.540000000000006</v>
      </c>
      <c r="Y110" s="3">
        <v>69.39</v>
      </c>
      <c r="Z110" s="3">
        <v>27071722</v>
      </c>
      <c r="AA110" s="3">
        <v>18.809999999999999</v>
      </c>
      <c r="AB110" s="3">
        <v>19.010000000000002</v>
      </c>
      <c r="AC110" s="3">
        <v>18.77</v>
      </c>
      <c r="AD110" s="3">
        <v>18.989999999999998</v>
      </c>
      <c r="AE110" s="3">
        <v>30249370</v>
      </c>
      <c r="AF110" s="3">
        <v>67.540000000000006</v>
      </c>
      <c r="AG110" s="3">
        <v>68.349999999999994</v>
      </c>
      <c r="AH110" s="3">
        <v>66.87</v>
      </c>
      <c r="AI110" s="3">
        <v>68.13</v>
      </c>
      <c r="AJ110" s="3">
        <v>23182733</v>
      </c>
      <c r="AK110" s="3">
        <v>52.2</v>
      </c>
      <c r="AL110" s="3">
        <v>53.36</v>
      </c>
      <c r="AM110" s="3">
        <v>52.18</v>
      </c>
      <c r="AN110" s="3">
        <v>53.2</v>
      </c>
      <c r="AO110" s="3">
        <v>21823062</v>
      </c>
      <c r="AP110" s="3">
        <v>43.38</v>
      </c>
      <c r="AQ110" s="3">
        <v>44.3</v>
      </c>
      <c r="AR110" s="3">
        <v>43.38</v>
      </c>
      <c r="AS110" s="3">
        <v>44.17</v>
      </c>
      <c r="AT110" s="3">
        <v>13994886</v>
      </c>
      <c r="AU110" s="3">
        <v>40.950000000000003</v>
      </c>
      <c r="AV110" s="3">
        <v>41.38</v>
      </c>
      <c r="AW110" s="3">
        <v>40.75</v>
      </c>
      <c r="AX110" s="3">
        <v>41.3</v>
      </c>
      <c r="AY110" s="3">
        <v>15374751</v>
      </c>
      <c r="AZ110" s="3">
        <v>43.43</v>
      </c>
      <c r="BA110" s="3">
        <v>44.07</v>
      </c>
      <c r="BB110" s="3">
        <v>43.3</v>
      </c>
      <c r="BC110" s="3">
        <v>44</v>
      </c>
      <c r="BD110" s="3">
        <v>10530352</v>
      </c>
      <c r="BE110" s="3">
        <v>30.21</v>
      </c>
      <c r="BF110" s="3">
        <v>30.21</v>
      </c>
      <c r="BG110" s="3">
        <v>30.01</v>
      </c>
      <c r="BH110" s="3">
        <v>30.21</v>
      </c>
      <c r="BI110" s="3">
        <v>2000</v>
      </c>
    </row>
    <row r="111" spans="1:61" ht="13" x14ac:dyDescent="0.15">
      <c r="A111" s="3">
        <v>42286</v>
      </c>
      <c r="B111" s="3">
        <v>2013.73</v>
      </c>
      <c r="C111" s="3">
        <v>2020.13</v>
      </c>
      <c r="D111" s="3">
        <v>2007.61</v>
      </c>
      <c r="E111" s="3">
        <v>2014.89</v>
      </c>
      <c r="F111" s="3">
        <v>623423601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v>77.650000000000006</v>
      </c>
      <c r="M111" s="3">
        <v>77.790000000000006</v>
      </c>
      <c r="N111" s="3">
        <v>77.28</v>
      </c>
      <c r="O111" s="3">
        <v>77.72</v>
      </c>
      <c r="P111" s="3">
        <v>8352650</v>
      </c>
      <c r="Q111" s="3">
        <v>49.44</v>
      </c>
      <c r="R111" s="3">
        <v>49.61</v>
      </c>
      <c r="S111" s="3">
        <v>49.3</v>
      </c>
      <c r="T111" s="3">
        <v>49.46</v>
      </c>
      <c r="U111" s="3">
        <v>12459529</v>
      </c>
      <c r="V111" s="3">
        <v>69.540000000000006</v>
      </c>
      <c r="W111" s="3">
        <v>69.62</v>
      </c>
      <c r="X111" s="3">
        <v>68.510000000000005</v>
      </c>
      <c r="Y111" s="3">
        <v>68.94</v>
      </c>
      <c r="Z111" s="3">
        <v>25985668</v>
      </c>
      <c r="AA111" s="3">
        <v>19.03</v>
      </c>
      <c r="AB111" s="3">
        <v>19.05</v>
      </c>
      <c r="AC111" s="3">
        <v>18.79</v>
      </c>
      <c r="AD111" s="3">
        <v>18.87</v>
      </c>
      <c r="AE111" s="3">
        <v>47391690</v>
      </c>
      <c r="AF111" s="3">
        <v>68.239999999999995</v>
      </c>
      <c r="AG111" s="3">
        <v>68.73</v>
      </c>
      <c r="AH111" s="3">
        <v>67.94</v>
      </c>
      <c r="AI111" s="3">
        <v>68.44</v>
      </c>
      <c r="AJ111" s="3">
        <v>13890014</v>
      </c>
      <c r="AK111" s="3">
        <v>53.76</v>
      </c>
      <c r="AL111" s="3">
        <v>53.76</v>
      </c>
      <c r="AM111" s="3">
        <v>53.21</v>
      </c>
      <c r="AN111" s="3">
        <v>53.38</v>
      </c>
      <c r="AO111" s="3">
        <v>33291022</v>
      </c>
      <c r="AP111" s="3">
        <v>44.53</v>
      </c>
      <c r="AQ111" s="3">
        <v>44.56</v>
      </c>
      <c r="AR111" s="3">
        <v>43.99</v>
      </c>
      <c r="AS111" s="3">
        <v>44.15</v>
      </c>
      <c r="AT111" s="3">
        <v>9076572</v>
      </c>
      <c r="AU111" s="3">
        <v>41.42</v>
      </c>
      <c r="AV111" s="3">
        <v>41.51</v>
      </c>
      <c r="AW111" s="3">
        <v>41.25</v>
      </c>
      <c r="AX111" s="3">
        <v>41.48</v>
      </c>
      <c r="AY111" s="3">
        <v>11376513</v>
      </c>
      <c r="AZ111" s="3">
        <v>43.99</v>
      </c>
      <c r="BA111" s="3">
        <v>44.03</v>
      </c>
      <c r="BB111" s="3">
        <v>43.65</v>
      </c>
      <c r="BC111" s="3">
        <v>43.79</v>
      </c>
      <c r="BD111" s="3">
        <v>13095140</v>
      </c>
      <c r="BE111" s="3">
        <v>30.2</v>
      </c>
      <c r="BF111" s="3">
        <v>30.2</v>
      </c>
      <c r="BG111" s="3">
        <v>30.06</v>
      </c>
      <c r="BH111" s="3">
        <v>30.16</v>
      </c>
      <c r="BI111" s="3">
        <v>4335</v>
      </c>
    </row>
    <row r="112" spans="1:61" ht="13" x14ac:dyDescent="0.15">
      <c r="A112" s="3">
        <v>42289</v>
      </c>
      <c r="B112" s="3">
        <v>2015.65</v>
      </c>
      <c r="C112" s="3">
        <v>2018.66</v>
      </c>
      <c r="D112" s="3">
        <v>2010.55</v>
      </c>
      <c r="E112" s="3">
        <v>2017.46</v>
      </c>
      <c r="F112" s="3">
        <v>464138958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v>77.77</v>
      </c>
      <c r="M112" s="3">
        <v>78.3</v>
      </c>
      <c r="N112" s="3">
        <v>77.760000000000005</v>
      </c>
      <c r="O112" s="3">
        <v>78.09</v>
      </c>
      <c r="P112" s="3">
        <v>5488967</v>
      </c>
      <c r="Q112" s="3">
        <v>49.48</v>
      </c>
      <c r="R112" s="3">
        <v>49.7</v>
      </c>
      <c r="S112" s="3">
        <v>49.43</v>
      </c>
      <c r="T112" s="3">
        <v>49.59</v>
      </c>
      <c r="U112" s="3">
        <v>5652597</v>
      </c>
      <c r="V112" s="3">
        <v>69.05</v>
      </c>
      <c r="W112" s="3">
        <v>69.06</v>
      </c>
      <c r="X112" s="3">
        <v>67.430000000000007</v>
      </c>
      <c r="Y112" s="3">
        <v>68.05</v>
      </c>
      <c r="Z112" s="3">
        <v>21746249</v>
      </c>
      <c r="AA112" s="3">
        <v>18.86</v>
      </c>
      <c r="AB112" s="3">
        <v>18.920000000000002</v>
      </c>
      <c r="AC112" s="3">
        <v>18.82</v>
      </c>
      <c r="AD112" s="3">
        <v>18.89</v>
      </c>
      <c r="AE112" s="3">
        <v>20562280</v>
      </c>
      <c r="AF112" s="3">
        <v>68.14</v>
      </c>
      <c r="AG112" s="3">
        <v>68.84</v>
      </c>
      <c r="AH112" s="3">
        <v>68.05</v>
      </c>
      <c r="AI112" s="3">
        <v>68.62</v>
      </c>
      <c r="AJ112" s="3">
        <v>11074523</v>
      </c>
      <c r="AK112" s="3">
        <v>53.34</v>
      </c>
      <c r="AL112" s="3">
        <v>53.44</v>
      </c>
      <c r="AM112" s="3">
        <v>53.12</v>
      </c>
      <c r="AN112" s="3">
        <v>53.39</v>
      </c>
      <c r="AO112" s="3">
        <v>9030828</v>
      </c>
      <c r="AP112" s="3">
        <v>44.24</v>
      </c>
      <c r="AQ112" s="3">
        <v>44.24</v>
      </c>
      <c r="AR112" s="3">
        <v>43.56</v>
      </c>
      <c r="AS112" s="3">
        <v>43.77</v>
      </c>
      <c r="AT112" s="3">
        <v>7412814</v>
      </c>
      <c r="AU112" s="3">
        <v>41.57</v>
      </c>
      <c r="AV112" s="3">
        <v>41.6</v>
      </c>
      <c r="AW112" s="3">
        <v>41.35</v>
      </c>
      <c r="AX112" s="3">
        <v>41.53</v>
      </c>
      <c r="AY112" s="3">
        <v>6343682</v>
      </c>
      <c r="AZ112" s="3">
        <v>43.95</v>
      </c>
      <c r="BA112" s="3">
        <v>44.44</v>
      </c>
      <c r="BB112" s="3">
        <v>43.8</v>
      </c>
      <c r="BC112" s="3">
        <v>44.18</v>
      </c>
      <c r="BD112" s="3">
        <v>7493026</v>
      </c>
      <c r="BE112" s="3">
        <v>30.42</v>
      </c>
      <c r="BF112" s="3">
        <v>30.42</v>
      </c>
      <c r="BG112" s="3">
        <v>30.27</v>
      </c>
      <c r="BH112" s="3">
        <v>30.35</v>
      </c>
      <c r="BI112" s="3">
        <v>2250</v>
      </c>
    </row>
    <row r="113" spans="1:61" ht="13" x14ac:dyDescent="0.15">
      <c r="A113" s="3">
        <v>42290</v>
      </c>
      <c r="B113" s="3">
        <v>2015</v>
      </c>
      <c r="C113" s="3">
        <v>2022.34</v>
      </c>
      <c r="D113" s="3">
        <v>2001.78</v>
      </c>
      <c r="E113" s="3">
        <v>2003.69</v>
      </c>
      <c r="F113" s="3">
        <v>567343893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v>77.83</v>
      </c>
      <c r="M113" s="3">
        <v>78.5</v>
      </c>
      <c r="N113" s="3">
        <v>77.569999999999993</v>
      </c>
      <c r="O113" s="3">
        <v>77.67</v>
      </c>
      <c r="P113" s="3">
        <v>7581497</v>
      </c>
      <c r="Q113" s="3">
        <v>49.5</v>
      </c>
      <c r="R113" s="3">
        <v>49.57</v>
      </c>
      <c r="S113" s="3">
        <v>49.22</v>
      </c>
      <c r="T113" s="3">
        <v>49.29</v>
      </c>
      <c r="U113" s="3">
        <v>10162638</v>
      </c>
      <c r="V113" s="3">
        <v>67.53</v>
      </c>
      <c r="W113" s="3">
        <v>68.349999999999994</v>
      </c>
      <c r="X113" s="3">
        <v>67.150000000000006</v>
      </c>
      <c r="Y113" s="3">
        <v>67.34</v>
      </c>
      <c r="Z113" s="3">
        <v>20837816</v>
      </c>
      <c r="AA113" s="3">
        <v>18.82</v>
      </c>
      <c r="AB113" s="3">
        <v>18.940000000000001</v>
      </c>
      <c r="AC113" s="3">
        <v>18.739999999999998</v>
      </c>
      <c r="AD113" s="3">
        <v>18.739999999999998</v>
      </c>
      <c r="AE113" s="3">
        <v>34485788</v>
      </c>
      <c r="AF113" s="3">
        <v>68.31</v>
      </c>
      <c r="AG113" s="3">
        <v>69.19</v>
      </c>
      <c r="AH113" s="3">
        <v>67.69</v>
      </c>
      <c r="AI113" s="3">
        <v>67.760000000000005</v>
      </c>
      <c r="AJ113" s="3">
        <v>17273345</v>
      </c>
      <c r="AK113" s="3">
        <v>53</v>
      </c>
      <c r="AL113" s="3">
        <v>53.31</v>
      </c>
      <c r="AM113" s="3">
        <v>52.8</v>
      </c>
      <c r="AN113" s="3">
        <v>52.82</v>
      </c>
      <c r="AO113" s="3">
        <v>10302451</v>
      </c>
      <c r="AP113" s="3">
        <v>43.47</v>
      </c>
      <c r="AQ113" s="3">
        <v>43.92</v>
      </c>
      <c r="AR113" s="3">
        <v>43.27</v>
      </c>
      <c r="AS113" s="3">
        <v>43.6</v>
      </c>
      <c r="AT113" s="3">
        <v>8663546</v>
      </c>
      <c r="AU113" s="3">
        <v>41.31</v>
      </c>
      <c r="AV113" s="3">
        <v>41.69</v>
      </c>
      <c r="AW113" s="3">
        <v>41.3</v>
      </c>
      <c r="AX113" s="3">
        <v>41.44</v>
      </c>
      <c r="AY113" s="3">
        <v>8951820</v>
      </c>
      <c r="AZ113" s="3">
        <v>44.14</v>
      </c>
      <c r="BA113" s="3">
        <v>44.33</v>
      </c>
      <c r="BB113" s="3">
        <v>43.99</v>
      </c>
      <c r="BC113" s="3">
        <v>44.08</v>
      </c>
      <c r="BD113" s="3">
        <v>9573413</v>
      </c>
      <c r="BE113" s="3">
        <v>30.16</v>
      </c>
      <c r="BF113" s="3">
        <v>30.16</v>
      </c>
      <c r="BG113" s="3">
        <v>30.16</v>
      </c>
      <c r="BH113" s="3">
        <v>30.16</v>
      </c>
      <c r="BI113" s="3">
        <v>508</v>
      </c>
    </row>
    <row r="114" spans="1:61" ht="13" x14ac:dyDescent="0.15">
      <c r="A114" s="3">
        <v>42291</v>
      </c>
      <c r="B114" s="3">
        <v>2003.66</v>
      </c>
      <c r="C114" s="3">
        <v>2009.56</v>
      </c>
      <c r="D114" s="3">
        <v>1990.73</v>
      </c>
      <c r="E114" s="3">
        <v>1994.24</v>
      </c>
      <c r="F114" s="3">
        <v>629947986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v>77.67</v>
      </c>
      <c r="M114" s="3">
        <v>77.94</v>
      </c>
      <c r="N114" s="3">
        <v>76.709999999999994</v>
      </c>
      <c r="O114" s="3">
        <v>76.88</v>
      </c>
      <c r="P114" s="3">
        <v>7015941</v>
      </c>
      <c r="Q114" s="3">
        <v>49.2</v>
      </c>
      <c r="R114" s="3">
        <v>49.4</v>
      </c>
      <c r="S114" s="3">
        <v>48.61</v>
      </c>
      <c r="T114" s="3">
        <v>48.72</v>
      </c>
      <c r="U114" s="3">
        <v>10771192</v>
      </c>
      <c r="V114" s="3">
        <v>67.19</v>
      </c>
      <c r="W114" s="3">
        <v>68.17</v>
      </c>
      <c r="X114" s="3">
        <v>67.040000000000006</v>
      </c>
      <c r="Y114" s="3">
        <v>67.92</v>
      </c>
      <c r="Z114" s="3">
        <v>15176740</v>
      </c>
      <c r="AA114" s="3">
        <v>18.75</v>
      </c>
      <c r="AB114" s="3">
        <v>18.78</v>
      </c>
      <c r="AC114" s="3">
        <v>18.559999999999999</v>
      </c>
      <c r="AD114" s="3">
        <v>18.59</v>
      </c>
      <c r="AE114" s="3">
        <v>36363816</v>
      </c>
      <c r="AF114" s="3">
        <v>68.12</v>
      </c>
      <c r="AG114" s="3">
        <v>68.680000000000007</v>
      </c>
      <c r="AH114" s="3">
        <v>67.44</v>
      </c>
      <c r="AI114" s="3">
        <v>67.63</v>
      </c>
      <c r="AJ114" s="3">
        <v>21786239</v>
      </c>
      <c r="AK114" s="3">
        <v>52.65</v>
      </c>
      <c r="AL114" s="3">
        <v>52.92</v>
      </c>
      <c r="AM114" s="3">
        <v>52.17</v>
      </c>
      <c r="AN114" s="3">
        <v>52.25</v>
      </c>
      <c r="AO114" s="3">
        <v>11827855</v>
      </c>
      <c r="AP114" s="3">
        <v>43.61</v>
      </c>
      <c r="AQ114" s="3">
        <v>44.18</v>
      </c>
      <c r="AR114" s="3">
        <v>43.52</v>
      </c>
      <c r="AS114" s="3">
        <v>43.95</v>
      </c>
      <c r="AT114" s="3">
        <v>6692997</v>
      </c>
      <c r="AU114" s="3">
        <v>41.32</v>
      </c>
      <c r="AV114" s="3">
        <v>41.61</v>
      </c>
      <c r="AW114" s="3">
        <v>41.25</v>
      </c>
      <c r="AX114" s="3">
        <v>41.36</v>
      </c>
      <c r="AY114" s="3">
        <v>12756050</v>
      </c>
      <c r="AZ114" s="3">
        <v>44.28</v>
      </c>
      <c r="BA114" s="3">
        <v>44.4</v>
      </c>
      <c r="BB114" s="3">
        <v>44.01</v>
      </c>
      <c r="BC114" s="3">
        <v>44.07</v>
      </c>
      <c r="BD114" s="3">
        <v>7845465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</row>
    <row r="115" spans="1:61" ht="13" x14ac:dyDescent="0.15">
      <c r="A115" s="3">
        <v>42292</v>
      </c>
      <c r="B115" s="3">
        <v>1996.47</v>
      </c>
      <c r="C115" s="3">
        <v>2024.15</v>
      </c>
      <c r="D115" s="3">
        <v>1996.47</v>
      </c>
      <c r="E115" s="3">
        <v>2023.86</v>
      </c>
      <c r="F115" s="3">
        <v>671059272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v>77.31</v>
      </c>
      <c r="M115" s="3">
        <v>77.89</v>
      </c>
      <c r="N115" s="3">
        <v>76.72</v>
      </c>
      <c r="O115" s="3">
        <v>77.88</v>
      </c>
      <c r="P115" s="3">
        <v>5703160</v>
      </c>
      <c r="Q115" s="3">
        <v>49.02</v>
      </c>
      <c r="R115" s="3">
        <v>49.19</v>
      </c>
      <c r="S115" s="3">
        <v>48.82</v>
      </c>
      <c r="T115" s="3">
        <v>49.16</v>
      </c>
      <c r="U115" s="3">
        <v>5255634</v>
      </c>
      <c r="V115" s="3">
        <v>67.61</v>
      </c>
      <c r="W115" s="3">
        <v>69.17</v>
      </c>
      <c r="X115" s="3">
        <v>67.38</v>
      </c>
      <c r="Y115" s="3">
        <v>69.14</v>
      </c>
      <c r="Z115" s="3">
        <v>19508207</v>
      </c>
      <c r="AA115" s="3">
        <v>18.690000000000001</v>
      </c>
      <c r="AB115" s="3">
        <v>19.03</v>
      </c>
      <c r="AC115" s="3">
        <v>18.68</v>
      </c>
      <c r="AD115" s="3">
        <v>19.010000000000002</v>
      </c>
      <c r="AE115" s="3">
        <v>45209158</v>
      </c>
      <c r="AF115" s="3">
        <v>67.260000000000005</v>
      </c>
      <c r="AG115" s="3">
        <v>69.14</v>
      </c>
      <c r="AH115" s="3">
        <v>67.19</v>
      </c>
      <c r="AI115" s="3">
        <v>69.14</v>
      </c>
      <c r="AJ115" s="3">
        <v>22133323</v>
      </c>
      <c r="AK115" s="3">
        <v>52.63</v>
      </c>
      <c r="AL115" s="3">
        <v>52.85</v>
      </c>
      <c r="AM115" s="3">
        <v>52.2</v>
      </c>
      <c r="AN115" s="3">
        <v>52.82</v>
      </c>
      <c r="AO115" s="3">
        <v>13924821</v>
      </c>
      <c r="AP115" s="3">
        <v>43.99</v>
      </c>
      <c r="AQ115" s="3">
        <v>44.29</v>
      </c>
      <c r="AR115" s="3">
        <v>43.5</v>
      </c>
      <c r="AS115" s="3">
        <v>44.07</v>
      </c>
      <c r="AT115" s="3">
        <v>4576519</v>
      </c>
      <c r="AU115" s="3">
        <v>41.53</v>
      </c>
      <c r="AV115" s="3">
        <v>41.91</v>
      </c>
      <c r="AW115" s="3">
        <v>41.51</v>
      </c>
      <c r="AX115" s="3">
        <v>41.89</v>
      </c>
      <c r="AY115" s="3">
        <v>8421884</v>
      </c>
      <c r="AZ115" s="3">
        <v>44.24</v>
      </c>
      <c r="BA115" s="3">
        <v>44.8</v>
      </c>
      <c r="BB115" s="3">
        <v>44.03</v>
      </c>
      <c r="BC115" s="3">
        <v>44.72</v>
      </c>
      <c r="BD115" s="3">
        <v>8284123</v>
      </c>
      <c r="BE115" s="3">
        <v>30.03</v>
      </c>
      <c r="BF115" s="3">
        <v>30.07</v>
      </c>
      <c r="BG115" s="3">
        <v>30.03</v>
      </c>
      <c r="BH115" s="3">
        <v>30.07</v>
      </c>
      <c r="BI115" s="3">
        <v>2515</v>
      </c>
    </row>
    <row r="116" spans="1:61" ht="13" x14ac:dyDescent="0.15">
      <c r="A116" s="3">
        <v>42293</v>
      </c>
      <c r="B116" s="3">
        <v>2024.37</v>
      </c>
      <c r="C116" s="3">
        <v>2033.54</v>
      </c>
      <c r="D116" s="3">
        <v>2020.46</v>
      </c>
      <c r="E116" s="3">
        <v>2033.11</v>
      </c>
      <c r="F116" s="3">
        <v>711470641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v>77.849999999999994</v>
      </c>
      <c r="M116" s="3">
        <v>78.319999999999993</v>
      </c>
      <c r="N116" s="3">
        <v>77.8</v>
      </c>
      <c r="O116" s="3">
        <v>78.290000000000006</v>
      </c>
      <c r="P116" s="3">
        <v>5319156</v>
      </c>
      <c r="Q116" s="3">
        <v>49.2</v>
      </c>
      <c r="R116" s="3">
        <v>49.68</v>
      </c>
      <c r="S116" s="3">
        <v>49.19</v>
      </c>
      <c r="T116" s="3">
        <v>49.63</v>
      </c>
      <c r="U116" s="3">
        <v>6921941</v>
      </c>
      <c r="V116" s="3">
        <v>69.38</v>
      </c>
      <c r="W116" s="3">
        <v>69.56</v>
      </c>
      <c r="X116" s="3">
        <v>68.28</v>
      </c>
      <c r="Y116" s="3">
        <v>69.23</v>
      </c>
      <c r="Z116" s="3">
        <v>20031249</v>
      </c>
      <c r="AA116" s="3">
        <v>19.07</v>
      </c>
      <c r="AB116" s="3">
        <v>19.16</v>
      </c>
      <c r="AC116" s="3">
        <v>19.03</v>
      </c>
      <c r="AD116" s="3">
        <v>19.12</v>
      </c>
      <c r="AE116" s="3">
        <v>29685046</v>
      </c>
      <c r="AF116" s="3">
        <v>69.33</v>
      </c>
      <c r="AG116" s="3">
        <v>69.86</v>
      </c>
      <c r="AH116" s="3">
        <v>69.16</v>
      </c>
      <c r="AI116" s="3">
        <v>69.760000000000005</v>
      </c>
      <c r="AJ116" s="3">
        <v>17656979</v>
      </c>
      <c r="AK116" s="3">
        <v>53</v>
      </c>
      <c r="AL116" s="3">
        <v>53</v>
      </c>
      <c r="AM116" s="3">
        <v>52.32</v>
      </c>
      <c r="AN116" s="3">
        <v>52.55</v>
      </c>
      <c r="AO116" s="3">
        <v>13954707</v>
      </c>
      <c r="AP116" s="3">
        <v>44.28</v>
      </c>
      <c r="AQ116" s="3">
        <v>44.39</v>
      </c>
      <c r="AR116" s="3">
        <v>43.78</v>
      </c>
      <c r="AS116" s="3">
        <v>44.09</v>
      </c>
      <c r="AT116" s="3">
        <v>7240531</v>
      </c>
      <c r="AU116" s="3">
        <v>42</v>
      </c>
      <c r="AV116" s="3">
        <v>42</v>
      </c>
      <c r="AW116" s="3">
        <v>41.72</v>
      </c>
      <c r="AX116" s="3">
        <v>41.97</v>
      </c>
      <c r="AY116" s="3">
        <v>7486266</v>
      </c>
      <c r="AZ116" s="3">
        <v>44.76</v>
      </c>
      <c r="BA116" s="3">
        <v>45.06</v>
      </c>
      <c r="BB116" s="3">
        <v>44.64</v>
      </c>
      <c r="BC116" s="3">
        <v>44.78</v>
      </c>
      <c r="BD116" s="3">
        <v>9408665</v>
      </c>
      <c r="BE116" s="3">
        <v>30.6</v>
      </c>
      <c r="BF116" s="3">
        <v>30.66</v>
      </c>
      <c r="BG116" s="3">
        <v>30.6</v>
      </c>
      <c r="BH116" s="3">
        <v>30.64</v>
      </c>
      <c r="BI116" s="3">
        <v>400</v>
      </c>
    </row>
    <row r="117" spans="1:61" ht="13" x14ac:dyDescent="0.15">
      <c r="A117" s="3">
        <v>42296</v>
      </c>
      <c r="B117" s="3">
        <v>2031.73</v>
      </c>
      <c r="C117" s="3">
        <v>2034.45</v>
      </c>
      <c r="D117" s="3">
        <v>2022.31</v>
      </c>
      <c r="E117" s="3">
        <v>2033.66</v>
      </c>
      <c r="F117" s="3">
        <v>600551881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v>78.069999999999993</v>
      </c>
      <c r="M117" s="3">
        <v>78.709999999999994</v>
      </c>
      <c r="N117" s="3">
        <v>78</v>
      </c>
      <c r="O117" s="3">
        <v>78.66</v>
      </c>
      <c r="P117" s="3">
        <v>4928655</v>
      </c>
      <c r="Q117" s="3">
        <v>49.63</v>
      </c>
      <c r="R117" s="3">
        <v>49.86</v>
      </c>
      <c r="S117" s="3">
        <v>49.48</v>
      </c>
      <c r="T117" s="3">
        <v>49.85</v>
      </c>
      <c r="U117" s="3">
        <v>6284328</v>
      </c>
      <c r="V117" s="3">
        <v>68.540000000000006</v>
      </c>
      <c r="W117" s="3">
        <v>68.58</v>
      </c>
      <c r="X117" s="3">
        <v>67.5</v>
      </c>
      <c r="Y117" s="3">
        <v>67.86</v>
      </c>
      <c r="Z117" s="3">
        <v>19500234</v>
      </c>
      <c r="AA117" s="3">
        <v>19</v>
      </c>
      <c r="AB117" s="3">
        <v>19.149999999999999</v>
      </c>
      <c r="AC117" s="3">
        <v>18.989999999999998</v>
      </c>
      <c r="AD117" s="3">
        <v>19.11</v>
      </c>
      <c r="AE117" s="3">
        <v>26555900</v>
      </c>
      <c r="AF117" s="3">
        <v>69.53</v>
      </c>
      <c r="AG117" s="3">
        <v>70.2</v>
      </c>
      <c r="AH117" s="3">
        <v>69.150000000000006</v>
      </c>
      <c r="AI117" s="3">
        <v>70.010000000000005</v>
      </c>
      <c r="AJ117" s="3">
        <v>15694684</v>
      </c>
      <c r="AK117" s="3">
        <v>52.35</v>
      </c>
      <c r="AL117" s="3">
        <v>52.68</v>
      </c>
      <c r="AM117" s="3">
        <v>52.27</v>
      </c>
      <c r="AN117" s="3">
        <v>52.62</v>
      </c>
      <c r="AO117" s="3">
        <v>8112310</v>
      </c>
      <c r="AP117" s="3">
        <v>43.79</v>
      </c>
      <c r="AQ117" s="3">
        <v>43.96</v>
      </c>
      <c r="AR117" s="3">
        <v>43.56</v>
      </c>
      <c r="AS117" s="3">
        <v>43.78</v>
      </c>
      <c r="AT117" s="3">
        <v>3904967</v>
      </c>
      <c r="AU117" s="3">
        <v>41.88</v>
      </c>
      <c r="AV117" s="3">
        <v>42.13</v>
      </c>
      <c r="AW117" s="3">
        <v>41.76</v>
      </c>
      <c r="AX117" s="3">
        <v>42.13</v>
      </c>
      <c r="AY117" s="3">
        <v>7092059</v>
      </c>
      <c r="AZ117" s="3">
        <v>44.74</v>
      </c>
      <c r="BA117" s="3">
        <v>44.83</v>
      </c>
      <c r="BB117" s="3">
        <v>44.36</v>
      </c>
      <c r="BC117" s="3">
        <v>44.81</v>
      </c>
      <c r="BD117" s="3">
        <v>10216241</v>
      </c>
      <c r="BE117" s="3">
        <v>30.7</v>
      </c>
      <c r="BF117" s="3">
        <v>31.01</v>
      </c>
      <c r="BG117" s="3">
        <v>30.7</v>
      </c>
      <c r="BH117" s="3">
        <v>31</v>
      </c>
      <c r="BI117" s="3">
        <v>2001</v>
      </c>
    </row>
    <row r="118" spans="1:61" ht="13" x14ac:dyDescent="0.15">
      <c r="A118" s="3">
        <v>42297</v>
      </c>
      <c r="B118" s="3">
        <v>2033.13</v>
      </c>
      <c r="C118" s="3">
        <v>2039.12</v>
      </c>
      <c r="D118" s="3">
        <v>2026.61</v>
      </c>
      <c r="E118" s="3">
        <v>2030.77</v>
      </c>
      <c r="F118" s="3">
        <v>563655848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v>78.55</v>
      </c>
      <c r="M118" s="3">
        <v>78.91</v>
      </c>
      <c r="N118" s="3">
        <v>78.31</v>
      </c>
      <c r="O118" s="3">
        <v>78.56</v>
      </c>
      <c r="P118" s="3">
        <v>5013842</v>
      </c>
      <c r="Q118" s="3">
        <v>49.84</v>
      </c>
      <c r="R118" s="3">
        <v>49.91</v>
      </c>
      <c r="S118" s="3">
        <v>49.74</v>
      </c>
      <c r="T118" s="3">
        <v>49.82</v>
      </c>
      <c r="U118" s="3">
        <v>6078420</v>
      </c>
      <c r="V118" s="3">
        <v>67.72</v>
      </c>
      <c r="W118" s="3">
        <v>68.37</v>
      </c>
      <c r="X118" s="3">
        <v>67.36</v>
      </c>
      <c r="Y118" s="3">
        <v>68.05</v>
      </c>
      <c r="Z118" s="3">
        <v>13756519</v>
      </c>
      <c r="AA118" s="3">
        <v>19.11</v>
      </c>
      <c r="AB118" s="3">
        <v>19.25</v>
      </c>
      <c r="AC118" s="3">
        <v>19.09</v>
      </c>
      <c r="AD118" s="3">
        <v>19.22</v>
      </c>
      <c r="AE118" s="3">
        <v>19448771</v>
      </c>
      <c r="AF118" s="3">
        <v>69.790000000000006</v>
      </c>
      <c r="AG118" s="3">
        <v>70.010000000000005</v>
      </c>
      <c r="AH118" s="3">
        <v>68.61</v>
      </c>
      <c r="AI118" s="3">
        <v>68.91</v>
      </c>
      <c r="AJ118" s="3">
        <v>14802071</v>
      </c>
      <c r="AK118" s="3">
        <v>52.44</v>
      </c>
      <c r="AL118" s="3">
        <v>53.14</v>
      </c>
      <c r="AM118" s="3">
        <v>52.34</v>
      </c>
      <c r="AN118" s="3">
        <v>52.97</v>
      </c>
      <c r="AO118" s="3">
        <v>11314683</v>
      </c>
      <c r="AP118" s="3">
        <v>43.73</v>
      </c>
      <c r="AQ118" s="3">
        <v>44.23</v>
      </c>
      <c r="AR118" s="3">
        <v>43.65</v>
      </c>
      <c r="AS118" s="3">
        <v>43.85</v>
      </c>
      <c r="AT118" s="3">
        <v>3809202</v>
      </c>
      <c r="AU118" s="3">
        <v>41.96</v>
      </c>
      <c r="AV118" s="3">
        <v>42.14</v>
      </c>
      <c r="AW118" s="3">
        <v>41.85</v>
      </c>
      <c r="AX118" s="3">
        <v>42.02</v>
      </c>
      <c r="AY118" s="3">
        <v>5928927</v>
      </c>
      <c r="AZ118" s="3">
        <v>44.67</v>
      </c>
      <c r="BA118" s="3">
        <v>45.15</v>
      </c>
      <c r="BB118" s="3">
        <v>44.64</v>
      </c>
      <c r="BC118" s="3">
        <v>44.96</v>
      </c>
      <c r="BD118" s="3">
        <v>9763097</v>
      </c>
      <c r="BE118" s="3">
        <v>31.36</v>
      </c>
      <c r="BF118" s="3">
        <v>31.36</v>
      </c>
      <c r="BG118" s="3">
        <v>30.99</v>
      </c>
      <c r="BH118" s="3">
        <v>31.03</v>
      </c>
      <c r="BI118" s="3">
        <v>3240</v>
      </c>
    </row>
    <row r="119" spans="1:61" ht="13" x14ac:dyDescent="0.15">
      <c r="A119" s="3">
        <v>42298</v>
      </c>
      <c r="B119" s="3">
        <v>2033.47</v>
      </c>
      <c r="C119" s="3">
        <v>2037.97</v>
      </c>
      <c r="D119" s="3">
        <v>2017.22</v>
      </c>
      <c r="E119" s="3">
        <v>2018.94</v>
      </c>
      <c r="F119" s="3">
        <v>610204136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v>78.760000000000005</v>
      </c>
      <c r="M119" s="3">
        <v>78.94</v>
      </c>
      <c r="N119" s="3">
        <v>78.11</v>
      </c>
      <c r="O119" s="3">
        <v>78.209999999999994</v>
      </c>
      <c r="P119" s="3">
        <v>5012405</v>
      </c>
      <c r="Q119" s="3">
        <v>49.73</v>
      </c>
      <c r="R119" s="3">
        <v>50.17</v>
      </c>
      <c r="S119" s="3">
        <v>49.73</v>
      </c>
      <c r="T119" s="3">
        <v>49.83</v>
      </c>
      <c r="U119" s="3">
        <v>14418907</v>
      </c>
      <c r="V119" s="3">
        <v>67.75</v>
      </c>
      <c r="W119" s="3">
        <v>68.08</v>
      </c>
      <c r="X119" s="3">
        <v>67.14</v>
      </c>
      <c r="Y119" s="3">
        <v>67.209999999999994</v>
      </c>
      <c r="Z119" s="3">
        <v>14662111</v>
      </c>
      <c r="AA119" s="3">
        <v>19.25</v>
      </c>
      <c r="AB119" s="3">
        <v>19.309999999999999</v>
      </c>
      <c r="AC119" s="3">
        <v>19.05</v>
      </c>
      <c r="AD119" s="3">
        <v>19.079999999999998</v>
      </c>
      <c r="AE119" s="3">
        <v>23732929</v>
      </c>
      <c r="AF119" s="3">
        <v>69.3</v>
      </c>
      <c r="AG119" s="3">
        <v>69.569999999999993</v>
      </c>
      <c r="AH119" s="3">
        <v>67.16</v>
      </c>
      <c r="AI119" s="3">
        <v>68.290000000000006</v>
      </c>
      <c r="AJ119" s="3">
        <v>36068323</v>
      </c>
      <c r="AK119" s="3">
        <v>53.03</v>
      </c>
      <c r="AL119" s="3">
        <v>53.58</v>
      </c>
      <c r="AM119" s="3">
        <v>52.91</v>
      </c>
      <c r="AN119" s="3">
        <v>52.98</v>
      </c>
      <c r="AO119" s="3">
        <v>16097800</v>
      </c>
      <c r="AP119" s="3">
        <v>43.85</v>
      </c>
      <c r="AQ119" s="3">
        <v>43.99</v>
      </c>
      <c r="AR119" s="3">
        <v>43.38</v>
      </c>
      <c r="AS119" s="3">
        <v>43.46</v>
      </c>
      <c r="AT119" s="3">
        <v>5516505</v>
      </c>
      <c r="AU119" s="3">
        <v>42.11</v>
      </c>
      <c r="AV119" s="3">
        <v>42.22</v>
      </c>
      <c r="AW119" s="3">
        <v>41.65</v>
      </c>
      <c r="AX119" s="3">
        <v>41.7</v>
      </c>
      <c r="AY119" s="3">
        <v>9417169</v>
      </c>
      <c r="AZ119" s="3">
        <v>45.09</v>
      </c>
      <c r="BA119" s="3">
        <v>45.33</v>
      </c>
      <c r="BB119" s="3">
        <v>44.84</v>
      </c>
      <c r="BC119" s="3">
        <v>44.87</v>
      </c>
      <c r="BD119" s="3">
        <v>8411038</v>
      </c>
      <c r="BE119" s="3">
        <v>31.06</v>
      </c>
      <c r="BF119" s="3">
        <v>31.06</v>
      </c>
      <c r="BG119" s="3">
        <v>31.06</v>
      </c>
      <c r="BH119" s="3">
        <v>31.06</v>
      </c>
      <c r="BI119" s="3">
        <v>400</v>
      </c>
    </row>
    <row r="120" spans="1:61" ht="13" x14ac:dyDescent="0.15">
      <c r="A120" s="3">
        <v>42299</v>
      </c>
      <c r="B120" s="3">
        <v>2021.88</v>
      </c>
      <c r="C120" s="3">
        <v>2055.1999999999998</v>
      </c>
      <c r="D120" s="3">
        <v>2021.88</v>
      </c>
      <c r="E120" s="3">
        <v>2052.5100000000002</v>
      </c>
      <c r="F120" s="3">
        <v>786028633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v>78.7</v>
      </c>
      <c r="M120" s="3">
        <v>79.39</v>
      </c>
      <c r="N120" s="3">
        <v>78.55</v>
      </c>
      <c r="O120" s="3">
        <v>79.239999999999995</v>
      </c>
      <c r="P120" s="3">
        <v>8227518</v>
      </c>
      <c r="Q120" s="3">
        <v>50.03</v>
      </c>
      <c r="R120" s="3">
        <v>50.89</v>
      </c>
      <c r="S120" s="3">
        <v>49.95</v>
      </c>
      <c r="T120" s="3">
        <v>50.82</v>
      </c>
      <c r="U120" s="3">
        <v>13590342</v>
      </c>
      <c r="V120" s="3">
        <v>67.58</v>
      </c>
      <c r="W120" s="3">
        <v>68.59</v>
      </c>
      <c r="X120" s="3">
        <v>67.55</v>
      </c>
      <c r="Y120" s="3">
        <v>68.42</v>
      </c>
      <c r="Z120" s="3">
        <v>18740747</v>
      </c>
      <c r="AA120" s="3">
        <v>19.12</v>
      </c>
      <c r="AB120" s="3">
        <v>19.46</v>
      </c>
      <c r="AC120" s="3">
        <v>19.12</v>
      </c>
      <c r="AD120" s="3">
        <v>19.39</v>
      </c>
      <c r="AE120" s="3">
        <v>49719160</v>
      </c>
      <c r="AF120" s="3">
        <v>68.39</v>
      </c>
      <c r="AG120" s="3">
        <v>68.5</v>
      </c>
      <c r="AH120" s="3">
        <v>67.03</v>
      </c>
      <c r="AI120" s="3">
        <v>67.88</v>
      </c>
      <c r="AJ120" s="3">
        <v>35524535</v>
      </c>
      <c r="AK120" s="3">
        <v>53.19</v>
      </c>
      <c r="AL120" s="3">
        <v>54.67</v>
      </c>
      <c r="AM120" s="3">
        <v>53.11</v>
      </c>
      <c r="AN120" s="3">
        <v>54.46</v>
      </c>
      <c r="AO120" s="3">
        <v>20908787</v>
      </c>
      <c r="AP120" s="3">
        <v>43.98</v>
      </c>
      <c r="AQ120" s="3">
        <v>44.69</v>
      </c>
      <c r="AR120" s="3">
        <v>43.87</v>
      </c>
      <c r="AS120" s="3">
        <v>44.65</v>
      </c>
      <c r="AT120" s="3">
        <v>7258997</v>
      </c>
      <c r="AU120" s="3">
        <v>42</v>
      </c>
      <c r="AV120" s="3">
        <v>42.73</v>
      </c>
      <c r="AW120" s="3">
        <v>42</v>
      </c>
      <c r="AX120" s="3">
        <v>42.64</v>
      </c>
      <c r="AY120" s="3">
        <v>14236003</v>
      </c>
      <c r="AZ120" s="3">
        <v>45.06</v>
      </c>
      <c r="BA120" s="3">
        <v>45.52</v>
      </c>
      <c r="BB120" s="3">
        <v>44.9</v>
      </c>
      <c r="BC120" s="3">
        <v>45.39</v>
      </c>
      <c r="BD120" s="3">
        <v>13110028</v>
      </c>
      <c r="BE120" s="3">
        <v>31.18</v>
      </c>
      <c r="BF120" s="3">
        <v>31.46</v>
      </c>
      <c r="BG120" s="3">
        <v>31.18</v>
      </c>
      <c r="BH120" s="3">
        <v>31.45</v>
      </c>
      <c r="BI120" s="3">
        <v>2180</v>
      </c>
    </row>
    <row r="121" spans="1:61" ht="13" x14ac:dyDescent="0.15">
      <c r="A121" s="3">
        <v>42300</v>
      </c>
      <c r="B121" s="3">
        <v>2058.19</v>
      </c>
      <c r="C121" s="3">
        <v>2079.7399999999998</v>
      </c>
      <c r="D121" s="3">
        <v>2058.19</v>
      </c>
      <c r="E121" s="3">
        <v>2075.15</v>
      </c>
      <c r="F121" s="3">
        <v>745335577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v>80.34</v>
      </c>
      <c r="M121" s="3">
        <v>80.41</v>
      </c>
      <c r="N121" s="3">
        <v>79.209999999999994</v>
      </c>
      <c r="O121" s="3">
        <v>79.63</v>
      </c>
      <c r="P121" s="3">
        <v>7895090</v>
      </c>
      <c r="Q121" s="3">
        <v>51</v>
      </c>
      <c r="R121" s="3">
        <v>51.13</v>
      </c>
      <c r="S121" s="3">
        <v>50.46</v>
      </c>
      <c r="T121" s="3">
        <v>50.74</v>
      </c>
      <c r="U121" s="3">
        <v>13360200</v>
      </c>
      <c r="V121" s="3">
        <v>68.099999999999994</v>
      </c>
      <c r="W121" s="3">
        <v>68.900000000000006</v>
      </c>
      <c r="X121" s="3">
        <v>67.66</v>
      </c>
      <c r="Y121" s="3">
        <v>68.260000000000005</v>
      </c>
      <c r="Z121" s="3">
        <v>15631001</v>
      </c>
      <c r="AA121" s="3">
        <v>19.55</v>
      </c>
      <c r="AB121" s="3">
        <v>19.61</v>
      </c>
      <c r="AC121" s="3">
        <v>19.46</v>
      </c>
      <c r="AD121" s="3">
        <v>19.600000000000001</v>
      </c>
      <c r="AE121" s="3">
        <v>37289562</v>
      </c>
      <c r="AF121" s="3">
        <v>68.58</v>
      </c>
      <c r="AG121" s="3">
        <v>69.69</v>
      </c>
      <c r="AH121" s="3">
        <v>68.3</v>
      </c>
      <c r="AI121" s="3">
        <v>69.33</v>
      </c>
      <c r="AJ121" s="3">
        <v>26524171</v>
      </c>
      <c r="AK121" s="3">
        <v>54.78</v>
      </c>
      <c r="AL121" s="3">
        <v>54.86</v>
      </c>
      <c r="AM121" s="3">
        <v>54.31</v>
      </c>
      <c r="AN121" s="3">
        <v>54.66</v>
      </c>
      <c r="AO121" s="3">
        <v>13400850</v>
      </c>
      <c r="AP121" s="3">
        <v>45.07</v>
      </c>
      <c r="AQ121" s="3">
        <v>45.2</v>
      </c>
      <c r="AR121" s="3">
        <v>44.78</v>
      </c>
      <c r="AS121" s="3">
        <v>45.02</v>
      </c>
      <c r="AT121" s="3">
        <v>6506542</v>
      </c>
      <c r="AU121" s="3">
        <v>43.7</v>
      </c>
      <c r="AV121" s="3">
        <v>44</v>
      </c>
      <c r="AW121" s="3">
        <v>43.56</v>
      </c>
      <c r="AX121" s="3">
        <v>43.83</v>
      </c>
      <c r="AY121" s="3">
        <v>16691718</v>
      </c>
      <c r="AZ121" s="3">
        <v>45.35</v>
      </c>
      <c r="BA121" s="3">
        <v>45.37</v>
      </c>
      <c r="BB121" s="3">
        <v>44.56</v>
      </c>
      <c r="BC121" s="3">
        <v>44.59</v>
      </c>
      <c r="BD121" s="3">
        <v>12585194</v>
      </c>
      <c r="BE121" s="3">
        <v>31.05</v>
      </c>
      <c r="BF121" s="3">
        <v>31.07</v>
      </c>
      <c r="BG121" s="3">
        <v>30.94</v>
      </c>
      <c r="BH121" s="3">
        <v>31.07</v>
      </c>
      <c r="BI121" s="3">
        <v>3548</v>
      </c>
    </row>
    <row r="122" spans="1:61" ht="13" x14ac:dyDescent="0.15">
      <c r="A122" s="3">
        <v>42303</v>
      </c>
      <c r="B122" s="3">
        <v>2075.08</v>
      </c>
      <c r="C122" s="3">
        <v>2075.14</v>
      </c>
      <c r="D122" s="3">
        <v>2066.5300000000002</v>
      </c>
      <c r="E122" s="3">
        <v>2071.1799999999998</v>
      </c>
      <c r="F122" s="3">
        <v>602332322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v>79.66</v>
      </c>
      <c r="M122" s="3">
        <v>80.33</v>
      </c>
      <c r="N122" s="3">
        <v>79.599999999999994</v>
      </c>
      <c r="O122" s="3">
        <v>80.19</v>
      </c>
      <c r="P122" s="3">
        <v>6025021</v>
      </c>
      <c r="Q122" s="3">
        <v>50.74</v>
      </c>
      <c r="R122" s="3">
        <v>50.84</v>
      </c>
      <c r="S122" s="3">
        <v>50.56</v>
      </c>
      <c r="T122" s="3">
        <v>50.64</v>
      </c>
      <c r="U122" s="3">
        <v>8893020</v>
      </c>
      <c r="V122" s="3">
        <v>68.13</v>
      </c>
      <c r="W122" s="3">
        <v>68.13</v>
      </c>
      <c r="X122" s="3">
        <v>66.569999999999993</v>
      </c>
      <c r="Y122" s="3">
        <v>66.59</v>
      </c>
      <c r="Z122" s="3">
        <v>11836061</v>
      </c>
      <c r="AA122" s="3">
        <v>19.600000000000001</v>
      </c>
      <c r="AB122" s="3">
        <v>19.600000000000001</v>
      </c>
      <c r="AC122" s="3">
        <v>19.45</v>
      </c>
      <c r="AD122" s="3">
        <v>19.52</v>
      </c>
      <c r="AE122" s="3">
        <v>19890927</v>
      </c>
      <c r="AF122" s="3">
        <v>69.16</v>
      </c>
      <c r="AG122" s="3">
        <v>70.069999999999993</v>
      </c>
      <c r="AH122" s="3">
        <v>68.930000000000007</v>
      </c>
      <c r="AI122" s="3">
        <v>69.599999999999994</v>
      </c>
      <c r="AJ122" s="3">
        <v>17831899</v>
      </c>
      <c r="AK122" s="3">
        <v>54.54</v>
      </c>
      <c r="AL122" s="3">
        <v>54.82</v>
      </c>
      <c r="AM122" s="3">
        <v>54.42</v>
      </c>
      <c r="AN122" s="3">
        <v>54.54</v>
      </c>
      <c r="AO122" s="3">
        <v>11294926</v>
      </c>
      <c r="AP122" s="3">
        <v>44.95</v>
      </c>
      <c r="AQ122" s="3">
        <v>45.08</v>
      </c>
      <c r="AR122" s="3">
        <v>44.64</v>
      </c>
      <c r="AS122" s="3">
        <v>44.65</v>
      </c>
      <c r="AT122" s="3">
        <v>3994551</v>
      </c>
      <c r="AU122" s="3">
        <v>43.79</v>
      </c>
      <c r="AV122" s="3">
        <v>43.79</v>
      </c>
      <c r="AW122" s="3">
        <v>43.5</v>
      </c>
      <c r="AX122" s="3">
        <v>43.66</v>
      </c>
      <c r="AY122" s="3">
        <v>8288147</v>
      </c>
      <c r="AZ122" s="3">
        <v>44.69</v>
      </c>
      <c r="BA122" s="3">
        <v>44.72</v>
      </c>
      <c r="BB122" s="3">
        <v>44.08</v>
      </c>
      <c r="BC122" s="3">
        <v>44.43</v>
      </c>
      <c r="BD122" s="3">
        <v>11113530</v>
      </c>
      <c r="BE122" s="3">
        <v>31.03</v>
      </c>
      <c r="BF122" s="3">
        <v>31.12</v>
      </c>
      <c r="BG122" s="3">
        <v>31.03</v>
      </c>
      <c r="BH122" s="3">
        <v>31.11</v>
      </c>
      <c r="BI122" s="3">
        <v>576</v>
      </c>
    </row>
    <row r="123" spans="1:61" ht="13" x14ac:dyDescent="0.15">
      <c r="A123" s="3">
        <v>42304</v>
      </c>
      <c r="B123" s="3">
        <v>2068.75</v>
      </c>
      <c r="C123" s="3">
        <v>2070.37</v>
      </c>
      <c r="D123" s="3">
        <v>2058.84</v>
      </c>
      <c r="E123" s="3">
        <v>2065.89</v>
      </c>
      <c r="F123" s="3">
        <v>650112593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v>80</v>
      </c>
      <c r="M123" s="3">
        <v>80.099999999999994</v>
      </c>
      <c r="N123" s="3">
        <v>79.47</v>
      </c>
      <c r="O123" s="3">
        <v>79.81</v>
      </c>
      <c r="P123" s="3">
        <v>4471166</v>
      </c>
      <c r="Q123" s="3">
        <v>50.48</v>
      </c>
      <c r="R123" s="3">
        <v>50.71</v>
      </c>
      <c r="S123" s="3">
        <v>50.32</v>
      </c>
      <c r="T123" s="3">
        <v>50.71</v>
      </c>
      <c r="U123" s="3">
        <v>5126177</v>
      </c>
      <c r="V123" s="3">
        <v>65.67</v>
      </c>
      <c r="W123" s="3">
        <v>66.010000000000005</v>
      </c>
      <c r="X123" s="3">
        <v>65.11</v>
      </c>
      <c r="Y123" s="3">
        <v>65.790000000000006</v>
      </c>
      <c r="Z123" s="3">
        <v>21107334</v>
      </c>
      <c r="AA123" s="3">
        <v>19.420000000000002</v>
      </c>
      <c r="AB123" s="3">
        <v>19.45</v>
      </c>
      <c r="AC123" s="3">
        <v>19.34</v>
      </c>
      <c r="AD123" s="3">
        <v>19.41</v>
      </c>
      <c r="AE123" s="3">
        <v>23285260</v>
      </c>
      <c r="AF123" s="3">
        <v>69.790000000000006</v>
      </c>
      <c r="AG123" s="3">
        <v>70.88</v>
      </c>
      <c r="AH123" s="3">
        <v>69.78</v>
      </c>
      <c r="AI123" s="3">
        <v>70.88</v>
      </c>
      <c r="AJ123" s="3">
        <v>25160920</v>
      </c>
      <c r="AK123" s="3">
        <v>54.09</v>
      </c>
      <c r="AL123" s="3">
        <v>54.2</v>
      </c>
      <c r="AM123" s="3">
        <v>53.83</v>
      </c>
      <c r="AN123" s="3">
        <v>53.94</v>
      </c>
      <c r="AO123" s="3">
        <v>14483647</v>
      </c>
      <c r="AP123" s="3">
        <v>44.39</v>
      </c>
      <c r="AQ123" s="3">
        <v>44.67</v>
      </c>
      <c r="AR123" s="3">
        <v>44.09</v>
      </c>
      <c r="AS123" s="3">
        <v>44.46</v>
      </c>
      <c r="AT123" s="3">
        <v>6166721</v>
      </c>
      <c r="AU123" s="3">
        <v>43.56</v>
      </c>
      <c r="AV123" s="3">
        <v>43.68</v>
      </c>
      <c r="AW123" s="3">
        <v>43.36</v>
      </c>
      <c r="AX123" s="3">
        <v>43.41</v>
      </c>
      <c r="AY123" s="3">
        <v>7678977</v>
      </c>
      <c r="AZ123" s="3">
        <v>44.39</v>
      </c>
      <c r="BA123" s="3">
        <v>44.49</v>
      </c>
      <c r="BB123" s="3">
        <v>44.13</v>
      </c>
      <c r="BC123" s="3">
        <v>44.27</v>
      </c>
      <c r="BD123" s="3">
        <v>8496249</v>
      </c>
      <c r="BE123" s="3">
        <v>31.06</v>
      </c>
      <c r="BF123" s="3">
        <v>31.12</v>
      </c>
      <c r="BG123" s="3">
        <v>31</v>
      </c>
      <c r="BH123" s="3">
        <v>31.12</v>
      </c>
      <c r="BI123" s="3">
        <v>3350</v>
      </c>
    </row>
    <row r="124" spans="1:61" ht="13" x14ac:dyDescent="0.15">
      <c r="A124" s="3">
        <v>42305</v>
      </c>
      <c r="B124" s="3">
        <v>2066.48</v>
      </c>
      <c r="C124" s="3">
        <v>2090.35</v>
      </c>
      <c r="D124" s="3">
        <v>2063.11</v>
      </c>
      <c r="E124" s="3">
        <v>2090.35</v>
      </c>
      <c r="F124" s="3">
        <v>660968318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v>80.12</v>
      </c>
      <c r="M124" s="3">
        <v>80.569999999999993</v>
      </c>
      <c r="N124" s="3">
        <v>79.52</v>
      </c>
      <c r="O124" s="3">
        <v>80.569999999999993</v>
      </c>
      <c r="P124" s="3">
        <v>11357916</v>
      </c>
      <c r="Q124" s="3">
        <v>50.72</v>
      </c>
      <c r="R124" s="3">
        <v>50.73</v>
      </c>
      <c r="S124" s="3">
        <v>49.88</v>
      </c>
      <c r="T124" s="3">
        <v>50.42</v>
      </c>
      <c r="U124" s="3">
        <v>10430877</v>
      </c>
      <c r="V124" s="3">
        <v>66.25</v>
      </c>
      <c r="W124" s="3">
        <v>67.7</v>
      </c>
      <c r="X124" s="3">
        <v>65.72</v>
      </c>
      <c r="Y124" s="3">
        <v>67.25</v>
      </c>
      <c r="Z124" s="3">
        <v>19756479</v>
      </c>
      <c r="AA124" s="3">
        <v>19.45</v>
      </c>
      <c r="AB124" s="3">
        <v>19.899999999999999</v>
      </c>
      <c r="AC124" s="3">
        <v>19.45</v>
      </c>
      <c r="AD124" s="3">
        <v>19.86</v>
      </c>
      <c r="AE124" s="3">
        <v>91030257</v>
      </c>
      <c r="AF124" s="3">
        <v>70.77</v>
      </c>
      <c r="AG124" s="3">
        <v>71.510000000000005</v>
      </c>
      <c r="AH124" s="3">
        <v>70.14</v>
      </c>
      <c r="AI124" s="3">
        <v>71.47</v>
      </c>
      <c r="AJ124" s="3">
        <v>18157979</v>
      </c>
      <c r="AK124" s="3">
        <v>54.14</v>
      </c>
      <c r="AL124" s="3">
        <v>54.4</v>
      </c>
      <c r="AM124" s="3">
        <v>53.71</v>
      </c>
      <c r="AN124" s="3">
        <v>54.37</v>
      </c>
      <c r="AO124" s="3">
        <v>13933239</v>
      </c>
      <c r="AP124" s="3">
        <v>44.39</v>
      </c>
      <c r="AQ124" s="3">
        <v>45.22</v>
      </c>
      <c r="AR124" s="3">
        <v>44.39</v>
      </c>
      <c r="AS124" s="3">
        <v>45.13</v>
      </c>
      <c r="AT124" s="3">
        <v>7645518</v>
      </c>
      <c r="AU124" s="3">
        <v>43.61</v>
      </c>
      <c r="AV124" s="3">
        <v>44.06</v>
      </c>
      <c r="AW124" s="3">
        <v>43.48</v>
      </c>
      <c r="AX124" s="3">
        <v>44.06</v>
      </c>
      <c r="AY124" s="3">
        <v>14779552</v>
      </c>
      <c r="AZ124" s="3">
        <v>44.28</v>
      </c>
      <c r="BA124" s="3">
        <v>44.45</v>
      </c>
      <c r="BB124" s="3">
        <v>43.31</v>
      </c>
      <c r="BC124" s="3">
        <v>43.8</v>
      </c>
      <c r="BD124" s="3">
        <v>17421132</v>
      </c>
      <c r="BE124" s="3">
        <v>31.24</v>
      </c>
      <c r="BF124" s="3">
        <v>31.33</v>
      </c>
      <c r="BG124" s="3">
        <v>31.01</v>
      </c>
      <c r="BH124" s="3">
        <v>31.01</v>
      </c>
      <c r="BI124" s="3">
        <v>3210</v>
      </c>
    </row>
    <row r="125" spans="1:61" ht="13" x14ac:dyDescent="0.15">
      <c r="A125" s="3">
        <v>42306</v>
      </c>
      <c r="B125" s="3">
        <v>2088.35</v>
      </c>
      <c r="C125" s="3">
        <v>2092.52</v>
      </c>
      <c r="D125" s="3">
        <v>2082.63</v>
      </c>
      <c r="E125" s="3">
        <v>2089.41</v>
      </c>
      <c r="F125" s="3">
        <v>549091191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v>80.459999999999994</v>
      </c>
      <c r="M125" s="3">
        <v>80.94</v>
      </c>
      <c r="N125" s="3">
        <v>79.69</v>
      </c>
      <c r="O125" s="3">
        <v>80.8</v>
      </c>
      <c r="P125" s="3">
        <v>4724772</v>
      </c>
      <c r="Q125" s="3">
        <v>50.4</v>
      </c>
      <c r="R125" s="3">
        <v>50.55</v>
      </c>
      <c r="S125" s="3">
        <v>50.16</v>
      </c>
      <c r="T125" s="3">
        <v>50.44</v>
      </c>
      <c r="U125" s="3">
        <v>5606876</v>
      </c>
      <c r="V125" s="3">
        <v>67</v>
      </c>
      <c r="W125" s="3">
        <v>68.22</v>
      </c>
      <c r="X125" s="3">
        <v>66.900000000000006</v>
      </c>
      <c r="Y125" s="3">
        <v>67.59</v>
      </c>
      <c r="Z125" s="3">
        <v>9753598</v>
      </c>
      <c r="AA125" s="3">
        <v>19.850000000000001</v>
      </c>
      <c r="AB125" s="3">
        <v>19.940000000000001</v>
      </c>
      <c r="AC125" s="3">
        <v>19.739999999999998</v>
      </c>
      <c r="AD125" s="3">
        <v>19.84</v>
      </c>
      <c r="AE125" s="3">
        <v>39382280</v>
      </c>
      <c r="AF125" s="3">
        <v>71.88</v>
      </c>
      <c r="AG125" s="3">
        <v>73</v>
      </c>
      <c r="AH125" s="3">
        <v>71.489999999999995</v>
      </c>
      <c r="AI125" s="3">
        <v>71.790000000000006</v>
      </c>
      <c r="AJ125" s="3">
        <v>22780683</v>
      </c>
      <c r="AK125" s="3">
        <v>54.05</v>
      </c>
      <c r="AL125" s="3">
        <v>54.42</v>
      </c>
      <c r="AM125" s="3">
        <v>54.03</v>
      </c>
      <c r="AN125" s="3">
        <v>54.34</v>
      </c>
      <c r="AO125" s="3">
        <v>13466132</v>
      </c>
      <c r="AP125" s="3">
        <v>44.91</v>
      </c>
      <c r="AQ125" s="3">
        <v>45.32</v>
      </c>
      <c r="AR125" s="3">
        <v>44.88</v>
      </c>
      <c r="AS125" s="3">
        <v>45.22</v>
      </c>
      <c r="AT125" s="3">
        <v>5368124</v>
      </c>
      <c r="AU125" s="3">
        <v>43.8</v>
      </c>
      <c r="AV125" s="3">
        <v>44</v>
      </c>
      <c r="AW125" s="3">
        <v>43.67</v>
      </c>
      <c r="AX125" s="3">
        <v>43.94</v>
      </c>
      <c r="AY125" s="3">
        <v>7609015</v>
      </c>
      <c r="AZ125" s="3">
        <v>43.58</v>
      </c>
      <c r="BA125" s="3">
        <v>43.72</v>
      </c>
      <c r="BB125" s="3">
        <v>42.97</v>
      </c>
      <c r="BC125" s="3">
        <v>43.55</v>
      </c>
      <c r="BD125" s="3">
        <v>16289822</v>
      </c>
      <c r="BE125" s="3">
        <v>31.03</v>
      </c>
      <c r="BF125" s="3">
        <v>31.15</v>
      </c>
      <c r="BG125" s="3">
        <v>31.01</v>
      </c>
      <c r="BH125" s="3">
        <v>31.15</v>
      </c>
      <c r="BI125" s="3">
        <v>3906</v>
      </c>
    </row>
    <row r="126" spans="1:61" ht="13" x14ac:dyDescent="0.15">
      <c r="A126" s="3">
        <v>42307</v>
      </c>
      <c r="B126" s="3">
        <v>2090</v>
      </c>
      <c r="C126" s="3">
        <v>2094.3200000000002</v>
      </c>
      <c r="D126" s="3">
        <v>2079.34</v>
      </c>
      <c r="E126" s="3">
        <v>2079.36</v>
      </c>
      <c r="F126" s="3">
        <v>789097525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v>80.959999999999994</v>
      </c>
      <c r="M126" s="3">
        <v>81.510000000000005</v>
      </c>
      <c r="N126" s="3">
        <v>80.75</v>
      </c>
      <c r="O126" s="3">
        <v>80.97</v>
      </c>
      <c r="P126" s="3">
        <v>7771070</v>
      </c>
      <c r="Q126" s="3">
        <v>50.28</v>
      </c>
      <c r="R126" s="3">
        <v>50.28</v>
      </c>
      <c r="S126" s="3">
        <v>49.87</v>
      </c>
      <c r="T126" s="3">
        <v>49.88</v>
      </c>
      <c r="U126" s="3">
        <v>8577051</v>
      </c>
      <c r="V126" s="3">
        <v>67.95</v>
      </c>
      <c r="W126" s="3">
        <v>68.760000000000005</v>
      </c>
      <c r="X126" s="3">
        <v>67.150000000000006</v>
      </c>
      <c r="Y126" s="3">
        <v>68.03</v>
      </c>
      <c r="Z126" s="3">
        <v>14257248</v>
      </c>
      <c r="AA126" s="3">
        <v>19.79</v>
      </c>
      <c r="AB126" s="3">
        <v>19.809999999999999</v>
      </c>
      <c r="AC126" s="3">
        <v>19.53</v>
      </c>
      <c r="AD126" s="3">
        <v>19.55</v>
      </c>
      <c r="AE126" s="3">
        <v>51070358</v>
      </c>
      <c r="AF126" s="3">
        <v>72.010000000000005</v>
      </c>
      <c r="AG126" s="3">
        <v>72.209999999999994</v>
      </c>
      <c r="AH126" s="3">
        <v>71.34</v>
      </c>
      <c r="AI126" s="3">
        <v>71.34</v>
      </c>
      <c r="AJ126" s="3">
        <v>12427166</v>
      </c>
      <c r="AK126" s="3">
        <v>54.36</v>
      </c>
      <c r="AL126" s="3">
        <v>54.56</v>
      </c>
      <c r="AM126" s="3">
        <v>54.25</v>
      </c>
      <c r="AN126" s="3">
        <v>54.27</v>
      </c>
      <c r="AO126" s="3">
        <v>14763595</v>
      </c>
      <c r="AP126" s="3">
        <v>45.2</v>
      </c>
      <c r="AQ126" s="3">
        <v>45.66</v>
      </c>
      <c r="AR126" s="3">
        <v>45.15</v>
      </c>
      <c r="AS126" s="3">
        <v>45.28</v>
      </c>
      <c r="AT126" s="3">
        <v>6425067</v>
      </c>
      <c r="AU126" s="3">
        <v>44.01</v>
      </c>
      <c r="AV126" s="3">
        <v>44.02</v>
      </c>
      <c r="AW126" s="3">
        <v>43.64</v>
      </c>
      <c r="AX126" s="3">
        <v>43.65</v>
      </c>
      <c r="AY126" s="3">
        <v>9339523</v>
      </c>
      <c r="AZ126" s="3">
        <v>43.6</v>
      </c>
      <c r="BA126" s="3">
        <v>43.92</v>
      </c>
      <c r="BB126" s="3">
        <v>43.44</v>
      </c>
      <c r="BC126" s="3">
        <v>43.75</v>
      </c>
      <c r="BD126" s="3">
        <v>11631691</v>
      </c>
      <c r="BE126" s="3">
        <v>30.95</v>
      </c>
      <c r="BF126" s="3">
        <v>30.95</v>
      </c>
      <c r="BG126" s="3">
        <v>30.95</v>
      </c>
      <c r="BH126" s="3">
        <v>30.95</v>
      </c>
      <c r="BI126" s="3">
        <v>211</v>
      </c>
    </row>
    <row r="127" spans="1:61" ht="13" x14ac:dyDescent="0.15">
      <c r="A127" s="3">
        <v>42310</v>
      </c>
      <c r="B127" s="3">
        <v>2080.7600000000002</v>
      </c>
      <c r="C127" s="3">
        <v>2106.1999999999998</v>
      </c>
      <c r="D127" s="3">
        <v>2080.7600000000002</v>
      </c>
      <c r="E127" s="3">
        <v>2104.0500000000002</v>
      </c>
      <c r="F127" s="3">
        <v>579601950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v>81.260000000000005</v>
      </c>
      <c r="M127" s="3">
        <v>81.459999999999994</v>
      </c>
      <c r="N127" s="3">
        <v>80.75</v>
      </c>
      <c r="O127" s="3">
        <v>81.34</v>
      </c>
      <c r="P127" s="3">
        <v>7734965</v>
      </c>
      <c r="Q127" s="3">
        <v>49.91</v>
      </c>
      <c r="R127" s="3">
        <v>50.19</v>
      </c>
      <c r="S127" s="3">
        <v>49.84</v>
      </c>
      <c r="T127" s="3">
        <v>50.18</v>
      </c>
      <c r="U127" s="3">
        <v>13054043</v>
      </c>
      <c r="V127" s="3">
        <v>67.62</v>
      </c>
      <c r="W127" s="3">
        <v>69.98</v>
      </c>
      <c r="X127" s="3">
        <v>67.52</v>
      </c>
      <c r="Y127" s="3">
        <v>69.62</v>
      </c>
      <c r="Z127" s="3">
        <v>15386861</v>
      </c>
      <c r="AA127" s="3">
        <v>19.600000000000001</v>
      </c>
      <c r="AB127" s="3">
        <v>19.899999999999999</v>
      </c>
      <c r="AC127" s="3">
        <v>19.59</v>
      </c>
      <c r="AD127" s="3">
        <v>19.82</v>
      </c>
      <c r="AE127" s="3">
        <v>59733138</v>
      </c>
      <c r="AF127" s="3">
        <v>71.75</v>
      </c>
      <c r="AG127" s="3">
        <v>72.91</v>
      </c>
      <c r="AH127" s="3">
        <v>71.34</v>
      </c>
      <c r="AI127" s="3">
        <v>72.86</v>
      </c>
      <c r="AJ127" s="3">
        <v>18646619</v>
      </c>
      <c r="AK127" s="3">
        <v>54.28</v>
      </c>
      <c r="AL127" s="3">
        <v>55.01</v>
      </c>
      <c r="AM127" s="3">
        <v>54.28</v>
      </c>
      <c r="AN127" s="3">
        <v>54.9</v>
      </c>
      <c r="AO127" s="3">
        <v>15329028</v>
      </c>
      <c r="AP127" s="3">
        <v>45.35</v>
      </c>
      <c r="AQ127" s="3">
        <v>45.78</v>
      </c>
      <c r="AR127" s="3">
        <v>45.24</v>
      </c>
      <c r="AS127" s="3">
        <v>45.56</v>
      </c>
      <c r="AT127" s="3">
        <v>11350745</v>
      </c>
      <c r="AU127" s="3">
        <v>43.73</v>
      </c>
      <c r="AV127" s="3">
        <v>44.06</v>
      </c>
      <c r="AW127" s="3">
        <v>43.62</v>
      </c>
      <c r="AX127" s="3">
        <v>44.04</v>
      </c>
      <c r="AY127" s="3">
        <v>13743283</v>
      </c>
      <c r="AZ127" s="3">
        <v>43.72</v>
      </c>
      <c r="BA127" s="3">
        <v>43.89</v>
      </c>
      <c r="BB127" s="3">
        <v>43.46</v>
      </c>
      <c r="BC127" s="3">
        <v>43.8</v>
      </c>
      <c r="BD127" s="3">
        <v>17436751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</row>
    <row r="128" spans="1:61" ht="13" x14ac:dyDescent="0.15">
      <c r="A128" s="3">
        <v>42311</v>
      </c>
      <c r="B128" s="3">
        <v>2102.63</v>
      </c>
      <c r="C128" s="3">
        <v>2116.48</v>
      </c>
      <c r="D128" s="3">
        <v>2097.5100000000002</v>
      </c>
      <c r="E128" s="3">
        <v>2109.79</v>
      </c>
      <c r="F128" s="3">
        <v>588205970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v>81.25</v>
      </c>
      <c r="M128" s="3">
        <v>81.86</v>
      </c>
      <c r="N128" s="3">
        <v>81.19</v>
      </c>
      <c r="O128" s="3">
        <v>81.650000000000006</v>
      </c>
      <c r="P128" s="3">
        <v>7283512</v>
      </c>
      <c r="Q128" s="3">
        <v>49.89</v>
      </c>
      <c r="R128" s="3">
        <v>50.07</v>
      </c>
      <c r="S128" s="3">
        <v>49.59</v>
      </c>
      <c r="T128" s="3">
        <v>49.94</v>
      </c>
      <c r="U128" s="3">
        <v>12452943</v>
      </c>
      <c r="V128" s="3">
        <v>70.11</v>
      </c>
      <c r="W128" s="3">
        <v>71.930000000000007</v>
      </c>
      <c r="X128" s="3">
        <v>70.08</v>
      </c>
      <c r="Y128" s="3">
        <v>71.400000000000006</v>
      </c>
      <c r="Z128" s="3">
        <v>21327171</v>
      </c>
      <c r="AA128" s="3">
        <v>19.809999999999999</v>
      </c>
      <c r="AB128" s="3">
        <v>19.920000000000002</v>
      </c>
      <c r="AC128" s="3">
        <v>19.72</v>
      </c>
      <c r="AD128" s="3">
        <v>19.850000000000001</v>
      </c>
      <c r="AE128" s="3">
        <v>34507885</v>
      </c>
      <c r="AF128" s="3">
        <v>72.67</v>
      </c>
      <c r="AG128" s="3">
        <v>72.83</v>
      </c>
      <c r="AH128" s="3">
        <v>72.09</v>
      </c>
      <c r="AI128" s="3">
        <v>72.599999999999994</v>
      </c>
      <c r="AJ128" s="3">
        <v>10428704</v>
      </c>
      <c r="AK128" s="3">
        <v>54.85</v>
      </c>
      <c r="AL128" s="3">
        <v>55.09</v>
      </c>
      <c r="AM128" s="3">
        <v>54.73</v>
      </c>
      <c r="AN128" s="3">
        <v>54.94</v>
      </c>
      <c r="AO128" s="3">
        <v>7486369</v>
      </c>
      <c r="AP128" s="3">
        <v>45.44</v>
      </c>
      <c r="AQ128" s="3">
        <v>46.09</v>
      </c>
      <c r="AR128" s="3">
        <v>45.41</v>
      </c>
      <c r="AS128" s="3">
        <v>45.74</v>
      </c>
      <c r="AT128" s="3">
        <v>7603936</v>
      </c>
      <c r="AU128" s="3">
        <v>43.9</v>
      </c>
      <c r="AV128" s="3">
        <v>44.43</v>
      </c>
      <c r="AW128" s="3">
        <v>43.82</v>
      </c>
      <c r="AX128" s="3">
        <v>44.27</v>
      </c>
      <c r="AY128" s="3">
        <v>6879046</v>
      </c>
      <c r="AZ128" s="3">
        <v>43.64</v>
      </c>
      <c r="BA128" s="3">
        <v>43.98</v>
      </c>
      <c r="BB128" s="3">
        <v>43.52</v>
      </c>
      <c r="BC128" s="3">
        <v>43.93</v>
      </c>
      <c r="BD128" s="3">
        <v>12433217</v>
      </c>
      <c r="BE128" s="3">
        <v>31.6</v>
      </c>
      <c r="BF128" s="3">
        <v>31.6</v>
      </c>
      <c r="BG128" s="3">
        <v>31.32</v>
      </c>
      <c r="BH128" s="3">
        <v>31.35</v>
      </c>
      <c r="BI128" s="3">
        <v>520</v>
      </c>
    </row>
    <row r="129" spans="1:61" ht="13" x14ac:dyDescent="0.15">
      <c r="A129" s="3">
        <v>42312</v>
      </c>
      <c r="B129" s="3">
        <v>2110.6</v>
      </c>
      <c r="C129" s="3">
        <v>2114.59</v>
      </c>
      <c r="D129" s="3">
        <v>2096.98</v>
      </c>
      <c r="E129" s="3">
        <v>2102.31</v>
      </c>
      <c r="F129" s="3">
        <v>615424681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v>81.790000000000006</v>
      </c>
      <c r="M129" s="3">
        <v>81.87</v>
      </c>
      <c r="N129" s="3">
        <v>80.709999999999994</v>
      </c>
      <c r="O129" s="3">
        <v>81.12</v>
      </c>
      <c r="P129" s="3">
        <v>6265877</v>
      </c>
      <c r="Q129" s="3">
        <v>50</v>
      </c>
      <c r="R129" s="3">
        <v>50.09</v>
      </c>
      <c r="S129" s="3">
        <v>49.54</v>
      </c>
      <c r="T129" s="3">
        <v>49.73</v>
      </c>
      <c r="U129" s="3">
        <v>8067588</v>
      </c>
      <c r="V129" s="3">
        <v>71.47</v>
      </c>
      <c r="W129" s="3">
        <v>71.67</v>
      </c>
      <c r="X129" s="3">
        <v>70.23</v>
      </c>
      <c r="Y129" s="3">
        <v>70.760000000000005</v>
      </c>
      <c r="Z129" s="3">
        <v>17718800</v>
      </c>
      <c r="AA129" s="3">
        <v>19.850000000000001</v>
      </c>
      <c r="AB129" s="3">
        <v>19.899999999999999</v>
      </c>
      <c r="AC129" s="3">
        <v>19.739999999999998</v>
      </c>
      <c r="AD129" s="3">
        <v>19.8</v>
      </c>
      <c r="AE129" s="3">
        <v>32575609</v>
      </c>
      <c r="AF129" s="3">
        <v>72.86</v>
      </c>
      <c r="AG129" s="3">
        <v>72.88</v>
      </c>
      <c r="AH129" s="3">
        <v>71.84</v>
      </c>
      <c r="AI129" s="3">
        <v>72.28</v>
      </c>
      <c r="AJ129" s="3">
        <v>11533043</v>
      </c>
      <c r="AK129" s="3">
        <v>54.91</v>
      </c>
      <c r="AL129" s="3">
        <v>55.1</v>
      </c>
      <c r="AM129" s="3">
        <v>54.68</v>
      </c>
      <c r="AN129" s="3">
        <v>54.79</v>
      </c>
      <c r="AO129" s="3">
        <v>9670911</v>
      </c>
      <c r="AP129" s="3">
        <v>45.66</v>
      </c>
      <c r="AQ129" s="3">
        <v>45.98</v>
      </c>
      <c r="AR129" s="3">
        <v>45.42</v>
      </c>
      <c r="AS129" s="3">
        <v>45.44</v>
      </c>
      <c r="AT129" s="3">
        <v>6841179</v>
      </c>
      <c r="AU129" s="3">
        <v>44.37</v>
      </c>
      <c r="AV129" s="3">
        <v>44.44</v>
      </c>
      <c r="AW129" s="3">
        <v>44.21</v>
      </c>
      <c r="AX129" s="3">
        <v>44.32</v>
      </c>
      <c r="AY129" s="3">
        <v>7298611</v>
      </c>
      <c r="AZ129" s="3">
        <v>43.88</v>
      </c>
      <c r="BA129" s="3">
        <v>44.3</v>
      </c>
      <c r="BB129" s="3">
        <v>43.88</v>
      </c>
      <c r="BC129" s="3">
        <v>44.16</v>
      </c>
      <c r="BD129" s="3">
        <v>10718938</v>
      </c>
      <c r="BE129" s="3">
        <v>31.52</v>
      </c>
      <c r="BF129" s="3">
        <v>31.52</v>
      </c>
      <c r="BG129" s="3">
        <v>31.22</v>
      </c>
      <c r="BH129" s="3">
        <v>31.22</v>
      </c>
      <c r="BI129" s="3">
        <v>1850</v>
      </c>
    </row>
    <row r="130" spans="1:61" ht="13" x14ac:dyDescent="0.15">
      <c r="A130" s="3">
        <v>42313</v>
      </c>
      <c r="B130" s="3">
        <v>2101.6799999999998</v>
      </c>
      <c r="C130" s="3">
        <v>2108.7800000000002</v>
      </c>
      <c r="D130" s="3">
        <v>2090.41</v>
      </c>
      <c r="E130" s="3">
        <v>2099.9299999999998</v>
      </c>
      <c r="F130" s="3">
        <v>589737116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v>81.239999999999995</v>
      </c>
      <c r="M130" s="3">
        <v>81.650000000000006</v>
      </c>
      <c r="N130" s="3">
        <v>80.81</v>
      </c>
      <c r="O130" s="3">
        <v>81.41</v>
      </c>
      <c r="P130" s="3">
        <v>6964685</v>
      </c>
      <c r="Q130" s="3">
        <v>49.68</v>
      </c>
      <c r="R130" s="3">
        <v>49.8</v>
      </c>
      <c r="S130" s="3">
        <v>49.44</v>
      </c>
      <c r="T130" s="3">
        <v>49.72</v>
      </c>
      <c r="U130" s="3">
        <v>9691771</v>
      </c>
      <c r="V130" s="3">
        <v>70.41</v>
      </c>
      <c r="W130" s="3">
        <v>71.19</v>
      </c>
      <c r="X130" s="3">
        <v>69.84</v>
      </c>
      <c r="Y130" s="3">
        <v>70.16</v>
      </c>
      <c r="Z130" s="3">
        <v>16233508</v>
      </c>
      <c r="AA130" s="3">
        <v>19.8</v>
      </c>
      <c r="AB130" s="3">
        <v>19.91</v>
      </c>
      <c r="AC130" s="3">
        <v>19.77</v>
      </c>
      <c r="AD130" s="3">
        <v>19.88</v>
      </c>
      <c r="AE130" s="3">
        <v>36748012</v>
      </c>
      <c r="AF130" s="3">
        <v>72.33</v>
      </c>
      <c r="AG130" s="3">
        <v>72.349999999999994</v>
      </c>
      <c r="AH130" s="3">
        <v>71.37</v>
      </c>
      <c r="AI130" s="3">
        <v>72.05</v>
      </c>
      <c r="AJ130" s="3">
        <v>9171965</v>
      </c>
      <c r="AK130" s="3">
        <v>54.77</v>
      </c>
      <c r="AL130" s="3">
        <v>55</v>
      </c>
      <c r="AM130" s="3">
        <v>54.47</v>
      </c>
      <c r="AN130" s="3">
        <v>54.86</v>
      </c>
      <c r="AO130" s="3">
        <v>11531053</v>
      </c>
      <c r="AP130" s="3">
        <v>45.38</v>
      </c>
      <c r="AQ130" s="3">
        <v>45.38</v>
      </c>
      <c r="AR130" s="3">
        <v>44.85</v>
      </c>
      <c r="AS130" s="3">
        <v>45.21</v>
      </c>
      <c r="AT130" s="3">
        <v>10284953</v>
      </c>
      <c r="AU130" s="3">
        <v>44.36</v>
      </c>
      <c r="AV130" s="3">
        <v>44.58</v>
      </c>
      <c r="AW130" s="3">
        <v>44.1</v>
      </c>
      <c r="AX130" s="3">
        <v>44.19</v>
      </c>
      <c r="AY130" s="3">
        <v>6728787</v>
      </c>
      <c r="AZ130" s="3">
        <v>44.07</v>
      </c>
      <c r="BA130" s="3">
        <v>44.2</v>
      </c>
      <c r="BB130" s="3">
        <v>43.78</v>
      </c>
      <c r="BC130" s="3">
        <v>43.78</v>
      </c>
      <c r="BD130" s="3">
        <v>13762878</v>
      </c>
      <c r="BE130" s="3">
        <v>31.28</v>
      </c>
      <c r="BF130" s="3">
        <v>31.28</v>
      </c>
      <c r="BG130" s="3">
        <v>30.95</v>
      </c>
      <c r="BH130" s="3">
        <v>31.1</v>
      </c>
      <c r="BI130" s="3">
        <v>23810</v>
      </c>
    </row>
    <row r="131" spans="1:61" ht="13" x14ac:dyDescent="0.15">
      <c r="A131" s="3">
        <v>42314</v>
      </c>
      <c r="B131" s="3">
        <v>2098.6</v>
      </c>
      <c r="C131" s="3">
        <v>2101.91</v>
      </c>
      <c r="D131" s="3">
        <v>2083.7399999999998</v>
      </c>
      <c r="E131" s="3">
        <v>2099.1999999999998</v>
      </c>
      <c r="F131" s="3">
        <v>661105431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v>81.2</v>
      </c>
      <c r="M131" s="3">
        <v>81.61</v>
      </c>
      <c r="N131" s="3">
        <v>80.900000000000006</v>
      </c>
      <c r="O131" s="3">
        <v>81.42</v>
      </c>
      <c r="P131" s="3">
        <v>6593217</v>
      </c>
      <c r="Q131" s="3">
        <v>49.49</v>
      </c>
      <c r="R131" s="3">
        <v>49.58</v>
      </c>
      <c r="S131" s="3">
        <v>48.82</v>
      </c>
      <c r="T131" s="3">
        <v>49.18</v>
      </c>
      <c r="U131" s="3">
        <v>13747249</v>
      </c>
      <c r="V131" s="3">
        <v>69.540000000000006</v>
      </c>
      <c r="W131" s="3">
        <v>70.08</v>
      </c>
      <c r="X131" s="3">
        <v>68.77</v>
      </c>
      <c r="Y131" s="3">
        <v>69.8</v>
      </c>
      <c r="Z131" s="3">
        <v>13761216</v>
      </c>
      <c r="AA131" s="3">
        <v>20.25</v>
      </c>
      <c r="AB131" s="3">
        <v>20.28</v>
      </c>
      <c r="AC131" s="3">
        <v>20</v>
      </c>
      <c r="AD131" s="3">
        <v>20.079999999999998</v>
      </c>
      <c r="AE131" s="3">
        <v>69501345</v>
      </c>
      <c r="AF131" s="3">
        <v>71.61</v>
      </c>
      <c r="AG131" s="3">
        <v>71.819999999999993</v>
      </c>
      <c r="AH131" s="3">
        <v>70.92</v>
      </c>
      <c r="AI131" s="3">
        <v>71.75</v>
      </c>
      <c r="AJ131" s="3">
        <v>12661051</v>
      </c>
      <c r="AK131" s="3">
        <v>54.54</v>
      </c>
      <c r="AL131" s="3">
        <v>54.87</v>
      </c>
      <c r="AM131" s="3">
        <v>54.29</v>
      </c>
      <c r="AN131" s="3">
        <v>54.86</v>
      </c>
      <c r="AO131" s="3">
        <v>15269296</v>
      </c>
      <c r="AP131" s="3">
        <v>44.84</v>
      </c>
      <c r="AQ131" s="3">
        <v>45.4</v>
      </c>
      <c r="AR131" s="3">
        <v>44.77</v>
      </c>
      <c r="AS131" s="3">
        <v>45.33</v>
      </c>
      <c r="AT131" s="3">
        <v>4601403</v>
      </c>
      <c r="AU131" s="3">
        <v>44.14</v>
      </c>
      <c r="AV131" s="3">
        <v>44.36</v>
      </c>
      <c r="AW131" s="3">
        <v>43.98</v>
      </c>
      <c r="AX131" s="3">
        <v>44.34</v>
      </c>
      <c r="AY131" s="3">
        <v>6868946</v>
      </c>
      <c r="AZ131" s="3">
        <v>43.07</v>
      </c>
      <c r="BA131" s="3">
        <v>43.17</v>
      </c>
      <c r="BB131" s="3">
        <v>41.89</v>
      </c>
      <c r="BC131" s="3">
        <v>42.25</v>
      </c>
      <c r="BD131" s="3">
        <v>32359008</v>
      </c>
      <c r="BE131" s="3">
        <v>30.38</v>
      </c>
      <c r="BF131" s="3">
        <v>30.38</v>
      </c>
      <c r="BG131" s="3">
        <v>29.95</v>
      </c>
      <c r="BH131" s="3">
        <v>29.95</v>
      </c>
      <c r="BI131" s="3">
        <v>9031</v>
      </c>
    </row>
    <row r="132" spans="1:61" ht="13" x14ac:dyDescent="0.15">
      <c r="A132" s="3">
        <v>42317</v>
      </c>
      <c r="B132" s="3">
        <v>2096.56</v>
      </c>
      <c r="C132" s="3">
        <v>2096.56</v>
      </c>
      <c r="D132" s="3">
        <v>2068.2399999999998</v>
      </c>
      <c r="E132" s="3">
        <v>2078.58</v>
      </c>
      <c r="F132" s="3">
        <v>664847995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v>80.92</v>
      </c>
      <c r="M132" s="3">
        <v>81.3</v>
      </c>
      <c r="N132" s="3">
        <v>79.739999999999995</v>
      </c>
      <c r="O132" s="3">
        <v>80.3</v>
      </c>
      <c r="P132" s="3">
        <v>7009554</v>
      </c>
      <c r="Q132" s="3">
        <v>48.88</v>
      </c>
      <c r="R132" s="3">
        <v>49.02</v>
      </c>
      <c r="S132" s="3">
        <v>48.58</v>
      </c>
      <c r="T132" s="3">
        <v>48.85</v>
      </c>
      <c r="U132" s="3">
        <v>7895965</v>
      </c>
      <c r="V132" s="3">
        <v>70.2</v>
      </c>
      <c r="W132" s="3">
        <v>70.41</v>
      </c>
      <c r="X132" s="3">
        <v>68.819999999999993</v>
      </c>
      <c r="Y132" s="3">
        <v>69.11</v>
      </c>
      <c r="Z132" s="3">
        <v>12686994</v>
      </c>
      <c r="AA132" s="3">
        <v>20.07</v>
      </c>
      <c r="AB132" s="3">
        <v>20.16</v>
      </c>
      <c r="AC132" s="3">
        <v>19.75</v>
      </c>
      <c r="AD132" s="3">
        <v>19.86</v>
      </c>
      <c r="AE132" s="3">
        <v>48066100</v>
      </c>
      <c r="AF132" s="3">
        <v>71.34</v>
      </c>
      <c r="AG132" s="3">
        <v>71.62</v>
      </c>
      <c r="AH132" s="3">
        <v>70.790000000000006</v>
      </c>
      <c r="AI132" s="3">
        <v>71.2</v>
      </c>
      <c r="AJ132" s="3">
        <v>15624969</v>
      </c>
      <c r="AK132" s="3">
        <v>54.56</v>
      </c>
      <c r="AL132" s="3">
        <v>54.69</v>
      </c>
      <c r="AM132" s="3">
        <v>53.92</v>
      </c>
      <c r="AN132" s="3">
        <v>54.44</v>
      </c>
      <c r="AO132" s="3">
        <v>13570630</v>
      </c>
      <c r="AP132" s="3">
        <v>45.28</v>
      </c>
      <c r="AQ132" s="3">
        <v>45.32</v>
      </c>
      <c r="AR132" s="3">
        <v>44.62</v>
      </c>
      <c r="AS132" s="3">
        <v>45.02</v>
      </c>
      <c r="AT132" s="3">
        <v>5382090</v>
      </c>
      <c r="AU132" s="3">
        <v>44.17</v>
      </c>
      <c r="AV132" s="3">
        <v>44.21</v>
      </c>
      <c r="AW132" s="3">
        <v>43.7</v>
      </c>
      <c r="AX132" s="3">
        <v>43.91</v>
      </c>
      <c r="AY132" s="3">
        <v>10146232</v>
      </c>
      <c r="AZ132" s="3">
        <v>42.07</v>
      </c>
      <c r="BA132" s="3">
        <v>42.56</v>
      </c>
      <c r="BB132" s="3">
        <v>41.97</v>
      </c>
      <c r="BC132" s="3">
        <v>42.36</v>
      </c>
      <c r="BD132" s="3">
        <v>13333302</v>
      </c>
      <c r="BE132" s="3">
        <v>29.82</v>
      </c>
      <c r="BF132" s="3">
        <v>30.1</v>
      </c>
      <c r="BG132" s="3">
        <v>29.6</v>
      </c>
      <c r="BH132" s="3">
        <v>29.71</v>
      </c>
      <c r="BI132" s="3">
        <v>45453</v>
      </c>
    </row>
    <row r="133" spans="1:61" ht="13" x14ac:dyDescent="0.15">
      <c r="A133" s="3">
        <v>42318</v>
      </c>
      <c r="B133" s="3">
        <v>2077.19</v>
      </c>
      <c r="C133" s="3">
        <v>2083.67</v>
      </c>
      <c r="D133" s="3">
        <v>2069.91</v>
      </c>
      <c r="E133" s="3">
        <v>2081.7199999999998</v>
      </c>
      <c r="F133" s="3">
        <v>564878625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v>80.19</v>
      </c>
      <c r="M133" s="3">
        <v>81.06</v>
      </c>
      <c r="N133" s="3">
        <v>80.08</v>
      </c>
      <c r="O133" s="3">
        <v>81.06</v>
      </c>
      <c r="P133" s="3">
        <v>7331430</v>
      </c>
      <c r="Q133" s="3">
        <v>48.8</v>
      </c>
      <c r="R133" s="3">
        <v>49.06</v>
      </c>
      <c r="S133" s="3">
        <v>48.8</v>
      </c>
      <c r="T133" s="3">
        <v>48.98</v>
      </c>
      <c r="U133" s="3">
        <v>7438649</v>
      </c>
      <c r="V133" s="3">
        <v>68.819999999999993</v>
      </c>
      <c r="W133" s="3">
        <v>69.87</v>
      </c>
      <c r="X133" s="3">
        <v>68.56</v>
      </c>
      <c r="Y133" s="3">
        <v>69.260000000000005</v>
      </c>
      <c r="Z133" s="3">
        <v>12685449</v>
      </c>
      <c r="AA133" s="3">
        <v>19.809999999999999</v>
      </c>
      <c r="AB133" s="3">
        <v>19.96</v>
      </c>
      <c r="AC133" s="3">
        <v>19.78</v>
      </c>
      <c r="AD133" s="3">
        <v>19.95</v>
      </c>
      <c r="AE133" s="3">
        <v>33403153</v>
      </c>
      <c r="AF133" s="3">
        <v>71.22</v>
      </c>
      <c r="AG133" s="3">
        <v>71.84</v>
      </c>
      <c r="AH133" s="3">
        <v>71.08</v>
      </c>
      <c r="AI133" s="3">
        <v>71.680000000000007</v>
      </c>
      <c r="AJ133" s="3">
        <v>9737401</v>
      </c>
      <c r="AK133" s="3">
        <v>54.22</v>
      </c>
      <c r="AL133" s="3">
        <v>54.61</v>
      </c>
      <c r="AM133" s="3">
        <v>53.98</v>
      </c>
      <c r="AN133" s="3">
        <v>54.43</v>
      </c>
      <c r="AO133" s="3">
        <v>18957346</v>
      </c>
      <c r="AP133" s="3">
        <v>44.86</v>
      </c>
      <c r="AQ133" s="3">
        <v>45</v>
      </c>
      <c r="AR133" s="3">
        <v>44.42</v>
      </c>
      <c r="AS133" s="3">
        <v>44.69</v>
      </c>
      <c r="AT133" s="3">
        <v>4904596</v>
      </c>
      <c r="AU133" s="3">
        <v>43.66</v>
      </c>
      <c r="AV133" s="3">
        <v>43.67</v>
      </c>
      <c r="AW133" s="3">
        <v>43.44</v>
      </c>
      <c r="AX133" s="3">
        <v>43.62</v>
      </c>
      <c r="AY133" s="3">
        <v>17273264</v>
      </c>
      <c r="AZ133" s="3">
        <v>42.38</v>
      </c>
      <c r="BA133" s="3">
        <v>42.87</v>
      </c>
      <c r="BB133" s="3">
        <v>42.3</v>
      </c>
      <c r="BC133" s="3">
        <v>42.74</v>
      </c>
      <c r="BD133" s="3">
        <v>8504582</v>
      </c>
      <c r="BE133" s="3">
        <v>30.11</v>
      </c>
      <c r="BF133" s="3">
        <v>30.11</v>
      </c>
      <c r="BG133" s="3">
        <v>29.85</v>
      </c>
      <c r="BH133" s="3">
        <v>30.03</v>
      </c>
      <c r="BI133" s="3">
        <v>27240</v>
      </c>
    </row>
    <row r="134" spans="1:61" ht="13" x14ac:dyDescent="0.15">
      <c r="A134" s="3">
        <v>42319</v>
      </c>
      <c r="B134" s="3">
        <v>2083.41</v>
      </c>
      <c r="C134" s="3">
        <v>2086.94</v>
      </c>
      <c r="D134" s="3">
        <v>2074.85</v>
      </c>
      <c r="E134" s="3">
        <v>2075</v>
      </c>
      <c r="F134" s="3">
        <v>511666901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v>81.23</v>
      </c>
      <c r="M134" s="3">
        <v>81.25</v>
      </c>
      <c r="N134" s="3">
        <v>80.41</v>
      </c>
      <c r="O134" s="3">
        <v>80.58</v>
      </c>
      <c r="P134" s="3">
        <v>7086711</v>
      </c>
      <c r="Q134" s="3">
        <v>48.9</v>
      </c>
      <c r="R134" s="3">
        <v>49.22</v>
      </c>
      <c r="S134" s="3">
        <v>48.9</v>
      </c>
      <c r="T134" s="3">
        <v>48.91</v>
      </c>
      <c r="U134" s="3">
        <v>7264720</v>
      </c>
      <c r="V134" s="3">
        <v>69.25</v>
      </c>
      <c r="W134" s="3">
        <v>69.349999999999994</v>
      </c>
      <c r="X134" s="3">
        <v>67.63</v>
      </c>
      <c r="Y134" s="3">
        <v>67.790000000000006</v>
      </c>
      <c r="Z134" s="3">
        <v>14369715</v>
      </c>
      <c r="AA134" s="3">
        <v>20.04</v>
      </c>
      <c r="AB134" s="3">
        <v>20.04</v>
      </c>
      <c r="AC134" s="3">
        <v>19.87</v>
      </c>
      <c r="AD134" s="3">
        <v>19.89</v>
      </c>
      <c r="AE134" s="3">
        <v>22401596</v>
      </c>
      <c r="AF134" s="3">
        <v>71.95</v>
      </c>
      <c r="AG134" s="3">
        <v>71.95</v>
      </c>
      <c r="AH134" s="3">
        <v>70.959999999999994</v>
      </c>
      <c r="AI134" s="3">
        <v>70.97</v>
      </c>
      <c r="AJ134" s="3">
        <v>10580927</v>
      </c>
      <c r="AK134" s="3">
        <v>54.56</v>
      </c>
      <c r="AL134" s="3">
        <v>54.79</v>
      </c>
      <c r="AM134" s="3">
        <v>54.39</v>
      </c>
      <c r="AN134" s="3">
        <v>54.5</v>
      </c>
      <c r="AO134" s="3">
        <v>12916018</v>
      </c>
      <c r="AP134" s="3">
        <v>44.79</v>
      </c>
      <c r="AQ134" s="3">
        <v>44.88</v>
      </c>
      <c r="AR134" s="3">
        <v>44.47</v>
      </c>
      <c r="AS134" s="3">
        <v>44.74</v>
      </c>
      <c r="AT134" s="3">
        <v>6279413</v>
      </c>
      <c r="AU134" s="3">
        <v>43.72</v>
      </c>
      <c r="AV134" s="3">
        <v>43.94</v>
      </c>
      <c r="AW134" s="3">
        <v>43.53</v>
      </c>
      <c r="AX134" s="3">
        <v>43.6</v>
      </c>
      <c r="AY134" s="3">
        <v>8201149</v>
      </c>
      <c r="AZ134" s="3">
        <v>42.86</v>
      </c>
      <c r="BA134" s="3">
        <v>43.19</v>
      </c>
      <c r="BB134" s="3">
        <v>42.77</v>
      </c>
      <c r="BC134" s="3">
        <v>43.11</v>
      </c>
      <c r="BD134" s="3">
        <v>10973445</v>
      </c>
      <c r="BE134" s="3">
        <v>30.11</v>
      </c>
      <c r="BF134" s="3">
        <v>30.26</v>
      </c>
      <c r="BG134" s="3">
        <v>29.99</v>
      </c>
      <c r="BH134" s="3">
        <v>30.13</v>
      </c>
      <c r="BI134" s="3">
        <v>27147</v>
      </c>
    </row>
    <row r="135" spans="1:61" ht="13" x14ac:dyDescent="0.15">
      <c r="A135" s="3">
        <v>42320</v>
      </c>
      <c r="B135" s="3">
        <v>2072.29</v>
      </c>
      <c r="C135" s="3">
        <v>2072.29</v>
      </c>
      <c r="D135" s="3">
        <v>2045.66</v>
      </c>
      <c r="E135" s="3">
        <v>2045.97</v>
      </c>
      <c r="F135" s="3">
        <v>573865618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v>80.08</v>
      </c>
      <c r="M135" s="3">
        <v>80.59</v>
      </c>
      <c r="N135" s="3">
        <v>79.77</v>
      </c>
      <c r="O135" s="3">
        <v>79.83</v>
      </c>
      <c r="P135" s="3">
        <v>6075739</v>
      </c>
      <c r="Q135" s="3">
        <v>48.79</v>
      </c>
      <c r="R135" s="3">
        <v>48.84</v>
      </c>
      <c r="S135" s="3">
        <v>48.25</v>
      </c>
      <c r="T135" s="3">
        <v>48.25</v>
      </c>
      <c r="U135" s="3">
        <v>8473552</v>
      </c>
      <c r="V135" s="3">
        <v>66.84</v>
      </c>
      <c r="W135" s="3">
        <v>67.31</v>
      </c>
      <c r="X135" s="3">
        <v>66.13</v>
      </c>
      <c r="Y135" s="3">
        <v>66.25</v>
      </c>
      <c r="Z135" s="3">
        <v>19311471</v>
      </c>
      <c r="AA135" s="3">
        <v>19.84</v>
      </c>
      <c r="AB135" s="3">
        <v>19.850000000000001</v>
      </c>
      <c r="AC135" s="3">
        <v>19.579999999999998</v>
      </c>
      <c r="AD135" s="3">
        <v>19.59</v>
      </c>
      <c r="AE135" s="3">
        <v>54100304</v>
      </c>
      <c r="AF135" s="3">
        <v>70.78</v>
      </c>
      <c r="AG135" s="3">
        <v>70.89</v>
      </c>
      <c r="AH135" s="3">
        <v>69.739999999999995</v>
      </c>
      <c r="AI135" s="3">
        <v>69.739999999999995</v>
      </c>
      <c r="AJ135" s="3">
        <v>10870840</v>
      </c>
      <c r="AK135" s="3">
        <v>54.12</v>
      </c>
      <c r="AL135" s="3">
        <v>54.48</v>
      </c>
      <c r="AM135" s="3">
        <v>53.75</v>
      </c>
      <c r="AN135" s="3">
        <v>53.76</v>
      </c>
      <c r="AO135" s="3">
        <v>19057064</v>
      </c>
      <c r="AP135" s="3">
        <v>44.28</v>
      </c>
      <c r="AQ135" s="3">
        <v>44.34</v>
      </c>
      <c r="AR135" s="3">
        <v>43.84</v>
      </c>
      <c r="AS135" s="3">
        <v>43.84</v>
      </c>
      <c r="AT135" s="3">
        <v>9022226</v>
      </c>
      <c r="AU135" s="3">
        <v>43.39</v>
      </c>
      <c r="AV135" s="3">
        <v>43.6</v>
      </c>
      <c r="AW135" s="3">
        <v>43.21</v>
      </c>
      <c r="AX135" s="3">
        <v>43.22</v>
      </c>
      <c r="AY135" s="3">
        <v>8033958</v>
      </c>
      <c r="AZ135" s="3">
        <v>43</v>
      </c>
      <c r="BA135" s="3">
        <v>43.41</v>
      </c>
      <c r="BB135" s="3">
        <v>42.67</v>
      </c>
      <c r="BC135" s="3">
        <v>42.7</v>
      </c>
      <c r="BD135" s="3">
        <v>8839646</v>
      </c>
      <c r="BE135" s="3">
        <v>29.86</v>
      </c>
      <c r="BF135" s="3">
        <v>30.08</v>
      </c>
      <c r="BG135" s="3">
        <v>29.86</v>
      </c>
      <c r="BH135" s="3">
        <v>29.95</v>
      </c>
      <c r="BI135" s="3">
        <v>63887</v>
      </c>
    </row>
    <row r="136" spans="1:61" ht="13" x14ac:dyDescent="0.15">
      <c r="A136" s="3">
        <v>42321</v>
      </c>
      <c r="B136" s="3">
        <v>2044.64</v>
      </c>
      <c r="C136" s="3">
        <v>2044.64</v>
      </c>
      <c r="D136" s="3">
        <v>2022.02</v>
      </c>
      <c r="E136" s="3">
        <v>2023.04</v>
      </c>
      <c r="F136" s="3">
        <v>652851199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v>79.319999999999993</v>
      </c>
      <c r="M136" s="3">
        <v>79.430000000000007</v>
      </c>
      <c r="N136" s="3">
        <v>77.64</v>
      </c>
      <c r="O136" s="3">
        <v>77.73</v>
      </c>
      <c r="P136" s="3">
        <v>11377220</v>
      </c>
      <c r="Q136" s="3">
        <v>48.11</v>
      </c>
      <c r="R136" s="3">
        <v>48.33</v>
      </c>
      <c r="S136" s="3">
        <v>47.79</v>
      </c>
      <c r="T136" s="3">
        <v>47.83</v>
      </c>
      <c r="U136" s="3">
        <v>9112391</v>
      </c>
      <c r="V136" s="3">
        <v>66.03</v>
      </c>
      <c r="W136" s="3">
        <v>66.58</v>
      </c>
      <c r="X136" s="3">
        <v>65.2</v>
      </c>
      <c r="Y136" s="3">
        <v>65.98</v>
      </c>
      <c r="Z136" s="3">
        <v>17779635</v>
      </c>
      <c r="AA136" s="3">
        <v>19.489999999999998</v>
      </c>
      <c r="AB136" s="3">
        <v>19.63</v>
      </c>
      <c r="AC136" s="3">
        <v>19.37</v>
      </c>
      <c r="AD136" s="3">
        <v>19.420000000000002</v>
      </c>
      <c r="AE136" s="3">
        <v>43767506</v>
      </c>
      <c r="AF136" s="3">
        <v>69.599999999999994</v>
      </c>
      <c r="AG136" s="3">
        <v>70.28</v>
      </c>
      <c r="AH136" s="3">
        <v>69.48</v>
      </c>
      <c r="AI136" s="3">
        <v>69.569999999999993</v>
      </c>
      <c r="AJ136" s="3">
        <v>18196826</v>
      </c>
      <c r="AK136" s="3">
        <v>53.55</v>
      </c>
      <c r="AL136" s="3">
        <v>53.96</v>
      </c>
      <c r="AM136" s="3">
        <v>53.43</v>
      </c>
      <c r="AN136" s="3">
        <v>53.52</v>
      </c>
      <c r="AO136" s="3">
        <v>13959103</v>
      </c>
      <c r="AP136" s="3">
        <v>43.81</v>
      </c>
      <c r="AQ136" s="3">
        <v>44.63</v>
      </c>
      <c r="AR136" s="3">
        <v>43.74</v>
      </c>
      <c r="AS136" s="3">
        <v>44.4</v>
      </c>
      <c r="AT136" s="3">
        <v>7082381</v>
      </c>
      <c r="AU136" s="3">
        <v>43.07</v>
      </c>
      <c r="AV136" s="3">
        <v>43.13</v>
      </c>
      <c r="AW136" s="3">
        <v>42.36</v>
      </c>
      <c r="AX136" s="3">
        <v>42.37</v>
      </c>
      <c r="AY136" s="3">
        <v>15044928</v>
      </c>
      <c r="AZ136" s="3">
        <v>42.75</v>
      </c>
      <c r="BA136" s="3">
        <v>43.05</v>
      </c>
      <c r="BB136" s="3">
        <v>42.41</v>
      </c>
      <c r="BC136" s="3">
        <v>42.54</v>
      </c>
      <c r="BD136" s="3">
        <v>9516370</v>
      </c>
      <c r="BE136" s="3">
        <v>29.82</v>
      </c>
      <c r="BF136" s="3">
        <v>29.87</v>
      </c>
      <c r="BG136" s="3">
        <v>29.56</v>
      </c>
      <c r="BH136" s="3">
        <v>29.56</v>
      </c>
      <c r="BI136" s="3">
        <v>47674</v>
      </c>
    </row>
    <row r="137" spans="1:61" ht="13" x14ac:dyDescent="0.15">
      <c r="A137" s="3">
        <v>42324</v>
      </c>
      <c r="B137" s="3">
        <v>2022.08</v>
      </c>
      <c r="C137" s="3">
        <v>2053.2199999999998</v>
      </c>
      <c r="D137" s="3">
        <v>2019.39</v>
      </c>
      <c r="E137" s="3">
        <v>2053.19</v>
      </c>
      <c r="F137" s="3">
        <v>607470471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v>77.42</v>
      </c>
      <c r="M137" s="3">
        <v>78.67</v>
      </c>
      <c r="N137" s="3">
        <v>77.260000000000005</v>
      </c>
      <c r="O137" s="3">
        <v>78.67</v>
      </c>
      <c r="P137" s="3">
        <v>7383208</v>
      </c>
      <c r="Q137" s="3">
        <v>47.67</v>
      </c>
      <c r="R137" s="3">
        <v>48.66</v>
      </c>
      <c r="S137" s="3">
        <v>47.67</v>
      </c>
      <c r="T137" s="3">
        <v>48.65</v>
      </c>
      <c r="U137" s="3">
        <v>9735265</v>
      </c>
      <c r="V137" s="3">
        <v>65.89</v>
      </c>
      <c r="W137" s="3">
        <v>68.25</v>
      </c>
      <c r="X137" s="3">
        <v>65.84</v>
      </c>
      <c r="Y137" s="3">
        <v>68.180000000000007</v>
      </c>
      <c r="Z137" s="3">
        <v>17362594</v>
      </c>
      <c r="AA137" s="3">
        <v>19.37</v>
      </c>
      <c r="AB137" s="3">
        <v>19.66</v>
      </c>
      <c r="AC137" s="3">
        <v>19.329999999999998</v>
      </c>
      <c r="AD137" s="3">
        <v>19.66</v>
      </c>
      <c r="AE137" s="3">
        <v>43508875</v>
      </c>
      <c r="AF137" s="3">
        <v>69.42</v>
      </c>
      <c r="AG137" s="3">
        <v>70.44</v>
      </c>
      <c r="AH137" s="3">
        <v>69.41</v>
      </c>
      <c r="AI137" s="3">
        <v>70.44</v>
      </c>
      <c r="AJ137" s="3">
        <v>12959812</v>
      </c>
      <c r="AK137" s="3">
        <v>53.24</v>
      </c>
      <c r="AL137" s="3">
        <v>54.25</v>
      </c>
      <c r="AM137" s="3">
        <v>53.24</v>
      </c>
      <c r="AN137" s="3">
        <v>54.21</v>
      </c>
      <c r="AO137" s="3">
        <v>13303898</v>
      </c>
      <c r="AP137" s="3">
        <v>44.49</v>
      </c>
      <c r="AQ137" s="3">
        <v>45</v>
      </c>
      <c r="AR137" s="3">
        <v>44.33</v>
      </c>
      <c r="AS137" s="3">
        <v>44.97</v>
      </c>
      <c r="AT137" s="3">
        <v>7731495</v>
      </c>
      <c r="AU137" s="3">
        <v>42.3</v>
      </c>
      <c r="AV137" s="3">
        <v>43.03</v>
      </c>
      <c r="AW137" s="3">
        <v>42.28</v>
      </c>
      <c r="AX137" s="3">
        <v>43.02</v>
      </c>
      <c r="AY137" s="3">
        <v>9079200</v>
      </c>
      <c r="AZ137" s="3">
        <v>42.62</v>
      </c>
      <c r="BA137" s="3">
        <v>43.27</v>
      </c>
      <c r="BB137" s="3">
        <v>42.47</v>
      </c>
      <c r="BC137" s="3">
        <v>43.26</v>
      </c>
      <c r="BD137" s="3">
        <v>9175613</v>
      </c>
      <c r="BE137" s="3">
        <v>29.53</v>
      </c>
      <c r="BF137" s="3">
        <v>29.62</v>
      </c>
      <c r="BG137" s="3">
        <v>29.53</v>
      </c>
      <c r="BH137" s="3">
        <v>29.53</v>
      </c>
      <c r="BI137" s="3">
        <v>4200</v>
      </c>
    </row>
    <row r="138" spans="1:61" ht="13" x14ac:dyDescent="0.15">
      <c r="A138" s="3">
        <v>42325</v>
      </c>
      <c r="B138" s="3">
        <v>2053.67</v>
      </c>
      <c r="C138" s="3">
        <v>2066.69</v>
      </c>
      <c r="D138" s="3">
        <v>2045.9</v>
      </c>
      <c r="E138" s="3">
        <v>2050.44</v>
      </c>
      <c r="F138" s="3">
        <v>677184030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v>79.06</v>
      </c>
      <c r="M138" s="3">
        <v>79.510000000000005</v>
      </c>
      <c r="N138" s="3">
        <v>78.56</v>
      </c>
      <c r="O138" s="3">
        <v>78.819999999999993</v>
      </c>
      <c r="P138" s="3">
        <v>7452316</v>
      </c>
      <c r="Q138" s="3">
        <v>48.78</v>
      </c>
      <c r="R138" s="3">
        <v>49.03</v>
      </c>
      <c r="S138" s="3">
        <v>48.49</v>
      </c>
      <c r="T138" s="3">
        <v>48.63</v>
      </c>
      <c r="U138" s="3">
        <v>8056342</v>
      </c>
      <c r="V138" s="3">
        <v>68</v>
      </c>
      <c r="W138" s="3">
        <v>68.28</v>
      </c>
      <c r="X138" s="3">
        <v>67.180000000000007</v>
      </c>
      <c r="Y138" s="3">
        <v>67.430000000000007</v>
      </c>
      <c r="Z138" s="3">
        <v>15228861</v>
      </c>
      <c r="AA138" s="3">
        <v>19.739999999999998</v>
      </c>
      <c r="AB138" s="3">
        <v>19.8</v>
      </c>
      <c r="AC138" s="3">
        <v>19.579999999999998</v>
      </c>
      <c r="AD138" s="3">
        <v>19.62</v>
      </c>
      <c r="AE138" s="3">
        <v>37378717</v>
      </c>
      <c r="AF138" s="3">
        <v>70.58</v>
      </c>
      <c r="AG138" s="3">
        <v>71.209999999999994</v>
      </c>
      <c r="AH138" s="3">
        <v>70.22</v>
      </c>
      <c r="AI138" s="3">
        <v>70.739999999999995</v>
      </c>
      <c r="AJ138" s="3">
        <v>7882337</v>
      </c>
      <c r="AK138" s="3">
        <v>54.28</v>
      </c>
      <c r="AL138" s="3">
        <v>54.48</v>
      </c>
      <c r="AM138" s="3">
        <v>53.94</v>
      </c>
      <c r="AN138" s="3">
        <v>54.1</v>
      </c>
      <c r="AO138" s="3">
        <v>15564418</v>
      </c>
      <c r="AP138" s="3">
        <v>45.05</v>
      </c>
      <c r="AQ138" s="3">
        <v>45.37</v>
      </c>
      <c r="AR138" s="3">
        <v>44.8</v>
      </c>
      <c r="AS138" s="3">
        <v>44.92</v>
      </c>
      <c r="AT138" s="3">
        <v>12751124</v>
      </c>
      <c r="AU138" s="3">
        <v>43.11</v>
      </c>
      <c r="AV138" s="3">
        <v>43.36</v>
      </c>
      <c r="AW138" s="3">
        <v>42.94</v>
      </c>
      <c r="AX138" s="3">
        <v>43.03</v>
      </c>
      <c r="AY138" s="3">
        <v>9394585</v>
      </c>
      <c r="AZ138" s="3">
        <v>43.24</v>
      </c>
      <c r="BA138" s="3">
        <v>43.5</v>
      </c>
      <c r="BB138" s="3">
        <v>42.36</v>
      </c>
      <c r="BC138" s="3">
        <v>42.48</v>
      </c>
      <c r="BD138" s="3">
        <v>13494004</v>
      </c>
      <c r="BE138" s="3">
        <v>30</v>
      </c>
      <c r="BF138" s="3">
        <v>30.18</v>
      </c>
      <c r="BG138" s="3">
        <v>29.93</v>
      </c>
      <c r="BH138" s="3">
        <v>29.99</v>
      </c>
      <c r="BI138" s="3">
        <v>25680</v>
      </c>
    </row>
    <row r="139" spans="1:61" ht="13" x14ac:dyDescent="0.15">
      <c r="A139" s="3">
        <v>42326</v>
      </c>
      <c r="B139" s="3">
        <v>2051.9899999999998</v>
      </c>
      <c r="C139" s="3">
        <v>2085.31</v>
      </c>
      <c r="D139" s="3">
        <v>2051.9899999999998</v>
      </c>
      <c r="E139" s="3">
        <v>2083.58</v>
      </c>
      <c r="F139" s="3">
        <v>608652201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v>79.040000000000006</v>
      </c>
      <c r="M139" s="3">
        <v>80.27</v>
      </c>
      <c r="N139" s="3">
        <v>78.86</v>
      </c>
      <c r="O139" s="3">
        <v>80.17</v>
      </c>
      <c r="P139" s="3">
        <v>7137626</v>
      </c>
      <c r="Q139" s="3">
        <v>48.77</v>
      </c>
      <c r="R139" s="3">
        <v>49.33</v>
      </c>
      <c r="S139" s="3">
        <v>48.7</v>
      </c>
      <c r="T139" s="3">
        <v>49.3</v>
      </c>
      <c r="U139" s="3">
        <v>7826236</v>
      </c>
      <c r="V139" s="3">
        <v>67.900000000000006</v>
      </c>
      <c r="W139" s="3">
        <v>68.63</v>
      </c>
      <c r="X139" s="3">
        <v>67.260000000000005</v>
      </c>
      <c r="Y139" s="3">
        <v>68.540000000000006</v>
      </c>
      <c r="Z139" s="3">
        <v>20951510</v>
      </c>
      <c r="AA139" s="3">
        <v>19.73</v>
      </c>
      <c r="AB139" s="3">
        <v>19.989999999999998</v>
      </c>
      <c r="AC139" s="3">
        <v>19.670000000000002</v>
      </c>
      <c r="AD139" s="3">
        <v>19.97</v>
      </c>
      <c r="AE139" s="3">
        <v>67890203</v>
      </c>
      <c r="AF139" s="3">
        <v>70.78</v>
      </c>
      <c r="AG139" s="3">
        <v>72.2</v>
      </c>
      <c r="AH139" s="3">
        <v>70.78</v>
      </c>
      <c r="AI139" s="3">
        <v>72.12</v>
      </c>
      <c r="AJ139" s="3">
        <v>12816317</v>
      </c>
      <c r="AK139" s="3">
        <v>54.15</v>
      </c>
      <c r="AL139" s="3">
        <v>54.87</v>
      </c>
      <c r="AM139" s="3">
        <v>54.15</v>
      </c>
      <c r="AN139" s="3">
        <v>54.85</v>
      </c>
      <c r="AO139" s="3">
        <v>10434826</v>
      </c>
      <c r="AP139" s="3">
        <v>45.08</v>
      </c>
      <c r="AQ139" s="3">
        <v>45.76</v>
      </c>
      <c r="AR139" s="3">
        <v>44.96</v>
      </c>
      <c r="AS139" s="3">
        <v>45.72</v>
      </c>
      <c r="AT139" s="3">
        <v>7880256</v>
      </c>
      <c r="AU139" s="3">
        <v>43.23</v>
      </c>
      <c r="AV139" s="3">
        <v>43.72</v>
      </c>
      <c r="AW139" s="3">
        <v>43.18</v>
      </c>
      <c r="AX139" s="3">
        <v>43.68</v>
      </c>
      <c r="AY139" s="3">
        <v>10166809</v>
      </c>
      <c r="AZ139" s="3">
        <v>42.51</v>
      </c>
      <c r="BA139" s="3">
        <v>42.84</v>
      </c>
      <c r="BB139" s="3">
        <v>42.13</v>
      </c>
      <c r="BC139" s="3">
        <v>42.75</v>
      </c>
      <c r="BD139" s="3">
        <v>15462533</v>
      </c>
      <c r="BE139" s="3">
        <v>29.64</v>
      </c>
      <c r="BF139" s="3">
        <v>30.34</v>
      </c>
      <c r="BG139" s="3">
        <v>26.7</v>
      </c>
      <c r="BH139" s="3">
        <v>30.34</v>
      </c>
      <c r="BI139" s="3">
        <v>28556</v>
      </c>
    </row>
    <row r="140" spans="1:61" ht="13" x14ac:dyDescent="0.15">
      <c r="A140" s="3">
        <v>42327</v>
      </c>
      <c r="B140" s="3">
        <v>2083.6999999999998</v>
      </c>
      <c r="C140" s="3">
        <v>2086.7399999999998</v>
      </c>
      <c r="D140" s="3">
        <v>2078.7600000000002</v>
      </c>
      <c r="E140" s="3">
        <v>2081.2399999999998</v>
      </c>
      <c r="F140" s="3">
        <v>536851932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3">
        <v>80.23</v>
      </c>
      <c r="M140" s="3">
        <v>80.569999999999993</v>
      </c>
      <c r="N140" s="3">
        <v>80.05</v>
      </c>
      <c r="O140" s="3">
        <v>80.27</v>
      </c>
      <c r="P140" s="3">
        <v>5685216</v>
      </c>
      <c r="Q140" s="3">
        <v>49.33</v>
      </c>
      <c r="R140" s="3">
        <v>49.65</v>
      </c>
      <c r="S140" s="3">
        <v>49.32</v>
      </c>
      <c r="T140" s="3">
        <v>49.43</v>
      </c>
      <c r="U140" s="3">
        <v>7421069</v>
      </c>
      <c r="V140" s="3">
        <v>68.14</v>
      </c>
      <c r="W140" s="3">
        <v>68.510000000000005</v>
      </c>
      <c r="X140" s="3">
        <v>67.06</v>
      </c>
      <c r="Y140" s="3">
        <v>67.62</v>
      </c>
      <c r="Z140" s="3">
        <v>18912499</v>
      </c>
      <c r="AA140" s="3">
        <v>19.98</v>
      </c>
      <c r="AB140" s="3">
        <v>20.04</v>
      </c>
      <c r="AC140" s="3">
        <v>19.899999999999999</v>
      </c>
      <c r="AD140" s="3">
        <v>20</v>
      </c>
      <c r="AE140" s="3">
        <v>28930225</v>
      </c>
      <c r="AF140" s="3">
        <v>71.66</v>
      </c>
      <c r="AG140" s="3">
        <v>71.75</v>
      </c>
      <c r="AH140" s="3">
        <v>70.849999999999994</v>
      </c>
      <c r="AI140" s="3">
        <v>70.91</v>
      </c>
      <c r="AJ140" s="3">
        <v>11127995</v>
      </c>
      <c r="AK140" s="3">
        <v>54.72</v>
      </c>
      <c r="AL140" s="3">
        <v>55.14</v>
      </c>
      <c r="AM140" s="3">
        <v>54.72</v>
      </c>
      <c r="AN140" s="3">
        <v>55.09</v>
      </c>
      <c r="AO140" s="3">
        <v>12257398</v>
      </c>
      <c r="AP140" s="3">
        <v>45.61</v>
      </c>
      <c r="AQ140" s="3">
        <v>45.93</v>
      </c>
      <c r="AR140" s="3">
        <v>45.59</v>
      </c>
      <c r="AS140" s="3">
        <v>45.67</v>
      </c>
      <c r="AT140" s="3">
        <v>5293053</v>
      </c>
      <c r="AU140" s="3">
        <v>43.72</v>
      </c>
      <c r="AV140" s="3">
        <v>44.09</v>
      </c>
      <c r="AW140" s="3">
        <v>43.71</v>
      </c>
      <c r="AX140" s="3">
        <v>43.88</v>
      </c>
      <c r="AY140" s="3">
        <v>9367494</v>
      </c>
      <c r="AZ140" s="3">
        <v>42.85</v>
      </c>
      <c r="BA140" s="3">
        <v>43.3</v>
      </c>
      <c r="BB140" s="3">
        <v>42.81</v>
      </c>
      <c r="BC140" s="3">
        <v>43.21</v>
      </c>
      <c r="BD140" s="3">
        <v>12364822</v>
      </c>
      <c r="BE140" s="3">
        <v>30.41</v>
      </c>
      <c r="BF140" s="3">
        <v>30.55</v>
      </c>
      <c r="BG140" s="3">
        <v>30.41</v>
      </c>
      <c r="BH140" s="3">
        <v>30.51</v>
      </c>
      <c r="BI140" s="3">
        <v>3517</v>
      </c>
    </row>
    <row r="141" spans="1:61" ht="13" x14ac:dyDescent="0.15">
      <c r="A141" s="3">
        <v>42328</v>
      </c>
      <c r="B141" s="3">
        <v>2082.8200000000002</v>
      </c>
      <c r="C141" s="3">
        <v>2097.06</v>
      </c>
      <c r="D141" s="3">
        <v>2082.8200000000002</v>
      </c>
      <c r="E141" s="3">
        <v>2089.17</v>
      </c>
      <c r="F141" s="3">
        <v>689172913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3">
        <v>80.88</v>
      </c>
      <c r="M141" s="3">
        <v>81.239999999999995</v>
      </c>
      <c r="N141" s="3">
        <v>80.680000000000007</v>
      </c>
      <c r="O141" s="3">
        <v>81.23</v>
      </c>
      <c r="P141" s="3">
        <v>5564915</v>
      </c>
      <c r="Q141" s="3">
        <v>49.65</v>
      </c>
      <c r="R141" s="3">
        <v>49.88</v>
      </c>
      <c r="S141" s="3">
        <v>49.04</v>
      </c>
      <c r="T141" s="3">
        <v>49.08</v>
      </c>
      <c r="U141" s="3">
        <v>5487155</v>
      </c>
      <c r="V141" s="3">
        <v>67.64</v>
      </c>
      <c r="W141" s="3">
        <v>67.95</v>
      </c>
      <c r="X141" s="3">
        <v>66.83</v>
      </c>
      <c r="Y141" s="3">
        <v>66.900000000000006</v>
      </c>
      <c r="Z141" s="3">
        <v>14213981</v>
      </c>
      <c r="AA141" s="3">
        <v>20.059999999999999</v>
      </c>
      <c r="AB141" s="3">
        <v>20.11</v>
      </c>
      <c r="AC141" s="3">
        <v>19.97</v>
      </c>
      <c r="AD141" s="3">
        <v>20.03</v>
      </c>
      <c r="AE141" s="3">
        <v>35897068</v>
      </c>
      <c r="AF141" s="3">
        <v>71.28</v>
      </c>
      <c r="AG141" s="3">
        <v>71.87</v>
      </c>
      <c r="AH141" s="3">
        <v>71.28</v>
      </c>
      <c r="AI141" s="3">
        <v>71.52</v>
      </c>
      <c r="AJ141" s="3">
        <v>9224471</v>
      </c>
      <c r="AK141" s="3">
        <v>55.31</v>
      </c>
      <c r="AL141" s="3">
        <v>55.56</v>
      </c>
      <c r="AM141" s="3">
        <v>55.16</v>
      </c>
      <c r="AN141" s="3">
        <v>55.37</v>
      </c>
      <c r="AO141" s="3">
        <v>9014059</v>
      </c>
      <c r="AP141" s="3">
        <v>45.78</v>
      </c>
      <c r="AQ141" s="3">
        <v>45.99</v>
      </c>
      <c r="AR141" s="3">
        <v>45.42</v>
      </c>
      <c r="AS141" s="3">
        <v>45.53</v>
      </c>
      <c r="AT141" s="3">
        <v>3729735</v>
      </c>
      <c r="AU141" s="3">
        <v>44.06</v>
      </c>
      <c r="AV141" s="3">
        <v>44.22</v>
      </c>
      <c r="AW141" s="3">
        <v>44.01</v>
      </c>
      <c r="AX141" s="3">
        <v>44.2</v>
      </c>
      <c r="AY141" s="3">
        <v>7288219</v>
      </c>
      <c r="AZ141" s="3">
        <v>43.28</v>
      </c>
      <c r="BA141" s="3">
        <v>43.7</v>
      </c>
      <c r="BB141" s="3">
        <v>43.2</v>
      </c>
      <c r="BC141" s="3">
        <v>43.39</v>
      </c>
      <c r="BD141" s="3">
        <v>12519953</v>
      </c>
      <c r="BE141" s="3">
        <v>30.71</v>
      </c>
      <c r="BF141" s="3">
        <v>30.77</v>
      </c>
      <c r="BG141" s="3">
        <v>30.71</v>
      </c>
      <c r="BH141" s="3">
        <v>30.76</v>
      </c>
      <c r="BI141" s="3">
        <v>597</v>
      </c>
    </row>
    <row r="142" spans="1:61" ht="13" x14ac:dyDescent="0.15">
      <c r="A142" s="3">
        <v>42331</v>
      </c>
      <c r="B142" s="3">
        <v>2089.41</v>
      </c>
      <c r="C142" s="3">
        <v>2095.61</v>
      </c>
      <c r="D142" s="3">
        <v>2081.39</v>
      </c>
      <c r="E142" s="3">
        <v>2086.59</v>
      </c>
      <c r="F142" s="3">
        <v>571414251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3">
        <v>81.36</v>
      </c>
      <c r="M142" s="3">
        <v>81.849999999999994</v>
      </c>
      <c r="N142" s="3">
        <v>81.209999999999994</v>
      </c>
      <c r="O142" s="3">
        <v>81.53</v>
      </c>
      <c r="P142" s="3">
        <v>4172024</v>
      </c>
      <c r="Q142" s="3">
        <v>49.09</v>
      </c>
      <c r="R142" s="3">
        <v>49.6</v>
      </c>
      <c r="S142" s="3">
        <v>49.09</v>
      </c>
      <c r="T142" s="3">
        <v>49.51</v>
      </c>
      <c r="U142" s="3">
        <v>5316647</v>
      </c>
      <c r="V142" s="3">
        <v>66.84</v>
      </c>
      <c r="W142" s="3">
        <v>67.760000000000005</v>
      </c>
      <c r="X142" s="3">
        <v>66.41</v>
      </c>
      <c r="Y142" s="3">
        <v>67.38</v>
      </c>
      <c r="Z142" s="3">
        <v>16407325</v>
      </c>
      <c r="AA142" s="3">
        <v>20.03</v>
      </c>
      <c r="AB142" s="3">
        <v>20.09</v>
      </c>
      <c r="AC142" s="3">
        <v>19.93</v>
      </c>
      <c r="AD142" s="3">
        <v>19.95</v>
      </c>
      <c r="AE142" s="3">
        <v>25856073</v>
      </c>
      <c r="AF142" s="3">
        <v>71.38</v>
      </c>
      <c r="AG142" s="3">
        <v>71.78</v>
      </c>
      <c r="AH142" s="3">
        <v>71.13</v>
      </c>
      <c r="AI142" s="3">
        <v>71.34</v>
      </c>
      <c r="AJ142" s="3">
        <v>10362770</v>
      </c>
      <c r="AK142" s="3">
        <v>55.42</v>
      </c>
      <c r="AL142" s="3">
        <v>55.49</v>
      </c>
      <c r="AM142" s="3">
        <v>54.95</v>
      </c>
      <c r="AN142" s="3">
        <v>55.09</v>
      </c>
      <c r="AO142" s="3">
        <v>9955959</v>
      </c>
      <c r="AP142" s="3">
        <v>45.6</v>
      </c>
      <c r="AQ142" s="3">
        <v>45.94</v>
      </c>
      <c r="AR142" s="3">
        <v>45.52</v>
      </c>
      <c r="AS142" s="3">
        <v>45.59</v>
      </c>
      <c r="AT142" s="3">
        <v>3828129</v>
      </c>
      <c r="AU142" s="3">
        <v>44.23</v>
      </c>
      <c r="AV142" s="3">
        <v>44.25</v>
      </c>
      <c r="AW142" s="3">
        <v>43.78</v>
      </c>
      <c r="AX142" s="3">
        <v>43.94</v>
      </c>
      <c r="AY142" s="3">
        <v>7227077</v>
      </c>
      <c r="AZ142" s="3">
        <v>43.44</v>
      </c>
      <c r="BA142" s="3">
        <v>43.49</v>
      </c>
      <c r="BB142" s="3">
        <v>42.92</v>
      </c>
      <c r="BC142" s="3">
        <v>42.99</v>
      </c>
      <c r="BD142" s="3">
        <v>11896973</v>
      </c>
      <c r="BE142" s="3">
        <v>30.97</v>
      </c>
      <c r="BF142" s="3">
        <v>31.01</v>
      </c>
      <c r="BG142" s="3">
        <v>30.92</v>
      </c>
      <c r="BH142" s="3">
        <v>30.92</v>
      </c>
      <c r="BI142" s="3">
        <v>2392</v>
      </c>
    </row>
    <row r="143" spans="1:61" ht="13" x14ac:dyDescent="0.15">
      <c r="A143" s="3">
        <v>42332</v>
      </c>
      <c r="B143" s="3">
        <v>2084.42</v>
      </c>
      <c r="C143" s="3">
        <v>2094.12</v>
      </c>
      <c r="D143" s="3">
        <v>2070.29</v>
      </c>
      <c r="E143" s="3">
        <v>2089.14</v>
      </c>
      <c r="F143" s="3">
        <v>607006689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3">
        <v>80.89</v>
      </c>
      <c r="M143" s="3">
        <v>81.599999999999994</v>
      </c>
      <c r="N143" s="3">
        <v>80.52</v>
      </c>
      <c r="O143" s="3">
        <v>81.36</v>
      </c>
      <c r="P143" s="3">
        <v>4545537</v>
      </c>
      <c r="Q143" s="3">
        <v>49.39</v>
      </c>
      <c r="R143" s="3">
        <v>49.77</v>
      </c>
      <c r="S143" s="3">
        <v>49.17</v>
      </c>
      <c r="T143" s="3">
        <v>49.64</v>
      </c>
      <c r="U143" s="3">
        <v>9786017</v>
      </c>
      <c r="V143" s="3">
        <v>67.7</v>
      </c>
      <c r="W143" s="3">
        <v>69.13</v>
      </c>
      <c r="X143" s="3">
        <v>67.569999999999993</v>
      </c>
      <c r="Y143" s="3">
        <v>68.819999999999993</v>
      </c>
      <c r="Z143" s="3">
        <v>18943055</v>
      </c>
      <c r="AA143" s="3">
        <v>19.829999999999998</v>
      </c>
      <c r="AB143" s="3">
        <v>19.96</v>
      </c>
      <c r="AC143" s="3">
        <v>19.72</v>
      </c>
      <c r="AD143" s="3">
        <v>19.899999999999999</v>
      </c>
      <c r="AE143" s="3">
        <v>29177017</v>
      </c>
      <c r="AF143" s="3">
        <v>70.900000000000006</v>
      </c>
      <c r="AG143" s="3">
        <v>71.63</v>
      </c>
      <c r="AH143" s="3">
        <v>70.86</v>
      </c>
      <c r="AI143" s="3">
        <v>71.56</v>
      </c>
      <c r="AJ143" s="3">
        <v>7174651</v>
      </c>
      <c r="AK143" s="3">
        <v>54.73</v>
      </c>
      <c r="AL143" s="3">
        <v>55.13</v>
      </c>
      <c r="AM143" s="3">
        <v>54.54</v>
      </c>
      <c r="AN143" s="3">
        <v>55</v>
      </c>
      <c r="AO143" s="3">
        <v>15131449</v>
      </c>
      <c r="AP143" s="3">
        <v>45.23</v>
      </c>
      <c r="AQ143" s="3">
        <v>46.09</v>
      </c>
      <c r="AR143" s="3">
        <v>45.23</v>
      </c>
      <c r="AS143" s="3">
        <v>45.97</v>
      </c>
      <c r="AT143" s="3">
        <v>6253367</v>
      </c>
      <c r="AU143" s="3">
        <v>43.61</v>
      </c>
      <c r="AV143" s="3">
        <v>44.09</v>
      </c>
      <c r="AW143" s="3">
        <v>43.51</v>
      </c>
      <c r="AX143" s="3">
        <v>43.95</v>
      </c>
      <c r="AY143" s="3">
        <v>11303412</v>
      </c>
      <c r="AZ143" s="3">
        <v>42.8</v>
      </c>
      <c r="BA143" s="3">
        <v>42.99</v>
      </c>
      <c r="BB143" s="3">
        <v>42.59</v>
      </c>
      <c r="BC143" s="3">
        <v>42.93</v>
      </c>
      <c r="BD143" s="3">
        <v>8791663</v>
      </c>
      <c r="BE143" s="3">
        <v>31.02</v>
      </c>
      <c r="BF143" s="3">
        <v>31.02</v>
      </c>
      <c r="BG143" s="3">
        <v>30.45</v>
      </c>
      <c r="BH143" s="3">
        <v>30.45</v>
      </c>
      <c r="BI143" s="3">
        <v>2524</v>
      </c>
    </row>
    <row r="144" spans="1:61" ht="13" x14ac:dyDescent="0.15">
      <c r="A144" s="3">
        <v>42333</v>
      </c>
      <c r="B144" s="3">
        <v>2089.3000000000002</v>
      </c>
      <c r="C144" s="3">
        <v>2093</v>
      </c>
      <c r="D144" s="3">
        <v>2086.3000000000002</v>
      </c>
      <c r="E144" s="3">
        <v>2088.87</v>
      </c>
      <c r="F144" s="3">
        <v>440227053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3">
        <v>81.510000000000005</v>
      </c>
      <c r="M144" s="3">
        <v>81.900000000000006</v>
      </c>
      <c r="N144" s="3">
        <v>81.48</v>
      </c>
      <c r="O144" s="3">
        <v>81.77</v>
      </c>
      <c r="P144" s="3">
        <v>3703169</v>
      </c>
      <c r="Q144" s="3">
        <v>49.64</v>
      </c>
      <c r="R144" s="3">
        <v>49.89</v>
      </c>
      <c r="S144" s="3">
        <v>49.6</v>
      </c>
      <c r="T144" s="3">
        <v>49.77</v>
      </c>
      <c r="U144" s="3">
        <v>5599005</v>
      </c>
      <c r="V144" s="3">
        <v>68.239999999999995</v>
      </c>
      <c r="W144" s="3">
        <v>68.83</v>
      </c>
      <c r="X144" s="3">
        <v>67.84</v>
      </c>
      <c r="Y144" s="3">
        <v>68.260000000000005</v>
      </c>
      <c r="Z144" s="3">
        <v>11100621</v>
      </c>
      <c r="AA144" s="3">
        <v>19.899999999999999</v>
      </c>
      <c r="AB144" s="3">
        <v>19.95</v>
      </c>
      <c r="AC144" s="3">
        <v>19.850000000000001</v>
      </c>
      <c r="AD144" s="3">
        <v>19.91</v>
      </c>
      <c r="AE144" s="3">
        <v>19680009</v>
      </c>
      <c r="AF144" s="3">
        <v>71.75</v>
      </c>
      <c r="AG144" s="3">
        <v>72.05</v>
      </c>
      <c r="AH144" s="3">
        <v>71.599999999999994</v>
      </c>
      <c r="AI144" s="3">
        <v>71.95</v>
      </c>
      <c r="AJ144" s="3">
        <v>4594389</v>
      </c>
      <c r="AK144" s="3">
        <v>55.15</v>
      </c>
      <c r="AL144" s="3">
        <v>55.16</v>
      </c>
      <c r="AM144" s="3">
        <v>54.9</v>
      </c>
      <c r="AN144" s="3">
        <v>55</v>
      </c>
      <c r="AO144" s="3">
        <v>6406759</v>
      </c>
      <c r="AP144" s="3">
        <v>45.97</v>
      </c>
      <c r="AQ144" s="3">
        <v>46.05</v>
      </c>
      <c r="AR144" s="3">
        <v>45.62</v>
      </c>
      <c r="AS144" s="3">
        <v>45.68</v>
      </c>
      <c r="AT144" s="3">
        <v>4158988</v>
      </c>
      <c r="AU144" s="3">
        <v>43.96</v>
      </c>
      <c r="AV144" s="3">
        <v>43.97</v>
      </c>
      <c r="AW144" s="3">
        <v>43.8</v>
      </c>
      <c r="AX144" s="3">
        <v>43.81</v>
      </c>
      <c r="AY144" s="3">
        <v>6576566</v>
      </c>
      <c r="AZ144" s="3">
        <v>42.92</v>
      </c>
      <c r="BA144" s="3">
        <v>42.92</v>
      </c>
      <c r="BB144" s="3">
        <v>42.51</v>
      </c>
      <c r="BC144" s="3">
        <v>42.67</v>
      </c>
      <c r="BD144" s="3">
        <v>7678239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</row>
    <row r="145" spans="1:61" ht="13" x14ac:dyDescent="0.15">
      <c r="A145" s="3">
        <v>42335</v>
      </c>
      <c r="B145" s="3">
        <v>2088.8200000000002</v>
      </c>
      <c r="C145" s="3">
        <v>2093.29</v>
      </c>
      <c r="D145" s="3">
        <v>2084.13</v>
      </c>
      <c r="E145" s="3">
        <v>2090.11</v>
      </c>
      <c r="F145" s="3">
        <v>240297214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3">
        <v>81.790000000000006</v>
      </c>
      <c r="M145" s="3">
        <v>81.790000000000006</v>
      </c>
      <c r="N145" s="3">
        <v>81.13</v>
      </c>
      <c r="O145" s="3">
        <v>81.47</v>
      </c>
      <c r="P145" s="3">
        <v>2282568</v>
      </c>
      <c r="Q145" s="3">
        <v>49.75</v>
      </c>
      <c r="R145" s="3">
        <v>50.07</v>
      </c>
      <c r="S145" s="3">
        <v>49.75</v>
      </c>
      <c r="T145" s="3">
        <v>49.96</v>
      </c>
      <c r="U145" s="3">
        <v>2712628</v>
      </c>
      <c r="V145" s="3">
        <v>67.709999999999994</v>
      </c>
      <c r="W145" s="3">
        <v>68.05</v>
      </c>
      <c r="X145" s="3">
        <v>67.53</v>
      </c>
      <c r="Y145" s="3">
        <v>67.77</v>
      </c>
      <c r="Z145" s="3">
        <v>8376368</v>
      </c>
      <c r="AA145" s="3">
        <v>19.940000000000001</v>
      </c>
      <c r="AB145" s="3">
        <v>19.98</v>
      </c>
      <c r="AC145" s="3">
        <v>19.850000000000001</v>
      </c>
      <c r="AD145" s="3">
        <v>19.96</v>
      </c>
      <c r="AE145" s="3">
        <v>18839345</v>
      </c>
      <c r="AF145" s="3">
        <v>72.14</v>
      </c>
      <c r="AG145" s="3">
        <v>72.22</v>
      </c>
      <c r="AH145" s="3">
        <v>71.900000000000006</v>
      </c>
      <c r="AI145" s="3">
        <v>72.09</v>
      </c>
      <c r="AJ145" s="3">
        <v>2657960</v>
      </c>
      <c r="AK145" s="3">
        <v>54.96</v>
      </c>
      <c r="AL145" s="3">
        <v>55.17</v>
      </c>
      <c r="AM145" s="3">
        <v>54.86</v>
      </c>
      <c r="AN145" s="3">
        <v>55.1</v>
      </c>
      <c r="AO145" s="3">
        <v>4454510</v>
      </c>
      <c r="AP145" s="3">
        <v>45.62</v>
      </c>
      <c r="AQ145" s="3">
        <v>45.71</v>
      </c>
      <c r="AR145" s="3">
        <v>45.41</v>
      </c>
      <c r="AS145" s="3">
        <v>45.62</v>
      </c>
      <c r="AT145" s="3">
        <v>1270771</v>
      </c>
      <c r="AU145" s="3">
        <v>43.86</v>
      </c>
      <c r="AV145" s="3">
        <v>43.99</v>
      </c>
      <c r="AW145" s="3">
        <v>43.79</v>
      </c>
      <c r="AX145" s="3">
        <v>43.91</v>
      </c>
      <c r="AY145" s="3">
        <v>3800711</v>
      </c>
      <c r="AZ145" s="3">
        <v>42.79</v>
      </c>
      <c r="BA145" s="3">
        <v>42.95</v>
      </c>
      <c r="BB145" s="3">
        <v>42.69</v>
      </c>
      <c r="BC145" s="3">
        <v>42.75</v>
      </c>
      <c r="BD145" s="3">
        <v>3980309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</row>
    <row r="146" spans="1:61" ht="13" x14ac:dyDescent="0.15">
      <c r="A146" s="3">
        <v>42338</v>
      </c>
      <c r="B146" s="3">
        <v>2090.9499999999998</v>
      </c>
      <c r="C146" s="3">
        <v>2093.81</v>
      </c>
      <c r="D146" s="3">
        <v>2080.41</v>
      </c>
      <c r="E146" s="3">
        <v>2080.41</v>
      </c>
      <c r="F146" s="3">
        <v>818038598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3">
        <v>81.75</v>
      </c>
      <c r="M146" s="3">
        <v>81.75</v>
      </c>
      <c r="N146" s="3">
        <v>80.69</v>
      </c>
      <c r="O146" s="3">
        <v>80.78</v>
      </c>
      <c r="P146" s="3">
        <v>8647024</v>
      </c>
      <c r="Q146" s="3">
        <v>49.97</v>
      </c>
      <c r="R146" s="3">
        <v>50.07</v>
      </c>
      <c r="S146" s="3">
        <v>49.41</v>
      </c>
      <c r="T146" s="3">
        <v>49.42</v>
      </c>
      <c r="U146" s="3">
        <v>10355176</v>
      </c>
      <c r="V146" s="3">
        <v>68.05</v>
      </c>
      <c r="W146" s="3">
        <v>68.680000000000007</v>
      </c>
      <c r="X146" s="3">
        <v>67.77</v>
      </c>
      <c r="Y146" s="3">
        <v>68.02</v>
      </c>
      <c r="Z146" s="3">
        <v>17605334</v>
      </c>
      <c r="AA146" s="3">
        <v>20.03</v>
      </c>
      <c r="AB146" s="3">
        <v>20.03</v>
      </c>
      <c r="AC146" s="3">
        <v>19.91</v>
      </c>
      <c r="AD146" s="3">
        <v>19.940000000000001</v>
      </c>
      <c r="AE146" s="3">
        <v>24663779</v>
      </c>
      <c r="AF146" s="3">
        <v>72.2</v>
      </c>
      <c r="AG146" s="3">
        <v>72.209999999999994</v>
      </c>
      <c r="AH146" s="3">
        <v>71.11</v>
      </c>
      <c r="AI146" s="3">
        <v>71.11</v>
      </c>
      <c r="AJ146" s="3">
        <v>8846140</v>
      </c>
      <c r="AK146" s="3">
        <v>55.1</v>
      </c>
      <c r="AL146" s="3">
        <v>55.14</v>
      </c>
      <c r="AM146" s="3">
        <v>54.71</v>
      </c>
      <c r="AN146" s="3">
        <v>54.74</v>
      </c>
      <c r="AO146" s="3">
        <v>11017794</v>
      </c>
      <c r="AP146" s="3">
        <v>45.74</v>
      </c>
      <c r="AQ146" s="3">
        <v>45.94</v>
      </c>
      <c r="AR146" s="3">
        <v>45.57</v>
      </c>
      <c r="AS146" s="3">
        <v>45.73</v>
      </c>
      <c r="AT146" s="3">
        <v>6561316</v>
      </c>
      <c r="AU146" s="3">
        <v>43.97</v>
      </c>
      <c r="AV146" s="3">
        <v>44.1</v>
      </c>
      <c r="AW146" s="3">
        <v>43.81</v>
      </c>
      <c r="AX146" s="3">
        <v>43.96</v>
      </c>
      <c r="AY146" s="3">
        <v>17025593</v>
      </c>
      <c r="AZ146" s="3">
        <v>42.8</v>
      </c>
      <c r="BA146" s="3">
        <v>43.13</v>
      </c>
      <c r="BB146" s="3">
        <v>42.73</v>
      </c>
      <c r="BC146" s="3">
        <v>42.82</v>
      </c>
      <c r="BD146" s="3">
        <v>11373031</v>
      </c>
      <c r="BE146" s="3">
        <v>31</v>
      </c>
      <c r="BF146" s="3">
        <v>31</v>
      </c>
      <c r="BG146" s="3">
        <v>30.72</v>
      </c>
      <c r="BH146" s="3">
        <v>30.75</v>
      </c>
      <c r="BI146" s="3">
        <v>1627</v>
      </c>
    </row>
    <row r="147" spans="1:61" ht="13" x14ac:dyDescent="0.15">
      <c r="A147" s="3">
        <v>42339</v>
      </c>
      <c r="B147" s="3">
        <v>2082.9299999999998</v>
      </c>
      <c r="C147" s="3">
        <v>2103.37</v>
      </c>
      <c r="D147" s="3">
        <v>2082.9299999999998</v>
      </c>
      <c r="E147" s="3">
        <v>2102.63</v>
      </c>
      <c r="F147" s="3">
        <v>591053709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3">
        <v>81.22</v>
      </c>
      <c r="M147" s="3">
        <v>81.64</v>
      </c>
      <c r="N147" s="3">
        <v>80.989999999999995</v>
      </c>
      <c r="O147" s="3">
        <v>81.61</v>
      </c>
      <c r="P147" s="3">
        <v>8187446</v>
      </c>
      <c r="Q147" s="3">
        <v>49.52</v>
      </c>
      <c r="R147" s="3">
        <v>49.87</v>
      </c>
      <c r="S147" s="3">
        <v>49.52</v>
      </c>
      <c r="T147" s="3">
        <v>49.84</v>
      </c>
      <c r="U147" s="3">
        <v>10807852</v>
      </c>
      <c r="V147" s="3">
        <v>68.08</v>
      </c>
      <c r="W147" s="3">
        <v>68.62</v>
      </c>
      <c r="X147" s="3">
        <v>67.91</v>
      </c>
      <c r="Y147" s="3">
        <v>68.56</v>
      </c>
      <c r="Z147" s="3">
        <v>13797038</v>
      </c>
      <c r="AA147" s="3">
        <v>20.02</v>
      </c>
      <c r="AB147" s="3">
        <v>20.170000000000002</v>
      </c>
      <c r="AC147" s="3">
        <v>19.98</v>
      </c>
      <c r="AD147" s="3">
        <v>20.16</v>
      </c>
      <c r="AE147" s="3">
        <v>31087166</v>
      </c>
      <c r="AF147" s="3">
        <v>71.48</v>
      </c>
      <c r="AG147" s="3">
        <v>72.37</v>
      </c>
      <c r="AH147" s="3">
        <v>71.319999999999993</v>
      </c>
      <c r="AI147" s="3">
        <v>72.31</v>
      </c>
      <c r="AJ147" s="3">
        <v>10659529</v>
      </c>
      <c r="AK147" s="3">
        <v>54.76</v>
      </c>
      <c r="AL147" s="3">
        <v>55.18</v>
      </c>
      <c r="AM147" s="3">
        <v>54.69</v>
      </c>
      <c r="AN147" s="3">
        <v>55</v>
      </c>
      <c r="AO147" s="3">
        <v>11475851</v>
      </c>
      <c r="AP147" s="3">
        <v>45.76</v>
      </c>
      <c r="AQ147" s="3">
        <v>46.06</v>
      </c>
      <c r="AR147" s="3">
        <v>45.6</v>
      </c>
      <c r="AS147" s="3">
        <v>46.05</v>
      </c>
      <c r="AT147" s="3">
        <v>7717036</v>
      </c>
      <c r="AU147" s="3">
        <v>44.14</v>
      </c>
      <c r="AV147" s="3">
        <v>44.36</v>
      </c>
      <c r="AW147" s="3">
        <v>44.05</v>
      </c>
      <c r="AX147" s="3">
        <v>44.35</v>
      </c>
      <c r="AY147" s="3">
        <v>7779488</v>
      </c>
      <c r="AZ147" s="3">
        <v>42.92</v>
      </c>
      <c r="BA147" s="3">
        <v>43.25</v>
      </c>
      <c r="BB147" s="3">
        <v>42.75</v>
      </c>
      <c r="BC147" s="3">
        <v>43.16</v>
      </c>
      <c r="BD147" s="3">
        <v>12551543</v>
      </c>
      <c r="BE147" s="3">
        <v>30.98</v>
      </c>
      <c r="BF147" s="3">
        <v>31.26</v>
      </c>
      <c r="BG147" s="3">
        <v>30.98</v>
      </c>
      <c r="BH147" s="3">
        <v>31.26</v>
      </c>
      <c r="BI147" s="3">
        <v>5557</v>
      </c>
    </row>
    <row r="148" spans="1:61" ht="13" x14ac:dyDescent="0.15">
      <c r="A148" s="3">
        <v>42340</v>
      </c>
      <c r="B148" s="3">
        <v>2101.71</v>
      </c>
      <c r="C148" s="3">
        <v>2104.27</v>
      </c>
      <c r="D148" s="3">
        <v>2077.11</v>
      </c>
      <c r="E148" s="3">
        <v>2079.5100000000002</v>
      </c>
      <c r="F148" s="3">
        <v>615433393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3">
        <v>81.73</v>
      </c>
      <c r="M148" s="3">
        <v>81.75</v>
      </c>
      <c r="N148" s="3">
        <v>80.739999999999995</v>
      </c>
      <c r="O148" s="3">
        <v>80.900000000000006</v>
      </c>
      <c r="P148" s="3">
        <v>6263477</v>
      </c>
      <c r="Q148" s="3">
        <v>49.77</v>
      </c>
      <c r="R148" s="3">
        <v>49.91</v>
      </c>
      <c r="S148" s="3">
        <v>49.52</v>
      </c>
      <c r="T148" s="3">
        <v>49.59</v>
      </c>
      <c r="U148" s="3">
        <v>7832017</v>
      </c>
      <c r="V148" s="3">
        <v>68.11</v>
      </c>
      <c r="W148" s="3">
        <v>68.37</v>
      </c>
      <c r="X148" s="3">
        <v>66.22</v>
      </c>
      <c r="Y148" s="3">
        <v>66.44</v>
      </c>
      <c r="Z148" s="3">
        <v>25428080</v>
      </c>
      <c r="AA148" s="3">
        <v>20.21</v>
      </c>
      <c r="AB148" s="3">
        <v>20.21</v>
      </c>
      <c r="AC148" s="3">
        <v>19.89</v>
      </c>
      <c r="AD148" s="3">
        <v>19.93</v>
      </c>
      <c r="AE148" s="3">
        <v>35618658</v>
      </c>
      <c r="AF148" s="3">
        <v>72.39</v>
      </c>
      <c r="AG148" s="3">
        <v>72.61</v>
      </c>
      <c r="AH148" s="3">
        <v>71.59</v>
      </c>
      <c r="AI148" s="3">
        <v>71.7</v>
      </c>
      <c r="AJ148" s="3">
        <v>9875112</v>
      </c>
      <c r="AK148" s="3">
        <v>54.91</v>
      </c>
      <c r="AL148" s="3">
        <v>55.06</v>
      </c>
      <c r="AM148" s="3">
        <v>54.33</v>
      </c>
      <c r="AN148" s="3">
        <v>54.44</v>
      </c>
      <c r="AO148" s="3">
        <v>13131576</v>
      </c>
      <c r="AP148" s="3">
        <v>45.91</v>
      </c>
      <c r="AQ148" s="3">
        <v>46.02</v>
      </c>
      <c r="AR148" s="3">
        <v>45.28</v>
      </c>
      <c r="AS148" s="3">
        <v>45.43</v>
      </c>
      <c r="AT148" s="3">
        <v>8005887</v>
      </c>
      <c r="AU148" s="3">
        <v>44.4</v>
      </c>
      <c r="AV148" s="3">
        <v>44.57</v>
      </c>
      <c r="AW148" s="3">
        <v>44.02</v>
      </c>
      <c r="AX148" s="3">
        <v>44.07</v>
      </c>
      <c r="AY148" s="3">
        <v>9697088</v>
      </c>
      <c r="AZ148" s="3">
        <v>42.99</v>
      </c>
      <c r="BA148" s="3">
        <v>43.1</v>
      </c>
      <c r="BB148" s="3">
        <v>42.19</v>
      </c>
      <c r="BC148" s="3">
        <v>42.2</v>
      </c>
      <c r="BD148" s="3">
        <v>12566056</v>
      </c>
      <c r="BE148" s="3">
        <v>31.11</v>
      </c>
      <c r="BF148" s="3">
        <v>31.22</v>
      </c>
      <c r="BG148" s="3">
        <v>30.62</v>
      </c>
      <c r="BH148" s="3">
        <v>30.62</v>
      </c>
      <c r="BI148" s="3">
        <v>4397</v>
      </c>
    </row>
    <row r="149" spans="1:61" ht="13" x14ac:dyDescent="0.15">
      <c r="A149" s="3">
        <v>42341</v>
      </c>
      <c r="B149" s="3">
        <v>2080.71</v>
      </c>
      <c r="C149" s="3">
        <v>2085</v>
      </c>
      <c r="D149" s="3">
        <v>2042.35</v>
      </c>
      <c r="E149" s="3">
        <v>2049.62</v>
      </c>
      <c r="F149" s="3">
        <v>749534853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3">
        <v>81.239999999999995</v>
      </c>
      <c r="M149" s="3">
        <v>81.239999999999995</v>
      </c>
      <c r="N149" s="3">
        <v>79.33</v>
      </c>
      <c r="O149" s="3">
        <v>79.680000000000007</v>
      </c>
      <c r="P149" s="3">
        <v>9828903</v>
      </c>
      <c r="Q149" s="3">
        <v>49.77</v>
      </c>
      <c r="R149" s="3">
        <v>49.95</v>
      </c>
      <c r="S149" s="3">
        <v>49.14</v>
      </c>
      <c r="T149" s="3">
        <v>49.33</v>
      </c>
      <c r="U149" s="3">
        <v>12556022</v>
      </c>
      <c r="V149" s="3">
        <v>66.760000000000005</v>
      </c>
      <c r="W149" s="3">
        <v>66.98</v>
      </c>
      <c r="X149" s="3">
        <v>64.790000000000006</v>
      </c>
      <c r="Y149" s="3">
        <v>65.11</v>
      </c>
      <c r="Z149" s="3">
        <v>24219152</v>
      </c>
      <c r="AA149" s="3">
        <v>20.04</v>
      </c>
      <c r="AB149" s="3">
        <v>20.04</v>
      </c>
      <c r="AC149" s="3">
        <v>19.54</v>
      </c>
      <c r="AD149" s="3">
        <v>19.600000000000001</v>
      </c>
      <c r="AE149" s="3">
        <v>48179183</v>
      </c>
      <c r="AF149" s="3">
        <v>71.760000000000005</v>
      </c>
      <c r="AG149" s="3">
        <v>71.849999999999994</v>
      </c>
      <c r="AH149" s="3">
        <v>69.819999999999993</v>
      </c>
      <c r="AI149" s="3">
        <v>70.13</v>
      </c>
      <c r="AJ149" s="3">
        <v>13191350</v>
      </c>
      <c r="AK149" s="3">
        <v>54.58</v>
      </c>
      <c r="AL149" s="3">
        <v>54.61</v>
      </c>
      <c r="AM149" s="3">
        <v>53.56</v>
      </c>
      <c r="AN149" s="3">
        <v>53.76</v>
      </c>
      <c r="AO149" s="3">
        <v>16001355</v>
      </c>
      <c r="AP149" s="3">
        <v>45.65</v>
      </c>
      <c r="AQ149" s="3">
        <v>45.73</v>
      </c>
      <c r="AR149" s="3">
        <v>44.8</v>
      </c>
      <c r="AS149" s="3">
        <v>45.03</v>
      </c>
      <c r="AT149" s="3">
        <v>5828780</v>
      </c>
      <c r="AU149" s="3">
        <v>44.19</v>
      </c>
      <c r="AV149" s="3">
        <v>44.32</v>
      </c>
      <c r="AW149" s="3">
        <v>43.29</v>
      </c>
      <c r="AX149" s="3">
        <v>43.5</v>
      </c>
      <c r="AY149" s="3">
        <v>11854265</v>
      </c>
      <c r="AZ149" s="3">
        <v>42.13</v>
      </c>
      <c r="BA149" s="3">
        <v>42.14</v>
      </c>
      <c r="BB149" s="3">
        <v>41.74</v>
      </c>
      <c r="BC149" s="3">
        <v>41.88</v>
      </c>
      <c r="BD149" s="3">
        <v>14879220</v>
      </c>
      <c r="BE149" s="3">
        <v>30.37</v>
      </c>
      <c r="BF149" s="3">
        <v>30.37</v>
      </c>
      <c r="BG149" s="3">
        <v>30.01</v>
      </c>
      <c r="BH149" s="3">
        <v>30.01</v>
      </c>
      <c r="BI149" s="3">
        <v>776</v>
      </c>
    </row>
    <row r="150" spans="1:61" ht="13" x14ac:dyDescent="0.15">
      <c r="A150" s="3">
        <v>42342</v>
      </c>
      <c r="B150" s="3">
        <v>2051.2399999999998</v>
      </c>
      <c r="C150" s="3">
        <v>2093.84</v>
      </c>
      <c r="D150" s="3">
        <v>2051.2399999999998</v>
      </c>
      <c r="E150" s="3">
        <v>2091.69</v>
      </c>
      <c r="F150" s="3">
        <v>740000496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3">
        <v>79.97</v>
      </c>
      <c r="M150" s="3">
        <v>81.319999999999993</v>
      </c>
      <c r="N150" s="3">
        <v>79.78</v>
      </c>
      <c r="O150" s="3">
        <v>81.22</v>
      </c>
      <c r="P150" s="3">
        <v>7032182</v>
      </c>
      <c r="Q150" s="3">
        <v>49.46</v>
      </c>
      <c r="R150" s="3">
        <v>50.48</v>
      </c>
      <c r="S150" s="3">
        <v>49.26</v>
      </c>
      <c r="T150" s="3">
        <v>50.44</v>
      </c>
      <c r="U150" s="3">
        <v>12783219</v>
      </c>
      <c r="V150" s="3">
        <v>64.5</v>
      </c>
      <c r="W150" s="3">
        <v>65.08</v>
      </c>
      <c r="X150" s="3">
        <v>63.48</v>
      </c>
      <c r="Y150" s="3">
        <v>64.7</v>
      </c>
      <c r="Z150" s="3">
        <v>32839278</v>
      </c>
      <c r="AA150" s="3">
        <v>19.72</v>
      </c>
      <c r="AB150" s="3">
        <v>20.16</v>
      </c>
      <c r="AC150" s="3">
        <v>19.670000000000002</v>
      </c>
      <c r="AD150" s="3">
        <v>20.12</v>
      </c>
      <c r="AE150" s="3">
        <v>42686845</v>
      </c>
      <c r="AF150" s="3">
        <v>70.44</v>
      </c>
      <c r="AG150" s="3">
        <v>71.89</v>
      </c>
      <c r="AH150" s="3">
        <v>70.27</v>
      </c>
      <c r="AI150" s="3">
        <v>71.78</v>
      </c>
      <c r="AJ150" s="3">
        <v>14929777</v>
      </c>
      <c r="AK150" s="3">
        <v>53.84</v>
      </c>
      <c r="AL150" s="3">
        <v>54.57</v>
      </c>
      <c r="AM150" s="3">
        <v>53.72</v>
      </c>
      <c r="AN150" s="3">
        <v>54.56</v>
      </c>
      <c r="AO150" s="3">
        <v>13891933</v>
      </c>
      <c r="AP150" s="3">
        <v>45.13</v>
      </c>
      <c r="AQ150" s="3">
        <v>45.94</v>
      </c>
      <c r="AR150" s="3">
        <v>44.99</v>
      </c>
      <c r="AS150" s="3">
        <v>45.82</v>
      </c>
      <c r="AT150" s="3">
        <v>5607746</v>
      </c>
      <c r="AU150" s="3">
        <v>43.63</v>
      </c>
      <c r="AV150" s="3">
        <v>44.65</v>
      </c>
      <c r="AW150" s="3">
        <v>43.54</v>
      </c>
      <c r="AX150" s="3">
        <v>44.57</v>
      </c>
      <c r="AY150" s="3">
        <v>12840171</v>
      </c>
      <c r="AZ150" s="3">
        <v>42.03</v>
      </c>
      <c r="BA150" s="3">
        <v>42.53</v>
      </c>
      <c r="BB150" s="3">
        <v>41.9</v>
      </c>
      <c r="BC150" s="3">
        <v>42.47</v>
      </c>
      <c r="BD150" s="3">
        <v>10961473</v>
      </c>
      <c r="BE150" s="3">
        <v>30.31</v>
      </c>
      <c r="BF150" s="3">
        <v>30.83</v>
      </c>
      <c r="BG150" s="3">
        <v>30.31</v>
      </c>
      <c r="BH150" s="3">
        <v>30.62</v>
      </c>
      <c r="BI150" s="3">
        <v>4378</v>
      </c>
    </row>
    <row r="151" spans="1:61" ht="13" x14ac:dyDescent="0.15">
      <c r="A151" s="3">
        <v>42345</v>
      </c>
      <c r="B151" s="3">
        <v>2090.42</v>
      </c>
      <c r="C151" s="3">
        <v>2090.42</v>
      </c>
      <c r="D151" s="3">
        <v>2066.7800000000002</v>
      </c>
      <c r="E151" s="3">
        <v>2077.0700000000002</v>
      </c>
      <c r="F151" s="3">
        <v>639169032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3">
        <v>81.099999999999994</v>
      </c>
      <c r="M151" s="3">
        <v>81.25</v>
      </c>
      <c r="N151" s="3">
        <v>80.319999999999993</v>
      </c>
      <c r="O151" s="3">
        <v>80.88</v>
      </c>
      <c r="P151" s="3">
        <v>6535419</v>
      </c>
      <c r="Q151" s="3">
        <v>50.63</v>
      </c>
      <c r="R151" s="3">
        <v>50.74</v>
      </c>
      <c r="S151" s="3">
        <v>50.38</v>
      </c>
      <c r="T151" s="3">
        <v>50.58</v>
      </c>
      <c r="U151" s="3">
        <v>9022022</v>
      </c>
      <c r="V151" s="3">
        <v>63.1</v>
      </c>
      <c r="W151" s="3">
        <v>63.19</v>
      </c>
      <c r="X151" s="3">
        <v>61.35</v>
      </c>
      <c r="Y151" s="3">
        <v>62.24</v>
      </c>
      <c r="Z151" s="3">
        <v>32800384</v>
      </c>
      <c r="AA151" s="3">
        <v>20.100000000000001</v>
      </c>
      <c r="AB151" s="3">
        <v>20.11</v>
      </c>
      <c r="AC151" s="3">
        <v>19.84</v>
      </c>
      <c r="AD151" s="3">
        <v>19.940000000000001</v>
      </c>
      <c r="AE151" s="3">
        <v>25492411</v>
      </c>
      <c r="AF151" s="3">
        <v>71.63</v>
      </c>
      <c r="AG151" s="3">
        <v>72</v>
      </c>
      <c r="AH151" s="3">
        <v>71.010000000000005</v>
      </c>
      <c r="AI151" s="3">
        <v>71.38</v>
      </c>
      <c r="AJ151" s="3">
        <v>8511194</v>
      </c>
      <c r="AK151" s="3">
        <v>54.39</v>
      </c>
      <c r="AL151" s="3">
        <v>54.57</v>
      </c>
      <c r="AM151" s="3">
        <v>54.1</v>
      </c>
      <c r="AN151" s="3">
        <v>54.29</v>
      </c>
      <c r="AO151" s="3">
        <v>9665464</v>
      </c>
      <c r="AP151" s="3">
        <v>45.57</v>
      </c>
      <c r="AQ151" s="3">
        <v>45.79</v>
      </c>
      <c r="AR151" s="3">
        <v>44.71</v>
      </c>
      <c r="AS151" s="3">
        <v>45</v>
      </c>
      <c r="AT151" s="3">
        <v>6163064</v>
      </c>
      <c r="AU151" s="3">
        <v>44.52</v>
      </c>
      <c r="AV151" s="3">
        <v>44.56</v>
      </c>
      <c r="AW151" s="3">
        <v>44.14</v>
      </c>
      <c r="AX151" s="3">
        <v>44.35</v>
      </c>
      <c r="AY151" s="3">
        <v>12814944</v>
      </c>
      <c r="AZ151" s="3">
        <v>42.37</v>
      </c>
      <c r="BA151" s="3">
        <v>42.68</v>
      </c>
      <c r="BB151" s="3">
        <v>42.17</v>
      </c>
      <c r="BC151" s="3">
        <v>42.66</v>
      </c>
      <c r="BD151" s="3">
        <v>13515101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</row>
    <row r="152" spans="1:61" ht="13" x14ac:dyDescent="0.15">
      <c r="A152" s="3">
        <v>42346</v>
      </c>
      <c r="B152" s="3">
        <v>2073.39</v>
      </c>
      <c r="C152" s="3">
        <v>2073.85</v>
      </c>
      <c r="D152" s="3">
        <v>2052.3200000000002</v>
      </c>
      <c r="E152" s="3">
        <v>2063.59</v>
      </c>
      <c r="F152" s="3">
        <v>666623202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3">
        <v>80.2</v>
      </c>
      <c r="M152" s="3">
        <v>81.040000000000006</v>
      </c>
      <c r="N152" s="3">
        <v>79.989999999999995</v>
      </c>
      <c r="O152" s="3">
        <v>80.64</v>
      </c>
      <c r="P152" s="3">
        <v>6083455</v>
      </c>
      <c r="Q152" s="3">
        <v>50.26</v>
      </c>
      <c r="R152" s="3">
        <v>50.56</v>
      </c>
      <c r="S152" s="3">
        <v>50.15</v>
      </c>
      <c r="T152" s="3">
        <v>50.45</v>
      </c>
      <c r="U152" s="3">
        <v>6436418</v>
      </c>
      <c r="V152" s="3">
        <v>60.87</v>
      </c>
      <c r="W152" s="3">
        <v>62.44</v>
      </c>
      <c r="X152" s="3">
        <v>60.25</v>
      </c>
      <c r="Y152" s="3">
        <v>61.6</v>
      </c>
      <c r="Z152" s="3">
        <v>27336929</v>
      </c>
      <c r="AA152" s="3">
        <v>19.72</v>
      </c>
      <c r="AB152" s="3">
        <v>19.86</v>
      </c>
      <c r="AC152" s="3">
        <v>19.64</v>
      </c>
      <c r="AD152" s="3">
        <v>19.68</v>
      </c>
      <c r="AE152" s="3">
        <v>28999033</v>
      </c>
      <c r="AF152" s="3">
        <v>70.84</v>
      </c>
      <c r="AG152" s="3">
        <v>71.739999999999995</v>
      </c>
      <c r="AH152" s="3">
        <v>70.84</v>
      </c>
      <c r="AI152" s="3">
        <v>71.540000000000006</v>
      </c>
      <c r="AJ152" s="3">
        <v>7483564</v>
      </c>
      <c r="AK152" s="3">
        <v>53.58</v>
      </c>
      <c r="AL152" s="3">
        <v>53.84</v>
      </c>
      <c r="AM152" s="3">
        <v>53.32</v>
      </c>
      <c r="AN152" s="3">
        <v>53.42</v>
      </c>
      <c r="AO152" s="3">
        <v>15508631</v>
      </c>
      <c r="AP152" s="3">
        <v>44.53</v>
      </c>
      <c r="AQ152" s="3">
        <v>44.91</v>
      </c>
      <c r="AR152" s="3">
        <v>44.09</v>
      </c>
      <c r="AS152" s="3">
        <v>44.15</v>
      </c>
      <c r="AT152" s="3">
        <v>7426193</v>
      </c>
      <c r="AU152" s="3">
        <v>43.97</v>
      </c>
      <c r="AV152" s="3">
        <v>44.36</v>
      </c>
      <c r="AW152" s="3">
        <v>43.84</v>
      </c>
      <c r="AX152" s="3">
        <v>44.24</v>
      </c>
      <c r="AY152" s="3">
        <v>11378344</v>
      </c>
      <c r="AZ152" s="3">
        <v>42.49</v>
      </c>
      <c r="BA152" s="3">
        <v>42.66</v>
      </c>
      <c r="BB152" s="3">
        <v>42.26</v>
      </c>
      <c r="BC152" s="3">
        <v>42.6</v>
      </c>
      <c r="BD152" s="3">
        <v>10638145</v>
      </c>
      <c r="BE152" s="3">
        <v>30.28</v>
      </c>
      <c r="BF152" s="3">
        <v>30.76</v>
      </c>
      <c r="BG152" s="3">
        <v>29.92</v>
      </c>
      <c r="BH152" s="3">
        <v>30.72</v>
      </c>
      <c r="BI152" s="3">
        <v>4645</v>
      </c>
    </row>
    <row r="153" spans="1:61" ht="13" x14ac:dyDescent="0.15">
      <c r="A153" s="3">
        <v>42347</v>
      </c>
      <c r="B153" s="3">
        <v>2061.17</v>
      </c>
      <c r="C153" s="3">
        <v>2080.33</v>
      </c>
      <c r="D153" s="3">
        <v>2036.53</v>
      </c>
      <c r="E153" s="3">
        <v>2047.62</v>
      </c>
      <c r="F153" s="3">
        <v>719904950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3">
        <v>80.48</v>
      </c>
      <c r="M153" s="3">
        <v>81.069999999999993</v>
      </c>
      <c r="N153" s="3">
        <v>79.23</v>
      </c>
      <c r="O153" s="3">
        <v>79.61</v>
      </c>
      <c r="P153" s="3">
        <v>9735757</v>
      </c>
      <c r="Q153" s="3">
        <v>50.17</v>
      </c>
      <c r="R153" s="3">
        <v>50.71</v>
      </c>
      <c r="S153" s="3">
        <v>49.77</v>
      </c>
      <c r="T153" s="3">
        <v>49.97</v>
      </c>
      <c r="U153" s="3">
        <v>18821804</v>
      </c>
      <c r="V153" s="3">
        <v>61.88</v>
      </c>
      <c r="W153" s="3">
        <v>63.73</v>
      </c>
      <c r="X153" s="3">
        <v>61.53</v>
      </c>
      <c r="Y153" s="3">
        <v>62.41</v>
      </c>
      <c r="Z153" s="3">
        <v>28756918</v>
      </c>
      <c r="AA153" s="3">
        <v>19.59</v>
      </c>
      <c r="AB153" s="3">
        <v>19.809999999999999</v>
      </c>
      <c r="AC153" s="3">
        <v>19.34</v>
      </c>
      <c r="AD153" s="3">
        <v>19.46</v>
      </c>
      <c r="AE153" s="3">
        <v>54122513</v>
      </c>
      <c r="AF153" s="3">
        <v>71.209999999999994</v>
      </c>
      <c r="AG153" s="3">
        <v>71.900000000000006</v>
      </c>
      <c r="AH153" s="3">
        <v>70.540000000000006</v>
      </c>
      <c r="AI153" s="3">
        <v>70.819999999999993</v>
      </c>
      <c r="AJ153" s="3">
        <v>17593633</v>
      </c>
      <c r="AK153" s="3">
        <v>53.22</v>
      </c>
      <c r="AL153" s="3">
        <v>53.9</v>
      </c>
      <c r="AM153" s="3">
        <v>52.91</v>
      </c>
      <c r="AN153" s="3">
        <v>53.26</v>
      </c>
      <c r="AO153" s="3">
        <v>16784101</v>
      </c>
      <c r="AP153" s="3">
        <v>45.29</v>
      </c>
      <c r="AQ153" s="3">
        <v>46.06</v>
      </c>
      <c r="AR153" s="3">
        <v>45.01</v>
      </c>
      <c r="AS153" s="3">
        <v>45.48</v>
      </c>
      <c r="AT153" s="3">
        <v>12961441</v>
      </c>
      <c r="AU153" s="3">
        <v>44.05</v>
      </c>
      <c r="AV153" s="3">
        <v>44.38</v>
      </c>
      <c r="AW153" s="3">
        <v>43.38</v>
      </c>
      <c r="AX153" s="3">
        <v>43.59</v>
      </c>
      <c r="AY153" s="3">
        <v>16254221</v>
      </c>
      <c r="AZ153" s="3">
        <v>42.41</v>
      </c>
      <c r="BA153" s="3">
        <v>43.06</v>
      </c>
      <c r="BB153" s="3">
        <v>42.27</v>
      </c>
      <c r="BC153" s="3">
        <v>42.61</v>
      </c>
      <c r="BD153" s="3">
        <v>10675803</v>
      </c>
      <c r="BE153" s="3">
        <v>30.51</v>
      </c>
      <c r="BF153" s="3">
        <v>30.55</v>
      </c>
      <c r="BG153" s="3">
        <v>30.51</v>
      </c>
      <c r="BH153" s="3">
        <v>30.55</v>
      </c>
      <c r="BI153" s="3">
        <v>643</v>
      </c>
    </row>
    <row r="154" spans="1:61" ht="13" x14ac:dyDescent="0.15">
      <c r="A154" s="3">
        <v>42348</v>
      </c>
      <c r="B154" s="3">
        <v>2047.93</v>
      </c>
      <c r="C154" s="3">
        <v>2067.65</v>
      </c>
      <c r="D154" s="3">
        <v>2045.67</v>
      </c>
      <c r="E154" s="3">
        <v>2052.23</v>
      </c>
      <c r="F154" s="3">
        <v>597997497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3">
        <v>79.83</v>
      </c>
      <c r="M154" s="3">
        <v>80.38</v>
      </c>
      <c r="N154" s="3">
        <v>79.540000000000006</v>
      </c>
      <c r="O154" s="3">
        <v>79.88</v>
      </c>
      <c r="P154" s="3">
        <v>4730117</v>
      </c>
      <c r="Q154" s="3">
        <v>50.08</v>
      </c>
      <c r="R154" s="3">
        <v>50.35</v>
      </c>
      <c r="S154" s="3">
        <v>49.88</v>
      </c>
      <c r="T154" s="3">
        <v>50.03</v>
      </c>
      <c r="U154" s="3">
        <v>7842722</v>
      </c>
      <c r="V154" s="3">
        <v>62.44</v>
      </c>
      <c r="W154" s="3">
        <v>63.74</v>
      </c>
      <c r="X154" s="3">
        <v>62.01</v>
      </c>
      <c r="Y154" s="3">
        <v>62.81</v>
      </c>
      <c r="Z154" s="3">
        <v>38914867</v>
      </c>
      <c r="AA154" s="3">
        <v>19.45</v>
      </c>
      <c r="AB154" s="3">
        <v>19.66</v>
      </c>
      <c r="AC154" s="3">
        <v>19.38</v>
      </c>
      <c r="AD154" s="3">
        <v>19.47</v>
      </c>
      <c r="AE154" s="3">
        <v>47247225</v>
      </c>
      <c r="AF154" s="3">
        <v>70.819999999999993</v>
      </c>
      <c r="AG154" s="3">
        <v>71.84</v>
      </c>
      <c r="AH154" s="3">
        <v>70.75</v>
      </c>
      <c r="AI154" s="3">
        <v>71.349999999999994</v>
      </c>
      <c r="AJ154" s="3">
        <v>9778498</v>
      </c>
      <c r="AK154" s="3">
        <v>53.21</v>
      </c>
      <c r="AL154" s="3">
        <v>53.86</v>
      </c>
      <c r="AM154" s="3">
        <v>53.21</v>
      </c>
      <c r="AN154" s="3">
        <v>53.51</v>
      </c>
      <c r="AO154" s="3">
        <v>13231598</v>
      </c>
      <c r="AP154" s="3">
        <v>45.2</v>
      </c>
      <c r="AQ154" s="3">
        <v>45.57</v>
      </c>
      <c r="AR154" s="3">
        <v>44.84</v>
      </c>
      <c r="AS154" s="3">
        <v>45.14</v>
      </c>
      <c r="AT154" s="3">
        <v>5285799</v>
      </c>
      <c r="AU154" s="3">
        <v>43.71</v>
      </c>
      <c r="AV154" s="3">
        <v>44.04</v>
      </c>
      <c r="AW154" s="3">
        <v>43.58</v>
      </c>
      <c r="AX154" s="3">
        <v>43.71</v>
      </c>
      <c r="AY154" s="3">
        <v>9073446</v>
      </c>
      <c r="AZ154" s="3">
        <v>42.55</v>
      </c>
      <c r="BA154" s="3">
        <v>42.63</v>
      </c>
      <c r="BB154" s="3">
        <v>41.87</v>
      </c>
      <c r="BC154" s="3">
        <v>41.91</v>
      </c>
      <c r="BD154" s="3">
        <v>9683649</v>
      </c>
      <c r="BE154" s="3">
        <v>30.3</v>
      </c>
      <c r="BF154" s="3">
        <v>30.3</v>
      </c>
      <c r="BG154" s="3">
        <v>30.3</v>
      </c>
      <c r="BH154" s="3">
        <v>30.3</v>
      </c>
      <c r="BI154" s="3">
        <v>660</v>
      </c>
    </row>
    <row r="155" spans="1:61" ht="13" x14ac:dyDescent="0.15">
      <c r="A155" s="3">
        <v>42349</v>
      </c>
      <c r="B155" s="3">
        <v>2047.27</v>
      </c>
      <c r="C155" s="3">
        <v>2047.27</v>
      </c>
      <c r="D155" s="3">
        <v>2008.8</v>
      </c>
      <c r="E155" s="3">
        <v>2012.37</v>
      </c>
      <c r="F155" s="3">
        <v>718417683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3">
        <v>78.83</v>
      </c>
      <c r="M155" s="3">
        <v>79.13</v>
      </c>
      <c r="N155" s="3">
        <v>77.900000000000006</v>
      </c>
      <c r="O155" s="3">
        <v>78.06</v>
      </c>
      <c r="P155" s="3">
        <v>10104244</v>
      </c>
      <c r="Q155" s="3">
        <v>49.53</v>
      </c>
      <c r="R155" s="3">
        <v>49.83</v>
      </c>
      <c r="S155" s="3">
        <v>49.34</v>
      </c>
      <c r="T155" s="3">
        <v>49.48</v>
      </c>
      <c r="U155" s="3">
        <v>11597861</v>
      </c>
      <c r="V155" s="3">
        <v>61.73</v>
      </c>
      <c r="W155" s="3">
        <v>61.96</v>
      </c>
      <c r="X155" s="3">
        <v>60.4</v>
      </c>
      <c r="Y155" s="3">
        <v>60.46</v>
      </c>
      <c r="Z155" s="3">
        <v>29003987</v>
      </c>
      <c r="AA155" s="3">
        <v>19.18</v>
      </c>
      <c r="AB155" s="3">
        <v>19.3</v>
      </c>
      <c r="AC155" s="3">
        <v>18.940000000000001</v>
      </c>
      <c r="AD155" s="3">
        <v>19.04</v>
      </c>
      <c r="AE155" s="3">
        <v>72739253</v>
      </c>
      <c r="AF155" s="3">
        <v>70.59</v>
      </c>
      <c r="AG155" s="3">
        <v>70.88</v>
      </c>
      <c r="AH155" s="3">
        <v>70.209999999999994</v>
      </c>
      <c r="AI155" s="3">
        <v>70.3</v>
      </c>
      <c r="AJ155" s="3">
        <v>15178270</v>
      </c>
      <c r="AK155" s="3">
        <v>53.07</v>
      </c>
      <c r="AL155" s="3">
        <v>53.21</v>
      </c>
      <c r="AM155" s="3">
        <v>52.53</v>
      </c>
      <c r="AN155" s="3">
        <v>52.61</v>
      </c>
      <c r="AO155" s="3">
        <v>24625522</v>
      </c>
      <c r="AP155" s="3">
        <v>43.97</v>
      </c>
      <c r="AQ155" s="3">
        <v>44.47</v>
      </c>
      <c r="AR155" s="3">
        <v>43.88</v>
      </c>
      <c r="AS155" s="3">
        <v>43.94</v>
      </c>
      <c r="AT155" s="3">
        <v>9544225</v>
      </c>
      <c r="AU155" s="3">
        <v>43.23</v>
      </c>
      <c r="AV155" s="3">
        <v>43.34</v>
      </c>
      <c r="AW155" s="3">
        <v>42.77</v>
      </c>
      <c r="AX155" s="3">
        <v>42.8</v>
      </c>
      <c r="AY155" s="3">
        <v>16960319</v>
      </c>
      <c r="AZ155" s="3">
        <v>41.81</v>
      </c>
      <c r="BA155" s="3">
        <v>42.13</v>
      </c>
      <c r="BB155" s="3">
        <v>41.5</v>
      </c>
      <c r="BC155" s="3">
        <v>41.79</v>
      </c>
      <c r="BD155" s="3">
        <v>14352723</v>
      </c>
      <c r="BE155" s="3">
        <v>30.18</v>
      </c>
      <c r="BF155" s="3">
        <v>30.18</v>
      </c>
      <c r="BG155" s="3">
        <v>30.14</v>
      </c>
      <c r="BH155" s="3">
        <v>30.14</v>
      </c>
      <c r="BI155" s="3">
        <v>330</v>
      </c>
    </row>
    <row r="156" spans="1:61" ht="13" x14ac:dyDescent="0.15">
      <c r="A156" s="3">
        <v>42352</v>
      </c>
      <c r="B156" s="3">
        <v>2013.37</v>
      </c>
      <c r="C156" s="3">
        <v>2022.92</v>
      </c>
      <c r="D156" s="3">
        <v>1993.26</v>
      </c>
      <c r="E156" s="3">
        <v>2021.94</v>
      </c>
      <c r="F156" s="3">
        <v>771571435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3">
        <v>78.11</v>
      </c>
      <c r="M156" s="3">
        <v>78.63</v>
      </c>
      <c r="N156" s="3">
        <v>77.260000000000005</v>
      </c>
      <c r="O156" s="3">
        <v>78.459999999999994</v>
      </c>
      <c r="P156" s="3">
        <v>14958021</v>
      </c>
      <c r="Q156" s="3">
        <v>49.48</v>
      </c>
      <c r="R156" s="3">
        <v>50.01</v>
      </c>
      <c r="S156" s="3">
        <v>49.29</v>
      </c>
      <c r="T156" s="3">
        <v>49.97</v>
      </c>
      <c r="U156" s="3">
        <v>16609549</v>
      </c>
      <c r="V156" s="3">
        <v>60.17</v>
      </c>
      <c r="W156" s="3">
        <v>61.1</v>
      </c>
      <c r="X156" s="3">
        <v>59.52</v>
      </c>
      <c r="Y156" s="3">
        <v>60.78</v>
      </c>
      <c r="Z156" s="3">
        <v>39116610</v>
      </c>
      <c r="AA156" s="3">
        <v>19.059999999999999</v>
      </c>
      <c r="AB156" s="3">
        <v>19.21</v>
      </c>
      <c r="AC156" s="3">
        <v>18.87</v>
      </c>
      <c r="AD156" s="3">
        <v>19.079999999999998</v>
      </c>
      <c r="AE156" s="3">
        <v>58447516</v>
      </c>
      <c r="AF156" s="3">
        <v>70.569999999999993</v>
      </c>
      <c r="AG156" s="3">
        <v>70.849999999999994</v>
      </c>
      <c r="AH156" s="3">
        <v>69.67</v>
      </c>
      <c r="AI156" s="3">
        <v>70.760000000000005</v>
      </c>
      <c r="AJ156" s="3">
        <v>21091489</v>
      </c>
      <c r="AK156" s="3">
        <v>52.63</v>
      </c>
      <c r="AL156" s="3">
        <v>52.88</v>
      </c>
      <c r="AM156" s="3">
        <v>52.13</v>
      </c>
      <c r="AN156" s="3">
        <v>52.8</v>
      </c>
      <c r="AO156" s="3">
        <v>27426217</v>
      </c>
      <c r="AP156" s="3">
        <v>43.71</v>
      </c>
      <c r="AQ156" s="3">
        <v>43.86</v>
      </c>
      <c r="AR156" s="3">
        <v>42.97</v>
      </c>
      <c r="AS156" s="3">
        <v>43.36</v>
      </c>
      <c r="AT156" s="3">
        <v>8887168</v>
      </c>
      <c r="AU156" s="3">
        <v>42.79</v>
      </c>
      <c r="AV156" s="3">
        <v>43.14</v>
      </c>
      <c r="AW156" s="3">
        <v>42.35</v>
      </c>
      <c r="AX156" s="3">
        <v>43.13</v>
      </c>
      <c r="AY156" s="3">
        <v>21034227</v>
      </c>
      <c r="AZ156" s="3">
        <v>41.95</v>
      </c>
      <c r="BA156" s="3">
        <v>42.01</v>
      </c>
      <c r="BB156" s="3">
        <v>41.51</v>
      </c>
      <c r="BC156" s="3">
        <v>42</v>
      </c>
      <c r="BD156" s="3">
        <v>16404552</v>
      </c>
      <c r="BE156" s="3">
        <v>30.1</v>
      </c>
      <c r="BF156" s="3">
        <v>30.27</v>
      </c>
      <c r="BG156" s="3">
        <v>30.09</v>
      </c>
      <c r="BH156" s="3">
        <v>30.23</v>
      </c>
      <c r="BI156" s="3">
        <v>628</v>
      </c>
    </row>
    <row r="157" spans="1:61" ht="13" x14ac:dyDescent="0.15">
      <c r="A157" s="3">
        <v>42353</v>
      </c>
      <c r="B157" s="3">
        <v>2025.55</v>
      </c>
      <c r="C157" s="3">
        <v>2053.87</v>
      </c>
      <c r="D157" s="3">
        <v>2025.55</v>
      </c>
      <c r="E157" s="3">
        <v>2043.41</v>
      </c>
      <c r="F157" s="3">
        <v>689853132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3">
        <v>79.260000000000005</v>
      </c>
      <c r="M157" s="3">
        <v>79.64</v>
      </c>
      <c r="N157" s="3">
        <v>78.83</v>
      </c>
      <c r="O157" s="3">
        <v>78.89</v>
      </c>
      <c r="P157" s="3">
        <v>7978838</v>
      </c>
      <c r="Q157" s="3">
        <v>50.36</v>
      </c>
      <c r="R157" s="3">
        <v>50.53</v>
      </c>
      <c r="S157" s="3">
        <v>50.1</v>
      </c>
      <c r="T157" s="3">
        <v>50.29</v>
      </c>
      <c r="U157" s="3">
        <v>11557471</v>
      </c>
      <c r="V157" s="3">
        <v>61.64</v>
      </c>
      <c r="W157" s="3">
        <v>62.6</v>
      </c>
      <c r="X157" s="3">
        <v>61.56</v>
      </c>
      <c r="Y157" s="3">
        <v>62.31</v>
      </c>
      <c r="Z157" s="3">
        <v>29070331</v>
      </c>
      <c r="AA157" s="3">
        <v>19.28</v>
      </c>
      <c r="AB157" s="3">
        <v>19.64</v>
      </c>
      <c r="AC157" s="3">
        <v>19.260000000000002</v>
      </c>
      <c r="AD157" s="3">
        <v>19.53</v>
      </c>
      <c r="AE157" s="3">
        <v>75818814</v>
      </c>
      <c r="AF157" s="3">
        <v>71.53</v>
      </c>
      <c r="AG157" s="3">
        <v>72.02</v>
      </c>
      <c r="AH157" s="3">
        <v>71.3</v>
      </c>
      <c r="AI157" s="3">
        <v>71.680000000000007</v>
      </c>
      <c r="AJ157" s="3">
        <v>14006263</v>
      </c>
      <c r="AK157" s="3">
        <v>52.9</v>
      </c>
      <c r="AL157" s="3">
        <v>53.15</v>
      </c>
      <c r="AM157" s="3">
        <v>52.68</v>
      </c>
      <c r="AN157" s="3">
        <v>52.81</v>
      </c>
      <c r="AO157" s="3">
        <v>17052125</v>
      </c>
      <c r="AP157" s="3">
        <v>43.8</v>
      </c>
      <c r="AQ157" s="3">
        <v>44.06</v>
      </c>
      <c r="AR157" s="3">
        <v>43.51</v>
      </c>
      <c r="AS157" s="3">
        <v>43.6</v>
      </c>
      <c r="AT157" s="3">
        <v>5047003</v>
      </c>
      <c r="AU157" s="3">
        <v>43.46</v>
      </c>
      <c r="AV157" s="3">
        <v>43.62</v>
      </c>
      <c r="AW157" s="3">
        <v>43.26</v>
      </c>
      <c r="AX157" s="3">
        <v>43.32</v>
      </c>
      <c r="AY157" s="3">
        <v>17021931</v>
      </c>
      <c r="AZ157" s="3">
        <v>42.06</v>
      </c>
      <c r="BA157" s="3">
        <v>42.59</v>
      </c>
      <c r="BB157" s="3">
        <v>42.04</v>
      </c>
      <c r="BC157" s="3">
        <v>42.33</v>
      </c>
      <c r="BD157" s="3">
        <v>10110919</v>
      </c>
      <c r="BE157" s="3">
        <v>30.72</v>
      </c>
      <c r="BF157" s="3">
        <v>30.79</v>
      </c>
      <c r="BG157" s="3">
        <v>30.58</v>
      </c>
      <c r="BH157" s="3">
        <v>30.58</v>
      </c>
      <c r="BI157" s="3">
        <v>4147</v>
      </c>
    </row>
    <row r="158" spans="1:61" ht="13" x14ac:dyDescent="0.15">
      <c r="A158" s="3">
        <v>42354</v>
      </c>
      <c r="B158" s="3">
        <v>2046.5</v>
      </c>
      <c r="C158" s="3">
        <v>2076.7199999999998</v>
      </c>
      <c r="D158" s="3">
        <v>2042.43</v>
      </c>
      <c r="E158" s="3">
        <v>2073.0700000000002</v>
      </c>
      <c r="F158" s="3">
        <v>680651840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3">
        <v>79.44</v>
      </c>
      <c r="M158" s="3">
        <v>80.36</v>
      </c>
      <c r="N158" s="3">
        <v>78.8</v>
      </c>
      <c r="O158" s="3">
        <v>80.209999999999994</v>
      </c>
      <c r="P158" s="3">
        <v>12074735</v>
      </c>
      <c r="Q158" s="3">
        <v>50.51</v>
      </c>
      <c r="R158" s="3">
        <v>51.37</v>
      </c>
      <c r="S158" s="3">
        <v>50.5</v>
      </c>
      <c r="T158" s="3">
        <v>51.26</v>
      </c>
      <c r="U158" s="3">
        <v>20860446</v>
      </c>
      <c r="V158" s="3">
        <v>62.07</v>
      </c>
      <c r="W158" s="3">
        <v>62.72</v>
      </c>
      <c r="X158" s="3">
        <v>61.24</v>
      </c>
      <c r="Y158" s="3">
        <v>61.9</v>
      </c>
      <c r="Z158" s="3">
        <v>28751201</v>
      </c>
      <c r="AA158" s="3">
        <v>19.71</v>
      </c>
      <c r="AB158" s="3">
        <v>19.91</v>
      </c>
      <c r="AC158" s="3">
        <v>19.52</v>
      </c>
      <c r="AD158" s="3">
        <v>19.850000000000001</v>
      </c>
      <c r="AE158" s="3">
        <v>83026250</v>
      </c>
      <c r="AF158" s="3">
        <v>72.28</v>
      </c>
      <c r="AG158" s="3">
        <v>72.72</v>
      </c>
      <c r="AH158" s="3">
        <v>71.27</v>
      </c>
      <c r="AI158" s="3">
        <v>72.61</v>
      </c>
      <c r="AJ158" s="3">
        <v>15273744</v>
      </c>
      <c r="AK158" s="3">
        <v>53.11</v>
      </c>
      <c r="AL158" s="3">
        <v>53.87</v>
      </c>
      <c r="AM158" s="3">
        <v>52.96</v>
      </c>
      <c r="AN158" s="3">
        <v>53.75</v>
      </c>
      <c r="AO158" s="3">
        <v>19045713</v>
      </c>
      <c r="AP158" s="3">
        <v>43.83</v>
      </c>
      <c r="AQ158" s="3">
        <v>44.09</v>
      </c>
      <c r="AR158" s="3">
        <v>43.23</v>
      </c>
      <c r="AS158" s="3">
        <v>44.05</v>
      </c>
      <c r="AT158" s="3">
        <v>8066414</v>
      </c>
      <c r="AU158" s="3">
        <v>43.59</v>
      </c>
      <c r="AV158" s="3">
        <v>43.99</v>
      </c>
      <c r="AW158" s="3">
        <v>43.15</v>
      </c>
      <c r="AX158" s="3">
        <v>43.91</v>
      </c>
      <c r="AY158" s="3">
        <v>18173802</v>
      </c>
      <c r="AZ158" s="3">
        <v>42.49</v>
      </c>
      <c r="BA158" s="3">
        <v>43.47</v>
      </c>
      <c r="BB158" s="3">
        <v>42.36</v>
      </c>
      <c r="BC158" s="3">
        <v>43.4</v>
      </c>
      <c r="BD158" s="3">
        <v>18300516</v>
      </c>
      <c r="BE158" s="3">
        <v>30.86</v>
      </c>
      <c r="BF158" s="3">
        <v>31.13</v>
      </c>
      <c r="BG158" s="3">
        <v>30.86</v>
      </c>
      <c r="BH158" s="3">
        <v>31.13</v>
      </c>
      <c r="BI158" s="3">
        <v>1618</v>
      </c>
    </row>
    <row r="159" spans="1:61" ht="13" x14ac:dyDescent="0.15">
      <c r="A159" s="3">
        <v>42355</v>
      </c>
      <c r="B159" s="3">
        <v>2073.7600000000002</v>
      </c>
      <c r="C159" s="3">
        <v>2076.37</v>
      </c>
      <c r="D159" s="3">
        <v>2041.66</v>
      </c>
      <c r="E159" s="3">
        <v>2041.89</v>
      </c>
      <c r="F159" s="3">
        <v>646285876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3">
        <v>80.22</v>
      </c>
      <c r="M159" s="3">
        <v>80.5</v>
      </c>
      <c r="N159" s="3">
        <v>78.89</v>
      </c>
      <c r="O159" s="3">
        <v>78.89</v>
      </c>
      <c r="P159" s="3">
        <v>9224610</v>
      </c>
      <c r="Q159" s="3">
        <v>51.26</v>
      </c>
      <c r="R159" s="3">
        <v>51.26</v>
      </c>
      <c r="S159" s="3">
        <v>50.59</v>
      </c>
      <c r="T159" s="3">
        <v>50.6</v>
      </c>
      <c r="U159" s="3">
        <v>10235953</v>
      </c>
      <c r="V159" s="3">
        <v>61.94</v>
      </c>
      <c r="W159" s="3">
        <v>62.06</v>
      </c>
      <c r="X159" s="3">
        <v>60.38</v>
      </c>
      <c r="Y159" s="3">
        <v>60.38</v>
      </c>
      <c r="Z159" s="3">
        <v>29074782</v>
      </c>
      <c r="AA159" s="3">
        <v>19.920000000000002</v>
      </c>
      <c r="AB159" s="3">
        <v>19.920000000000002</v>
      </c>
      <c r="AC159" s="3">
        <v>19.54</v>
      </c>
      <c r="AD159" s="3">
        <v>19.559999999999999</v>
      </c>
      <c r="AE159" s="3">
        <v>57606261</v>
      </c>
      <c r="AF159" s="3">
        <v>72.81</v>
      </c>
      <c r="AG159" s="3">
        <v>72.81</v>
      </c>
      <c r="AH159" s="3">
        <v>71.77</v>
      </c>
      <c r="AI159" s="3">
        <v>71.83</v>
      </c>
      <c r="AJ159" s="3">
        <v>11469063</v>
      </c>
      <c r="AK159" s="3">
        <v>53.94</v>
      </c>
      <c r="AL159" s="3">
        <v>54.01</v>
      </c>
      <c r="AM159" s="3">
        <v>52.86</v>
      </c>
      <c r="AN159" s="3">
        <v>52.86</v>
      </c>
      <c r="AO159" s="3">
        <v>15902684</v>
      </c>
      <c r="AP159" s="3">
        <v>44.12</v>
      </c>
      <c r="AQ159" s="3">
        <v>44.12</v>
      </c>
      <c r="AR159" s="3">
        <v>43.17</v>
      </c>
      <c r="AS159" s="3">
        <v>43.17</v>
      </c>
      <c r="AT159" s="3">
        <v>9196504</v>
      </c>
      <c r="AU159" s="3">
        <v>44.09</v>
      </c>
      <c r="AV159" s="3">
        <v>44.09</v>
      </c>
      <c r="AW159" s="3">
        <v>43.21</v>
      </c>
      <c r="AX159" s="3">
        <v>43.22</v>
      </c>
      <c r="AY159" s="3">
        <v>12108646</v>
      </c>
      <c r="AZ159" s="3">
        <v>43.48</v>
      </c>
      <c r="BA159" s="3">
        <v>43.73</v>
      </c>
      <c r="BB159" s="3">
        <v>43.16</v>
      </c>
      <c r="BC159" s="3">
        <v>43.49</v>
      </c>
      <c r="BD159" s="3">
        <v>13161660</v>
      </c>
      <c r="BE159" s="3">
        <v>31.46</v>
      </c>
      <c r="BF159" s="3">
        <v>31.46</v>
      </c>
      <c r="BG159" s="3">
        <v>31.06</v>
      </c>
      <c r="BH159" s="3">
        <v>31.09</v>
      </c>
      <c r="BI159" s="3">
        <v>2420</v>
      </c>
    </row>
    <row r="160" spans="1:61" ht="13" x14ac:dyDescent="0.15">
      <c r="A160" s="3">
        <v>42356</v>
      </c>
      <c r="B160" s="3">
        <v>2040.81</v>
      </c>
      <c r="C160" s="3">
        <v>2040.81</v>
      </c>
      <c r="D160" s="3">
        <v>2005.33</v>
      </c>
      <c r="E160" s="3">
        <v>2005.55</v>
      </c>
      <c r="F160" s="3">
        <v>737827389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3">
        <v>78.430000000000007</v>
      </c>
      <c r="M160" s="3">
        <v>78.45</v>
      </c>
      <c r="N160" s="3">
        <v>77.28</v>
      </c>
      <c r="O160" s="3">
        <v>77.33</v>
      </c>
      <c r="P160" s="3">
        <v>15052988</v>
      </c>
      <c r="Q160" s="3">
        <v>50.18</v>
      </c>
      <c r="R160" s="3">
        <v>50.18</v>
      </c>
      <c r="S160" s="3">
        <v>49.34</v>
      </c>
      <c r="T160" s="3">
        <v>49.34</v>
      </c>
      <c r="U160" s="3">
        <v>14720588</v>
      </c>
      <c r="V160" s="3">
        <v>59.9</v>
      </c>
      <c r="W160" s="3">
        <v>59.94</v>
      </c>
      <c r="X160" s="3">
        <v>58.77</v>
      </c>
      <c r="Y160" s="3">
        <v>58.79</v>
      </c>
      <c r="Z160" s="3">
        <v>27139177</v>
      </c>
      <c r="AA160" s="3">
        <v>19.3</v>
      </c>
      <c r="AB160" s="3">
        <v>19.329999999999998</v>
      </c>
      <c r="AC160" s="3">
        <v>18.920000000000002</v>
      </c>
      <c r="AD160" s="3">
        <v>18.920000000000002</v>
      </c>
      <c r="AE160" s="3">
        <v>92281728</v>
      </c>
      <c r="AF160" s="3">
        <v>71.34</v>
      </c>
      <c r="AG160" s="3">
        <v>71.430000000000007</v>
      </c>
      <c r="AH160" s="3">
        <v>70.48</v>
      </c>
      <c r="AI160" s="3">
        <v>70.489999999999995</v>
      </c>
      <c r="AJ160" s="3">
        <v>15159769</v>
      </c>
      <c r="AK160" s="3">
        <v>52.43</v>
      </c>
      <c r="AL160" s="3">
        <v>52.43</v>
      </c>
      <c r="AM160" s="3">
        <v>51.7</v>
      </c>
      <c r="AN160" s="3">
        <v>51.74</v>
      </c>
      <c r="AO160" s="3">
        <v>19378215</v>
      </c>
      <c r="AP160" s="3">
        <v>42.76</v>
      </c>
      <c r="AQ160" s="3">
        <v>43.05</v>
      </c>
      <c r="AR160" s="3">
        <v>42.27</v>
      </c>
      <c r="AS160" s="3">
        <v>42.27</v>
      </c>
      <c r="AT160" s="3">
        <v>14249249</v>
      </c>
      <c r="AU160" s="3">
        <v>42.88</v>
      </c>
      <c r="AV160" s="3">
        <v>42.97</v>
      </c>
      <c r="AW160" s="3">
        <v>42.1</v>
      </c>
      <c r="AX160" s="3">
        <v>42.17</v>
      </c>
      <c r="AY160" s="3">
        <v>22813935</v>
      </c>
      <c r="AZ160" s="3">
        <v>42.99</v>
      </c>
      <c r="BA160" s="3">
        <v>43.04</v>
      </c>
      <c r="BB160" s="3">
        <v>42.18</v>
      </c>
      <c r="BC160" s="3">
        <v>42.51</v>
      </c>
      <c r="BD160" s="3">
        <v>18407238</v>
      </c>
      <c r="BE160" s="3">
        <v>30.56</v>
      </c>
      <c r="BF160" s="3">
        <v>30.59</v>
      </c>
      <c r="BG160" s="3">
        <v>30.35</v>
      </c>
      <c r="BH160" s="3">
        <v>30.35</v>
      </c>
      <c r="BI160" s="3">
        <v>1372</v>
      </c>
    </row>
    <row r="161" spans="1:61" ht="13" x14ac:dyDescent="0.15">
      <c r="A161" s="3">
        <v>42359</v>
      </c>
      <c r="B161" s="3">
        <v>2010.27</v>
      </c>
      <c r="C161" s="3">
        <v>2022.9</v>
      </c>
      <c r="D161" s="3">
        <v>2005.93</v>
      </c>
      <c r="E161" s="3">
        <v>2021.15</v>
      </c>
      <c r="F161" s="3">
        <v>610294061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3">
        <v>77.849999999999994</v>
      </c>
      <c r="M161" s="3">
        <v>78.11</v>
      </c>
      <c r="N161" s="3">
        <v>77.19</v>
      </c>
      <c r="O161" s="3">
        <v>77.72</v>
      </c>
      <c r="P161" s="3">
        <v>7089038</v>
      </c>
      <c r="Q161" s="3">
        <v>49.67</v>
      </c>
      <c r="R161" s="3">
        <v>49.91</v>
      </c>
      <c r="S161" s="3">
        <v>49.47</v>
      </c>
      <c r="T161" s="3">
        <v>49.9</v>
      </c>
      <c r="U161" s="3">
        <v>8155480</v>
      </c>
      <c r="V161" s="3">
        <v>58.8</v>
      </c>
      <c r="W161" s="3">
        <v>59.32</v>
      </c>
      <c r="X161" s="3">
        <v>58.21</v>
      </c>
      <c r="Y161" s="3">
        <v>58.85</v>
      </c>
      <c r="Z161" s="3">
        <v>24015013</v>
      </c>
      <c r="AA161" s="3">
        <v>19.079999999999998</v>
      </c>
      <c r="AB161" s="3">
        <v>19.170000000000002</v>
      </c>
      <c r="AC161" s="3">
        <v>18.940000000000001</v>
      </c>
      <c r="AD161" s="3">
        <v>19.11</v>
      </c>
      <c r="AE161" s="3">
        <v>41208857</v>
      </c>
      <c r="AF161" s="3">
        <v>70.91</v>
      </c>
      <c r="AG161" s="3">
        <v>71.13</v>
      </c>
      <c r="AH161" s="3">
        <v>70.55</v>
      </c>
      <c r="AI161" s="3">
        <v>71.13</v>
      </c>
      <c r="AJ161" s="3">
        <v>6707204</v>
      </c>
      <c r="AK161" s="3">
        <v>52.2</v>
      </c>
      <c r="AL161" s="3">
        <v>52.36</v>
      </c>
      <c r="AM161" s="3">
        <v>51.83</v>
      </c>
      <c r="AN161" s="3">
        <v>52.14</v>
      </c>
      <c r="AO161" s="3">
        <v>9394669</v>
      </c>
      <c r="AP161" s="3">
        <v>42.56</v>
      </c>
      <c r="AQ161" s="3">
        <v>42.77</v>
      </c>
      <c r="AR161" s="3">
        <v>42.29</v>
      </c>
      <c r="AS161" s="3">
        <v>42.65</v>
      </c>
      <c r="AT161" s="3">
        <v>5887095</v>
      </c>
      <c r="AU161" s="3">
        <v>42.52</v>
      </c>
      <c r="AV161" s="3">
        <v>42.63</v>
      </c>
      <c r="AW161" s="3">
        <v>42.24</v>
      </c>
      <c r="AX161" s="3">
        <v>42.6</v>
      </c>
      <c r="AY161" s="3">
        <v>11163279</v>
      </c>
      <c r="AZ161" s="3">
        <v>42.61</v>
      </c>
      <c r="BA161" s="3">
        <v>42.78</v>
      </c>
      <c r="BB161" s="3">
        <v>42.26</v>
      </c>
      <c r="BC161" s="3">
        <v>42.48</v>
      </c>
      <c r="BD161" s="3">
        <v>9031500</v>
      </c>
      <c r="BE161" s="3">
        <v>30.46</v>
      </c>
      <c r="BF161" s="3">
        <v>30.46</v>
      </c>
      <c r="BG161" s="3">
        <v>30.4</v>
      </c>
      <c r="BH161" s="3">
        <v>30.4</v>
      </c>
      <c r="BI161" s="3">
        <v>485</v>
      </c>
    </row>
    <row r="162" spans="1:61" ht="13" x14ac:dyDescent="0.15">
      <c r="A162" s="3">
        <v>42360</v>
      </c>
      <c r="B162" s="3">
        <v>2023.15</v>
      </c>
      <c r="C162" s="3">
        <v>2042.74</v>
      </c>
      <c r="D162" s="3">
        <v>2020.49</v>
      </c>
      <c r="E162" s="3">
        <v>2038.97</v>
      </c>
      <c r="F162" s="3">
        <v>546862689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3">
        <v>78.12</v>
      </c>
      <c r="M162" s="3">
        <v>78.44</v>
      </c>
      <c r="N162" s="3">
        <v>77.680000000000007</v>
      </c>
      <c r="O162" s="3">
        <v>78.290000000000006</v>
      </c>
      <c r="P162" s="3">
        <v>6732917</v>
      </c>
      <c r="Q162" s="3">
        <v>49.98</v>
      </c>
      <c r="R162" s="3">
        <v>50.61</v>
      </c>
      <c r="S162" s="3">
        <v>49.87</v>
      </c>
      <c r="T162" s="3">
        <v>50.55</v>
      </c>
      <c r="U162" s="3">
        <v>7185807</v>
      </c>
      <c r="V162" s="3">
        <v>59.06</v>
      </c>
      <c r="W162" s="3">
        <v>59.92</v>
      </c>
      <c r="X162" s="3">
        <v>58.77</v>
      </c>
      <c r="Y162" s="3">
        <v>59.54</v>
      </c>
      <c r="Z162" s="3">
        <v>25291533</v>
      </c>
      <c r="AA162" s="3">
        <v>19.22</v>
      </c>
      <c r="AB162" s="3">
        <v>19.329999999999998</v>
      </c>
      <c r="AC162" s="3">
        <v>19.05</v>
      </c>
      <c r="AD162" s="3">
        <v>19.29</v>
      </c>
      <c r="AE162" s="3">
        <v>46375104</v>
      </c>
      <c r="AF162" s="3">
        <v>71.38</v>
      </c>
      <c r="AG162" s="3">
        <v>71.709999999999994</v>
      </c>
      <c r="AH162" s="3">
        <v>70.97</v>
      </c>
      <c r="AI162" s="3">
        <v>71.61</v>
      </c>
      <c r="AJ162" s="3">
        <v>7495791</v>
      </c>
      <c r="AK162" s="3">
        <v>52.35</v>
      </c>
      <c r="AL162" s="3">
        <v>52.98</v>
      </c>
      <c r="AM162" s="3">
        <v>52.23</v>
      </c>
      <c r="AN162" s="3">
        <v>52.86</v>
      </c>
      <c r="AO162" s="3">
        <v>11833522</v>
      </c>
      <c r="AP162" s="3">
        <v>42.87</v>
      </c>
      <c r="AQ162" s="3">
        <v>43.39</v>
      </c>
      <c r="AR162" s="3">
        <v>42.73</v>
      </c>
      <c r="AS162" s="3">
        <v>43.19</v>
      </c>
      <c r="AT162" s="3">
        <v>5268201</v>
      </c>
      <c r="AU162" s="3">
        <v>42.76</v>
      </c>
      <c r="AV162" s="3">
        <v>42.98</v>
      </c>
      <c r="AW162" s="3">
        <v>42.56</v>
      </c>
      <c r="AX162" s="3">
        <v>42.91</v>
      </c>
      <c r="AY162" s="3">
        <v>9482597</v>
      </c>
      <c r="AZ162" s="3">
        <v>42.6</v>
      </c>
      <c r="BA162" s="3">
        <v>42.95</v>
      </c>
      <c r="BB162" s="3">
        <v>42.21</v>
      </c>
      <c r="BC162" s="3">
        <v>42.84</v>
      </c>
      <c r="BD162" s="3">
        <v>8125824</v>
      </c>
      <c r="BE162" s="3">
        <v>30.68</v>
      </c>
      <c r="BF162" s="3">
        <v>30.68</v>
      </c>
      <c r="BG162" s="3">
        <v>30.68</v>
      </c>
      <c r="BH162" s="3">
        <v>30.68</v>
      </c>
      <c r="BI162" s="3">
        <v>201</v>
      </c>
    </row>
    <row r="163" spans="1:61" ht="13" x14ac:dyDescent="0.15">
      <c r="A163" s="3">
        <v>42361</v>
      </c>
      <c r="B163" s="3">
        <v>2042.2</v>
      </c>
      <c r="C163" s="3">
        <v>2064.73</v>
      </c>
      <c r="D163" s="3">
        <v>2042.2</v>
      </c>
      <c r="E163" s="3">
        <v>2064.29</v>
      </c>
      <c r="F163" s="3">
        <v>545191292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3">
        <v>78.5</v>
      </c>
      <c r="M163" s="3">
        <v>78.78</v>
      </c>
      <c r="N163" s="3">
        <v>78.36</v>
      </c>
      <c r="O163" s="3">
        <v>78.69</v>
      </c>
      <c r="P163" s="3">
        <v>6024849</v>
      </c>
      <c r="Q163" s="3">
        <v>50.77</v>
      </c>
      <c r="R163" s="3">
        <v>50.99</v>
      </c>
      <c r="S163" s="3">
        <v>50.68</v>
      </c>
      <c r="T163" s="3">
        <v>50.92</v>
      </c>
      <c r="U163" s="3">
        <v>6464116</v>
      </c>
      <c r="V163" s="3">
        <v>60.74</v>
      </c>
      <c r="W163" s="3">
        <v>62.17</v>
      </c>
      <c r="X163" s="3">
        <v>60.53</v>
      </c>
      <c r="Y163" s="3">
        <v>62.13</v>
      </c>
      <c r="Z163" s="3">
        <v>30210492</v>
      </c>
      <c r="AA163" s="3">
        <v>19.41</v>
      </c>
      <c r="AB163" s="3">
        <v>19.55</v>
      </c>
      <c r="AC163" s="3">
        <v>19.350000000000001</v>
      </c>
      <c r="AD163" s="3">
        <v>19.510000000000002</v>
      </c>
      <c r="AE163" s="3">
        <v>33003978</v>
      </c>
      <c r="AF163" s="3">
        <v>72.06</v>
      </c>
      <c r="AG163" s="3">
        <v>72.540000000000006</v>
      </c>
      <c r="AH163" s="3">
        <v>71.989999999999995</v>
      </c>
      <c r="AI163" s="3">
        <v>72.38</v>
      </c>
      <c r="AJ163" s="3">
        <v>8090966</v>
      </c>
      <c r="AK163" s="3">
        <v>53.1</v>
      </c>
      <c r="AL163" s="3">
        <v>53.52</v>
      </c>
      <c r="AM163" s="3">
        <v>52.96</v>
      </c>
      <c r="AN163" s="3">
        <v>53.48</v>
      </c>
      <c r="AO163" s="3">
        <v>9604802</v>
      </c>
      <c r="AP163" s="3">
        <v>43.5</v>
      </c>
      <c r="AQ163" s="3">
        <v>44.28</v>
      </c>
      <c r="AR163" s="3">
        <v>43.5</v>
      </c>
      <c r="AS163" s="3">
        <v>44.21</v>
      </c>
      <c r="AT163" s="3">
        <v>5819613</v>
      </c>
      <c r="AU163" s="3">
        <v>43.14</v>
      </c>
      <c r="AV163" s="3">
        <v>43.31</v>
      </c>
      <c r="AW163" s="3">
        <v>43</v>
      </c>
      <c r="AX163" s="3">
        <v>43.27</v>
      </c>
      <c r="AY163" s="3">
        <v>8045250</v>
      </c>
      <c r="AZ163" s="3">
        <v>42.91</v>
      </c>
      <c r="BA163" s="3">
        <v>43.6</v>
      </c>
      <c r="BB163" s="3">
        <v>42.85</v>
      </c>
      <c r="BC163" s="3">
        <v>43.5</v>
      </c>
      <c r="BD163" s="3">
        <v>8581656</v>
      </c>
      <c r="BE163" s="3">
        <v>30.75</v>
      </c>
      <c r="BF163" s="3">
        <v>30.98</v>
      </c>
      <c r="BG163" s="3">
        <v>30.75</v>
      </c>
      <c r="BH163" s="3">
        <v>30.98</v>
      </c>
      <c r="BI163" s="3">
        <v>4493</v>
      </c>
    </row>
    <row r="164" spans="1:61" ht="13" x14ac:dyDescent="0.15">
      <c r="A164" s="3">
        <v>42362</v>
      </c>
      <c r="B164" s="3">
        <v>2063.52</v>
      </c>
      <c r="C164" s="3">
        <v>2067.36</v>
      </c>
      <c r="D164" s="3">
        <v>2058.73</v>
      </c>
      <c r="E164" s="3">
        <v>2060.9899999999998</v>
      </c>
      <c r="F164" s="3">
        <v>250570206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3">
        <v>78.56</v>
      </c>
      <c r="M164" s="3">
        <v>78.739999999999995</v>
      </c>
      <c r="N164" s="3">
        <v>78.42</v>
      </c>
      <c r="O164" s="3">
        <v>78.48</v>
      </c>
      <c r="P164" s="3">
        <v>1911828</v>
      </c>
      <c r="Q164" s="3">
        <v>50.81</v>
      </c>
      <c r="R164" s="3">
        <v>51.02</v>
      </c>
      <c r="S164" s="3">
        <v>50.81</v>
      </c>
      <c r="T164" s="3">
        <v>50.87</v>
      </c>
      <c r="U164" s="3">
        <v>2312094</v>
      </c>
      <c r="V164" s="3">
        <v>62.21</v>
      </c>
      <c r="W164" s="3">
        <v>62.29</v>
      </c>
      <c r="X164" s="3">
        <v>61.35</v>
      </c>
      <c r="Y164" s="3">
        <v>61.57</v>
      </c>
      <c r="Z164" s="3">
        <v>7215631</v>
      </c>
      <c r="AA164" s="3">
        <v>19.54</v>
      </c>
      <c r="AB164" s="3">
        <v>19.600000000000001</v>
      </c>
      <c r="AC164" s="3">
        <v>19.45</v>
      </c>
      <c r="AD164" s="3">
        <v>19.5</v>
      </c>
      <c r="AE164" s="3">
        <v>11246654</v>
      </c>
      <c r="AF164" s="3">
        <v>72.14</v>
      </c>
      <c r="AG164" s="3">
        <v>72.680000000000007</v>
      </c>
      <c r="AH164" s="3">
        <v>72.11</v>
      </c>
      <c r="AI164" s="3">
        <v>72.45</v>
      </c>
      <c r="AJ164" s="3">
        <v>2568255</v>
      </c>
      <c r="AK164" s="3">
        <v>53.29</v>
      </c>
      <c r="AL164" s="3">
        <v>53.6</v>
      </c>
      <c r="AM164" s="3">
        <v>53.29</v>
      </c>
      <c r="AN164" s="3">
        <v>53.46</v>
      </c>
      <c r="AO164" s="3">
        <v>2040512</v>
      </c>
      <c r="AP164" s="3">
        <v>44.11</v>
      </c>
      <c r="AQ164" s="3">
        <v>44.29</v>
      </c>
      <c r="AR164" s="3">
        <v>44.02</v>
      </c>
      <c r="AS164" s="3">
        <v>44.11</v>
      </c>
      <c r="AT164" s="3">
        <v>3717012</v>
      </c>
      <c r="AU164" s="3">
        <v>43.3</v>
      </c>
      <c r="AV164" s="3">
        <v>43.36</v>
      </c>
      <c r="AW164" s="3">
        <v>43.2</v>
      </c>
      <c r="AX164" s="3">
        <v>43.25</v>
      </c>
      <c r="AY164" s="3">
        <v>2457019</v>
      </c>
      <c r="AZ164" s="3">
        <v>43.35</v>
      </c>
      <c r="BA164" s="3">
        <v>43.6</v>
      </c>
      <c r="BB164" s="3">
        <v>43.35</v>
      </c>
      <c r="BC164" s="3">
        <v>43.47</v>
      </c>
      <c r="BD164" s="3">
        <v>2715807</v>
      </c>
      <c r="BE164" s="3">
        <v>30.86</v>
      </c>
      <c r="BF164" s="3">
        <v>31.01</v>
      </c>
      <c r="BG164" s="3">
        <v>30.86</v>
      </c>
      <c r="BH164" s="3">
        <v>31.01</v>
      </c>
      <c r="BI164" s="3">
        <v>330</v>
      </c>
    </row>
    <row r="165" spans="1:61" ht="13" x14ac:dyDescent="0.15">
      <c r="A165" s="3">
        <v>42366</v>
      </c>
      <c r="B165" s="3">
        <v>2057.77</v>
      </c>
      <c r="C165" s="3">
        <v>2057.77</v>
      </c>
      <c r="D165" s="3">
        <v>2044.2</v>
      </c>
      <c r="E165" s="3">
        <v>2056.5</v>
      </c>
      <c r="F165" s="3">
        <v>367737617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3">
        <v>78.28</v>
      </c>
      <c r="M165" s="3">
        <v>78.73</v>
      </c>
      <c r="N165" s="3">
        <v>78.06</v>
      </c>
      <c r="O165" s="3">
        <v>78.680000000000007</v>
      </c>
      <c r="P165" s="3">
        <v>4055859</v>
      </c>
      <c r="Q165" s="3">
        <v>50.65</v>
      </c>
      <c r="R165" s="3">
        <v>50.81</v>
      </c>
      <c r="S165" s="3">
        <v>50.6</v>
      </c>
      <c r="T165" s="3">
        <v>50.8</v>
      </c>
      <c r="U165" s="3">
        <v>4620852</v>
      </c>
      <c r="V165" s="3">
        <v>60.5</v>
      </c>
      <c r="W165" s="3">
        <v>60.82</v>
      </c>
      <c r="X165" s="3">
        <v>60.14</v>
      </c>
      <c r="Y165" s="3">
        <v>60.45</v>
      </c>
      <c r="Z165" s="3">
        <v>12553910</v>
      </c>
      <c r="AA165" s="3">
        <v>19.420000000000002</v>
      </c>
      <c r="AB165" s="3">
        <v>19.489999999999998</v>
      </c>
      <c r="AC165" s="3">
        <v>19.32</v>
      </c>
      <c r="AD165" s="3">
        <v>19.48</v>
      </c>
      <c r="AE165" s="3">
        <v>13604420</v>
      </c>
      <c r="AF165" s="3">
        <v>72.239999999999995</v>
      </c>
      <c r="AG165" s="3">
        <v>72.3</v>
      </c>
      <c r="AH165" s="3">
        <v>71.91</v>
      </c>
      <c r="AI165" s="3">
        <v>72.11</v>
      </c>
      <c r="AJ165" s="3">
        <v>6534743</v>
      </c>
      <c r="AK165" s="3">
        <v>53.25</v>
      </c>
      <c r="AL165" s="3">
        <v>53.45</v>
      </c>
      <c r="AM165" s="3">
        <v>52.99</v>
      </c>
      <c r="AN165" s="3">
        <v>53.34</v>
      </c>
      <c r="AO165" s="3">
        <v>4687580</v>
      </c>
      <c r="AP165" s="3">
        <v>43.92</v>
      </c>
      <c r="AQ165" s="3">
        <v>43.92</v>
      </c>
      <c r="AR165" s="3">
        <v>43.54</v>
      </c>
      <c r="AS165" s="3">
        <v>43.8</v>
      </c>
      <c r="AT165" s="3">
        <v>4161561</v>
      </c>
      <c r="AU165" s="3">
        <v>43.09</v>
      </c>
      <c r="AV165" s="3">
        <v>43.25</v>
      </c>
      <c r="AW165" s="3">
        <v>42.85</v>
      </c>
      <c r="AX165" s="3">
        <v>43.22</v>
      </c>
      <c r="AY165" s="3">
        <v>7177228</v>
      </c>
      <c r="AZ165" s="3">
        <v>43.21</v>
      </c>
      <c r="BA165" s="3">
        <v>43.61</v>
      </c>
      <c r="BB165" s="3">
        <v>43.21</v>
      </c>
      <c r="BC165" s="3">
        <v>43.55</v>
      </c>
      <c r="BD165" s="3">
        <v>5036782</v>
      </c>
      <c r="BE165" s="3">
        <v>31.03</v>
      </c>
      <c r="BF165" s="3">
        <v>31.03</v>
      </c>
      <c r="BG165" s="3">
        <v>30.92</v>
      </c>
      <c r="BH165" s="3">
        <v>30.93</v>
      </c>
      <c r="BI165" s="3">
        <v>2126</v>
      </c>
    </row>
    <row r="166" spans="1:61" ht="13" x14ac:dyDescent="0.15">
      <c r="A166" s="3">
        <v>42367</v>
      </c>
      <c r="B166" s="3">
        <v>2060.54</v>
      </c>
      <c r="C166" s="3">
        <v>2081.56</v>
      </c>
      <c r="D166" s="3">
        <v>2060.54</v>
      </c>
      <c r="E166" s="3">
        <v>2078.36</v>
      </c>
      <c r="F166" s="3">
        <v>379027946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3">
        <v>79.16</v>
      </c>
      <c r="M166" s="3">
        <v>79.709999999999994</v>
      </c>
      <c r="N166" s="3">
        <v>79</v>
      </c>
      <c r="O166" s="3">
        <v>79.59</v>
      </c>
      <c r="P166" s="3">
        <v>5740199</v>
      </c>
      <c r="Q166" s="3">
        <v>51.13</v>
      </c>
      <c r="R166" s="3">
        <v>51.29</v>
      </c>
      <c r="S166" s="3">
        <v>50.91</v>
      </c>
      <c r="T166" s="3">
        <v>51.24</v>
      </c>
      <c r="U166" s="3">
        <v>4133999</v>
      </c>
      <c r="V166" s="3">
        <v>61.49</v>
      </c>
      <c r="W166" s="3">
        <v>61.67</v>
      </c>
      <c r="X166" s="3">
        <v>60.54</v>
      </c>
      <c r="Y166" s="3">
        <v>60.87</v>
      </c>
      <c r="Z166" s="3">
        <v>15106314</v>
      </c>
      <c r="AA166" s="3">
        <v>19.64</v>
      </c>
      <c r="AB166" s="3">
        <v>19.71</v>
      </c>
      <c r="AC166" s="3">
        <v>19.579999999999998</v>
      </c>
      <c r="AD166" s="3">
        <v>19.68</v>
      </c>
      <c r="AE166" s="3">
        <v>30901911</v>
      </c>
      <c r="AF166" s="3">
        <v>72.59</v>
      </c>
      <c r="AG166" s="3">
        <v>73.16</v>
      </c>
      <c r="AH166" s="3">
        <v>72.44</v>
      </c>
      <c r="AI166" s="3">
        <v>72.989999999999995</v>
      </c>
      <c r="AJ166" s="3">
        <v>7243106</v>
      </c>
      <c r="AK166" s="3">
        <v>53.59</v>
      </c>
      <c r="AL166" s="3">
        <v>53.95</v>
      </c>
      <c r="AM166" s="3">
        <v>53.53</v>
      </c>
      <c r="AN166" s="3">
        <v>53.85</v>
      </c>
      <c r="AO166" s="3">
        <v>5054667</v>
      </c>
      <c r="AP166" s="3">
        <v>44.05</v>
      </c>
      <c r="AQ166" s="3">
        <v>44.37</v>
      </c>
      <c r="AR166" s="3">
        <v>44.03</v>
      </c>
      <c r="AS166" s="3">
        <v>44.21</v>
      </c>
      <c r="AT166" s="3">
        <v>3885382</v>
      </c>
      <c r="AU166" s="3">
        <v>43.48</v>
      </c>
      <c r="AV166" s="3">
        <v>43.92</v>
      </c>
      <c r="AW166" s="3">
        <v>43.39</v>
      </c>
      <c r="AX166" s="3">
        <v>43.81</v>
      </c>
      <c r="AY166" s="3">
        <v>6809184</v>
      </c>
      <c r="AZ166" s="3">
        <v>43.76</v>
      </c>
      <c r="BA166" s="3">
        <v>43.94</v>
      </c>
      <c r="BB166" s="3">
        <v>43.68</v>
      </c>
      <c r="BC166" s="3">
        <v>43.79</v>
      </c>
      <c r="BD166" s="3">
        <v>9223927</v>
      </c>
      <c r="BE166" s="3">
        <v>31.25</v>
      </c>
      <c r="BF166" s="3">
        <v>31.49</v>
      </c>
      <c r="BG166" s="3">
        <v>31.25</v>
      </c>
      <c r="BH166" s="3">
        <v>31.44</v>
      </c>
      <c r="BI166" s="3">
        <v>3457</v>
      </c>
    </row>
    <row r="167" spans="1:61" ht="13" x14ac:dyDescent="0.15">
      <c r="A167" s="3">
        <v>42368</v>
      </c>
      <c r="B167" s="3">
        <v>2077.34</v>
      </c>
      <c r="C167" s="3">
        <v>2077.34</v>
      </c>
      <c r="D167" s="3">
        <v>2061.9699999999998</v>
      </c>
      <c r="E167" s="3">
        <v>2063.36</v>
      </c>
      <c r="F167" s="3">
        <v>334631231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3">
        <v>79.53</v>
      </c>
      <c r="M167" s="3">
        <v>79.56</v>
      </c>
      <c r="N167" s="3">
        <v>78.930000000000007</v>
      </c>
      <c r="O167" s="3">
        <v>78.95</v>
      </c>
      <c r="P167" s="3">
        <v>3218888</v>
      </c>
      <c r="Q167" s="3">
        <v>51.21</v>
      </c>
      <c r="R167" s="3">
        <v>51.27</v>
      </c>
      <c r="S167" s="3">
        <v>51</v>
      </c>
      <c r="T167" s="3">
        <v>51.06</v>
      </c>
      <c r="U167" s="3">
        <v>6942853</v>
      </c>
      <c r="V167" s="3">
        <v>60.03</v>
      </c>
      <c r="W167" s="3">
        <v>60.89</v>
      </c>
      <c r="X167" s="3">
        <v>59.99</v>
      </c>
      <c r="Y167" s="3">
        <v>60.05</v>
      </c>
      <c r="Z167" s="3">
        <v>15051209</v>
      </c>
      <c r="AA167" s="3">
        <v>19.64</v>
      </c>
      <c r="AB167" s="3">
        <v>19.68</v>
      </c>
      <c r="AC167" s="3">
        <v>19.510000000000002</v>
      </c>
      <c r="AD167" s="3">
        <v>19.55</v>
      </c>
      <c r="AE167" s="3">
        <v>15710124</v>
      </c>
      <c r="AF167" s="3">
        <v>72.91</v>
      </c>
      <c r="AG167" s="3">
        <v>73.099999999999994</v>
      </c>
      <c r="AH167" s="3">
        <v>72.61</v>
      </c>
      <c r="AI167" s="3">
        <v>72.680000000000007</v>
      </c>
      <c r="AJ167" s="3">
        <v>8496453</v>
      </c>
      <c r="AK167" s="3">
        <v>53.75</v>
      </c>
      <c r="AL167" s="3">
        <v>53.85</v>
      </c>
      <c r="AM167" s="3">
        <v>53.33</v>
      </c>
      <c r="AN167" s="3">
        <v>53.4</v>
      </c>
      <c r="AO167" s="3">
        <v>10957744</v>
      </c>
      <c r="AP167" s="3">
        <v>44.07</v>
      </c>
      <c r="AQ167" s="3">
        <v>44.21</v>
      </c>
      <c r="AR167" s="3">
        <v>43.74</v>
      </c>
      <c r="AS167" s="3">
        <v>43.8</v>
      </c>
      <c r="AT167" s="3">
        <v>3339072</v>
      </c>
      <c r="AU167" s="3">
        <v>43.79</v>
      </c>
      <c r="AV167" s="3">
        <v>43.79</v>
      </c>
      <c r="AW167" s="3">
        <v>43.44</v>
      </c>
      <c r="AX167" s="3">
        <v>43.44</v>
      </c>
      <c r="AY167" s="3">
        <v>7196520</v>
      </c>
      <c r="AZ167" s="3">
        <v>43.82</v>
      </c>
      <c r="BA167" s="3">
        <v>43.94</v>
      </c>
      <c r="BB167" s="3">
        <v>43.66</v>
      </c>
      <c r="BC167" s="3">
        <v>43.75</v>
      </c>
      <c r="BD167" s="3">
        <v>7831482</v>
      </c>
      <c r="BE167" s="3">
        <v>31.57</v>
      </c>
      <c r="BF167" s="3">
        <v>31.59</v>
      </c>
      <c r="BG167" s="3">
        <v>31.44</v>
      </c>
      <c r="BH167" s="3">
        <v>31.44</v>
      </c>
      <c r="BI167" s="3">
        <v>2037</v>
      </c>
    </row>
    <row r="168" spans="1:61" ht="13" x14ac:dyDescent="0.15">
      <c r="A168" s="3">
        <v>42369</v>
      </c>
      <c r="B168" s="3">
        <v>2060.59</v>
      </c>
      <c r="C168" s="3">
        <v>2062.54</v>
      </c>
      <c r="D168" s="3">
        <v>2043.62</v>
      </c>
      <c r="E168" s="3">
        <v>2043.94</v>
      </c>
      <c r="F168" s="3">
        <v>482596709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3">
        <v>78.58</v>
      </c>
      <c r="M168" s="3">
        <v>79.010000000000005</v>
      </c>
      <c r="N168" s="3">
        <v>78.150000000000006</v>
      </c>
      <c r="O168" s="3">
        <v>78.16</v>
      </c>
      <c r="P168" s="3">
        <v>6580203</v>
      </c>
      <c r="Q168" s="3">
        <v>50.89</v>
      </c>
      <c r="R168" s="3">
        <v>50.9</v>
      </c>
      <c r="S168" s="3">
        <v>50.43</v>
      </c>
      <c r="T168" s="3">
        <v>50.49</v>
      </c>
      <c r="U168" s="3">
        <v>6801446</v>
      </c>
      <c r="V168" s="3">
        <v>59.77</v>
      </c>
      <c r="W168" s="3">
        <v>60.64</v>
      </c>
      <c r="X168" s="3">
        <v>59.58</v>
      </c>
      <c r="Y168" s="3">
        <v>60.32</v>
      </c>
      <c r="Z168" s="3">
        <v>19202410</v>
      </c>
      <c r="AA168" s="3">
        <v>19.350000000000001</v>
      </c>
      <c r="AB168" s="3">
        <v>19.579999999999998</v>
      </c>
      <c r="AC168" s="3">
        <v>19.309999999999999</v>
      </c>
      <c r="AD168" s="3">
        <v>19.350000000000001</v>
      </c>
      <c r="AE168" s="3">
        <v>48054218</v>
      </c>
      <c r="AF168" s="3">
        <v>72.42</v>
      </c>
      <c r="AG168" s="3">
        <v>72.75</v>
      </c>
      <c r="AH168" s="3">
        <v>72.03</v>
      </c>
      <c r="AI168" s="3">
        <v>72.03</v>
      </c>
      <c r="AJ168" s="3">
        <v>6591727</v>
      </c>
      <c r="AK168" s="3">
        <v>53.15</v>
      </c>
      <c r="AL168" s="3">
        <v>53.45</v>
      </c>
      <c r="AM168" s="3">
        <v>52.92</v>
      </c>
      <c r="AN168" s="3">
        <v>53.01</v>
      </c>
      <c r="AO168" s="3">
        <v>6785353</v>
      </c>
      <c r="AP168" s="3">
        <v>43.7</v>
      </c>
      <c r="AQ168" s="3">
        <v>43.93</v>
      </c>
      <c r="AR168" s="3">
        <v>43.42</v>
      </c>
      <c r="AS168" s="3">
        <v>43.42</v>
      </c>
      <c r="AT168" s="3">
        <v>4679514</v>
      </c>
      <c r="AU168" s="3">
        <v>43.29</v>
      </c>
      <c r="AV168" s="3">
        <v>43.32</v>
      </c>
      <c r="AW168" s="3">
        <v>42.83</v>
      </c>
      <c r="AX168" s="3">
        <v>42.83</v>
      </c>
      <c r="AY168" s="3">
        <v>8834468</v>
      </c>
      <c r="AZ168" s="3">
        <v>43.68</v>
      </c>
      <c r="BA168" s="3">
        <v>43.8</v>
      </c>
      <c r="BB168" s="3">
        <v>42.89</v>
      </c>
      <c r="BC168" s="3">
        <v>43.28</v>
      </c>
      <c r="BD168" s="3">
        <v>10431667</v>
      </c>
      <c r="BE168" s="3">
        <v>31.32</v>
      </c>
      <c r="BF168" s="3">
        <v>31.39</v>
      </c>
      <c r="BG168" s="3">
        <v>31.18</v>
      </c>
      <c r="BH168" s="3">
        <v>31.18</v>
      </c>
      <c r="BI168" s="3">
        <v>36795</v>
      </c>
    </row>
    <row r="169" spans="1:61" ht="13" x14ac:dyDescent="0.15">
      <c r="A169" s="3">
        <v>42373</v>
      </c>
      <c r="B169" s="3">
        <v>2038.2</v>
      </c>
      <c r="C169" s="3">
        <v>2038.2</v>
      </c>
      <c r="D169" s="3">
        <v>1989.68</v>
      </c>
      <c r="E169" s="3">
        <v>2012.66</v>
      </c>
      <c r="F169" s="3">
        <v>802072115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3">
        <v>76.78</v>
      </c>
      <c r="M169" s="3">
        <v>76.930000000000007</v>
      </c>
      <c r="N169" s="3">
        <v>75.98</v>
      </c>
      <c r="O169" s="3">
        <v>76.819999999999993</v>
      </c>
      <c r="P169" s="3">
        <v>13400415</v>
      </c>
      <c r="Q169" s="3">
        <v>49.83</v>
      </c>
      <c r="R169" s="3">
        <v>49.85</v>
      </c>
      <c r="S169" s="3">
        <v>49.35</v>
      </c>
      <c r="T169" s="3">
        <v>49.85</v>
      </c>
      <c r="U169" s="3">
        <v>17281160</v>
      </c>
      <c r="V169" s="3">
        <v>60.16</v>
      </c>
      <c r="W169" s="3">
        <v>60.78</v>
      </c>
      <c r="X169" s="3">
        <v>59.3</v>
      </c>
      <c r="Y169" s="3">
        <v>60.3</v>
      </c>
      <c r="Z169" s="3">
        <v>21808669</v>
      </c>
      <c r="AA169" s="3">
        <v>18.95</v>
      </c>
      <c r="AB169" s="3">
        <v>18.989999999999998</v>
      </c>
      <c r="AC169" s="3">
        <v>18.760000000000002</v>
      </c>
      <c r="AD169" s="3">
        <v>18.98</v>
      </c>
      <c r="AE169" s="3">
        <v>75863092</v>
      </c>
      <c r="AF169" s="3">
        <v>70.77</v>
      </c>
      <c r="AG169" s="3">
        <v>71</v>
      </c>
      <c r="AH169" s="3">
        <v>70.010000000000005</v>
      </c>
      <c r="AI169" s="3">
        <v>70.73</v>
      </c>
      <c r="AJ169" s="3">
        <v>19666268</v>
      </c>
      <c r="AK169" s="3">
        <v>52.11</v>
      </c>
      <c r="AL169" s="3">
        <v>52.32</v>
      </c>
      <c r="AM169" s="3">
        <v>51.71</v>
      </c>
      <c r="AN169" s="3">
        <v>52.3</v>
      </c>
      <c r="AO169" s="3">
        <v>16404580</v>
      </c>
      <c r="AP169" s="3">
        <v>42.72</v>
      </c>
      <c r="AQ169" s="3">
        <v>42.86</v>
      </c>
      <c r="AR169" s="3">
        <v>42.26</v>
      </c>
      <c r="AS169" s="3">
        <v>42.74</v>
      </c>
      <c r="AT169" s="3">
        <v>14430190</v>
      </c>
      <c r="AU169" s="3">
        <v>42.06</v>
      </c>
      <c r="AV169" s="3">
        <v>42.28</v>
      </c>
      <c r="AW169" s="3">
        <v>41.61</v>
      </c>
      <c r="AX169" s="3">
        <v>42.27</v>
      </c>
      <c r="AY169" s="3">
        <v>21638628</v>
      </c>
      <c r="AZ169" s="3">
        <v>43.03</v>
      </c>
      <c r="BA169" s="3">
        <v>43.2</v>
      </c>
      <c r="BB169" s="3">
        <v>42.67</v>
      </c>
      <c r="BC169" s="3">
        <v>43.19</v>
      </c>
      <c r="BD169" s="3">
        <v>14846729</v>
      </c>
      <c r="BE169" s="3">
        <v>30.98</v>
      </c>
      <c r="BF169" s="3">
        <v>30.98</v>
      </c>
      <c r="BG169" s="3">
        <v>30.36</v>
      </c>
      <c r="BH169" s="3">
        <v>30.46</v>
      </c>
      <c r="BI169" s="3">
        <v>1937</v>
      </c>
    </row>
    <row r="170" spans="1:61" ht="13" x14ac:dyDescent="0.15">
      <c r="A170" s="3">
        <v>42374</v>
      </c>
      <c r="B170" s="3">
        <v>2013.78</v>
      </c>
      <c r="C170" s="3">
        <v>2021.94</v>
      </c>
      <c r="D170" s="3">
        <v>2004.17</v>
      </c>
      <c r="E170" s="3">
        <v>2016.71</v>
      </c>
      <c r="F170" s="3">
        <v>619260483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3">
        <v>76.89</v>
      </c>
      <c r="M170" s="3">
        <v>77.150000000000006</v>
      </c>
      <c r="N170" s="3">
        <v>76.17</v>
      </c>
      <c r="O170" s="3">
        <v>76.72</v>
      </c>
      <c r="P170" s="3">
        <v>7424949</v>
      </c>
      <c r="Q170" s="3">
        <v>49.97</v>
      </c>
      <c r="R170" s="3">
        <v>50.29</v>
      </c>
      <c r="S170" s="3">
        <v>49.84</v>
      </c>
      <c r="T170" s="3">
        <v>50.17</v>
      </c>
      <c r="U170" s="3">
        <v>8630450</v>
      </c>
      <c r="V170" s="3">
        <v>60.26</v>
      </c>
      <c r="W170" s="3">
        <v>60.6</v>
      </c>
      <c r="X170" s="3">
        <v>59.59</v>
      </c>
      <c r="Y170" s="3">
        <v>60.53</v>
      </c>
      <c r="Z170" s="3">
        <v>15529203</v>
      </c>
      <c r="AA170" s="3">
        <v>19.010000000000002</v>
      </c>
      <c r="AB170" s="3">
        <v>19.11</v>
      </c>
      <c r="AC170" s="3">
        <v>18.88</v>
      </c>
      <c r="AD170" s="3">
        <v>19.05</v>
      </c>
      <c r="AE170" s="3">
        <v>42320533</v>
      </c>
      <c r="AF170" s="3">
        <v>70.930000000000007</v>
      </c>
      <c r="AG170" s="3">
        <v>71.38</v>
      </c>
      <c r="AH170" s="3">
        <v>70.760000000000005</v>
      </c>
      <c r="AI170" s="3">
        <v>71.069999999999993</v>
      </c>
      <c r="AJ170" s="3">
        <v>14540153</v>
      </c>
      <c r="AK170" s="3">
        <v>52.43</v>
      </c>
      <c r="AL170" s="3">
        <v>52.53</v>
      </c>
      <c r="AM170" s="3">
        <v>51.97</v>
      </c>
      <c r="AN170" s="3">
        <v>52.44</v>
      </c>
      <c r="AO170" s="3">
        <v>8726272</v>
      </c>
      <c r="AP170" s="3">
        <v>42.92</v>
      </c>
      <c r="AQ170" s="3">
        <v>42.92</v>
      </c>
      <c r="AR170" s="3">
        <v>42.4</v>
      </c>
      <c r="AS170" s="3">
        <v>42.72</v>
      </c>
      <c r="AT170" s="3">
        <v>9498958</v>
      </c>
      <c r="AU170" s="3">
        <v>42.4</v>
      </c>
      <c r="AV170" s="3">
        <v>42.5</v>
      </c>
      <c r="AW170" s="3">
        <v>41.97</v>
      </c>
      <c r="AX170" s="3">
        <v>42.16</v>
      </c>
      <c r="AY170" s="3">
        <v>16067215</v>
      </c>
      <c r="AZ170" s="3">
        <v>43.17</v>
      </c>
      <c r="BA170" s="3">
        <v>43.61</v>
      </c>
      <c r="BB170" s="3">
        <v>42.56</v>
      </c>
      <c r="BC170" s="3">
        <v>43.5</v>
      </c>
      <c r="BD170" s="3">
        <v>10948045</v>
      </c>
      <c r="BE170" s="3">
        <v>30.93</v>
      </c>
      <c r="BF170" s="3">
        <v>31.38</v>
      </c>
      <c r="BG170" s="3">
        <v>30.93</v>
      </c>
      <c r="BH170" s="3">
        <v>31.38</v>
      </c>
      <c r="BI170" s="3">
        <v>1518</v>
      </c>
    </row>
    <row r="171" spans="1:61" ht="13" x14ac:dyDescent="0.15">
      <c r="A171" s="3">
        <v>42375</v>
      </c>
      <c r="B171" s="3">
        <v>2011.71</v>
      </c>
      <c r="C171" s="3">
        <v>2011.71</v>
      </c>
      <c r="D171" s="3">
        <v>1979.05</v>
      </c>
      <c r="E171" s="3">
        <v>1990.26</v>
      </c>
      <c r="F171" s="3">
        <v>734820348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3">
        <v>75.599999999999994</v>
      </c>
      <c r="M171" s="3">
        <v>76.37</v>
      </c>
      <c r="N171" s="3">
        <v>75.36</v>
      </c>
      <c r="O171" s="3">
        <v>75.97</v>
      </c>
      <c r="P171" s="3">
        <v>10115409</v>
      </c>
      <c r="Q171" s="3">
        <v>49.67</v>
      </c>
      <c r="R171" s="3">
        <v>50.2</v>
      </c>
      <c r="S171" s="3">
        <v>49.64</v>
      </c>
      <c r="T171" s="3">
        <v>50</v>
      </c>
      <c r="U171" s="3">
        <v>12429050</v>
      </c>
      <c r="V171" s="3">
        <v>59.1</v>
      </c>
      <c r="W171" s="3">
        <v>59.22</v>
      </c>
      <c r="X171" s="3">
        <v>57.71</v>
      </c>
      <c r="Y171" s="3">
        <v>58.2</v>
      </c>
      <c r="Z171" s="3">
        <v>26962077</v>
      </c>
      <c r="AA171" s="3">
        <v>18.77</v>
      </c>
      <c r="AB171" s="3">
        <v>18.87</v>
      </c>
      <c r="AC171" s="3">
        <v>18.66</v>
      </c>
      <c r="AD171" s="3">
        <v>18.760000000000002</v>
      </c>
      <c r="AE171" s="3">
        <v>62752732</v>
      </c>
      <c r="AF171" s="3">
        <v>70.06</v>
      </c>
      <c r="AG171" s="3">
        <v>70.98</v>
      </c>
      <c r="AH171" s="3">
        <v>70</v>
      </c>
      <c r="AI171" s="3">
        <v>70.489999999999995</v>
      </c>
      <c r="AJ171" s="3">
        <v>14651688</v>
      </c>
      <c r="AK171" s="3">
        <v>51.72</v>
      </c>
      <c r="AL171" s="3">
        <v>52.06</v>
      </c>
      <c r="AM171" s="3">
        <v>51.31</v>
      </c>
      <c r="AN171" s="3">
        <v>51.63</v>
      </c>
      <c r="AO171" s="3">
        <v>9980000</v>
      </c>
      <c r="AP171" s="3">
        <v>42.14</v>
      </c>
      <c r="AQ171" s="3">
        <v>42.18</v>
      </c>
      <c r="AR171" s="3">
        <v>41.37</v>
      </c>
      <c r="AS171" s="3">
        <v>41.6</v>
      </c>
      <c r="AT171" s="3">
        <v>9307382</v>
      </c>
      <c r="AU171" s="3">
        <v>41.54</v>
      </c>
      <c r="AV171" s="3">
        <v>41.92</v>
      </c>
      <c r="AW171" s="3">
        <v>41.39</v>
      </c>
      <c r="AX171" s="3">
        <v>41.64</v>
      </c>
      <c r="AY171" s="3">
        <v>13858365</v>
      </c>
      <c r="AZ171" s="3">
        <v>43.24</v>
      </c>
      <c r="BA171" s="3">
        <v>43.6</v>
      </c>
      <c r="BB171" s="3">
        <v>43.07</v>
      </c>
      <c r="BC171" s="3">
        <v>43.42</v>
      </c>
      <c r="BD171" s="3">
        <v>12719000</v>
      </c>
      <c r="BE171" s="3">
        <v>30.82</v>
      </c>
      <c r="BF171" s="3">
        <v>31.18</v>
      </c>
      <c r="BG171" s="3">
        <v>30.82</v>
      </c>
      <c r="BH171" s="3">
        <v>31.08</v>
      </c>
      <c r="BI171" s="3">
        <v>3724</v>
      </c>
    </row>
    <row r="172" spans="1:61" ht="13" x14ac:dyDescent="0.15">
      <c r="A172" s="3">
        <v>42376</v>
      </c>
      <c r="B172" s="3">
        <v>1985.32</v>
      </c>
      <c r="C172" s="3">
        <v>1985.32</v>
      </c>
      <c r="D172" s="3">
        <v>1938.83</v>
      </c>
      <c r="E172" s="3">
        <v>1943.09</v>
      </c>
      <c r="F172" s="3">
        <v>860517477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3">
        <v>74.459999999999994</v>
      </c>
      <c r="M172" s="3">
        <v>75.709999999999994</v>
      </c>
      <c r="N172" s="3">
        <v>74.239999999999995</v>
      </c>
      <c r="O172" s="3">
        <v>74.41</v>
      </c>
      <c r="P172" s="3">
        <v>12645191</v>
      </c>
      <c r="Q172" s="3">
        <v>49.44</v>
      </c>
      <c r="R172" s="3">
        <v>49.93</v>
      </c>
      <c r="S172" s="3">
        <v>49.22</v>
      </c>
      <c r="T172" s="3">
        <v>49.4</v>
      </c>
      <c r="U172" s="3">
        <v>16031520</v>
      </c>
      <c r="V172" s="3">
        <v>57.07</v>
      </c>
      <c r="W172" s="3">
        <v>58.38</v>
      </c>
      <c r="X172" s="3">
        <v>56.54</v>
      </c>
      <c r="Y172" s="3">
        <v>56.78</v>
      </c>
      <c r="Z172" s="3">
        <v>28081892</v>
      </c>
      <c r="AA172" s="3">
        <v>18.37</v>
      </c>
      <c r="AB172" s="3">
        <v>18.54</v>
      </c>
      <c r="AC172" s="3">
        <v>18.16</v>
      </c>
      <c r="AD172" s="3">
        <v>18.23</v>
      </c>
      <c r="AE172" s="3">
        <v>74741639</v>
      </c>
      <c r="AF172" s="3">
        <v>69.13</v>
      </c>
      <c r="AG172" s="3">
        <v>70.010000000000005</v>
      </c>
      <c r="AH172" s="3">
        <v>68.87</v>
      </c>
      <c r="AI172" s="3">
        <v>69.06</v>
      </c>
      <c r="AJ172" s="3">
        <v>17850377</v>
      </c>
      <c r="AK172" s="3">
        <v>50.8</v>
      </c>
      <c r="AL172" s="3">
        <v>51.1</v>
      </c>
      <c r="AM172" s="3">
        <v>50.09</v>
      </c>
      <c r="AN172" s="3">
        <v>50.23</v>
      </c>
      <c r="AO172" s="3">
        <v>17225551</v>
      </c>
      <c r="AP172" s="3">
        <v>40.840000000000003</v>
      </c>
      <c r="AQ172" s="3">
        <v>41.25</v>
      </c>
      <c r="AR172" s="3">
        <v>40.25</v>
      </c>
      <c r="AS172" s="3">
        <v>40.47</v>
      </c>
      <c r="AT172" s="3">
        <v>12579674</v>
      </c>
      <c r="AU172" s="3">
        <v>40.79</v>
      </c>
      <c r="AV172" s="3">
        <v>41.32</v>
      </c>
      <c r="AW172" s="3">
        <v>40.39</v>
      </c>
      <c r="AX172" s="3">
        <v>40.409999999999997</v>
      </c>
      <c r="AY172" s="3">
        <v>16840659</v>
      </c>
      <c r="AZ172" s="3">
        <v>42.95</v>
      </c>
      <c r="BA172" s="3">
        <v>43.35</v>
      </c>
      <c r="BB172" s="3">
        <v>42.87</v>
      </c>
      <c r="BC172" s="3">
        <v>43.13</v>
      </c>
      <c r="BD172" s="3">
        <v>12273707</v>
      </c>
      <c r="BE172" s="3">
        <v>30.72</v>
      </c>
      <c r="BF172" s="3">
        <v>30.75</v>
      </c>
      <c r="BG172" s="3">
        <v>30.51</v>
      </c>
      <c r="BH172" s="3">
        <v>30.51</v>
      </c>
      <c r="BI172" s="3">
        <v>1547</v>
      </c>
    </row>
    <row r="173" spans="1:61" ht="13" x14ac:dyDescent="0.15">
      <c r="A173" s="3">
        <v>42377</v>
      </c>
      <c r="B173" s="3">
        <v>1945.97</v>
      </c>
      <c r="C173" s="3">
        <v>1960.4</v>
      </c>
      <c r="D173" s="3">
        <v>1918.46</v>
      </c>
      <c r="E173" s="3">
        <v>1922.03</v>
      </c>
      <c r="F173" s="3">
        <v>800798104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3">
        <v>75.010000000000005</v>
      </c>
      <c r="M173" s="3">
        <v>75.34</v>
      </c>
      <c r="N173" s="3">
        <v>73.44</v>
      </c>
      <c r="O173" s="3">
        <v>73.61</v>
      </c>
      <c r="P173" s="3">
        <v>10797663</v>
      </c>
      <c r="Q173" s="3">
        <v>49.72</v>
      </c>
      <c r="R173" s="3">
        <v>49.72</v>
      </c>
      <c r="S173" s="3">
        <v>48.92</v>
      </c>
      <c r="T173" s="3">
        <v>49.02</v>
      </c>
      <c r="U173" s="3">
        <v>14691022</v>
      </c>
      <c r="V173" s="3">
        <v>57.26</v>
      </c>
      <c r="W173" s="3">
        <v>57.39</v>
      </c>
      <c r="X173" s="3">
        <v>55.84</v>
      </c>
      <c r="Y173" s="3">
        <v>56.05</v>
      </c>
      <c r="Z173" s="3">
        <v>19227115</v>
      </c>
      <c r="AA173" s="3">
        <v>18.39</v>
      </c>
      <c r="AB173" s="3">
        <v>18.41</v>
      </c>
      <c r="AC173" s="3">
        <v>17.91</v>
      </c>
      <c r="AD173" s="3">
        <v>17.95</v>
      </c>
      <c r="AE173" s="3">
        <v>67447779</v>
      </c>
      <c r="AF173" s="3">
        <v>69.47</v>
      </c>
      <c r="AG173" s="3">
        <v>69.650000000000006</v>
      </c>
      <c r="AH173" s="3">
        <v>67.900000000000006</v>
      </c>
      <c r="AI173" s="3">
        <v>68.02</v>
      </c>
      <c r="AJ173" s="3">
        <v>17022809</v>
      </c>
      <c r="AK173" s="3">
        <v>50.71</v>
      </c>
      <c r="AL173" s="3">
        <v>50.71</v>
      </c>
      <c r="AM173" s="3">
        <v>49.65</v>
      </c>
      <c r="AN173" s="3">
        <v>49.72</v>
      </c>
      <c r="AO173" s="3">
        <v>17198597</v>
      </c>
      <c r="AP173" s="3">
        <v>40.86</v>
      </c>
      <c r="AQ173" s="3">
        <v>40.9</v>
      </c>
      <c r="AR173" s="3">
        <v>39.950000000000003</v>
      </c>
      <c r="AS173" s="3">
        <v>40.06</v>
      </c>
      <c r="AT173" s="3">
        <v>8700176</v>
      </c>
      <c r="AU173" s="3">
        <v>40.76</v>
      </c>
      <c r="AV173" s="3">
        <v>40.9</v>
      </c>
      <c r="AW173" s="3">
        <v>40.04</v>
      </c>
      <c r="AX173" s="3">
        <v>40.090000000000003</v>
      </c>
      <c r="AY173" s="3">
        <v>19233104</v>
      </c>
      <c r="AZ173" s="3">
        <v>43.16</v>
      </c>
      <c r="BA173" s="3">
        <v>43.46</v>
      </c>
      <c r="BB173" s="3">
        <v>43.03</v>
      </c>
      <c r="BC173" s="3">
        <v>43.11</v>
      </c>
      <c r="BD173" s="3">
        <v>11680794</v>
      </c>
      <c r="BE173" s="3">
        <v>30.51</v>
      </c>
      <c r="BF173" s="3">
        <v>30.52</v>
      </c>
      <c r="BG173" s="3">
        <v>30.08</v>
      </c>
      <c r="BH173" s="3">
        <v>30.11</v>
      </c>
      <c r="BI173" s="3">
        <v>3993</v>
      </c>
    </row>
    <row r="174" spans="1:61" ht="13" x14ac:dyDescent="0.15">
      <c r="A174" s="3">
        <v>42380</v>
      </c>
      <c r="B174" s="3">
        <v>1926.12</v>
      </c>
      <c r="C174" s="3">
        <v>1935.65</v>
      </c>
      <c r="D174" s="3">
        <v>1901.1</v>
      </c>
      <c r="E174" s="3">
        <v>1923.67</v>
      </c>
      <c r="F174" s="3">
        <v>775646469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3">
        <v>74.05</v>
      </c>
      <c r="M174" s="3">
        <v>74.489999999999995</v>
      </c>
      <c r="N174" s="3">
        <v>73.11</v>
      </c>
      <c r="O174" s="3">
        <v>74.19</v>
      </c>
      <c r="P174" s="3">
        <v>13232713</v>
      </c>
      <c r="Q174" s="3">
        <v>49.32</v>
      </c>
      <c r="R174" s="3">
        <v>49.66</v>
      </c>
      <c r="S174" s="3">
        <v>49</v>
      </c>
      <c r="T174" s="3">
        <v>49.48</v>
      </c>
      <c r="U174" s="3">
        <v>15890335</v>
      </c>
      <c r="V174" s="3">
        <v>56.28</v>
      </c>
      <c r="W174" s="3">
        <v>56.35</v>
      </c>
      <c r="X174" s="3">
        <v>54.16</v>
      </c>
      <c r="Y174" s="3">
        <v>54.85</v>
      </c>
      <c r="Z174" s="3">
        <v>28444737</v>
      </c>
      <c r="AA174" s="3">
        <v>18.04</v>
      </c>
      <c r="AB174" s="3">
        <v>18.079999999999998</v>
      </c>
      <c r="AC174" s="3">
        <v>17.79</v>
      </c>
      <c r="AD174" s="3">
        <v>17.97</v>
      </c>
      <c r="AE174" s="3">
        <v>57665837</v>
      </c>
      <c r="AF174" s="3">
        <v>68.319999999999993</v>
      </c>
      <c r="AG174" s="3">
        <v>68.349999999999994</v>
      </c>
      <c r="AH174" s="3">
        <v>66.260000000000005</v>
      </c>
      <c r="AI174" s="3">
        <v>67.209999999999994</v>
      </c>
      <c r="AJ174" s="3">
        <v>28563797</v>
      </c>
      <c r="AK174" s="3">
        <v>50.05</v>
      </c>
      <c r="AL174" s="3">
        <v>50.09</v>
      </c>
      <c r="AM174" s="3">
        <v>49.28</v>
      </c>
      <c r="AN174" s="3">
        <v>49.75</v>
      </c>
      <c r="AO174" s="3">
        <v>18962436</v>
      </c>
      <c r="AP174" s="3">
        <v>40.270000000000003</v>
      </c>
      <c r="AQ174" s="3">
        <v>40.28</v>
      </c>
      <c r="AR174" s="3">
        <v>39.07</v>
      </c>
      <c r="AS174" s="3">
        <v>39.380000000000003</v>
      </c>
      <c r="AT174" s="3">
        <v>10065653</v>
      </c>
      <c r="AU174" s="3">
        <v>40.369999999999997</v>
      </c>
      <c r="AV174" s="3">
        <v>40.53</v>
      </c>
      <c r="AW174" s="3">
        <v>39.85</v>
      </c>
      <c r="AX174" s="3">
        <v>40.35</v>
      </c>
      <c r="AY174" s="3">
        <v>19135121</v>
      </c>
      <c r="AZ174" s="3">
        <v>43.14</v>
      </c>
      <c r="BA174" s="3">
        <v>43.54</v>
      </c>
      <c r="BB174" s="3">
        <v>43.12</v>
      </c>
      <c r="BC174" s="3">
        <v>43.34</v>
      </c>
      <c r="BD174" s="3">
        <v>16389587</v>
      </c>
      <c r="BE174" s="3">
        <v>30.29</v>
      </c>
      <c r="BF174" s="3">
        <v>30.29</v>
      </c>
      <c r="BG174" s="3">
        <v>30.29</v>
      </c>
      <c r="BH174" s="3">
        <v>30.29</v>
      </c>
      <c r="BI174" s="3">
        <v>477</v>
      </c>
    </row>
    <row r="175" spans="1:61" ht="13" x14ac:dyDescent="0.15">
      <c r="A175" s="3">
        <v>42381</v>
      </c>
      <c r="B175" s="3">
        <v>1927.83</v>
      </c>
      <c r="C175" s="3">
        <v>1947.38</v>
      </c>
      <c r="D175" s="3">
        <v>1914.35</v>
      </c>
      <c r="E175" s="3">
        <v>1938.68</v>
      </c>
      <c r="F175" s="3">
        <v>759189614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3">
        <v>74.709999999999994</v>
      </c>
      <c r="M175" s="3">
        <v>75.459999999999994</v>
      </c>
      <c r="N175" s="3">
        <v>74.14</v>
      </c>
      <c r="O175" s="3">
        <v>75.010000000000005</v>
      </c>
      <c r="P175" s="3">
        <v>8737070</v>
      </c>
      <c r="Q175" s="3">
        <v>49.78</v>
      </c>
      <c r="R175" s="3">
        <v>49.95</v>
      </c>
      <c r="S175" s="3">
        <v>49.35</v>
      </c>
      <c r="T175" s="3">
        <v>49.75</v>
      </c>
      <c r="U175" s="3">
        <v>13171504</v>
      </c>
      <c r="V175" s="3">
        <v>55.7</v>
      </c>
      <c r="W175" s="3">
        <v>55.88</v>
      </c>
      <c r="X175" s="3">
        <v>53.46</v>
      </c>
      <c r="Y175" s="3">
        <v>54.98</v>
      </c>
      <c r="Z175" s="3">
        <v>35594136</v>
      </c>
      <c r="AA175" s="3">
        <v>18.16</v>
      </c>
      <c r="AB175" s="3">
        <v>18.190000000000001</v>
      </c>
      <c r="AC175" s="3">
        <v>17.87</v>
      </c>
      <c r="AD175" s="3">
        <v>18.11</v>
      </c>
      <c r="AE175" s="3">
        <v>65502476</v>
      </c>
      <c r="AF175" s="3">
        <v>67.75</v>
      </c>
      <c r="AG175" s="3">
        <v>68.459999999999994</v>
      </c>
      <c r="AH175" s="3">
        <v>66.959999999999994</v>
      </c>
      <c r="AI175" s="3">
        <v>68.069999999999993</v>
      </c>
      <c r="AJ175" s="3">
        <v>13726950</v>
      </c>
      <c r="AK175" s="3">
        <v>50.09</v>
      </c>
      <c r="AL175" s="3">
        <v>50.24</v>
      </c>
      <c r="AM175" s="3">
        <v>49.51</v>
      </c>
      <c r="AN175" s="3">
        <v>50.15</v>
      </c>
      <c r="AO175" s="3">
        <v>19297334</v>
      </c>
      <c r="AP175" s="3">
        <v>39.96</v>
      </c>
      <c r="AQ175" s="3">
        <v>39.96</v>
      </c>
      <c r="AR175" s="3">
        <v>38.950000000000003</v>
      </c>
      <c r="AS175" s="3">
        <v>39.44</v>
      </c>
      <c r="AT175" s="3">
        <v>7270259</v>
      </c>
      <c r="AU175" s="3">
        <v>40.78</v>
      </c>
      <c r="AV175" s="3">
        <v>40.92</v>
      </c>
      <c r="AW175" s="3">
        <v>40.31</v>
      </c>
      <c r="AX175" s="3">
        <v>40.83</v>
      </c>
      <c r="AY175" s="3">
        <v>15841629</v>
      </c>
      <c r="AZ175" s="3">
        <v>43.37</v>
      </c>
      <c r="BA175" s="3">
        <v>43.5</v>
      </c>
      <c r="BB175" s="3">
        <v>42.83</v>
      </c>
      <c r="BC175" s="3">
        <v>43.17</v>
      </c>
      <c r="BD175" s="3">
        <v>14360145</v>
      </c>
      <c r="BE175" s="3">
        <v>30.04</v>
      </c>
      <c r="BF175" s="3">
        <v>30.11</v>
      </c>
      <c r="BG175" s="3">
        <v>29.96</v>
      </c>
      <c r="BH175" s="3">
        <v>29.96</v>
      </c>
      <c r="BI175" s="3">
        <v>2269</v>
      </c>
    </row>
    <row r="176" spans="1:61" ht="13" x14ac:dyDescent="0.15">
      <c r="A176" s="3">
        <v>42382</v>
      </c>
      <c r="B176" s="3">
        <v>1940.34</v>
      </c>
      <c r="C176" s="3">
        <v>1950.33</v>
      </c>
      <c r="D176" s="3">
        <v>1886.41</v>
      </c>
      <c r="E176" s="3">
        <v>1890.28</v>
      </c>
      <c r="F176" s="3">
        <v>874565406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3">
        <v>75.319999999999993</v>
      </c>
      <c r="M176" s="3">
        <v>75.319999999999993</v>
      </c>
      <c r="N176" s="3">
        <v>72.33</v>
      </c>
      <c r="O176" s="3">
        <v>72.48</v>
      </c>
      <c r="P176" s="3">
        <v>14930536</v>
      </c>
      <c r="Q176" s="3">
        <v>49.81</v>
      </c>
      <c r="R176" s="3">
        <v>49.85</v>
      </c>
      <c r="S176" s="3">
        <v>48.79</v>
      </c>
      <c r="T176" s="3">
        <v>48.84</v>
      </c>
      <c r="U176" s="3">
        <v>19407943</v>
      </c>
      <c r="V176" s="3">
        <v>55.65</v>
      </c>
      <c r="W176" s="3">
        <v>56.05</v>
      </c>
      <c r="X176" s="3">
        <v>53.08</v>
      </c>
      <c r="Y176" s="3">
        <v>53.66</v>
      </c>
      <c r="Z176" s="3">
        <v>33958440</v>
      </c>
      <c r="AA176" s="3">
        <v>18.18</v>
      </c>
      <c r="AB176" s="3">
        <v>18.260000000000002</v>
      </c>
      <c r="AC176" s="3">
        <v>17.559999999999999</v>
      </c>
      <c r="AD176" s="3">
        <v>17.64</v>
      </c>
      <c r="AE176" s="3">
        <v>101969930</v>
      </c>
      <c r="AF176" s="3">
        <v>68.2</v>
      </c>
      <c r="AG176" s="3">
        <v>68.52</v>
      </c>
      <c r="AH176" s="3">
        <v>65.98</v>
      </c>
      <c r="AI176" s="3">
        <v>66.05</v>
      </c>
      <c r="AJ176" s="3">
        <v>16202462</v>
      </c>
      <c r="AK176" s="3">
        <v>50.38</v>
      </c>
      <c r="AL176" s="3">
        <v>50.48</v>
      </c>
      <c r="AM176" s="3">
        <v>48.8</v>
      </c>
      <c r="AN176" s="3">
        <v>48.94</v>
      </c>
      <c r="AO176" s="3">
        <v>18966894</v>
      </c>
      <c r="AP176" s="3">
        <v>39.729999999999997</v>
      </c>
      <c r="AQ176" s="3">
        <v>39.81</v>
      </c>
      <c r="AR176" s="3">
        <v>38.479999999999997</v>
      </c>
      <c r="AS176" s="3">
        <v>38.53</v>
      </c>
      <c r="AT176" s="3">
        <v>10809584</v>
      </c>
      <c r="AU176" s="3">
        <v>41.13</v>
      </c>
      <c r="AV176" s="3">
        <v>41.13</v>
      </c>
      <c r="AW176" s="3">
        <v>39.659999999999997</v>
      </c>
      <c r="AX176" s="3">
        <v>39.729999999999997</v>
      </c>
      <c r="AY176" s="3">
        <v>21962326</v>
      </c>
      <c r="AZ176" s="3">
        <v>43.33</v>
      </c>
      <c r="BA176" s="3">
        <v>43.52</v>
      </c>
      <c r="BB176" s="3">
        <v>43.02</v>
      </c>
      <c r="BC176" s="3">
        <v>43.15</v>
      </c>
      <c r="BD176" s="3">
        <v>17478889</v>
      </c>
      <c r="BE176" s="3">
        <v>30.24</v>
      </c>
      <c r="BF176" s="3">
        <v>30.29</v>
      </c>
      <c r="BG176" s="3">
        <v>29.65</v>
      </c>
      <c r="BH176" s="3">
        <v>29.65</v>
      </c>
      <c r="BI176" s="3">
        <v>3338</v>
      </c>
    </row>
    <row r="177" spans="1:61" ht="13" x14ac:dyDescent="0.15">
      <c r="A177" s="3">
        <v>42383</v>
      </c>
      <c r="B177" s="3">
        <v>1891.68</v>
      </c>
      <c r="C177" s="3">
        <v>1934.47</v>
      </c>
      <c r="D177" s="3">
        <v>1878.93</v>
      </c>
      <c r="E177" s="3">
        <v>1921.84</v>
      </c>
      <c r="F177" s="3">
        <v>920305719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3">
        <v>72.63</v>
      </c>
      <c r="M177" s="3">
        <v>73.650000000000006</v>
      </c>
      <c r="N177" s="3">
        <v>71.25</v>
      </c>
      <c r="O177" s="3">
        <v>73</v>
      </c>
      <c r="P177" s="3">
        <v>15919363</v>
      </c>
      <c r="Q177" s="3">
        <v>48.98</v>
      </c>
      <c r="R177" s="3">
        <v>49.41</v>
      </c>
      <c r="S177" s="3">
        <v>48.75</v>
      </c>
      <c r="T177" s="3">
        <v>49.07</v>
      </c>
      <c r="U177" s="3">
        <v>19025815</v>
      </c>
      <c r="V177" s="3">
        <v>54.21</v>
      </c>
      <c r="W177" s="3">
        <v>56.46</v>
      </c>
      <c r="X177" s="3">
        <v>53.36</v>
      </c>
      <c r="Y177" s="3">
        <v>55.97</v>
      </c>
      <c r="Z177" s="3">
        <v>38074323</v>
      </c>
      <c r="AA177" s="3">
        <v>17.68</v>
      </c>
      <c r="AB177" s="3">
        <v>17.940000000000001</v>
      </c>
      <c r="AC177" s="3">
        <v>17.5</v>
      </c>
      <c r="AD177" s="3">
        <v>17.79</v>
      </c>
      <c r="AE177" s="3">
        <v>77387527</v>
      </c>
      <c r="AF177" s="3">
        <v>66.22</v>
      </c>
      <c r="AG177" s="3">
        <v>68.260000000000005</v>
      </c>
      <c r="AH177" s="3">
        <v>65.81</v>
      </c>
      <c r="AI177" s="3">
        <v>67.819999999999993</v>
      </c>
      <c r="AJ177" s="3">
        <v>23342269</v>
      </c>
      <c r="AK177" s="3">
        <v>49.1</v>
      </c>
      <c r="AL177" s="3">
        <v>49.87</v>
      </c>
      <c r="AM177" s="3">
        <v>48.6</v>
      </c>
      <c r="AN177" s="3">
        <v>49.52</v>
      </c>
      <c r="AO177" s="3">
        <v>19261231</v>
      </c>
      <c r="AP177" s="3">
        <v>38.68</v>
      </c>
      <c r="AQ177" s="3">
        <v>39.340000000000003</v>
      </c>
      <c r="AR177" s="3">
        <v>38.21</v>
      </c>
      <c r="AS177" s="3">
        <v>39.049999999999997</v>
      </c>
      <c r="AT177" s="3">
        <v>10372593</v>
      </c>
      <c r="AU177" s="3">
        <v>39.9</v>
      </c>
      <c r="AV177" s="3">
        <v>40.79</v>
      </c>
      <c r="AW177" s="3">
        <v>39.42</v>
      </c>
      <c r="AX177" s="3">
        <v>40.479999999999997</v>
      </c>
      <c r="AY177" s="3">
        <v>19795563</v>
      </c>
      <c r="AZ177" s="3">
        <v>43.14</v>
      </c>
      <c r="BA177" s="3">
        <v>44.05</v>
      </c>
      <c r="BB177" s="3">
        <v>43</v>
      </c>
      <c r="BC177" s="3">
        <v>43.8</v>
      </c>
      <c r="BD177" s="3">
        <v>23082955</v>
      </c>
      <c r="BE177" s="3">
        <v>29.83</v>
      </c>
      <c r="BF177" s="3">
        <v>29.83</v>
      </c>
      <c r="BG177" s="3">
        <v>29.5</v>
      </c>
      <c r="BH177" s="3">
        <v>29.75</v>
      </c>
      <c r="BI177" s="3">
        <v>3706</v>
      </c>
    </row>
    <row r="178" spans="1:61" ht="13" x14ac:dyDescent="0.15">
      <c r="A178" s="3">
        <v>42384</v>
      </c>
      <c r="B178" s="3">
        <v>1916.68</v>
      </c>
      <c r="C178" s="3">
        <v>1916.68</v>
      </c>
      <c r="D178" s="3">
        <v>1857.83</v>
      </c>
      <c r="E178" s="3">
        <v>1880.33</v>
      </c>
      <c r="F178" s="3">
        <v>121200428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3">
        <v>71.099999999999994</v>
      </c>
      <c r="M178" s="3">
        <v>71.98</v>
      </c>
      <c r="N178" s="3">
        <v>70.67</v>
      </c>
      <c r="O178" s="3">
        <v>71.5</v>
      </c>
      <c r="P178" s="3">
        <v>14551514</v>
      </c>
      <c r="Q178" s="3">
        <v>48.24</v>
      </c>
      <c r="R178" s="3">
        <v>48.62</v>
      </c>
      <c r="S178" s="3">
        <v>47.92</v>
      </c>
      <c r="T178" s="3">
        <v>48.3</v>
      </c>
      <c r="U178" s="3">
        <v>24210917</v>
      </c>
      <c r="V178" s="3">
        <v>53.63</v>
      </c>
      <c r="W178" s="3">
        <v>54.87</v>
      </c>
      <c r="X178" s="3">
        <v>53.32</v>
      </c>
      <c r="Y178" s="3">
        <v>54.35</v>
      </c>
      <c r="Z178" s="3">
        <v>36880246</v>
      </c>
      <c r="AA178" s="3">
        <v>17.190000000000001</v>
      </c>
      <c r="AB178" s="3">
        <v>17.48</v>
      </c>
      <c r="AC178" s="3">
        <v>17.16</v>
      </c>
      <c r="AD178" s="3">
        <v>17.39</v>
      </c>
      <c r="AE178" s="3">
        <v>76655419</v>
      </c>
      <c r="AF178" s="3">
        <v>66.099999999999994</v>
      </c>
      <c r="AG178" s="3">
        <v>67.180000000000007</v>
      </c>
      <c r="AH178" s="3">
        <v>65.92</v>
      </c>
      <c r="AI178" s="3">
        <v>66.87</v>
      </c>
      <c r="AJ178" s="3">
        <v>17882291</v>
      </c>
      <c r="AK178" s="3">
        <v>48.14</v>
      </c>
      <c r="AL178" s="3">
        <v>48.84</v>
      </c>
      <c r="AM178" s="3">
        <v>48.02</v>
      </c>
      <c r="AN178" s="3">
        <v>48.65</v>
      </c>
      <c r="AO178" s="3">
        <v>20434577</v>
      </c>
      <c r="AP178" s="3">
        <v>38.25</v>
      </c>
      <c r="AQ178" s="3">
        <v>38.51</v>
      </c>
      <c r="AR178" s="3">
        <v>37.75</v>
      </c>
      <c r="AS178" s="3">
        <v>38.25</v>
      </c>
      <c r="AT178" s="3">
        <v>9358896</v>
      </c>
      <c r="AU178" s="3">
        <v>39.159999999999997</v>
      </c>
      <c r="AV178" s="3">
        <v>39.72</v>
      </c>
      <c r="AW178" s="3">
        <v>38.86</v>
      </c>
      <c r="AX178" s="3">
        <v>39.340000000000003</v>
      </c>
      <c r="AY178" s="3">
        <v>20177759</v>
      </c>
      <c r="AZ178" s="3">
        <v>43.36</v>
      </c>
      <c r="BA178" s="3">
        <v>43.68</v>
      </c>
      <c r="BB178" s="3">
        <v>42.89</v>
      </c>
      <c r="BC178" s="3">
        <v>43.41</v>
      </c>
      <c r="BD178" s="3">
        <v>18939056</v>
      </c>
      <c r="BE178" s="3">
        <v>29.15</v>
      </c>
      <c r="BF178" s="3">
        <v>29.3</v>
      </c>
      <c r="BG178" s="3">
        <v>29.15</v>
      </c>
      <c r="BH178" s="3">
        <v>29.25</v>
      </c>
      <c r="BI178" s="3">
        <v>1414</v>
      </c>
    </row>
    <row r="179" spans="1:61" ht="13" x14ac:dyDescent="0.15">
      <c r="A179" s="3">
        <v>42388</v>
      </c>
      <c r="B179" s="3">
        <v>1888.66</v>
      </c>
      <c r="C179" s="3">
        <v>1901.44</v>
      </c>
      <c r="D179" s="3">
        <v>1864.6</v>
      </c>
      <c r="E179" s="3">
        <v>1881.33</v>
      </c>
      <c r="F179" s="3">
        <v>876359950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3">
        <v>72.290000000000006</v>
      </c>
      <c r="M179" s="3">
        <v>72.61</v>
      </c>
      <c r="N179" s="3">
        <v>71.040000000000006</v>
      </c>
      <c r="O179" s="3">
        <v>71.77</v>
      </c>
      <c r="P179" s="3">
        <v>11622643</v>
      </c>
      <c r="Q179" s="3">
        <v>48.79</v>
      </c>
      <c r="R179" s="3">
        <v>49.06</v>
      </c>
      <c r="S179" s="3">
        <v>48.57</v>
      </c>
      <c r="T179" s="3">
        <v>48.88</v>
      </c>
      <c r="U179" s="3">
        <v>14945175</v>
      </c>
      <c r="V179" s="3">
        <v>54.76</v>
      </c>
      <c r="W179" s="3">
        <v>55.02</v>
      </c>
      <c r="X179" s="3">
        <v>52.33</v>
      </c>
      <c r="Y179" s="3">
        <v>53.18</v>
      </c>
      <c r="Z179" s="3">
        <v>35872301</v>
      </c>
      <c r="AA179" s="3">
        <v>17.579999999999998</v>
      </c>
      <c r="AB179" s="3">
        <v>17.649999999999999</v>
      </c>
      <c r="AC179" s="3">
        <v>17.260000000000002</v>
      </c>
      <c r="AD179" s="3">
        <v>17.39</v>
      </c>
      <c r="AE179" s="3">
        <v>68058023</v>
      </c>
      <c r="AF179" s="3">
        <v>67.599999999999994</v>
      </c>
      <c r="AG179" s="3">
        <v>67.849999999999994</v>
      </c>
      <c r="AH179" s="3">
        <v>66.13</v>
      </c>
      <c r="AI179" s="3">
        <v>66.86</v>
      </c>
      <c r="AJ179" s="3">
        <v>13495221</v>
      </c>
      <c r="AK179" s="3">
        <v>49.18</v>
      </c>
      <c r="AL179" s="3">
        <v>49.27</v>
      </c>
      <c r="AM179" s="3">
        <v>48.19</v>
      </c>
      <c r="AN179" s="3">
        <v>48.64</v>
      </c>
      <c r="AO179" s="3">
        <v>14844956</v>
      </c>
      <c r="AP179" s="3">
        <v>38.6</v>
      </c>
      <c r="AQ179" s="3">
        <v>38.729999999999997</v>
      </c>
      <c r="AR179" s="3">
        <v>37.29</v>
      </c>
      <c r="AS179" s="3">
        <v>37.78</v>
      </c>
      <c r="AT179" s="3">
        <v>9865573</v>
      </c>
      <c r="AU179" s="3">
        <v>39.799999999999997</v>
      </c>
      <c r="AV179" s="3">
        <v>39.869999999999997</v>
      </c>
      <c r="AW179" s="3">
        <v>39.03</v>
      </c>
      <c r="AX179" s="3">
        <v>39.380000000000003</v>
      </c>
      <c r="AY179" s="3">
        <v>19658750</v>
      </c>
      <c r="AZ179" s="3">
        <v>43.64</v>
      </c>
      <c r="BA179" s="3">
        <v>44.18</v>
      </c>
      <c r="BB179" s="3">
        <v>43.47</v>
      </c>
      <c r="BC179" s="3">
        <v>44.06</v>
      </c>
      <c r="BD179" s="3">
        <v>17884638</v>
      </c>
      <c r="BE179" s="3">
        <v>29.51</v>
      </c>
      <c r="BF179" s="3">
        <v>29.51</v>
      </c>
      <c r="BG179" s="3">
        <v>29.36</v>
      </c>
      <c r="BH179" s="3">
        <v>29.45</v>
      </c>
      <c r="BI179" s="3">
        <v>4705</v>
      </c>
    </row>
    <row r="180" spans="1:61" ht="13" x14ac:dyDescent="0.15">
      <c r="A180" s="3">
        <v>42389</v>
      </c>
      <c r="B180" s="3">
        <v>1876.18</v>
      </c>
      <c r="C180" s="3">
        <v>1876.18</v>
      </c>
      <c r="D180" s="3">
        <v>1812.29</v>
      </c>
      <c r="E180" s="3">
        <v>1859.33</v>
      </c>
      <c r="F180" s="3">
        <v>4309713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3">
        <v>70.739999999999995</v>
      </c>
      <c r="M180" s="3">
        <v>71.760000000000005</v>
      </c>
      <c r="N180" s="3">
        <v>68.94</v>
      </c>
      <c r="O180" s="3">
        <v>71.14</v>
      </c>
      <c r="P180" s="3">
        <v>21443240</v>
      </c>
      <c r="Q180" s="3">
        <v>48.34</v>
      </c>
      <c r="R180" s="3">
        <v>48.56</v>
      </c>
      <c r="S180" s="3">
        <v>47.39</v>
      </c>
      <c r="T180" s="3">
        <v>48.27</v>
      </c>
      <c r="U180" s="3">
        <v>28303167</v>
      </c>
      <c r="V180" s="3">
        <v>52.13</v>
      </c>
      <c r="W180" s="3">
        <v>52.55</v>
      </c>
      <c r="X180" s="3">
        <v>49.93</v>
      </c>
      <c r="Y180" s="3">
        <v>51.77</v>
      </c>
      <c r="Z180" s="3">
        <v>51307352</v>
      </c>
      <c r="AA180" s="3">
        <v>17.03</v>
      </c>
      <c r="AB180" s="3">
        <v>17.21</v>
      </c>
      <c r="AC180" s="3">
        <v>16.670000000000002</v>
      </c>
      <c r="AD180" s="3">
        <v>17.04</v>
      </c>
      <c r="AE180" s="3">
        <v>87475378</v>
      </c>
      <c r="AF180" s="3">
        <v>65.680000000000007</v>
      </c>
      <c r="AG180" s="3">
        <v>67.64</v>
      </c>
      <c r="AH180" s="3">
        <v>64.86</v>
      </c>
      <c r="AI180" s="3">
        <v>66.989999999999995</v>
      </c>
      <c r="AJ180" s="3">
        <v>24665612</v>
      </c>
      <c r="AK180" s="3">
        <v>47.95</v>
      </c>
      <c r="AL180" s="3">
        <v>48.43</v>
      </c>
      <c r="AM180" s="3">
        <v>46.82</v>
      </c>
      <c r="AN180" s="3">
        <v>48.01</v>
      </c>
      <c r="AO180" s="3">
        <v>26092675</v>
      </c>
      <c r="AP180" s="3">
        <v>36.94</v>
      </c>
      <c r="AQ180" s="3">
        <v>37.82</v>
      </c>
      <c r="AR180" s="3">
        <v>36.29</v>
      </c>
      <c r="AS180" s="3">
        <v>37.5</v>
      </c>
      <c r="AT180" s="3">
        <v>12825387</v>
      </c>
      <c r="AU180" s="3">
        <v>38.71</v>
      </c>
      <c r="AV180" s="3">
        <v>39.46</v>
      </c>
      <c r="AW180" s="3">
        <v>38.03</v>
      </c>
      <c r="AX180" s="3">
        <v>39.07</v>
      </c>
      <c r="AY180" s="3">
        <v>29631845</v>
      </c>
      <c r="AZ180" s="3">
        <v>43.88</v>
      </c>
      <c r="BA180" s="3">
        <v>43.95</v>
      </c>
      <c r="BB180" s="3">
        <v>42.45</v>
      </c>
      <c r="BC180" s="3">
        <v>43.07</v>
      </c>
      <c r="BD180" s="3">
        <v>19900140</v>
      </c>
      <c r="BE180" s="3">
        <v>28.66</v>
      </c>
      <c r="BF180" s="3">
        <v>28.89</v>
      </c>
      <c r="BG180" s="3">
        <v>28.12</v>
      </c>
      <c r="BH180" s="3">
        <v>28.66</v>
      </c>
      <c r="BI180" s="3">
        <v>4609</v>
      </c>
    </row>
    <row r="181" spans="1:61" ht="13" x14ac:dyDescent="0.15">
      <c r="A181" s="3">
        <v>42390</v>
      </c>
      <c r="B181" s="3">
        <v>1861.46</v>
      </c>
      <c r="C181" s="3">
        <v>1889.85</v>
      </c>
      <c r="D181" s="3">
        <v>1848.98</v>
      </c>
      <c r="E181" s="3">
        <v>1868.99</v>
      </c>
      <c r="F181" s="3">
        <v>853633943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3">
        <v>71.36</v>
      </c>
      <c r="M181" s="3">
        <v>72.91</v>
      </c>
      <c r="N181" s="3">
        <v>71</v>
      </c>
      <c r="O181" s="3">
        <v>72.05</v>
      </c>
      <c r="P181" s="3">
        <v>15944217</v>
      </c>
      <c r="Q181" s="3">
        <v>48.31</v>
      </c>
      <c r="R181" s="3">
        <v>48.67</v>
      </c>
      <c r="S181" s="3">
        <v>48.01</v>
      </c>
      <c r="T181" s="3">
        <v>48.46</v>
      </c>
      <c r="U181" s="3">
        <v>21000998</v>
      </c>
      <c r="V181" s="3">
        <v>51.71</v>
      </c>
      <c r="W181" s="3">
        <v>54.03</v>
      </c>
      <c r="X181" s="3">
        <v>51.37</v>
      </c>
      <c r="Y181" s="3">
        <v>53.38</v>
      </c>
      <c r="Z181" s="3">
        <v>43670722</v>
      </c>
      <c r="AA181" s="3">
        <v>17.059999999999999</v>
      </c>
      <c r="AB181" s="3">
        <v>17.28</v>
      </c>
      <c r="AC181" s="3">
        <v>16.91</v>
      </c>
      <c r="AD181" s="3">
        <v>16.97</v>
      </c>
      <c r="AE181" s="3">
        <v>74325560</v>
      </c>
      <c r="AF181" s="3">
        <v>67.16</v>
      </c>
      <c r="AG181" s="3">
        <v>67.5</v>
      </c>
      <c r="AH181" s="3">
        <v>66.16</v>
      </c>
      <c r="AI181" s="3">
        <v>66.790000000000006</v>
      </c>
      <c r="AJ181" s="3">
        <v>17102840</v>
      </c>
      <c r="AK181" s="3">
        <v>48.01</v>
      </c>
      <c r="AL181" s="3">
        <v>48.68</v>
      </c>
      <c r="AM181" s="3">
        <v>47.66</v>
      </c>
      <c r="AN181" s="3">
        <v>48.22</v>
      </c>
      <c r="AO181" s="3">
        <v>18593829</v>
      </c>
      <c r="AP181" s="3">
        <v>37.68</v>
      </c>
      <c r="AQ181" s="3">
        <v>38.11</v>
      </c>
      <c r="AR181" s="3">
        <v>37.17</v>
      </c>
      <c r="AS181" s="3">
        <v>37.83</v>
      </c>
      <c r="AT181" s="3">
        <v>11700652</v>
      </c>
      <c r="AU181" s="3">
        <v>39.29</v>
      </c>
      <c r="AV181" s="3">
        <v>39.86</v>
      </c>
      <c r="AW181" s="3">
        <v>38.799999999999997</v>
      </c>
      <c r="AX181" s="3">
        <v>39.29</v>
      </c>
      <c r="AY181" s="3">
        <v>22135853</v>
      </c>
      <c r="AZ181" s="3">
        <v>43.2</v>
      </c>
      <c r="BA181" s="3">
        <v>43.36</v>
      </c>
      <c r="BB181" s="3">
        <v>42.65</v>
      </c>
      <c r="BC181" s="3">
        <v>43.03</v>
      </c>
      <c r="BD181" s="3">
        <v>14087880</v>
      </c>
      <c r="BE181" s="3">
        <v>28.88</v>
      </c>
      <c r="BF181" s="3">
        <v>28.88</v>
      </c>
      <c r="BG181" s="3">
        <v>28.88</v>
      </c>
      <c r="BH181" s="3">
        <v>28.88</v>
      </c>
      <c r="BI181" s="3">
        <v>101</v>
      </c>
    </row>
    <row r="182" spans="1:61" ht="13" x14ac:dyDescent="0.15">
      <c r="A182" s="3">
        <v>42391</v>
      </c>
      <c r="B182" s="3">
        <v>1877.4</v>
      </c>
      <c r="C182" s="3">
        <v>1908.85</v>
      </c>
      <c r="D182" s="3">
        <v>1877.4</v>
      </c>
      <c r="E182" s="3">
        <v>1906.9</v>
      </c>
      <c r="F182" s="3">
        <v>809147435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3">
        <v>73.22</v>
      </c>
      <c r="M182" s="3">
        <v>73.59</v>
      </c>
      <c r="N182" s="3">
        <v>72.86</v>
      </c>
      <c r="O182" s="3">
        <v>73.31</v>
      </c>
      <c r="P182" s="3">
        <v>7185111</v>
      </c>
      <c r="Q182" s="3">
        <v>49.01</v>
      </c>
      <c r="R182" s="3">
        <v>49.39</v>
      </c>
      <c r="S182" s="3">
        <v>48.63</v>
      </c>
      <c r="T182" s="3">
        <v>49.29</v>
      </c>
      <c r="U182" s="3">
        <v>13754517</v>
      </c>
      <c r="V182" s="3">
        <v>55.33</v>
      </c>
      <c r="W182" s="3">
        <v>56.12</v>
      </c>
      <c r="X182" s="3">
        <v>54.45</v>
      </c>
      <c r="Y182" s="3">
        <v>55.74</v>
      </c>
      <c r="Z182" s="3">
        <v>38622508</v>
      </c>
      <c r="AA182" s="3">
        <v>17.190000000000001</v>
      </c>
      <c r="AB182" s="3">
        <v>17.350000000000001</v>
      </c>
      <c r="AC182" s="3">
        <v>17.16</v>
      </c>
      <c r="AD182" s="3">
        <v>17.28</v>
      </c>
      <c r="AE182" s="3">
        <v>48200021</v>
      </c>
      <c r="AF182" s="3">
        <v>67.73</v>
      </c>
      <c r="AG182" s="3">
        <v>68.03</v>
      </c>
      <c r="AH182" s="3">
        <v>67.41</v>
      </c>
      <c r="AI182" s="3">
        <v>67.849999999999994</v>
      </c>
      <c r="AJ182" s="3">
        <v>11343828</v>
      </c>
      <c r="AK182" s="3">
        <v>48.84</v>
      </c>
      <c r="AL182" s="3">
        <v>48.99</v>
      </c>
      <c r="AM182" s="3">
        <v>48.22</v>
      </c>
      <c r="AN182" s="3">
        <v>48.64</v>
      </c>
      <c r="AO182" s="3">
        <v>12781561</v>
      </c>
      <c r="AP182" s="3">
        <v>38.54</v>
      </c>
      <c r="AQ182" s="3">
        <v>39.08</v>
      </c>
      <c r="AR182" s="3">
        <v>38.15</v>
      </c>
      <c r="AS182" s="3">
        <v>38.51</v>
      </c>
      <c r="AT182" s="3">
        <v>9537605</v>
      </c>
      <c r="AU182" s="3">
        <v>40.04</v>
      </c>
      <c r="AV182" s="3">
        <v>40.39</v>
      </c>
      <c r="AW182" s="3">
        <v>39.979999999999997</v>
      </c>
      <c r="AX182" s="3">
        <v>40.380000000000003</v>
      </c>
      <c r="AY182" s="3">
        <v>11248235</v>
      </c>
      <c r="AZ182" s="3">
        <v>43.29</v>
      </c>
      <c r="BA182" s="3">
        <v>43.83</v>
      </c>
      <c r="BB182" s="3">
        <v>43.08</v>
      </c>
      <c r="BC182" s="3">
        <v>43.8</v>
      </c>
      <c r="BD182" s="3">
        <v>15060464</v>
      </c>
      <c r="BE182" s="3">
        <v>29.47</v>
      </c>
      <c r="BF182" s="3">
        <v>29.48</v>
      </c>
      <c r="BG182" s="3">
        <v>29.46</v>
      </c>
      <c r="BH182" s="3">
        <v>29.48</v>
      </c>
      <c r="BI182" s="3">
        <v>330</v>
      </c>
    </row>
    <row r="183" spans="1:61" ht="13" x14ac:dyDescent="0.15">
      <c r="A183" s="3">
        <v>42394</v>
      </c>
      <c r="B183" s="3">
        <v>1906.28</v>
      </c>
      <c r="C183" s="3">
        <v>1906.28</v>
      </c>
      <c r="D183" s="3">
        <v>1875.97</v>
      </c>
      <c r="E183" s="3">
        <v>1877.08</v>
      </c>
      <c r="F183" s="3">
        <v>760931974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3">
        <v>73.3</v>
      </c>
      <c r="M183" s="3">
        <v>73.5</v>
      </c>
      <c r="N183" s="3">
        <v>72.39</v>
      </c>
      <c r="O183" s="3">
        <v>72.47</v>
      </c>
      <c r="P183" s="3">
        <v>7148402</v>
      </c>
      <c r="Q183" s="3">
        <v>48.49</v>
      </c>
      <c r="R183" s="3">
        <v>49.27</v>
      </c>
      <c r="S183" s="3">
        <v>48.41</v>
      </c>
      <c r="T183" s="3">
        <v>48.85</v>
      </c>
      <c r="U183" s="3">
        <v>15869448</v>
      </c>
      <c r="V183" s="3">
        <v>54.68</v>
      </c>
      <c r="W183" s="3">
        <v>56.08</v>
      </c>
      <c r="X183" s="3">
        <v>53.1</v>
      </c>
      <c r="Y183" s="3">
        <v>53.14</v>
      </c>
      <c r="Z183" s="3">
        <v>29120008</v>
      </c>
      <c r="AA183" s="3">
        <v>17.21</v>
      </c>
      <c r="AB183" s="3">
        <v>17.27</v>
      </c>
      <c r="AC183" s="3">
        <v>16.89</v>
      </c>
      <c r="AD183" s="3">
        <v>16.93</v>
      </c>
      <c r="AE183" s="3">
        <v>64160985</v>
      </c>
      <c r="AF183" s="3">
        <v>67.650000000000006</v>
      </c>
      <c r="AG183" s="3">
        <v>68.099999999999994</v>
      </c>
      <c r="AH183" s="3">
        <v>67.13</v>
      </c>
      <c r="AI183" s="3">
        <v>67.22</v>
      </c>
      <c r="AJ183" s="3">
        <v>10131859</v>
      </c>
      <c r="AK183" s="3">
        <v>48.56</v>
      </c>
      <c r="AL183" s="3">
        <v>48.65</v>
      </c>
      <c r="AM183" s="3">
        <v>47.96</v>
      </c>
      <c r="AN183" s="3">
        <v>48.04</v>
      </c>
      <c r="AO183" s="3">
        <v>14533951</v>
      </c>
      <c r="AP183" s="3">
        <v>38.14</v>
      </c>
      <c r="AQ183" s="3">
        <v>38.22</v>
      </c>
      <c r="AR183" s="3">
        <v>37.22</v>
      </c>
      <c r="AS183" s="3">
        <v>37.28</v>
      </c>
      <c r="AT183" s="3">
        <v>11141731</v>
      </c>
      <c r="AU183" s="3">
        <v>40.159999999999997</v>
      </c>
      <c r="AV183" s="3">
        <v>40.51</v>
      </c>
      <c r="AW183" s="3">
        <v>39.840000000000003</v>
      </c>
      <c r="AX183" s="3">
        <v>39.909999999999997</v>
      </c>
      <c r="AY183" s="3">
        <v>10480637</v>
      </c>
      <c r="AZ183" s="3">
        <v>43.78</v>
      </c>
      <c r="BA183" s="3">
        <v>43.89</v>
      </c>
      <c r="BB183" s="3">
        <v>43.27</v>
      </c>
      <c r="BC183" s="3">
        <v>43.43</v>
      </c>
      <c r="BD183" s="3">
        <v>13521364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</row>
    <row r="184" spans="1:61" ht="13" x14ac:dyDescent="0.15">
      <c r="A184" s="3">
        <v>42395</v>
      </c>
      <c r="B184" s="3">
        <v>1878.79</v>
      </c>
      <c r="C184" s="3">
        <v>1906.73</v>
      </c>
      <c r="D184" s="3">
        <v>1878.79</v>
      </c>
      <c r="E184" s="3">
        <v>1903.63</v>
      </c>
      <c r="F184" s="3">
        <v>695956044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3">
        <v>72.739999999999995</v>
      </c>
      <c r="M184" s="3">
        <v>73.680000000000007</v>
      </c>
      <c r="N184" s="3">
        <v>72.38</v>
      </c>
      <c r="O184" s="3">
        <v>73.53</v>
      </c>
      <c r="P184" s="3">
        <v>7950062</v>
      </c>
      <c r="Q184" s="3">
        <v>49</v>
      </c>
      <c r="R184" s="3">
        <v>49.62</v>
      </c>
      <c r="S184" s="3">
        <v>48.95</v>
      </c>
      <c r="T184" s="3">
        <v>49.29</v>
      </c>
      <c r="U184" s="3">
        <v>10524137</v>
      </c>
      <c r="V184" s="3">
        <v>54.1</v>
      </c>
      <c r="W184" s="3">
        <v>55.22</v>
      </c>
      <c r="X184" s="3">
        <v>53.4</v>
      </c>
      <c r="Y184" s="3">
        <v>55.15</v>
      </c>
      <c r="Z184" s="3">
        <v>25354906</v>
      </c>
      <c r="AA184" s="3">
        <v>17</v>
      </c>
      <c r="AB184" s="3">
        <v>17.260000000000002</v>
      </c>
      <c r="AC184" s="3">
        <v>16.97</v>
      </c>
      <c r="AD184" s="3">
        <v>17.22</v>
      </c>
      <c r="AE184" s="3">
        <v>51968934</v>
      </c>
      <c r="AF184" s="3">
        <v>67.260000000000005</v>
      </c>
      <c r="AG184" s="3">
        <v>67.86</v>
      </c>
      <c r="AH184" s="3">
        <v>66.739999999999995</v>
      </c>
      <c r="AI184" s="3">
        <v>67.73</v>
      </c>
      <c r="AJ184" s="3">
        <v>12449656</v>
      </c>
      <c r="AK184" s="3">
        <v>48.15</v>
      </c>
      <c r="AL184" s="3">
        <v>48.97</v>
      </c>
      <c r="AM184" s="3">
        <v>48.14</v>
      </c>
      <c r="AN184" s="3">
        <v>48.95</v>
      </c>
      <c r="AO184" s="3">
        <v>12038307</v>
      </c>
      <c r="AP184" s="3">
        <v>37.68</v>
      </c>
      <c r="AQ184" s="3">
        <v>38.020000000000003</v>
      </c>
      <c r="AR184" s="3">
        <v>37.28</v>
      </c>
      <c r="AS184" s="3">
        <v>37.92</v>
      </c>
      <c r="AT184" s="3">
        <v>7587807</v>
      </c>
      <c r="AU184" s="3">
        <v>40.07</v>
      </c>
      <c r="AV184" s="3">
        <v>40.39</v>
      </c>
      <c r="AW184" s="3">
        <v>39.82</v>
      </c>
      <c r="AX184" s="3">
        <v>40.299999999999997</v>
      </c>
      <c r="AY184" s="3">
        <v>11473681</v>
      </c>
      <c r="AZ184" s="3">
        <v>43.53</v>
      </c>
      <c r="BA184" s="3">
        <v>44.16</v>
      </c>
      <c r="BB184" s="3">
        <v>43.53</v>
      </c>
      <c r="BC184" s="3">
        <v>43.73</v>
      </c>
      <c r="BD184" s="3">
        <v>11459638</v>
      </c>
      <c r="BE184" s="3">
        <v>29.59</v>
      </c>
      <c r="BF184" s="3">
        <v>29.86</v>
      </c>
      <c r="BG184" s="3">
        <v>29.59</v>
      </c>
      <c r="BH184" s="3">
        <v>29.74</v>
      </c>
      <c r="BI184" s="3">
        <v>529</v>
      </c>
    </row>
    <row r="185" spans="1:61" ht="13" x14ac:dyDescent="0.15">
      <c r="A185" s="3">
        <v>42396</v>
      </c>
      <c r="B185" s="3">
        <v>1902.52</v>
      </c>
      <c r="C185" s="3">
        <v>1916.99</v>
      </c>
      <c r="D185" s="3">
        <v>1872.7</v>
      </c>
      <c r="E185" s="3">
        <v>1882.95</v>
      </c>
      <c r="F185" s="3">
        <v>801306427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3">
        <v>73.400000000000006</v>
      </c>
      <c r="M185" s="3">
        <v>73.88</v>
      </c>
      <c r="N185" s="3">
        <v>72.040000000000006</v>
      </c>
      <c r="O185" s="3">
        <v>72.38</v>
      </c>
      <c r="P185" s="3">
        <v>10642669</v>
      </c>
      <c r="Q185" s="3">
        <v>49.37</v>
      </c>
      <c r="R185" s="3">
        <v>49.87</v>
      </c>
      <c r="S185" s="3">
        <v>48.95</v>
      </c>
      <c r="T185" s="3">
        <v>49.25</v>
      </c>
      <c r="U185" s="3">
        <v>17247388</v>
      </c>
      <c r="V185" s="3">
        <v>54.77</v>
      </c>
      <c r="W185" s="3">
        <v>56.42</v>
      </c>
      <c r="X185" s="3">
        <v>54.2</v>
      </c>
      <c r="Y185" s="3">
        <v>54.89</v>
      </c>
      <c r="Z185" s="3">
        <v>36494474</v>
      </c>
      <c r="AA185" s="3">
        <v>17.16</v>
      </c>
      <c r="AB185" s="3">
        <v>17.45</v>
      </c>
      <c r="AC185" s="3">
        <v>17.03</v>
      </c>
      <c r="AD185" s="3">
        <v>17.149999999999999</v>
      </c>
      <c r="AE185" s="3">
        <v>62718353</v>
      </c>
      <c r="AF185" s="3">
        <v>67.61</v>
      </c>
      <c r="AG185" s="3">
        <v>68.319999999999993</v>
      </c>
      <c r="AH185" s="3">
        <v>66.489999999999995</v>
      </c>
      <c r="AI185" s="3">
        <v>66.959999999999994</v>
      </c>
      <c r="AJ185" s="3">
        <v>15924738</v>
      </c>
      <c r="AK185" s="3">
        <v>48.69</v>
      </c>
      <c r="AL185" s="3">
        <v>49.28</v>
      </c>
      <c r="AM185" s="3">
        <v>48.14</v>
      </c>
      <c r="AN185" s="3">
        <v>48.4</v>
      </c>
      <c r="AO185" s="3">
        <v>16437248</v>
      </c>
      <c r="AP185" s="3">
        <v>37.85</v>
      </c>
      <c r="AQ185" s="3">
        <v>38.5</v>
      </c>
      <c r="AR185" s="3">
        <v>37.520000000000003</v>
      </c>
      <c r="AS185" s="3">
        <v>37.619999999999997</v>
      </c>
      <c r="AT185" s="3">
        <v>7814346</v>
      </c>
      <c r="AU185" s="3">
        <v>39.97</v>
      </c>
      <c r="AV185" s="3">
        <v>40.21</v>
      </c>
      <c r="AW185" s="3">
        <v>39.29</v>
      </c>
      <c r="AX185" s="3">
        <v>39.47</v>
      </c>
      <c r="AY185" s="3">
        <v>18022352</v>
      </c>
      <c r="AZ185" s="3">
        <v>43.65</v>
      </c>
      <c r="BA185" s="3">
        <v>44.15</v>
      </c>
      <c r="BB185" s="3">
        <v>43.46</v>
      </c>
      <c r="BC185" s="3">
        <v>43.83</v>
      </c>
      <c r="BD185" s="3">
        <v>13732107</v>
      </c>
      <c r="BE185" s="3">
        <v>29.48</v>
      </c>
      <c r="BF185" s="3">
        <v>29.48</v>
      </c>
      <c r="BG185" s="3">
        <v>29.48</v>
      </c>
      <c r="BH185" s="3">
        <v>29.48</v>
      </c>
      <c r="BI185" s="3">
        <v>930</v>
      </c>
    </row>
    <row r="186" spans="1:61" ht="13" x14ac:dyDescent="0.15">
      <c r="A186" s="3">
        <v>42397</v>
      </c>
      <c r="B186" s="3">
        <v>1885.22</v>
      </c>
      <c r="C186" s="3">
        <v>1902.96</v>
      </c>
      <c r="D186" s="3">
        <v>1873.65</v>
      </c>
      <c r="E186" s="3">
        <v>1893.36</v>
      </c>
      <c r="F186" s="3">
        <v>820296447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3">
        <v>73.290000000000006</v>
      </c>
      <c r="M186" s="3">
        <v>73.510000000000005</v>
      </c>
      <c r="N186" s="3">
        <v>72.010000000000005</v>
      </c>
      <c r="O186" s="3">
        <v>73.31</v>
      </c>
      <c r="P186" s="3">
        <v>10402172</v>
      </c>
      <c r="Q186" s="3">
        <v>49.42</v>
      </c>
      <c r="R186" s="3">
        <v>49.93</v>
      </c>
      <c r="S186" s="3">
        <v>49.27</v>
      </c>
      <c r="T186" s="3">
        <v>49.75</v>
      </c>
      <c r="U186" s="3">
        <v>15649161</v>
      </c>
      <c r="V186" s="3">
        <v>56.97</v>
      </c>
      <c r="W186" s="3">
        <v>57.19</v>
      </c>
      <c r="X186" s="3">
        <v>55.43</v>
      </c>
      <c r="Y186" s="3">
        <v>56.56</v>
      </c>
      <c r="Z186" s="3">
        <v>38171909</v>
      </c>
      <c r="AA186" s="3">
        <v>17.260000000000002</v>
      </c>
      <c r="AB186" s="3">
        <v>17.34</v>
      </c>
      <c r="AC186" s="3">
        <v>17.04</v>
      </c>
      <c r="AD186" s="3">
        <v>17.16</v>
      </c>
      <c r="AE186" s="3">
        <v>64911991</v>
      </c>
      <c r="AF186" s="3">
        <v>67.28</v>
      </c>
      <c r="AG186" s="3">
        <v>67.319999999999993</v>
      </c>
      <c r="AH186" s="3">
        <v>65.05</v>
      </c>
      <c r="AI186" s="3">
        <v>65.400000000000006</v>
      </c>
      <c r="AJ186" s="3">
        <v>26127268</v>
      </c>
      <c r="AK186" s="3">
        <v>48.64</v>
      </c>
      <c r="AL186" s="3">
        <v>48.81</v>
      </c>
      <c r="AM186" s="3">
        <v>48.18</v>
      </c>
      <c r="AN186" s="3">
        <v>48.68</v>
      </c>
      <c r="AO186" s="3">
        <v>12553037</v>
      </c>
      <c r="AP186" s="3">
        <v>37.96</v>
      </c>
      <c r="AQ186" s="3">
        <v>38.020000000000003</v>
      </c>
      <c r="AR186" s="3">
        <v>37.340000000000003</v>
      </c>
      <c r="AS186" s="3">
        <v>37.68</v>
      </c>
      <c r="AT186" s="3">
        <v>6655502</v>
      </c>
      <c r="AU186" s="3">
        <v>40.049999999999997</v>
      </c>
      <c r="AV186" s="3">
        <v>40.130000000000003</v>
      </c>
      <c r="AW186" s="3">
        <v>39.5</v>
      </c>
      <c r="AX186" s="3">
        <v>39.979999999999997</v>
      </c>
      <c r="AY186" s="3">
        <v>17566801</v>
      </c>
      <c r="AZ186" s="3">
        <v>43.77</v>
      </c>
      <c r="BA186" s="3">
        <v>44.82</v>
      </c>
      <c r="BB186" s="3">
        <v>43.53</v>
      </c>
      <c r="BC186" s="3">
        <v>44.53</v>
      </c>
      <c r="BD186" s="3">
        <v>15564037</v>
      </c>
      <c r="BE186" s="3">
        <v>29.48</v>
      </c>
      <c r="BF186" s="3">
        <v>29.49</v>
      </c>
      <c r="BG186" s="3">
        <v>29.16</v>
      </c>
      <c r="BH186" s="3">
        <v>29.16</v>
      </c>
      <c r="BI186" s="3">
        <v>1652</v>
      </c>
    </row>
    <row r="187" spans="1:61" ht="13" x14ac:dyDescent="0.15">
      <c r="A187" s="3">
        <v>42398</v>
      </c>
      <c r="B187" s="3">
        <v>1894</v>
      </c>
      <c r="C187" s="3">
        <v>1940.24</v>
      </c>
      <c r="D187" s="3">
        <v>1894</v>
      </c>
      <c r="E187" s="3">
        <v>1940.24</v>
      </c>
      <c r="F187" s="3">
        <v>144609311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3">
        <v>72.94</v>
      </c>
      <c r="M187" s="3">
        <v>74.180000000000007</v>
      </c>
      <c r="N187" s="3">
        <v>72.67</v>
      </c>
      <c r="O187" s="3">
        <v>74.11</v>
      </c>
      <c r="P187" s="3">
        <v>11526278</v>
      </c>
      <c r="Q187" s="3">
        <v>50.09</v>
      </c>
      <c r="R187" s="3">
        <v>50.83</v>
      </c>
      <c r="S187" s="3">
        <v>49.86</v>
      </c>
      <c r="T187" s="3">
        <v>50.76</v>
      </c>
      <c r="U187" s="3">
        <v>20576334</v>
      </c>
      <c r="V187" s="3">
        <v>56.66</v>
      </c>
      <c r="W187" s="3">
        <v>58.27</v>
      </c>
      <c r="X187" s="3">
        <v>56.49</v>
      </c>
      <c r="Y187" s="3">
        <v>58.21</v>
      </c>
      <c r="Z187" s="3">
        <v>31498155</v>
      </c>
      <c r="AA187" s="3">
        <v>17.28</v>
      </c>
      <c r="AB187" s="3">
        <v>17.649999999999999</v>
      </c>
      <c r="AC187" s="3">
        <v>17.22</v>
      </c>
      <c r="AD187" s="3">
        <v>17.64</v>
      </c>
      <c r="AE187" s="3">
        <v>81656298</v>
      </c>
      <c r="AF187" s="3">
        <v>65.260000000000005</v>
      </c>
      <c r="AG187" s="3">
        <v>66.5</v>
      </c>
      <c r="AH187" s="3">
        <v>65.069999999999993</v>
      </c>
      <c r="AI187" s="3">
        <v>66.47</v>
      </c>
      <c r="AJ187" s="3">
        <v>17578208</v>
      </c>
      <c r="AK187" s="3">
        <v>49</v>
      </c>
      <c r="AL187" s="3">
        <v>50.01</v>
      </c>
      <c r="AM187" s="3">
        <v>48.88</v>
      </c>
      <c r="AN187" s="3">
        <v>49.99</v>
      </c>
      <c r="AO187" s="3">
        <v>14570355</v>
      </c>
      <c r="AP187" s="3">
        <v>37.99</v>
      </c>
      <c r="AQ187" s="3">
        <v>38.799999999999997</v>
      </c>
      <c r="AR187" s="3">
        <v>37.700000000000003</v>
      </c>
      <c r="AS187" s="3">
        <v>38.770000000000003</v>
      </c>
      <c r="AT187" s="3">
        <v>8001009</v>
      </c>
      <c r="AU187" s="3">
        <v>40.31</v>
      </c>
      <c r="AV187" s="3">
        <v>41.27</v>
      </c>
      <c r="AW187" s="3">
        <v>40.229999999999997</v>
      </c>
      <c r="AX187" s="3">
        <v>41.24</v>
      </c>
      <c r="AY187" s="3">
        <v>16113314</v>
      </c>
      <c r="AZ187" s="3">
        <v>44.82</v>
      </c>
      <c r="BA187" s="3">
        <v>45.46</v>
      </c>
      <c r="BB187" s="3">
        <v>44.82</v>
      </c>
      <c r="BC187" s="3">
        <v>45.42</v>
      </c>
      <c r="BD187" s="3">
        <v>17940362</v>
      </c>
      <c r="BE187" s="3">
        <v>29.01</v>
      </c>
      <c r="BF187" s="3">
        <v>29.2</v>
      </c>
      <c r="BG187" s="3">
        <v>29.01</v>
      </c>
      <c r="BH187" s="3">
        <v>29.19</v>
      </c>
      <c r="BI187" s="3">
        <v>553</v>
      </c>
    </row>
    <row r="188" spans="1:61" ht="13" x14ac:dyDescent="0.15">
      <c r="A188" s="3">
        <v>42401</v>
      </c>
      <c r="B188" s="3">
        <v>1936.94</v>
      </c>
      <c r="C188" s="3">
        <v>1947.2</v>
      </c>
      <c r="D188" s="3">
        <v>1920.3</v>
      </c>
      <c r="E188" s="3">
        <v>1939.38</v>
      </c>
      <c r="F188" s="3">
        <v>714148314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3">
        <v>73.680000000000007</v>
      </c>
      <c r="M188" s="3">
        <v>74.86</v>
      </c>
      <c r="N188" s="3">
        <v>73.33</v>
      </c>
      <c r="O188" s="3">
        <v>74.56</v>
      </c>
      <c r="P188" s="3">
        <v>8299429</v>
      </c>
      <c r="Q188" s="3">
        <v>50.65</v>
      </c>
      <c r="R188" s="3">
        <v>51.14</v>
      </c>
      <c r="S188" s="3">
        <v>50.5</v>
      </c>
      <c r="T188" s="3">
        <v>50.93</v>
      </c>
      <c r="U188" s="3">
        <v>18573126</v>
      </c>
      <c r="V188" s="3">
        <v>57.24</v>
      </c>
      <c r="W188" s="3">
        <v>57.67</v>
      </c>
      <c r="X188" s="3">
        <v>56.39</v>
      </c>
      <c r="Y188" s="3">
        <v>57.24</v>
      </c>
      <c r="Z188" s="3">
        <v>27685093</v>
      </c>
      <c r="AA188" s="3">
        <v>17.559999999999999</v>
      </c>
      <c r="AB188" s="3">
        <v>17.649999999999999</v>
      </c>
      <c r="AC188" s="3">
        <v>17.43</v>
      </c>
      <c r="AD188" s="3">
        <v>17.559999999999999</v>
      </c>
      <c r="AE188" s="3">
        <v>68693419</v>
      </c>
      <c r="AF188" s="3">
        <v>66.02</v>
      </c>
      <c r="AG188" s="3">
        <v>66.91</v>
      </c>
      <c r="AH188" s="3">
        <v>65.67</v>
      </c>
      <c r="AI188" s="3">
        <v>66.569999999999993</v>
      </c>
      <c r="AJ188" s="3">
        <v>16705670</v>
      </c>
      <c r="AK188" s="3">
        <v>49.59</v>
      </c>
      <c r="AL188" s="3">
        <v>50.12</v>
      </c>
      <c r="AM188" s="3">
        <v>49.27</v>
      </c>
      <c r="AN188" s="3">
        <v>49.87</v>
      </c>
      <c r="AO188" s="3">
        <v>15940646</v>
      </c>
      <c r="AP188" s="3">
        <v>38.549999999999997</v>
      </c>
      <c r="AQ188" s="3">
        <v>39.03</v>
      </c>
      <c r="AR188" s="3">
        <v>38.08</v>
      </c>
      <c r="AS188" s="3">
        <v>38.93</v>
      </c>
      <c r="AT188" s="3">
        <v>13595400</v>
      </c>
      <c r="AU188" s="3">
        <v>41.07</v>
      </c>
      <c r="AV188" s="3">
        <v>41.58</v>
      </c>
      <c r="AW188" s="3">
        <v>41.04</v>
      </c>
      <c r="AX188" s="3">
        <v>41.39</v>
      </c>
      <c r="AY188" s="3">
        <v>14797320</v>
      </c>
      <c r="AZ188" s="3">
        <v>45.21</v>
      </c>
      <c r="BA188" s="3">
        <v>46.06</v>
      </c>
      <c r="BB188" s="3">
        <v>45.18</v>
      </c>
      <c r="BC188" s="3">
        <v>45.85</v>
      </c>
      <c r="BD188" s="3">
        <v>29610948</v>
      </c>
      <c r="BE188" s="3">
        <v>29.61</v>
      </c>
      <c r="BF188" s="3">
        <v>29.81</v>
      </c>
      <c r="BG188" s="3">
        <v>29.61</v>
      </c>
      <c r="BH188" s="3">
        <v>29.81</v>
      </c>
      <c r="BI188" s="3">
        <v>744</v>
      </c>
    </row>
    <row r="189" spans="1:61" ht="13" x14ac:dyDescent="0.15">
      <c r="A189" s="3">
        <v>42402</v>
      </c>
      <c r="B189" s="3">
        <v>1935.26</v>
      </c>
      <c r="C189" s="3">
        <v>1935.26</v>
      </c>
      <c r="D189" s="3">
        <v>1897.29</v>
      </c>
      <c r="E189" s="3">
        <v>1903.03</v>
      </c>
      <c r="F189" s="3">
        <v>788015916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3">
        <v>74.05</v>
      </c>
      <c r="M189" s="3">
        <v>74.28</v>
      </c>
      <c r="N189" s="3">
        <v>72.849999999999994</v>
      </c>
      <c r="O189" s="3">
        <v>73.11</v>
      </c>
      <c r="P189" s="3">
        <v>9048911</v>
      </c>
      <c r="Q189" s="3">
        <v>50.56</v>
      </c>
      <c r="R189" s="3">
        <v>50.56</v>
      </c>
      <c r="S189" s="3">
        <v>50.16</v>
      </c>
      <c r="T189" s="3">
        <v>50.28</v>
      </c>
      <c r="U189" s="3">
        <v>14068583</v>
      </c>
      <c r="V189" s="3">
        <v>55.84</v>
      </c>
      <c r="W189" s="3">
        <v>56.1</v>
      </c>
      <c r="X189" s="3">
        <v>55.05</v>
      </c>
      <c r="Y189" s="3">
        <v>55.33</v>
      </c>
      <c r="Z189" s="3">
        <v>25231222</v>
      </c>
      <c r="AA189" s="3">
        <v>17.309999999999999</v>
      </c>
      <c r="AB189" s="3">
        <v>17.34</v>
      </c>
      <c r="AC189" s="3">
        <v>17.04</v>
      </c>
      <c r="AD189" s="3">
        <v>17.079999999999998</v>
      </c>
      <c r="AE189" s="3">
        <v>69989823</v>
      </c>
      <c r="AF189" s="3">
        <v>66.099999999999994</v>
      </c>
      <c r="AG189" s="3">
        <v>66.28</v>
      </c>
      <c r="AH189" s="3">
        <v>65.41</v>
      </c>
      <c r="AI189" s="3">
        <v>65.61</v>
      </c>
      <c r="AJ189" s="3">
        <v>12968699</v>
      </c>
      <c r="AK189" s="3">
        <v>49.38</v>
      </c>
      <c r="AL189" s="3">
        <v>49.42</v>
      </c>
      <c r="AM189" s="3">
        <v>48.71</v>
      </c>
      <c r="AN189" s="3">
        <v>48.87</v>
      </c>
      <c r="AO189" s="3">
        <v>15284769</v>
      </c>
      <c r="AP189" s="3">
        <v>38.78</v>
      </c>
      <c r="AQ189" s="3">
        <v>38.869999999999997</v>
      </c>
      <c r="AR189" s="3">
        <v>38.22</v>
      </c>
      <c r="AS189" s="3">
        <v>38.67</v>
      </c>
      <c r="AT189" s="3">
        <v>11509388</v>
      </c>
      <c r="AU189" s="3">
        <v>41.27</v>
      </c>
      <c r="AV189" s="3">
        <v>41.28</v>
      </c>
      <c r="AW189" s="3">
        <v>40.520000000000003</v>
      </c>
      <c r="AX189" s="3">
        <v>40.65</v>
      </c>
      <c r="AY189" s="3">
        <v>13951155</v>
      </c>
      <c r="AZ189" s="3">
        <v>45.68</v>
      </c>
      <c r="BA189" s="3">
        <v>46.1</v>
      </c>
      <c r="BB189" s="3">
        <v>45.46</v>
      </c>
      <c r="BC189" s="3">
        <v>46.05</v>
      </c>
      <c r="BD189" s="3">
        <v>15970061</v>
      </c>
      <c r="BE189" s="3">
        <v>29.68</v>
      </c>
      <c r="BF189" s="3">
        <v>29.68</v>
      </c>
      <c r="BG189" s="3">
        <v>29.43</v>
      </c>
      <c r="BH189" s="3">
        <v>29.43</v>
      </c>
      <c r="BI189" s="3">
        <v>1094</v>
      </c>
    </row>
    <row r="190" spans="1:61" ht="13" x14ac:dyDescent="0.15">
      <c r="A190" s="3">
        <v>42403</v>
      </c>
      <c r="B190" s="3">
        <v>1907.07</v>
      </c>
      <c r="C190" s="3">
        <v>1918.01</v>
      </c>
      <c r="D190" s="3">
        <v>1872.23</v>
      </c>
      <c r="E190" s="3">
        <v>1912.53</v>
      </c>
      <c r="F190" s="3">
        <v>893685485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3">
        <v>73.8</v>
      </c>
      <c r="M190" s="3">
        <v>73.84</v>
      </c>
      <c r="N190" s="3">
        <v>71.52</v>
      </c>
      <c r="O190" s="3">
        <v>72.92</v>
      </c>
      <c r="P190" s="3">
        <v>13351759</v>
      </c>
      <c r="Q190" s="3">
        <v>50.47</v>
      </c>
      <c r="R190" s="3">
        <v>50.56</v>
      </c>
      <c r="S190" s="3">
        <v>49.7</v>
      </c>
      <c r="T190" s="3">
        <v>50.17</v>
      </c>
      <c r="U190" s="3">
        <v>25209773</v>
      </c>
      <c r="V190" s="3">
        <v>56.13</v>
      </c>
      <c r="W190" s="3">
        <v>57.35</v>
      </c>
      <c r="X190" s="3">
        <v>54.11</v>
      </c>
      <c r="Y190" s="3">
        <v>57.3</v>
      </c>
      <c r="Z190" s="3">
        <v>36440662</v>
      </c>
      <c r="AA190" s="3">
        <v>17.170000000000002</v>
      </c>
      <c r="AB190" s="3">
        <v>17.170000000000002</v>
      </c>
      <c r="AC190" s="3">
        <v>16.61</v>
      </c>
      <c r="AD190" s="3">
        <v>17.09</v>
      </c>
      <c r="AE190" s="3">
        <v>123420189</v>
      </c>
      <c r="AF190" s="3">
        <v>65.8</v>
      </c>
      <c r="AG190" s="3">
        <v>66.11</v>
      </c>
      <c r="AH190" s="3">
        <v>64.569999999999993</v>
      </c>
      <c r="AI190" s="3">
        <v>66.040000000000006</v>
      </c>
      <c r="AJ190" s="3">
        <v>19453147</v>
      </c>
      <c r="AK190" s="3">
        <v>49.26</v>
      </c>
      <c r="AL190" s="3">
        <v>49.74</v>
      </c>
      <c r="AM190" s="3">
        <v>48.35</v>
      </c>
      <c r="AN190" s="3">
        <v>49.66</v>
      </c>
      <c r="AO190" s="3">
        <v>25732880</v>
      </c>
      <c r="AP190" s="3">
        <v>39.130000000000003</v>
      </c>
      <c r="AQ190" s="3">
        <v>39.97</v>
      </c>
      <c r="AR190" s="3">
        <v>38.630000000000003</v>
      </c>
      <c r="AS190" s="3">
        <v>39.97</v>
      </c>
      <c r="AT190" s="3">
        <v>14414225</v>
      </c>
      <c r="AU190" s="3">
        <v>40.909999999999997</v>
      </c>
      <c r="AV190" s="3">
        <v>40.93</v>
      </c>
      <c r="AW190" s="3">
        <v>39.97</v>
      </c>
      <c r="AX190" s="3">
        <v>40.6</v>
      </c>
      <c r="AY190" s="3">
        <v>21506247</v>
      </c>
      <c r="AZ190" s="3">
        <v>46.21</v>
      </c>
      <c r="BA190" s="3">
        <v>46.83</v>
      </c>
      <c r="BB190" s="3">
        <v>46.2</v>
      </c>
      <c r="BC190" s="3">
        <v>46.62</v>
      </c>
      <c r="BD190" s="3">
        <v>32952417</v>
      </c>
      <c r="BE190" s="3">
        <v>29.68</v>
      </c>
      <c r="BF190" s="3">
        <v>29.68</v>
      </c>
      <c r="BG190" s="3">
        <v>29.05</v>
      </c>
      <c r="BH190" s="3">
        <v>29.46</v>
      </c>
      <c r="BI190" s="3">
        <v>3781</v>
      </c>
    </row>
    <row r="191" spans="1:61" ht="13" x14ac:dyDescent="0.15">
      <c r="A191" s="3">
        <v>42404</v>
      </c>
      <c r="B191" s="3">
        <v>1911.67</v>
      </c>
      <c r="C191" s="3">
        <v>1927.35</v>
      </c>
      <c r="D191" s="3">
        <v>1900.52</v>
      </c>
      <c r="E191" s="3">
        <v>1915.45</v>
      </c>
      <c r="F191" s="3">
        <v>865531792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3">
        <v>72.69</v>
      </c>
      <c r="M191" s="3">
        <v>72.87</v>
      </c>
      <c r="N191" s="3">
        <v>71.87</v>
      </c>
      <c r="O191" s="3">
        <v>72.5</v>
      </c>
      <c r="P191" s="3">
        <v>9937842</v>
      </c>
      <c r="Q191" s="3">
        <v>49.95</v>
      </c>
      <c r="R191" s="3">
        <v>50.01</v>
      </c>
      <c r="S191" s="3">
        <v>49.47</v>
      </c>
      <c r="T191" s="3">
        <v>49.71</v>
      </c>
      <c r="U191" s="3">
        <v>21240798</v>
      </c>
      <c r="V191" s="3">
        <v>57.42</v>
      </c>
      <c r="W191" s="3">
        <v>58.5</v>
      </c>
      <c r="X191" s="3">
        <v>57</v>
      </c>
      <c r="Y191" s="3">
        <v>57.27</v>
      </c>
      <c r="Z191" s="3">
        <v>37056132</v>
      </c>
      <c r="AA191" s="3">
        <v>16.989999999999998</v>
      </c>
      <c r="AB191" s="3">
        <v>17.36</v>
      </c>
      <c r="AC191" s="3">
        <v>16.989999999999998</v>
      </c>
      <c r="AD191" s="3">
        <v>17.239999999999998</v>
      </c>
      <c r="AE191" s="3">
        <v>78806704</v>
      </c>
      <c r="AF191" s="3">
        <v>65.84</v>
      </c>
      <c r="AG191" s="3">
        <v>66.42</v>
      </c>
      <c r="AH191" s="3">
        <v>65.09</v>
      </c>
      <c r="AI191" s="3">
        <v>65.680000000000007</v>
      </c>
      <c r="AJ191" s="3">
        <v>18958125</v>
      </c>
      <c r="AK191" s="3">
        <v>49.59</v>
      </c>
      <c r="AL191" s="3">
        <v>50.91</v>
      </c>
      <c r="AM191" s="3">
        <v>49.55</v>
      </c>
      <c r="AN191" s="3">
        <v>50.52</v>
      </c>
      <c r="AO191" s="3">
        <v>18452296</v>
      </c>
      <c r="AP191" s="3">
        <v>40.130000000000003</v>
      </c>
      <c r="AQ191" s="3">
        <v>41.35</v>
      </c>
      <c r="AR191" s="3">
        <v>40.1</v>
      </c>
      <c r="AS191" s="3">
        <v>41.08</v>
      </c>
      <c r="AT191" s="3">
        <v>14590407</v>
      </c>
      <c r="AU191" s="3">
        <v>40.520000000000003</v>
      </c>
      <c r="AV191" s="3">
        <v>40.909999999999997</v>
      </c>
      <c r="AW191" s="3">
        <v>40.21</v>
      </c>
      <c r="AX191" s="3">
        <v>40.64</v>
      </c>
      <c r="AY191" s="3">
        <v>18203043</v>
      </c>
      <c r="AZ191" s="3">
        <v>46.58</v>
      </c>
      <c r="BA191" s="3">
        <v>46.83</v>
      </c>
      <c r="BB191" s="3">
        <v>46.3</v>
      </c>
      <c r="BC191" s="3">
        <v>46.42</v>
      </c>
      <c r="BD191" s="3">
        <v>27602570</v>
      </c>
      <c r="BE191" s="3">
        <v>29.44</v>
      </c>
      <c r="BF191" s="3">
        <v>29.65</v>
      </c>
      <c r="BG191" s="3">
        <v>29.44</v>
      </c>
      <c r="BH191" s="3">
        <v>29.64</v>
      </c>
      <c r="BI191" s="3">
        <v>1506</v>
      </c>
    </row>
    <row r="192" spans="1:61" ht="13" x14ac:dyDescent="0.15">
      <c r="A192" s="3">
        <v>42405</v>
      </c>
      <c r="B192" s="3">
        <v>1913.07</v>
      </c>
      <c r="C192" s="3">
        <v>1913.07</v>
      </c>
      <c r="D192" s="3">
        <v>1872.65</v>
      </c>
      <c r="E192" s="3">
        <v>1880.05</v>
      </c>
      <c r="F192" s="3">
        <v>866331912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3">
        <v>72.180000000000007</v>
      </c>
      <c r="M192" s="3">
        <v>72.239999999999995</v>
      </c>
      <c r="N192" s="3">
        <v>69.959999999999994</v>
      </c>
      <c r="O192" s="3">
        <v>70.16</v>
      </c>
      <c r="P192" s="3">
        <v>12823351</v>
      </c>
      <c r="Q192" s="3">
        <v>49.8</v>
      </c>
      <c r="R192" s="3">
        <v>49.95</v>
      </c>
      <c r="S192" s="3">
        <v>49.37</v>
      </c>
      <c r="T192" s="3">
        <v>49.63</v>
      </c>
      <c r="U192" s="3">
        <v>20073263</v>
      </c>
      <c r="V192" s="3">
        <v>56.5</v>
      </c>
      <c r="W192" s="3">
        <v>56.74</v>
      </c>
      <c r="X192" s="3">
        <v>55.47</v>
      </c>
      <c r="Y192" s="3">
        <v>55.94</v>
      </c>
      <c r="Z192" s="3">
        <v>30240956</v>
      </c>
      <c r="AA192" s="3">
        <v>17.260000000000002</v>
      </c>
      <c r="AB192" s="3">
        <v>17.350000000000001</v>
      </c>
      <c r="AC192" s="3">
        <v>16.96</v>
      </c>
      <c r="AD192" s="3">
        <v>17.010000000000002</v>
      </c>
      <c r="AE192" s="3">
        <v>66211805</v>
      </c>
      <c r="AF192" s="3">
        <v>65.319999999999993</v>
      </c>
      <c r="AG192" s="3">
        <v>65.5</v>
      </c>
      <c r="AH192" s="3">
        <v>64.069999999999993</v>
      </c>
      <c r="AI192" s="3">
        <v>64.400000000000006</v>
      </c>
      <c r="AJ192" s="3">
        <v>16743961</v>
      </c>
      <c r="AK192" s="3">
        <v>50.25</v>
      </c>
      <c r="AL192" s="3">
        <v>50.54</v>
      </c>
      <c r="AM192" s="3">
        <v>49.8</v>
      </c>
      <c r="AN192" s="3">
        <v>50.04</v>
      </c>
      <c r="AO192" s="3">
        <v>15518119</v>
      </c>
      <c r="AP192" s="3">
        <v>40.770000000000003</v>
      </c>
      <c r="AQ192" s="3">
        <v>41.19</v>
      </c>
      <c r="AR192" s="3">
        <v>40.47</v>
      </c>
      <c r="AS192" s="3">
        <v>40.61</v>
      </c>
      <c r="AT192" s="3">
        <v>11431867</v>
      </c>
      <c r="AU192" s="3">
        <v>40.479999999999997</v>
      </c>
      <c r="AV192" s="3">
        <v>40.549999999999997</v>
      </c>
      <c r="AW192" s="3">
        <v>39.340000000000003</v>
      </c>
      <c r="AX192" s="3">
        <v>39.5</v>
      </c>
      <c r="AY192" s="3">
        <v>23777385</v>
      </c>
      <c r="AZ192" s="3">
        <v>46.15</v>
      </c>
      <c r="BA192" s="3">
        <v>46.75</v>
      </c>
      <c r="BB192" s="3">
        <v>45.74</v>
      </c>
      <c r="BC192" s="3">
        <v>46.57</v>
      </c>
      <c r="BD192" s="3">
        <v>27386322</v>
      </c>
      <c r="BE192" s="3">
        <v>29.21</v>
      </c>
      <c r="BF192" s="3">
        <v>29.21</v>
      </c>
      <c r="BG192" s="3">
        <v>29.1</v>
      </c>
      <c r="BH192" s="3">
        <v>29.1</v>
      </c>
      <c r="BI192" s="3">
        <v>221</v>
      </c>
    </row>
    <row r="193" spans="1:61" ht="13" x14ac:dyDescent="0.15">
      <c r="A193" s="3">
        <v>42408</v>
      </c>
      <c r="B193" s="3">
        <v>1873.25</v>
      </c>
      <c r="C193" s="3">
        <v>1873.25</v>
      </c>
      <c r="D193" s="3">
        <v>1828.46</v>
      </c>
      <c r="E193" s="3">
        <v>1853.44</v>
      </c>
      <c r="F193" s="3">
        <v>1012893978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3">
        <v>69.39</v>
      </c>
      <c r="M193" s="3">
        <v>69.39</v>
      </c>
      <c r="N193" s="3">
        <v>67.61</v>
      </c>
      <c r="O193" s="3">
        <v>68.8</v>
      </c>
      <c r="P193" s="3">
        <v>13175976</v>
      </c>
      <c r="Q193" s="3">
        <v>49.3</v>
      </c>
      <c r="R193" s="3">
        <v>49.64</v>
      </c>
      <c r="S193" s="3">
        <v>48.89</v>
      </c>
      <c r="T193" s="3">
        <v>49.5</v>
      </c>
      <c r="U193" s="3">
        <v>21546933</v>
      </c>
      <c r="V193" s="3">
        <v>54.83</v>
      </c>
      <c r="W193" s="3">
        <v>56</v>
      </c>
      <c r="X193" s="3">
        <v>54</v>
      </c>
      <c r="Y193" s="3">
        <v>55.65</v>
      </c>
      <c r="Z193" s="3">
        <v>34806733</v>
      </c>
      <c r="AA193" s="3">
        <v>16.77</v>
      </c>
      <c r="AB193" s="3">
        <v>16.829999999999998</v>
      </c>
      <c r="AC193" s="3">
        <v>16.350000000000001</v>
      </c>
      <c r="AD193" s="3">
        <v>16.579999999999998</v>
      </c>
      <c r="AE193" s="3">
        <v>107483960</v>
      </c>
      <c r="AF193" s="3">
        <v>63.68</v>
      </c>
      <c r="AG193" s="3">
        <v>63.95</v>
      </c>
      <c r="AH193" s="3">
        <v>62.76</v>
      </c>
      <c r="AI193" s="3">
        <v>63.52</v>
      </c>
      <c r="AJ193" s="3">
        <v>24652766</v>
      </c>
      <c r="AK193" s="3">
        <v>49.49</v>
      </c>
      <c r="AL193" s="3">
        <v>49.76</v>
      </c>
      <c r="AM193" s="3">
        <v>48.97</v>
      </c>
      <c r="AN193" s="3">
        <v>49.62</v>
      </c>
      <c r="AO193" s="3">
        <v>20001178</v>
      </c>
      <c r="AP193" s="3">
        <v>40</v>
      </c>
      <c r="AQ193" s="3">
        <v>40.32</v>
      </c>
      <c r="AR193" s="3">
        <v>38.97</v>
      </c>
      <c r="AS193" s="3">
        <v>39.54</v>
      </c>
      <c r="AT193" s="3">
        <v>11603720</v>
      </c>
      <c r="AU193" s="3">
        <v>38.840000000000003</v>
      </c>
      <c r="AV193" s="3">
        <v>39.04</v>
      </c>
      <c r="AW193" s="3">
        <v>38.26</v>
      </c>
      <c r="AX193" s="3">
        <v>38.93</v>
      </c>
      <c r="AY193" s="3">
        <v>24820851</v>
      </c>
      <c r="AZ193" s="3">
        <v>46.47</v>
      </c>
      <c r="BA193" s="3">
        <v>47</v>
      </c>
      <c r="BB193" s="3">
        <v>45.98</v>
      </c>
      <c r="BC193" s="3">
        <v>46.41</v>
      </c>
      <c r="BD193" s="3">
        <v>29012354</v>
      </c>
      <c r="BE193" s="3">
        <v>28.1</v>
      </c>
      <c r="BF193" s="3">
        <v>28.1</v>
      </c>
      <c r="BG193" s="3">
        <v>27.56</v>
      </c>
      <c r="BH193" s="3">
        <v>27.56</v>
      </c>
      <c r="BI193" s="3">
        <v>718</v>
      </c>
    </row>
    <row r="194" spans="1:61" ht="13" x14ac:dyDescent="0.15">
      <c r="A194" s="3">
        <v>42409</v>
      </c>
      <c r="B194" s="3">
        <v>1848.46</v>
      </c>
      <c r="C194" s="3">
        <v>1868.25</v>
      </c>
      <c r="D194" s="3">
        <v>1834.94</v>
      </c>
      <c r="E194" s="3">
        <v>1852.21</v>
      </c>
      <c r="F194" s="3">
        <v>847335260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3">
        <v>67.92</v>
      </c>
      <c r="M194" s="3">
        <v>69.489999999999995</v>
      </c>
      <c r="N194" s="3">
        <v>67.8</v>
      </c>
      <c r="O194" s="3">
        <v>68.69</v>
      </c>
      <c r="P194" s="3">
        <v>14473732</v>
      </c>
      <c r="Q194" s="3">
        <v>49.11</v>
      </c>
      <c r="R194" s="3">
        <v>50.1</v>
      </c>
      <c r="S194" s="3">
        <v>49.07</v>
      </c>
      <c r="T194" s="3">
        <v>49.83</v>
      </c>
      <c r="U194" s="3">
        <v>24376347</v>
      </c>
      <c r="V194" s="3">
        <v>54.82</v>
      </c>
      <c r="W194" s="3">
        <v>55.49</v>
      </c>
      <c r="X194" s="3">
        <v>53.44</v>
      </c>
      <c r="Y194" s="3">
        <v>54.31</v>
      </c>
      <c r="Z194" s="3">
        <v>37411318</v>
      </c>
      <c r="AA194" s="3">
        <v>16.260000000000002</v>
      </c>
      <c r="AB194" s="3">
        <v>16.670000000000002</v>
      </c>
      <c r="AC194" s="3">
        <v>16.260000000000002</v>
      </c>
      <c r="AD194" s="3">
        <v>16.559999999999999</v>
      </c>
      <c r="AE194" s="3">
        <v>137225164</v>
      </c>
      <c r="AF194" s="3">
        <v>62.75</v>
      </c>
      <c r="AG194" s="3">
        <v>64.63</v>
      </c>
      <c r="AH194" s="3">
        <v>62.68</v>
      </c>
      <c r="AI194" s="3">
        <v>63.99</v>
      </c>
      <c r="AJ194" s="3">
        <v>20741677</v>
      </c>
      <c r="AK194" s="3">
        <v>49.04</v>
      </c>
      <c r="AL194" s="3">
        <v>50.26</v>
      </c>
      <c r="AM194" s="3">
        <v>49.04</v>
      </c>
      <c r="AN194" s="3">
        <v>49.92</v>
      </c>
      <c r="AO194" s="3">
        <v>15369951</v>
      </c>
      <c r="AP194" s="3">
        <v>39.159999999999997</v>
      </c>
      <c r="AQ194" s="3">
        <v>40.229999999999997</v>
      </c>
      <c r="AR194" s="3">
        <v>39.159999999999997</v>
      </c>
      <c r="AS194" s="3">
        <v>40.03</v>
      </c>
      <c r="AT194" s="3">
        <v>10256796</v>
      </c>
      <c r="AU194" s="3">
        <v>38.46</v>
      </c>
      <c r="AV194" s="3">
        <v>39.299999999999997</v>
      </c>
      <c r="AW194" s="3">
        <v>38.4</v>
      </c>
      <c r="AX194" s="3">
        <v>38.75</v>
      </c>
      <c r="AY194" s="3">
        <v>24755356</v>
      </c>
      <c r="AZ194" s="3">
        <v>46.25</v>
      </c>
      <c r="BA194" s="3">
        <v>46.75</v>
      </c>
      <c r="BB194" s="3">
        <v>46.14</v>
      </c>
      <c r="BC194" s="3">
        <v>46.57</v>
      </c>
      <c r="BD194" s="3">
        <v>22620865</v>
      </c>
      <c r="BE194" s="3">
        <v>27.42</v>
      </c>
      <c r="BF194" s="3">
        <v>27.55</v>
      </c>
      <c r="BG194" s="3">
        <v>27.07</v>
      </c>
      <c r="BH194" s="3">
        <v>27.34</v>
      </c>
      <c r="BI194" s="3">
        <v>1359</v>
      </c>
    </row>
    <row r="195" spans="1:61" ht="13" x14ac:dyDescent="0.15">
      <c r="A195" s="3">
        <v>42410</v>
      </c>
      <c r="B195" s="3">
        <v>1857.1</v>
      </c>
      <c r="C195" s="3">
        <v>1881.6</v>
      </c>
      <c r="D195" s="3">
        <v>1850.32</v>
      </c>
      <c r="E195" s="3">
        <v>1851.86</v>
      </c>
      <c r="F195" s="3">
        <v>765063599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3">
        <v>68.75</v>
      </c>
      <c r="M195" s="3">
        <v>69.760000000000005</v>
      </c>
      <c r="N195" s="3">
        <v>68.540000000000006</v>
      </c>
      <c r="O195" s="3">
        <v>68.569999999999993</v>
      </c>
      <c r="P195" s="3">
        <v>13287159</v>
      </c>
      <c r="Q195" s="3">
        <v>50.01</v>
      </c>
      <c r="R195" s="3">
        <v>50.3</v>
      </c>
      <c r="S195" s="3">
        <v>49.71</v>
      </c>
      <c r="T195" s="3">
        <v>49.77</v>
      </c>
      <c r="U195" s="3">
        <v>14798708</v>
      </c>
      <c r="V195" s="3">
        <v>54.15</v>
      </c>
      <c r="W195" s="3">
        <v>55.32</v>
      </c>
      <c r="X195" s="3">
        <v>53.51</v>
      </c>
      <c r="Y195" s="3">
        <v>54.09</v>
      </c>
      <c r="Z195" s="3">
        <v>30215826</v>
      </c>
      <c r="AA195" s="3">
        <v>16.68</v>
      </c>
      <c r="AB195" s="3">
        <v>16.87</v>
      </c>
      <c r="AC195" s="3">
        <v>16.46</v>
      </c>
      <c r="AD195" s="3">
        <v>16.47</v>
      </c>
      <c r="AE195" s="3">
        <v>65667678</v>
      </c>
      <c r="AF195" s="3">
        <v>64.41</v>
      </c>
      <c r="AG195" s="3">
        <v>65.56</v>
      </c>
      <c r="AH195" s="3">
        <v>64.36</v>
      </c>
      <c r="AI195" s="3">
        <v>64.56</v>
      </c>
      <c r="AJ195" s="3">
        <v>14728499</v>
      </c>
      <c r="AK195" s="3">
        <v>50.04</v>
      </c>
      <c r="AL195" s="3">
        <v>50.51</v>
      </c>
      <c r="AM195" s="3">
        <v>49.64</v>
      </c>
      <c r="AN195" s="3">
        <v>49.68</v>
      </c>
      <c r="AO195" s="3">
        <v>15079367</v>
      </c>
      <c r="AP195" s="3">
        <v>40.200000000000003</v>
      </c>
      <c r="AQ195" s="3">
        <v>40.61</v>
      </c>
      <c r="AR195" s="3">
        <v>39.549999999999997</v>
      </c>
      <c r="AS195" s="3">
        <v>39.65</v>
      </c>
      <c r="AT195" s="3">
        <v>11372359</v>
      </c>
      <c r="AU195" s="3">
        <v>39.08</v>
      </c>
      <c r="AV195" s="3">
        <v>39.53</v>
      </c>
      <c r="AW195" s="3">
        <v>38.79</v>
      </c>
      <c r="AX195" s="3">
        <v>38.83</v>
      </c>
      <c r="AY195" s="3">
        <v>16974976</v>
      </c>
      <c r="AZ195" s="3">
        <v>46.46</v>
      </c>
      <c r="BA195" s="3">
        <v>46.77</v>
      </c>
      <c r="BB195" s="3">
        <v>45.72</v>
      </c>
      <c r="BC195" s="3">
        <v>46.52</v>
      </c>
      <c r="BD195" s="3">
        <v>25920640</v>
      </c>
      <c r="BE195" s="3">
        <v>27.92</v>
      </c>
      <c r="BF195" s="3">
        <v>27.92</v>
      </c>
      <c r="BG195" s="3">
        <v>27.92</v>
      </c>
      <c r="BH195" s="3">
        <v>27.92</v>
      </c>
      <c r="BI195" s="3">
        <v>293</v>
      </c>
    </row>
    <row r="196" spans="1:61" ht="13" x14ac:dyDescent="0.15">
      <c r="A196" s="3">
        <v>42411</v>
      </c>
      <c r="B196" s="3">
        <v>1847</v>
      </c>
      <c r="C196" s="3">
        <v>1847</v>
      </c>
      <c r="D196" s="3">
        <v>1810.1</v>
      </c>
      <c r="E196" s="3">
        <v>1829.08</v>
      </c>
      <c r="F196" s="3">
        <v>959312839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3">
        <v>67.59</v>
      </c>
      <c r="M196" s="3">
        <v>68.959999999999994</v>
      </c>
      <c r="N196" s="3">
        <v>67.59</v>
      </c>
      <c r="O196" s="3">
        <v>68.53</v>
      </c>
      <c r="P196" s="3">
        <v>13565278</v>
      </c>
      <c r="Q196" s="3">
        <v>49.18</v>
      </c>
      <c r="R196" s="3">
        <v>49.6</v>
      </c>
      <c r="S196" s="3">
        <v>48.88</v>
      </c>
      <c r="T196" s="3">
        <v>49.37</v>
      </c>
      <c r="U196" s="3">
        <v>26010413</v>
      </c>
      <c r="V196" s="3">
        <v>53.15</v>
      </c>
      <c r="W196" s="3">
        <v>54.27</v>
      </c>
      <c r="X196" s="3">
        <v>52.37</v>
      </c>
      <c r="Y196" s="3">
        <v>53.86</v>
      </c>
      <c r="Z196" s="3">
        <v>47986947</v>
      </c>
      <c r="AA196" s="3">
        <v>16.03</v>
      </c>
      <c r="AB196" s="3">
        <v>16.14</v>
      </c>
      <c r="AC196" s="3">
        <v>15.86</v>
      </c>
      <c r="AD196" s="3">
        <v>15.96</v>
      </c>
      <c r="AE196" s="3">
        <v>126268811</v>
      </c>
      <c r="AF196" s="3">
        <v>63.4</v>
      </c>
      <c r="AG196" s="3">
        <v>64.03</v>
      </c>
      <c r="AH196" s="3">
        <v>63.04</v>
      </c>
      <c r="AI196" s="3">
        <v>63.52</v>
      </c>
      <c r="AJ196" s="3">
        <v>22801091</v>
      </c>
      <c r="AK196" s="3">
        <v>48.82</v>
      </c>
      <c r="AL196" s="3">
        <v>49.36</v>
      </c>
      <c r="AM196" s="3">
        <v>48.11</v>
      </c>
      <c r="AN196" s="3">
        <v>48.69</v>
      </c>
      <c r="AO196" s="3">
        <v>19180314</v>
      </c>
      <c r="AP196" s="3">
        <v>38.840000000000003</v>
      </c>
      <c r="AQ196" s="3">
        <v>39.35</v>
      </c>
      <c r="AR196" s="3">
        <v>38.47</v>
      </c>
      <c r="AS196" s="3">
        <v>38.79</v>
      </c>
      <c r="AT196" s="3">
        <v>13535045</v>
      </c>
      <c r="AU196" s="3">
        <v>38.33</v>
      </c>
      <c r="AV196" s="3">
        <v>38.979999999999997</v>
      </c>
      <c r="AW196" s="3">
        <v>38.25</v>
      </c>
      <c r="AX196" s="3">
        <v>38.729999999999997</v>
      </c>
      <c r="AY196" s="3">
        <v>24627335</v>
      </c>
      <c r="AZ196" s="3">
        <v>46.23</v>
      </c>
      <c r="BA196" s="3">
        <v>46.61</v>
      </c>
      <c r="BB196" s="3">
        <v>45.68</v>
      </c>
      <c r="BC196" s="3">
        <v>45.7</v>
      </c>
      <c r="BD196" s="3">
        <v>25390041</v>
      </c>
      <c r="BE196" s="3">
        <v>27.3</v>
      </c>
      <c r="BF196" s="3">
        <v>27.3</v>
      </c>
      <c r="BG196" s="3">
        <v>27.22</v>
      </c>
      <c r="BH196" s="3">
        <v>27.22</v>
      </c>
      <c r="BI196" s="3">
        <v>810</v>
      </c>
    </row>
    <row r="197" spans="1:61" ht="13" x14ac:dyDescent="0.15">
      <c r="A197" s="3">
        <v>42412</v>
      </c>
      <c r="B197" s="3">
        <v>1833.4</v>
      </c>
      <c r="C197" s="3">
        <v>1864.78</v>
      </c>
      <c r="D197" s="3">
        <v>1833.4</v>
      </c>
      <c r="E197" s="3">
        <v>1864.78</v>
      </c>
      <c r="F197" s="3">
        <v>803669163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3">
        <v>69.28</v>
      </c>
      <c r="M197" s="3">
        <v>69.819999999999993</v>
      </c>
      <c r="N197" s="3">
        <v>68.63</v>
      </c>
      <c r="O197" s="3">
        <v>69.790000000000006</v>
      </c>
      <c r="P197" s="3">
        <v>10927225</v>
      </c>
      <c r="Q197" s="3">
        <v>49.67</v>
      </c>
      <c r="R197" s="3">
        <v>50.08</v>
      </c>
      <c r="S197" s="3">
        <v>49.44</v>
      </c>
      <c r="T197" s="3">
        <v>50.07</v>
      </c>
      <c r="U197" s="3">
        <v>12464006</v>
      </c>
      <c r="V197" s="3">
        <v>54.6</v>
      </c>
      <c r="W197" s="3">
        <v>55.52</v>
      </c>
      <c r="X197" s="3">
        <v>54.11</v>
      </c>
      <c r="Y197" s="3">
        <v>55.28</v>
      </c>
      <c r="Z197" s="3">
        <v>25782048</v>
      </c>
      <c r="AA197" s="3">
        <v>16.350000000000001</v>
      </c>
      <c r="AB197" s="3">
        <v>16.64</v>
      </c>
      <c r="AC197" s="3">
        <v>16.27</v>
      </c>
      <c r="AD197" s="3">
        <v>16.64</v>
      </c>
      <c r="AE197" s="3">
        <v>97189788</v>
      </c>
      <c r="AF197" s="3">
        <v>63.87</v>
      </c>
      <c r="AG197" s="3">
        <v>64.400000000000006</v>
      </c>
      <c r="AH197" s="3">
        <v>63.33</v>
      </c>
      <c r="AI197" s="3">
        <v>64.37</v>
      </c>
      <c r="AJ197" s="3">
        <v>10315981</v>
      </c>
      <c r="AK197" s="3">
        <v>48.98</v>
      </c>
      <c r="AL197" s="3">
        <v>49.68</v>
      </c>
      <c r="AM197" s="3">
        <v>48.88</v>
      </c>
      <c r="AN197" s="3">
        <v>49.67</v>
      </c>
      <c r="AO197" s="3">
        <v>19249081</v>
      </c>
      <c r="AP197" s="3">
        <v>39.340000000000003</v>
      </c>
      <c r="AQ197" s="3">
        <v>39.94</v>
      </c>
      <c r="AR197" s="3">
        <v>38.9</v>
      </c>
      <c r="AS197" s="3">
        <v>39.94</v>
      </c>
      <c r="AT197" s="3">
        <v>8596391</v>
      </c>
      <c r="AU197" s="3">
        <v>39.04</v>
      </c>
      <c r="AV197" s="3">
        <v>39.299999999999997</v>
      </c>
      <c r="AW197" s="3">
        <v>38.82</v>
      </c>
      <c r="AX197" s="3">
        <v>39.270000000000003</v>
      </c>
      <c r="AY197" s="3">
        <v>10893423</v>
      </c>
      <c r="AZ197" s="3">
        <v>45.67</v>
      </c>
      <c r="BA197" s="3">
        <v>45.93</v>
      </c>
      <c r="BB197" s="3">
        <v>45.19</v>
      </c>
      <c r="BC197" s="3">
        <v>45.56</v>
      </c>
      <c r="BD197" s="3">
        <v>21018740</v>
      </c>
      <c r="BE197" s="3">
        <v>27.22</v>
      </c>
      <c r="BF197" s="3">
        <v>27.51</v>
      </c>
      <c r="BG197" s="3">
        <v>27.22</v>
      </c>
      <c r="BH197" s="3">
        <v>27.49</v>
      </c>
      <c r="BI197" s="3">
        <v>1823</v>
      </c>
    </row>
    <row r="198" spans="1:61" ht="13" x14ac:dyDescent="0.15">
      <c r="A198" s="3">
        <v>42416</v>
      </c>
      <c r="B198" s="3">
        <v>1871.44</v>
      </c>
      <c r="C198" s="3">
        <v>1895.77</v>
      </c>
      <c r="D198" s="3">
        <v>1871.44</v>
      </c>
      <c r="E198" s="3">
        <v>1895.58</v>
      </c>
      <c r="F198" s="3">
        <v>840931331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3">
        <v>70.819999999999993</v>
      </c>
      <c r="M198" s="3">
        <v>71.5</v>
      </c>
      <c r="N198" s="3">
        <v>70.400000000000006</v>
      </c>
      <c r="O198" s="3">
        <v>71.48</v>
      </c>
      <c r="P198" s="3">
        <v>10470402</v>
      </c>
      <c r="Q198" s="3">
        <v>50.5</v>
      </c>
      <c r="R198" s="3">
        <v>50.54</v>
      </c>
      <c r="S198" s="3">
        <v>50.09</v>
      </c>
      <c r="T198" s="3">
        <v>50.47</v>
      </c>
      <c r="U198" s="3">
        <v>15217653</v>
      </c>
      <c r="V198" s="3">
        <v>56.21</v>
      </c>
      <c r="W198" s="3">
        <v>56.38</v>
      </c>
      <c r="X198" s="3">
        <v>55.02</v>
      </c>
      <c r="Y198" s="3">
        <v>55.83</v>
      </c>
      <c r="Z198" s="3">
        <v>33800213</v>
      </c>
      <c r="AA198" s="3">
        <v>16.920000000000002</v>
      </c>
      <c r="AB198" s="3">
        <v>16.98</v>
      </c>
      <c r="AC198" s="3">
        <v>16.75</v>
      </c>
      <c r="AD198" s="3">
        <v>16.91</v>
      </c>
      <c r="AE198" s="3">
        <v>79200767</v>
      </c>
      <c r="AF198" s="3">
        <v>65.06</v>
      </c>
      <c r="AG198" s="3">
        <v>65.61</v>
      </c>
      <c r="AH198" s="3">
        <v>64.84</v>
      </c>
      <c r="AI198" s="3">
        <v>65.58</v>
      </c>
      <c r="AJ198" s="3">
        <v>17302955</v>
      </c>
      <c r="AK198" s="3">
        <v>50.3</v>
      </c>
      <c r="AL198" s="3">
        <v>50.73</v>
      </c>
      <c r="AM198" s="3">
        <v>49.87</v>
      </c>
      <c r="AN198" s="3">
        <v>50.67</v>
      </c>
      <c r="AO198" s="3">
        <v>15037927</v>
      </c>
      <c r="AP198" s="3">
        <v>40.340000000000003</v>
      </c>
      <c r="AQ198" s="3">
        <v>40.6</v>
      </c>
      <c r="AR198" s="3">
        <v>39.83</v>
      </c>
      <c r="AS198" s="3">
        <v>40.549999999999997</v>
      </c>
      <c r="AT198" s="3">
        <v>6786824</v>
      </c>
      <c r="AU198" s="3">
        <v>39.71</v>
      </c>
      <c r="AV198" s="3">
        <v>39.979999999999997</v>
      </c>
      <c r="AW198" s="3">
        <v>39.49</v>
      </c>
      <c r="AX198" s="3">
        <v>39.97</v>
      </c>
      <c r="AY198" s="3">
        <v>10293312</v>
      </c>
      <c r="AZ198" s="3">
        <v>45.79</v>
      </c>
      <c r="BA198" s="3">
        <v>45.95</v>
      </c>
      <c r="BB198" s="3">
        <v>45.37</v>
      </c>
      <c r="BC198" s="3">
        <v>45.85</v>
      </c>
      <c r="BD198" s="3">
        <v>14638647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</row>
    <row r="199" spans="1:61" ht="13" x14ac:dyDescent="0.15">
      <c r="A199" s="3">
        <v>42417</v>
      </c>
      <c r="B199" s="3">
        <v>1898.8</v>
      </c>
      <c r="C199" s="3">
        <v>1930.68</v>
      </c>
      <c r="D199" s="3">
        <v>1898.8</v>
      </c>
      <c r="E199" s="3">
        <v>1926.82</v>
      </c>
      <c r="F199" s="3">
        <v>818658375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3">
        <v>72.23</v>
      </c>
      <c r="M199" s="3">
        <v>73.209999999999994</v>
      </c>
      <c r="N199" s="3">
        <v>72.14</v>
      </c>
      <c r="O199" s="3">
        <v>73.02</v>
      </c>
      <c r="P199" s="3">
        <v>9774726</v>
      </c>
      <c r="Q199" s="3">
        <v>50.69</v>
      </c>
      <c r="R199" s="3">
        <v>51.14</v>
      </c>
      <c r="S199" s="3">
        <v>50.54</v>
      </c>
      <c r="T199" s="3">
        <v>50.99</v>
      </c>
      <c r="U199" s="3">
        <v>11040533</v>
      </c>
      <c r="V199" s="3">
        <v>56.5</v>
      </c>
      <c r="W199" s="3">
        <v>57.91</v>
      </c>
      <c r="X199" s="3">
        <v>56.28</v>
      </c>
      <c r="Y199" s="3">
        <v>57.66</v>
      </c>
      <c r="Z199" s="3">
        <v>29280045</v>
      </c>
      <c r="AA199" s="3">
        <v>17.07</v>
      </c>
      <c r="AB199" s="3">
        <v>17.22</v>
      </c>
      <c r="AC199" s="3">
        <v>17.07</v>
      </c>
      <c r="AD199" s="3">
        <v>17.13</v>
      </c>
      <c r="AE199" s="3">
        <v>64863007</v>
      </c>
      <c r="AF199" s="3">
        <v>66.09</v>
      </c>
      <c r="AG199" s="3">
        <v>66.489999999999995</v>
      </c>
      <c r="AH199" s="3">
        <v>65.59</v>
      </c>
      <c r="AI199" s="3">
        <v>66.41</v>
      </c>
      <c r="AJ199" s="3">
        <v>12140012</v>
      </c>
      <c r="AK199" s="3">
        <v>51</v>
      </c>
      <c r="AL199" s="3">
        <v>51.64</v>
      </c>
      <c r="AM199" s="3">
        <v>50.85</v>
      </c>
      <c r="AN199" s="3">
        <v>51.45</v>
      </c>
      <c r="AO199" s="3">
        <v>15619908</v>
      </c>
      <c r="AP199" s="3">
        <v>40.880000000000003</v>
      </c>
      <c r="AQ199" s="3">
        <v>41.58</v>
      </c>
      <c r="AR199" s="3">
        <v>40.869999999999997</v>
      </c>
      <c r="AS199" s="3">
        <v>41.35</v>
      </c>
      <c r="AT199" s="3">
        <v>7494220</v>
      </c>
      <c r="AU199" s="3">
        <v>40.200000000000003</v>
      </c>
      <c r="AV199" s="3">
        <v>40.869999999999997</v>
      </c>
      <c r="AW199" s="3">
        <v>40.15</v>
      </c>
      <c r="AX199" s="3">
        <v>40.79</v>
      </c>
      <c r="AY199" s="3">
        <v>11128836</v>
      </c>
      <c r="AZ199" s="3">
        <v>46</v>
      </c>
      <c r="BA199" s="3">
        <v>46</v>
      </c>
      <c r="BB199" s="3">
        <v>45.46</v>
      </c>
      <c r="BC199" s="3">
        <v>45.76</v>
      </c>
      <c r="BD199" s="3">
        <v>19080334</v>
      </c>
      <c r="BE199" s="3">
        <v>28.4</v>
      </c>
      <c r="BF199" s="3">
        <v>28.45</v>
      </c>
      <c r="BG199" s="3">
        <v>28.33</v>
      </c>
      <c r="BH199" s="3">
        <v>28.35</v>
      </c>
      <c r="BI199" s="3">
        <v>2640</v>
      </c>
    </row>
    <row r="200" spans="1:61" ht="13" x14ac:dyDescent="0.15">
      <c r="A200" s="3">
        <v>42418</v>
      </c>
      <c r="B200" s="3">
        <v>1927.57</v>
      </c>
      <c r="C200" s="3">
        <v>1930</v>
      </c>
      <c r="D200" s="3">
        <v>1915.09</v>
      </c>
      <c r="E200" s="3">
        <v>1917.83</v>
      </c>
      <c r="F200" s="3">
        <v>729872023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3">
        <v>73.06</v>
      </c>
      <c r="M200" s="3">
        <v>73.08</v>
      </c>
      <c r="N200" s="3">
        <v>72.290000000000006</v>
      </c>
      <c r="O200" s="3">
        <v>72.540000000000006</v>
      </c>
      <c r="P200" s="3">
        <v>6974156</v>
      </c>
      <c r="Q200" s="3">
        <v>50.82</v>
      </c>
      <c r="R200" s="3">
        <v>50.92</v>
      </c>
      <c r="S200" s="3">
        <v>50.49</v>
      </c>
      <c r="T200" s="3">
        <v>50.76</v>
      </c>
      <c r="U200" s="3">
        <v>13101903</v>
      </c>
      <c r="V200" s="3">
        <v>58.15</v>
      </c>
      <c r="W200" s="3">
        <v>58.24</v>
      </c>
      <c r="X200" s="3">
        <v>56.66</v>
      </c>
      <c r="Y200" s="3">
        <v>56.94</v>
      </c>
      <c r="Z200" s="3">
        <v>28832298</v>
      </c>
      <c r="AA200" s="3">
        <v>17.2</v>
      </c>
      <c r="AB200" s="3">
        <v>17.2</v>
      </c>
      <c r="AC200" s="3">
        <v>16.96</v>
      </c>
      <c r="AD200" s="3">
        <v>17.04</v>
      </c>
      <c r="AE200" s="3">
        <v>64575062</v>
      </c>
      <c r="AF200" s="3">
        <v>66.489999999999995</v>
      </c>
      <c r="AG200" s="3">
        <v>66.760000000000005</v>
      </c>
      <c r="AH200" s="3">
        <v>65.84</v>
      </c>
      <c r="AI200" s="3">
        <v>66</v>
      </c>
      <c r="AJ200" s="3">
        <v>9722072</v>
      </c>
      <c r="AK200" s="3">
        <v>51.5</v>
      </c>
      <c r="AL200" s="3">
        <v>51.61</v>
      </c>
      <c r="AM200" s="3">
        <v>51.23</v>
      </c>
      <c r="AN200" s="3">
        <v>51.42</v>
      </c>
      <c r="AO200" s="3">
        <v>9587830</v>
      </c>
      <c r="AP200" s="3">
        <v>41.4</v>
      </c>
      <c r="AQ200" s="3">
        <v>41.41</v>
      </c>
      <c r="AR200" s="3">
        <v>40.93</v>
      </c>
      <c r="AS200" s="3">
        <v>41.23</v>
      </c>
      <c r="AT200" s="3">
        <v>5410158</v>
      </c>
      <c r="AU200" s="3">
        <v>40.93</v>
      </c>
      <c r="AV200" s="3">
        <v>40.98</v>
      </c>
      <c r="AW200" s="3">
        <v>40.549999999999997</v>
      </c>
      <c r="AX200" s="3">
        <v>40.630000000000003</v>
      </c>
      <c r="AY200" s="3">
        <v>11578396</v>
      </c>
      <c r="AZ200" s="3">
        <v>45.67</v>
      </c>
      <c r="BA200" s="3">
        <v>46.67</v>
      </c>
      <c r="BB200" s="3">
        <v>45.63</v>
      </c>
      <c r="BC200" s="3">
        <v>46.51</v>
      </c>
      <c r="BD200" s="3">
        <v>18884259</v>
      </c>
      <c r="BE200" s="3">
        <v>28.48</v>
      </c>
      <c r="BF200" s="3">
        <v>28.7</v>
      </c>
      <c r="BG200" s="3">
        <v>28.48</v>
      </c>
      <c r="BH200" s="3">
        <v>28.7</v>
      </c>
      <c r="BI200" s="3">
        <v>3898</v>
      </c>
    </row>
    <row r="201" spans="1:61" ht="13" x14ac:dyDescent="0.15">
      <c r="A201" s="3">
        <v>42419</v>
      </c>
      <c r="B201" s="3">
        <v>1916.74</v>
      </c>
      <c r="C201" s="3">
        <v>1918.78</v>
      </c>
      <c r="D201" s="3">
        <v>1902.17</v>
      </c>
      <c r="E201" s="3">
        <v>1917.78</v>
      </c>
      <c r="F201" s="3">
        <v>862747420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3">
        <v>72.08</v>
      </c>
      <c r="M201" s="3">
        <v>72.760000000000005</v>
      </c>
      <c r="N201" s="3">
        <v>71.650000000000006</v>
      </c>
      <c r="O201" s="3">
        <v>72.739999999999995</v>
      </c>
      <c r="P201" s="3">
        <v>7591642</v>
      </c>
      <c r="Q201" s="3">
        <v>50.62</v>
      </c>
      <c r="R201" s="3">
        <v>50.94</v>
      </c>
      <c r="S201" s="3">
        <v>50.34</v>
      </c>
      <c r="T201" s="3">
        <v>50.84</v>
      </c>
      <c r="U201" s="3">
        <v>9794968</v>
      </c>
      <c r="V201" s="3">
        <v>56.18</v>
      </c>
      <c r="W201" s="3">
        <v>56.83</v>
      </c>
      <c r="X201" s="3">
        <v>55.7</v>
      </c>
      <c r="Y201" s="3">
        <v>56.81</v>
      </c>
      <c r="Z201" s="3">
        <v>25128752</v>
      </c>
      <c r="AA201" s="3">
        <v>16.899999999999999</v>
      </c>
      <c r="AB201" s="3">
        <v>17.11</v>
      </c>
      <c r="AC201" s="3">
        <v>16.88</v>
      </c>
      <c r="AD201" s="3">
        <v>17.04</v>
      </c>
      <c r="AE201" s="3">
        <v>74315121</v>
      </c>
      <c r="AF201" s="3">
        <v>65.680000000000007</v>
      </c>
      <c r="AG201" s="3">
        <v>66.12</v>
      </c>
      <c r="AH201" s="3">
        <v>65.52</v>
      </c>
      <c r="AI201" s="3">
        <v>65.930000000000007</v>
      </c>
      <c r="AJ201" s="3">
        <v>8875405</v>
      </c>
      <c r="AK201" s="3">
        <v>50.98</v>
      </c>
      <c r="AL201" s="3">
        <v>51.38</v>
      </c>
      <c r="AM201" s="3">
        <v>50.89</v>
      </c>
      <c r="AN201" s="3">
        <v>51.32</v>
      </c>
      <c r="AO201" s="3">
        <v>12613634</v>
      </c>
      <c r="AP201" s="3">
        <v>41.01</v>
      </c>
      <c r="AQ201" s="3">
        <v>41.04</v>
      </c>
      <c r="AR201" s="3">
        <v>40.58</v>
      </c>
      <c r="AS201" s="3">
        <v>40.75</v>
      </c>
      <c r="AT201" s="3">
        <v>5930473</v>
      </c>
      <c r="AU201" s="3">
        <v>40.479999999999997</v>
      </c>
      <c r="AV201" s="3">
        <v>40.78</v>
      </c>
      <c r="AW201" s="3">
        <v>40.380000000000003</v>
      </c>
      <c r="AX201" s="3">
        <v>40.659999999999997</v>
      </c>
      <c r="AY201" s="3">
        <v>8579509</v>
      </c>
      <c r="AZ201" s="3">
        <v>46.31</v>
      </c>
      <c r="BA201" s="3">
        <v>46.44</v>
      </c>
      <c r="BB201" s="3">
        <v>45.9</v>
      </c>
      <c r="BC201" s="3">
        <v>46.2</v>
      </c>
      <c r="BD201" s="3">
        <v>17020139</v>
      </c>
      <c r="BE201" s="3">
        <v>28.66</v>
      </c>
      <c r="BF201" s="3">
        <v>28.66</v>
      </c>
      <c r="BG201" s="3">
        <v>28.66</v>
      </c>
      <c r="BH201" s="3">
        <v>28.66</v>
      </c>
      <c r="BI201" s="3">
        <v>200</v>
      </c>
    </row>
    <row r="202" spans="1:61" ht="13" x14ac:dyDescent="0.15">
      <c r="A202" s="3">
        <v>42422</v>
      </c>
      <c r="B202" s="3">
        <v>1924.44</v>
      </c>
      <c r="C202" s="3">
        <v>1946.7</v>
      </c>
      <c r="D202" s="3">
        <v>1924.44</v>
      </c>
      <c r="E202" s="3">
        <v>1945.5</v>
      </c>
      <c r="F202" s="3">
        <v>663513182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3">
        <v>73.39</v>
      </c>
      <c r="M202" s="3">
        <v>74.260000000000005</v>
      </c>
      <c r="N202" s="3">
        <v>73.33</v>
      </c>
      <c r="O202" s="3">
        <v>74.150000000000006</v>
      </c>
      <c r="P202" s="3">
        <v>5644952</v>
      </c>
      <c r="Q202" s="3">
        <v>51.13</v>
      </c>
      <c r="R202" s="3">
        <v>51.24</v>
      </c>
      <c r="S202" s="3">
        <v>50.95</v>
      </c>
      <c r="T202" s="3">
        <v>51.09</v>
      </c>
      <c r="U202" s="3">
        <v>9151997</v>
      </c>
      <c r="V202" s="3">
        <v>57.89</v>
      </c>
      <c r="W202" s="3">
        <v>58.52</v>
      </c>
      <c r="X202" s="3">
        <v>57.64</v>
      </c>
      <c r="Y202" s="3">
        <v>58.26</v>
      </c>
      <c r="Z202" s="3">
        <v>24708265</v>
      </c>
      <c r="AA202" s="3">
        <v>17.239999999999998</v>
      </c>
      <c r="AB202" s="3">
        <v>17.37</v>
      </c>
      <c r="AC202" s="3">
        <v>17.239999999999998</v>
      </c>
      <c r="AD202" s="3">
        <v>17.3</v>
      </c>
      <c r="AE202" s="3">
        <v>42573679</v>
      </c>
      <c r="AF202" s="3">
        <v>66.47</v>
      </c>
      <c r="AG202" s="3">
        <v>66.88</v>
      </c>
      <c r="AH202" s="3">
        <v>66.36</v>
      </c>
      <c r="AI202" s="3">
        <v>66.87</v>
      </c>
      <c r="AJ202" s="3">
        <v>7515726</v>
      </c>
      <c r="AK202" s="3">
        <v>51.8</v>
      </c>
      <c r="AL202" s="3">
        <v>52.44</v>
      </c>
      <c r="AM202" s="3">
        <v>51.8</v>
      </c>
      <c r="AN202" s="3">
        <v>52.19</v>
      </c>
      <c r="AO202" s="3">
        <v>12143817</v>
      </c>
      <c r="AP202" s="3">
        <v>41.21</v>
      </c>
      <c r="AQ202" s="3">
        <v>41.67</v>
      </c>
      <c r="AR202" s="3">
        <v>41.15</v>
      </c>
      <c r="AS202" s="3">
        <v>41.53</v>
      </c>
      <c r="AT202" s="3">
        <v>5360470</v>
      </c>
      <c r="AU202" s="3">
        <v>41.03</v>
      </c>
      <c r="AV202" s="3">
        <v>41.26</v>
      </c>
      <c r="AW202" s="3">
        <v>40.97</v>
      </c>
      <c r="AX202" s="3">
        <v>41.2</v>
      </c>
      <c r="AY202" s="3">
        <v>6590650</v>
      </c>
      <c r="AZ202" s="3">
        <v>46.45</v>
      </c>
      <c r="BA202" s="3">
        <v>46.74</v>
      </c>
      <c r="BB202" s="3">
        <v>46.19</v>
      </c>
      <c r="BC202" s="3">
        <v>46.74</v>
      </c>
      <c r="BD202" s="3">
        <v>12436748</v>
      </c>
      <c r="BE202" s="3">
        <v>29.1</v>
      </c>
      <c r="BF202" s="3">
        <v>29.16</v>
      </c>
      <c r="BG202" s="3">
        <v>29.08</v>
      </c>
      <c r="BH202" s="3">
        <v>29.1</v>
      </c>
      <c r="BI202" s="3">
        <v>827</v>
      </c>
    </row>
    <row r="203" spans="1:61" ht="13" x14ac:dyDescent="0.15">
      <c r="A203" s="3">
        <v>42423</v>
      </c>
      <c r="B203" s="3">
        <v>1942.38</v>
      </c>
      <c r="C203" s="3">
        <v>1942.38</v>
      </c>
      <c r="D203" s="3">
        <v>1919.44</v>
      </c>
      <c r="E203" s="3">
        <v>1921.27</v>
      </c>
      <c r="F203" s="3">
        <v>626779261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3">
        <v>73.94</v>
      </c>
      <c r="M203" s="3">
        <v>74.459999999999994</v>
      </c>
      <c r="N203" s="3">
        <v>73.540000000000006</v>
      </c>
      <c r="O203" s="3">
        <v>73.739999999999995</v>
      </c>
      <c r="P203" s="3">
        <v>6456665</v>
      </c>
      <c r="Q203" s="3">
        <v>50.99</v>
      </c>
      <c r="R203" s="3">
        <v>51.18</v>
      </c>
      <c r="S203" s="3">
        <v>50.87</v>
      </c>
      <c r="T203" s="3">
        <v>51.08</v>
      </c>
      <c r="U203" s="3">
        <v>9986502</v>
      </c>
      <c r="V203" s="3">
        <v>57.7</v>
      </c>
      <c r="W203" s="3">
        <v>57.98</v>
      </c>
      <c r="X203" s="3">
        <v>56.17</v>
      </c>
      <c r="Y203" s="3">
        <v>56.27</v>
      </c>
      <c r="Z203" s="3">
        <v>21455029</v>
      </c>
      <c r="AA203" s="3">
        <v>17.22</v>
      </c>
      <c r="AB203" s="3">
        <v>17.239999999999998</v>
      </c>
      <c r="AC203" s="3">
        <v>16.96</v>
      </c>
      <c r="AD203" s="3">
        <v>17</v>
      </c>
      <c r="AE203" s="3">
        <v>58126171</v>
      </c>
      <c r="AF203" s="3">
        <v>66.69</v>
      </c>
      <c r="AG203" s="3">
        <v>67.040000000000006</v>
      </c>
      <c r="AH203" s="3">
        <v>66.3</v>
      </c>
      <c r="AI203" s="3">
        <v>66.37</v>
      </c>
      <c r="AJ203" s="3">
        <v>8211934</v>
      </c>
      <c r="AK203" s="3">
        <v>51.97</v>
      </c>
      <c r="AL203" s="3">
        <v>52.16</v>
      </c>
      <c r="AM203" s="3">
        <v>51.56</v>
      </c>
      <c r="AN203" s="3">
        <v>51.67</v>
      </c>
      <c r="AO203" s="3">
        <v>9727887</v>
      </c>
      <c r="AP203" s="3">
        <v>41.2</v>
      </c>
      <c r="AQ203" s="3">
        <v>41.22</v>
      </c>
      <c r="AR203" s="3">
        <v>40.44</v>
      </c>
      <c r="AS203" s="3">
        <v>40.51</v>
      </c>
      <c r="AT203" s="3">
        <v>6533736</v>
      </c>
      <c r="AU203" s="3">
        <v>41.03</v>
      </c>
      <c r="AV203" s="3">
        <v>41.07</v>
      </c>
      <c r="AW203" s="3">
        <v>40.47</v>
      </c>
      <c r="AX203" s="3">
        <v>40.549999999999997</v>
      </c>
      <c r="AY203" s="3">
        <v>8189484</v>
      </c>
      <c r="AZ203" s="3">
        <v>46.59</v>
      </c>
      <c r="BA203" s="3">
        <v>46.89</v>
      </c>
      <c r="BB203" s="3">
        <v>46.38</v>
      </c>
      <c r="BC203" s="3">
        <v>46.78</v>
      </c>
      <c r="BD203" s="3">
        <v>11788834</v>
      </c>
      <c r="BE203" s="3">
        <v>28.95</v>
      </c>
      <c r="BF203" s="3">
        <v>28.95</v>
      </c>
      <c r="BG203" s="3">
        <v>28.95</v>
      </c>
      <c r="BH203" s="3">
        <v>28.95</v>
      </c>
      <c r="BI203" s="3">
        <v>328</v>
      </c>
    </row>
    <row r="204" spans="1:61" ht="13" x14ac:dyDescent="0.15">
      <c r="A204" s="3">
        <v>42424</v>
      </c>
      <c r="B204" s="3">
        <v>1917.56</v>
      </c>
      <c r="C204" s="3">
        <v>1932.08</v>
      </c>
      <c r="D204" s="3">
        <v>1891</v>
      </c>
      <c r="E204" s="3">
        <v>1929.8</v>
      </c>
      <c r="F204" s="3">
        <v>662291401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3">
        <v>73.13</v>
      </c>
      <c r="M204" s="3">
        <v>74.290000000000006</v>
      </c>
      <c r="N204" s="3">
        <v>72.31</v>
      </c>
      <c r="O204" s="3">
        <v>74.17</v>
      </c>
      <c r="P204" s="3">
        <v>10821583</v>
      </c>
      <c r="Q204" s="3">
        <v>50.84</v>
      </c>
      <c r="R204" s="3">
        <v>51.3</v>
      </c>
      <c r="S204" s="3">
        <v>50.58</v>
      </c>
      <c r="T204" s="3">
        <v>51.24</v>
      </c>
      <c r="U204" s="3">
        <v>13271668</v>
      </c>
      <c r="V204" s="3">
        <v>55.22</v>
      </c>
      <c r="W204" s="3">
        <v>56.97</v>
      </c>
      <c r="X204" s="3">
        <v>55.07</v>
      </c>
      <c r="Y204" s="3">
        <v>56.84</v>
      </c>
      <c r="Z204" s="3">
        <v>25279831</v>
      </c>
      <c r="AA204" s="3">
        <v>16.75</v>
      </c>
      <c r="AB204" s="3">
        <v>17</v>
      </c>
      <c r="AC204" s="3">
        <v>16.61</v>
      </c>
      <c r="AD204" s="3">
        <v>16.96</v>
      </c>
      <c r="AE204" s="3">
        <v>72317654</v>
      </c>
      <c r="AF204" s="3">
        <v>65.989999999999995</v>
      </c>
      <c r="AG204" s="3">
        <v>66.680000000000007</v>
      </c>
      <c r="AH204" s="3">
        <v>65.290000000000006</v>
      </c>
      <c r="AI204" s="3">
        <v>66.59</v>
      </c>
      <c r="AJ204" s="3">
        <v>11118606</v>
      </c>
      <c r="AK204" s="3">
        <v>51.06</v>
      </c>
      <c r="AL204" s="3">
        <v>51.83</v>
      </c>
      <c r="AM204" s="3">
        <v>50.74</v>
      </c>
      <c r="AN204" s="3">
        <v>51.7</v>
      </c>
      <c r="AO204" s="3">
        <v>17347268</v>
      </c>
      <c r="AP204" s="3">
        <v>40.1</v>
      </c>
      <c r="AQ204" s="3">
        <v>40.98</v>
      </c>
      <c r="AR204" s="3">
        <v>39.909999999999997</v>
      </c>
      <c r="AS204" s="3">
        <v>40.93</v>
      </c>
      <c r="AT204" s="3">
        <v>10142443</v>
      </c>
      <c r="AU204" s="3">
        <v>40.11</v>
      </c>
      <c r="AV204" s="3">
        <v>40.94</v>
      </c>
      <c r="AW204" s="3">
        <v>39.9</v>
      </c>
      <c r="AX204" s="3">
        <v>40.86</v>
      </c>
      <c r="AY204" s="3">
        <v>10144362</v>
      </c>
      <c r="AZ204" s="3">
        <v>46.78</v>
      </c>
      <c r="BA204" s="3">
        <v>47.09</v>
      </c>
      <c r="BB204" s="3">
        <v>46.58</v>
      </c>
      <c r="BC204" s="3">
        <v>47</v>
      </c>
      <c r="BD204" s="3">
        <v>16750863</v>
      </c>
      <c r="BE204" s="3">
        <v>28.92</v>
      </c>
      <c r="BF204" s="3">
        <v>28.97</v>
      </c>
      <c r="BG204" s="3">
        <v>28.91</v>
      </c>
      <c r="BH204" s="3">
        <v>28.97</v>
      </c>
      <c r="BI204" s="3">
        <v>751</v>
      </c>
    </row>
    <row r="205" spans="1:61" ht="13" x14ac:dyDescent="0.15">
      <c r="A205" s="3">
        <v>42425</v>
      </c>
      <c r="B205" s="3">
        <v>1931.87</v>
      </c>
      <c r="C205" s="3">
        <v>1951.83</v>
      </c>
      <c r="D205" s="3">
        <v>1925.41</v>
      </c>
      <c r="E205" s="3">
        <v>1951.7</v>
      </c>
      <c r="F205" s="3">
        <v>590047710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3">
        <v>74.25</v>
      </c>
      <c r="M205" s="3">
        <v>74.930000000000007</v>
      </c>
      <c r="N205" s="3">
        <v>73.83</v>
      </c>
      <c r="O205" s="3">
        <v>74.91</v>
      </c>
      <c r="P205" s="3">
        <v>5548163</v>
      </c>
      <c r="Q205" s="3">
        <v>51.37</v>
      </c>
      <c r="R205" s="3">
        <v>51.85</v>
      </c>
      <c r="S205" s="3">
        <v>51.25</v>
      </c>
      <c r="T205" s="3">
        <v>51.82</v>
      </c>
      <c r="U205" s="3">
        <v>9511955</v>
      </c>
      <c r="V205" s="3">
        <v>56.67</v>
      </c>
      <c r="W205" s="3">
        <v>57.04</v>
      </c>
      <c r="X205" s="3">
        <v>55.78</v>
      </c>
      <c r="Y205" s="3">
        <v>56.89</v>
      </c>
      <c r="Z205" s="3">
        <v>18588937</v>
      </c>
      <c r="AA205" s="3">
        <v>16.96</v>
      </c>
      <c r="AB205" s="3">
        <v>17.2</v>
      </c>
      <c r="AC205" s="3">
        <v>16.96</v>
      </c>
      <c r="AD205" s="3">
        <v>17.190000000000001</v>
      </c>
      <c r="AE205" s="3">
        <v>71254109</v>
      </c>
      <c r="AF205" s="3">
        <v>66.89</v>
      </c>
      <c r="AG205" s="3">
        <v>67.459999999999994</v>
      </c>
      <c r="AH205" s="3">
        <v>66.56</v>
      </c>
      <c r="AI205" s="3">
        <v>67.42</v>
      </c>
      <c r="AJ205" s="3">
        <v>9496414</v>
      </c>
      <c r="AK205" s="3">
        <v>51.85</v>
      </c>
      <c r="AL205" s="3">
        <v>52.4</v>
      </c>
      <c r="AM205" s="3">
        <v>51.69</v>
      </c>
      <c r="AN205" s="3">
        <v>52.38</v>
      </c>
      <c r="AO205" s="3">
        <v>9312686</v>
      </c>
      <c r="AP205" s="3">
        <v>41.03</v>
      </c>
      <c r="AQ205" s="3">
        <v>41.49</v>
      </c>
      <c r="AR205" s="3">
        <v>40.67</v>
      </c>
      <c r="AS205" s="3">
        <v>41.46</v>
      </c>
      <c r="AT205" s="3">
        <v>5135660</v>
      </c>
      <c r="AU205" s="3">
        <v>41</v>
      </c>
      <c r="AV205" s="3">
        <v>41.39</v>
      </c>
      <c r="AW205" s="3">
        <v>40.68</v>
      </c>
      <c r="AX205" s="3">
        <v>41.37</v>
      </c>
      <c r="AY205" s="3">
        <v>9403419</v>
      </c>
      <c r="AZ205" s="3">
        <v>47.15</v>
      </c>
      <c r="BA205" s="3">
        <v>47.48</v>
      </c>
      <c r="BB205" s="3">
        <v>47.01</v>
      </c>
      <c r="BC205" s="3">
        <v>47.48</v>
      </c>
      <c r="BD205" s="3">
        <v>12161923</v>
      </c>
      <c r="BE205" s="3">
        <v>29.16</v>
      </c>
      <c r="BF205" s="3">
        <v>29.16</v>
      </c>
      <c r="BG205" s="3">
        <v>29.16</v>
      </c>
      <c r="BH205" s="3">
        <v>29.16</v>
      </c>
      <c r="BI205" s="3">
        <v>125</v>
      </c>
    </row>
    <row r="206" spans="1:61" ht="13" x14ac:dyDescent="0.15">
      <c r="A206" s="3">
        <v>42426</v>
      </c>
      <c r="B206" s="3">
        <v>1954.95</v>
      </c>
      <c r="C206" s="3">
        <v>1962.96</v>
      </c>
      <c r="D206" s="3">
        <v>1945.78</v>
      </c>
      <c r="E206" s="3">
        <v>1948.05</v>
      </c>
      <c r="F206" s="3">
        <v>669969843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3">
        <v>75.33</v>
      </c>
      <c r="M206" s="3">
        <v>75.39</v>
      </c>
      <c r="N206" s="3">
        <v>74.680000000000007</v>
      </c>
      <c r="O206" s="3">
        <v>74.83</v>
      </c>
      <c r="P206" s="3">
        <v>6966311</v>
      </c>
      <c r="Q206" s="3">
        <v>51.96</v>
      </c>
      <c r="R206" s="3">
        <v>51.96</v>
      </c>
      <c r="S206" s="3">
        <v>50.99</v>
      </c>
      <c r="T206" s="3">
        <v>51.09</v>
      </c>
      <c r="U206" s="3">
        <v>28143926</v>
      </c>
      <c r="V206" s="3">
        <v>57.84</v>
      </c>
      <c r="W206" s="3">
        <v>58</v>
      </c>
      <c r="X206" s="3">
        <v>57.04</v>
      </c>
      <c r="Y206" s="3">
        <v>57.23</v>
      </c>
      <c r="Z206" s="3">
        <v>21155074</v>
      </c>
      <c r="AA206" s="3">
        <v>17.3</v>
      </c>
      <c r="AB206" s="3">
        <v>17.47</v>
      </c>
      <c r="AC206" s="3">
        <v>17.22</v>
      </c>
      <c r="AD206" s="3">
        <v>17.309999999999999</v>
      </c>
      <c r="AE206" s="3">
        <v>81312974</v>
      </c>
      <c r="AF206" s="3">
        <v>67.73</v>
      </c>
      <c r="AG206" s="3">
        <v>68</v>
      </c>
      <c r="AH206" s="3">
        <v>67.239999999999995</v>
      </c>
      <c r="AI206" s="3">
        <v>67.3</v>
      </c>
      <c r="AJ206" s="3">
        <v>10365818</v>
      </c>
      <c r="AK206" s="3">
        <v>52.51</v>
      </c>
      <c r="AL206" s="3">
        <v>52.85</v>
      </c>
      <c r="AM206" s="3">
        <v>52.44</v>
      </c>
      <c r="AN206" s="3">
        <v>52.45</v>
      </c>
      <c r="AO206" s="3">
        <v>8312343</v>
      </c>
      <c r="AP206" s="3">
        <v>41.8</v>
      </c>
      <c r="AQ206" s="3">
        <v>42.29</v>
      </c>
      <c r="AR206" s="3">
        <v>41.8</v>
      </c>
      <c r="AS206" s="3">
        <v>42.06</v>
      </c>
      <c r="AT206" s="3">
        <v>6753080</v>
      </c>
      <c r="AU206" s="3">
        <v>41.6</v>
      </c>
      <c r="AV206" s="3">
        <v>41.64</v>
      </c>
      <c r="AW206" s="3">
        <v>41.17</v>
      </c>
      <c r="AX206" s="3">
        <v>41.26</v>
      </c>
      <c r="AY206" s="3">
        <v>9772945</v>
      </c>
      <c r="AZ206" s="3">
        <v>47.21</v>
      </c>
      <c r="BA206" s="3">
        <v>47.32</v>
      </c>
      <c r="BB206" s="3">
        <v>46.16</v>
      </c>
      <c r="BC206" s="3">
        <v>46.17</v>
      </c>
      <c r="BD206" s="3">
        <v>32953633</v>
      </c>
      <c r="BE206" s="3">
        <v>29.5</v>
      </c>
      <c r="BF206" s="3">
        <v>29.51</v>
      </c>
      <c r="BG206" s="3">
        <v>29.37</v>
      </c>
      <c r="BH206" s="3">
        <v>29.37</v>
      </c>
      <c r="BI206" s="3">
        <v>2504</v>
      </c>
    </row>
    <row r="207" spans="1:61" ht="13" x14ac:dyDescent="0.15">
      <c r="A207" s="3">
        <v>42429</v>
      </c>
      <c r="B207" s="3">
        <v>1947.13</v>
      </c>
      <c r="C207" s="3">
        <v>1958.27</v>
      </c>
      <c r="D207" s="3">
        <v>1931.81</v>
      </c>
      <c r="E207" s="3">
        <v>1932.23</v>
      </c>
      <c r="F207" s="3">
        <v>849487499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3">
        <v>74.849999999999994</v>
      </c>
      <c r="M207" s="3">
        <v>75.430000000000007</v>
      </c>
      <c r="N207" s="3">
        <v>74.44</v>
      </c>
      <c r="O207" s="3">
        <v>74.44</v>
      </c>
      <c r="P207" s="3">
        <v>8742790</v>
      </c>
      <c r="Q207" s="3">
        <v>51.06</v>
      </c>
      <c r="R207" s="3">
        <v>51.46</v>
      </c>
      <c r="S207" s="3">
        <v>50.91</v>
      </c>
      <c r="T207" s="3">
        <v>50.92</v>
      </c>
      <c r="U207" s="3">
        <v>13596765</v>
      </c>
      <c r="V207" s="3">
        <v>57.46</v>
      </c>
      <c r="W207" s="3">
        <v>57.62</v>
      </c>
      <c r="X207" s="3">
        <v>56.53</v>
      </c>
      <c r="Y207" s="3">
        <v>56.58</v>
      </c>
      <c r="Z207" s="3">
        <v>22983290</v>
      </c>
      <c r="AA207" s="3">
        <v>17.3</v>
      </c>
      <c r="AB207" s="3">
        <v>17.39</v>
      </c>
      <c r="AC207" s="3">
        <v>17.12</v>
      </c>
      <c r="AD207" s="3">
        <v>17.13</v>
      </c>
      <c r="AE207" s="3">
        <v>57551613</v>
      </c>
      <c r="AF207" s="3">
        <v>67.099999999999994</v>
      </c>
      <c r="AG207" s="3">
        <v>67.27</v>
      </c>
      <c r="AH207" s="3">
        <v>66.2</v>
      </c>
      <c r="AI207" s="3">
        <v>66.23</v>
      </c>
      <c r="AJ207" s="3">
        <v>11091742</v>
      </c>
      <c r="AK207" s="3">
        <v>52.45</v>
      </c>
      <c r="AL207" s="3">
        <v>52.72</v>
      </c>
      <c r="AM207" s="3">
        <v>52.1</v>
      </c>
      <c r="AN207" s="3">
        <v>52.12</v>
      </c>
      <c r="AO207" s="3">
        <v>13823027</v>
      </c>
      <c r="AP207" s="3">
        <v>42.14</v>
      </c>
      <c r="AQ207" s="3">
        <v>42.56</v>
      </c>
      <c r="AR207" s="3">
        <v>41.78</v>
      </c>
      <c r="AS207" s="3">
        <v>41.8</v>
      </c>
      <c r="AT207" s="3">
        <v>6838992</v>
      </c>
      <c r="AU207" s="3">
        <v>41.22</v>
      </c>
      <c r="AV207" s="3">
        <v>41.61</v>
      </c>
      <c r="AW207" s="3">
        <v>40.97</v>
      </c>
      <c r="AX207" s="3">
        <v>40.97</v>
      </c>
      <c r="AY207" s="3">
        <v>13601895</v>
      </c>
      <c r="AZ207" s="3">
        <v>46.1</v>
      </c>
      <c r="BA207" s="3">
        <v>46.74</v>
      </c>
      <c r="BB207" s="3">
        <v>46.06</v>
      </c>
      <c r="BC207" s="3">
        <v>46.3</v>
      </c>
      <c r="BD207" s="3">
        <v>20137793</v>
      </c>
      <c r="BE207" s="3">
        <v>29.63</v>
      </c>
      <c r="BF207" s="3">
        <v>29.65</v>
      </c>
      <c r="BG207" s="3">
        <v>29.33</v>
      </c>
      <c r="BH207" s="3">
        <v>29.33</v>
      </c>
      <c r="BI207" s="3">
        <v>732</v>
      </c>
    </row>
    <row r="208" spans="1:61" ht="13" x14ac:dyDescent="0.15">
      <c r="A208" s="3">
        <v>42430</v>
      </c>
      <c r="B208" s="3">
        <v>1937.09</v>
      </c>
      <c r="C208" s="3">
        <v>1978.35</v>
      </c>
      <c r="D208" s="3">
        <v>1937.09</v>
      </c>
      <c r="E208" s="3">
        <v>1978.35</v>
      </c>
      <c r="F208" s="3">
        <v>742687074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3">
        <v>75.09</v>
      </c>
      <c r="M208" s="3">
        <v>76.47</v>
      </c>
      <c r="N208" s="3">
        <v>74.84</v>
      </c>
      <c r="O208" s="3">
        <v>76.41</v>
      </c>
      <c r="P208" s="3">
        <v>9345777</v>
      </c>
      <c r="Q208" s="3">
        <v>51.21</v>
      </c>
      <c r="R208" s="3">
        <v>51.5</v>
      </c>
      <c r="S208" s="3">
        <v>51.13</v>
      </c>
      <c r="T208" s="3">
        <v>51.41</v>
      </c>
      <c r="U208" s="3">
        <v>13169709</v>
      </c>
      <c r="V208" s="3">
        <v>56.98</v>
      </c>
      <c r="W208" s="3">
        <v>58.15</v>
      </c>
      <c r="X208" s="3">
        <v>56.4</v>
      </c>
      <c r="Y208" s="3">
        <v>58.06</v>
      </c>
      <c r="Z208" s="3">
        <v>23642993</v>
      </c>
      <c r="AA208" s="3">
        <v>17.25</v>
      </c>
      <c r="AB208" s="3">
        <v>17.739999999999998</v>
      </c>
      <c r="AC208" s="3">
        <v>17.25</v>
      </c>
      <c r="AD208" s="3">
        <v>17.7</v>
      </c>
      <c r="AE208" s="3">
        <v>81417470</v>
      </c>
      <c r="AF208" s="3">
        <v>66.599999999999994</v>
      </c>
      <c r="AG208" s="3">
        <v>67.67</v>
      </c>
      <c r="AH208" s="3">
        <v>66.16</v>
      </c>
      <c r="AI208" s="3">
        <v>67.650000000000006</v>
      </c>
      <c r="AJ208" s="3">
        <v>14549057</v>
      </c>
      <c r="AK208" s="3">
        <v>52.33</v>
      </c>
      <c r="AL208" s="3">
        <v>53.22</v>
      </c>
      <c r="AM208" s="3">
        <v>52.33</v>
      </c>
      <c r="AN208" s="3">
        <v>53.14</v>
      </c>
      <c r="AO208" s="3">
        <v>13424822</v>
      </c>
      <c r="AP208" s="3">
        <v>42.3</v>
      </c>
      <c r="AQ208" s="3">
        <v>42.98</v>
      </c>
      <c r="AR208" s="3">
        <v>42.03</v>
      </c>
      <c r="AS208" s="3">
        <v>42.87</v>
      </c>
      <c r="AT208" s="3">
        <v>12092542</v>
      </c>
      <c r="AU208" s="3">
        <v>41.32</v>
      </c>
      <c r="AV208" s="3">
        <v>42.19</v>
      </c>
      <c r="AW208" s="3">
        <v>41.26</v>
      </c>
      <c r="AX208" s="3">
        <v>42.19</v>
      </c>
      <c r="AY208" s="3">
        <v>12304420</v>
      </c>
      <c r="AZ208" s="3">
        <v>46.54</v>
      </c>
      <c r="BA208" s="3">
        <v>46.65</v>
      </c>
      <c r="BB208" s="3">
        <v>45.78</v>
      </c>
      <c r="BC208" s="3">
        <v>46.07</v>
      </c>
      <c r="BD208" s="3">
        <v>23641743</v>
      </c>
      <c r="BE208" s="3">
        <v>29.8</v>
      </c>
      <c r="BF208" s="3">
        <v>30.04</v>
      </c>
      <c r="BG208" s="3">
        <v>29.79</v>
      </c>
      <c r="BH208" s="3">
        <v>30.03</v>
      </c>
      <c r="BI208" s="3">
        <v>951</v>
      </c>
    </row>
    <row r="209" spans="1:61" ht="13" x14ac:dyDescent="0.15">
      <c r="A209" s="3">
        <v>42431</v>
      </c>
      <c r="B209" s="3">
        <v>1976.6</v>
      </c>
      <c r="C209" s="3">
        <v>1986.51</v>
      </c>
      <c r="D209" s="3">
        <v>1968.8</v>
      </c>
      <c r="E209" s="3">
        <v>1986.45</v>
      </c>
      <c r="F209" s="3">
        <v>680819457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3">
        <v>76.28</v>
      </c>
      <c r="M209" s="3">
        <v>76.42</v>
      </c>
      <c r="N209" s="3">
        <v>75.8</v>
      </c>
      <c r="O209" s="3">
        <v>76.34</v>
      </c>
      <c r="P209" s="3">
        <v>7637770</v>
      </c>
      <c r="Q209" s="3">
        <v>51.47</v>
      </c>
      <c r="R209" s="3">
        <v>51.56</v>
      </c>
      <c r="S209" s="3">
        <v>51.15</v>
      </c>
      <c r="T209" s="3">
        <v>51.56</v>
      </c>
      <c r="U209" s="3">
        <v>16157730</v>
      </c>
      <c r="V209" s="3">
        <v>57.7</v>
      </c>
      <c r="W209" s="3">
        <v>59.52</v>
      </c>
      <c r="X209" s="3">
        <v>57.42</v>
      </c>
      <c r="Y209" s="3">
        <v>59.48</v>
      </c>
      <c r="Z209" s="3">
        <v>26794967</v>
      </c>
      <c r="AA209" s="3">
        <v>17.72</v>
      </c>
      <c r="AB209" s="3">
        <v>17.91</v>
      </c>
      <c r="AC209" s="3">
        <v>17.690000000000001</v>
      </c>
      <c r="AD209" s="3">
        <v>17.899999999999999</v>
      </c>
      <c r="AE209" s="3">
        <v>73000508</v>
      </c>
      <c r="AF209" s="3">
        <v>67.489999999999995</v>
      </c>
      <c r="AG209" s="3">
        <v>67.78</v>
      </c>
      <c r="AH209" s="3">
        <v>67.349999999999994</v>
      </c>
      <c r="AI209" s="3">
        <v>67.760000000000005</v>
      </c>
      <c r="AJ209" s="3">
        <v>10923739</v>
      </c>
      <c r="AK209" s="3">
        <v>53</v>
      </c>
      <c r="AL209" s="3">
        <v>53.24</v>
      </c>
      <c r="AM209" s="3">
        <v>52.91</v>
      </c>
      <c r="AN209" s="3">
        <v>53.18</v>
      </c>
      <c r="AO209" s="3">
        <v>8877784</v>
      </c>
      <c r="AP209" s="3">
        <v>42.39</v>
      </c>
      <c r="AQ209" s="3">
        <v>42.79</v>
      </c>
      <c r="AR209" s="3">
        <v>42.26</v>
      </c>
      <c r="AS209" s="3">
        <v>42.7</v>
      </c>
      <c r="AT209" s="3">
        <v>9864349</v>
      </c>
      <c r="AU209" s="3">
        <v>42.04</v>
      </c>
      <c r="AV209" s="3">
        <v>42.31</v>
      </c>
      <c r="AW209" s="3">
        <v>41.97</v>
      </c>
      <c r="AX209" s="3">
        <v>42.31</v>
      </c>
      <c r="AY209" s="3">
        <v>8748244</v>
      </c>
      <c r="AZ209" s="3">
        <v>45.95</v>
      </c>
      <c r="BA209" s="3">
        <v>46.33</v>
      </c>
      <c r="BB209" s="3">
        <v>45.08</v>
      </c>
      <c r="BC209" s="3">
        <v>46.31</v>
      </c>
      <c r="BD209" s="3">
        <v>30224174</v>
      </c>
      <c r="BE209" s="3">
        <v>30.23</v>
      </c>
      <c r="BF209" s="3">
        <v>30.36</v>
      </c>
      <c r="BG209" s="3">
        <v>30.19</v>
      </c>
      <c r="BH209" s="3">
        <v>30.36</v>
      </c>
      <c r="BI209" s="3">
        <v>1305</v>
      </c>
    </row>
    <row r="210" spans="1:61" ht="13" x14ac:dyDescent="0.15">
      <c r="A210" s="3">
        <v>42432</v>
      </c>
      <c r="B210" s="3">
        <v>1985.6</v>
      </c>
      <c r="C210" s="3">
        <v>1993.69</v>
      </c>
      <c r="D210" s="3">
        <v>1977.37</v>
      </c>
      <c r="E210" s="3">
        <v>1993.4</v>
      </c>
      <c r="F210" s="3">
        <v>667829915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3">
        <v>76.209999999999994</v>
      </c>
      <c r="M210" s="3">
        <v>76.8</v>
      </c>
      <c r="N210" s="3">
        <v>76.010000000000005</v>
      </c>
      <c r="O210" s="3">
        <v>76.790000000000006</v>
      </c>
      <c r="P210" s="3">
        <v>9519500</v>
      </c>
      <c r="Q210" s="3">
        <v>51.35</v>
      </c>
      <c r="R210" s="3">
        <v>51.82</v>
      </c>
      <c r="S210" s="3">
        <v>51.17</v>
      </c>
      <c r="T210" s="3">
        <v>51.82</v>
      </c>
      <c r="U210" s="3">
        <v>10743936</v>
      </c>
      <c r="V210" s="3">
        <v>59.24</v>
      </c>
      <c r="W210" s="3">
        <v>60.49</v>
      </c>
      <c r="X210" s="3">
        <v>59.21</v>
      </c>
      <c r="Y210" s="3">
        <v>60.38</v>
      </c>
      <c r="Z210" s="3">
        <v>24395607</v>
      </c>
      <c r="AA210" s="3">
        <v>17.88</v>
      </c>
      <c r="AB210" s="3">
        <v>18.03</v>
      </c>
      <c r="AC210" s="3">
        <v>17.8</v>
      </c>
      <c r="AD210" s="3">
        <v>18.02</v>
      </c>
      <c r="AE210" s="3">
        <v>62261334</v>
      </c>
      <c r="AF210" s="3">
        <v>67.59</v>
      </c>
      <c r="AG210" s="3">
        <v>67.650000000000006</v>
      </c>
      <c r="AH210" s="3">
        <v>66.95</v>
      </c>
      <c r="AI210" s="3">
        <v>67.569999999999993</v>
      </c>
      <c r="AJ210" s="3">
        <v>10815045</v>
      </c>
      <c r="AK210" s="3">
        <v>53.15</v>
      </c>
      <c r="AL210" s="3">
        <v>53.61</v>
      </c>
      <c r="AM210" s="3">
        <v>53.06</v>
      </c>
      <c r="AN210" s="3">
        <v>53.56</v>
      </c>
      <c r="AO210" s="3">
        <v>9808973</v>
      </c>
      <c r="AP210" s="3">
        <v>42.61</v>
      </c>
      <c r="AQ210" s="3">
        <v>43.07</v>
      </c>
      <c r="AR210" s="3">
        <v>42.53</v>
      </c>
      <c r="AS210" s="3">
        <v>42.96</v>
      </c>
      <c r="AT210" s="3">
        <v>8605688</v>
      </c>
      <c r="AU210" s="3">
        <v>42.33</v>
      </c>
      <c r="AV210" s="3">
        <v>42.34</v>
      </c>
      <c r="AW210" s="3">
        <v>41.98</v>
      </c>
      <c r="AX210" s="3">
        <v>42.31</v>
      </c>
      <c r="AY210" s="3">
        <v>7883885</v>
      </c>
      <c r="AZ210" s="3">
        <v>46.38</v>
      </c>
      <c r="BA210" s="3">
        <v>46.59</v>
      </c>
      <c r="BB210" s="3">
        <v>45.76</v>
      </c>
      <c r="BC210" s="3">
        <v>46.59</v>
      </c>
      <c r="BD210" s="3">
        <v>21274288</v>
      </c>
      <c r="BE210" s="3">
        <v>30.36</v>
      </c>
      <c r="BF210" s="3">
        <v>30.42</v>
      </c>
      <c r="BG210" s="3">
        <v>30.36</v>
      </c>
      <c r="BH210" s="3">
        <v>30.4</v>
      </c>
      <c r="BI210" s="3">
        <v>1080</v>
      </c>
    </row>
    <row r="211" spans="1:61" ht="13" x14ac:dyDescent="0.15">
      <c r="A211" s="3">
        <v>42433</v>
      </c>
      <c r="B211" s="3">
        <v>1994.01</v>
      </c>
      <c r="C211" s="3">
        <v>2009.13</v>
      </c>
      <c r="D211" s="3">
        <v>1986.77</v>
      </c>
      <c r="E211" s="3">
        <v>1999.99</v>
      </c>
      <c r="F211" s="3">
        <v>782584654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3">
        <v>76.83</v>
      </c>
      <c r="M211" s="3">
        <v>77.05</v>
      </c>
      <c r="N211" s="3">
        <v>76.38</v>
      </c>
      <c r="O211" s="3">
        <v>76.72</v>
      </c>
      <c r="P211" s="3">
        <v>7746724</v>
      </c>
      <c r="Q211" s="3">
        <v>51.8</v>
      </c>
      <c r="R211" s="3">
        <v>52.17</v>
      </c>
      <c r="S211" s="3">
        <v>51.6</v>
      </c>
      <c r="T211" s="3">
        <v>52.04</v>
      </c>
      <c r="U211" s="3">
        <v>17384650</v>
      </c>
      <c r="V211" s="3">
        <v>60.72</v>
      </c>
      <c r="W211" s="3">
        <v>61.83</v>
      </c>
      <c r="X211" s="3">
        <v>60.07</v>
      </c>
      <c r="Y211" s="3">
        <v>60.96</v>
      </c>
      <c r="Z211" s="3">
        <v>30551608</v>
      </c>
      <c r="AA211" s="3">
        <v>18.11</v>
      </c>
      <c r="AB211" s="3">
        <v>18.18</v>
      </c>
      <c r="AC211" s="3">
        <v>17.95</v>
      </c>
      <c r="AD211" s="3">
        <v>18.09</v>
      </c>
      <c r="AE211" s="3">
        <v>57438887</v>
      </c>
      <c r="AF211" s="3">
        <v>67.569999999999993</v>
      </c>
      <c r="AG211" s="3">
        <v>67.84</v>
      </c>
      <c r="AH211" s="3">
        <v>67.099999999999994</v>
      </c>
      <c r="AI211" s="3">
        <v>67.41</v>
      </c>
      <c r="AJ211" s="3">
        <v>9855654</v>
      </c>
      <c r="AK211" s="3">
        <v>53.53</v>
      </c>
      <c r="AL211" s="3">
        <v>54.1</v>
      </c>
      <c r="AM211" s="3">
        <v>53.41</v>
      </c>
      <c r="AN211" s="3">
        <v>53.78</v>
      </c>
      <c r="AO211" s="3">
        <v>10006912</v>
      </c>
      <c r="AP211" s="3">
        <v>43.01</v>
      </c>
      <c r="AQ211" s="3">
        <v>43.74</v>
      </c>
      <c r="AR211" s="3">
        <v>42.87</v>
      </c>
      <c r="AS211" s="3">
        <v>43.46</v>
      </c>
      <c r="AT211" s="3">
        <v>9907754</v>
      </c>
      <c r="AU211" s="3">
        <v>42.32</v>
      </c>
      <c r="AV211" s="3">
        <v>42.63</v>
      </c>
      <c r="AW211" s="3">
        <v>42.15</v>
      </c>
      <c r="AX211" s="3">
        <v>42.42</v>
      </c>
      <c r="AY211" s="3">
        <v>7885913</v>
      </c>
      <c r="AZ211" s="3">
        <v>46.29</v>
      </c>
      <c r="BA211" s="3">
        <v>47.26</v>
      </c>
      <c r="BB211" s="3">
        <v>46.18</v>
      </c>
      <c r="BC211" s="3">
        <v>47.11</v>
      </c>
      <c r="BD211" s="3">
        <v>22128436</v>
      </c>
      <c r="BE211" s="3">
        <v>30.5</v>
      </c>
      <c r="BF211" s="3">
        <v>30.53</v>
      </c>
      <c r="BG211" s="3">
        <v>30.44</v>
      </c>
      <c r="BH211" s="3">
        <v>30.49</v>
      </c>
      <c r="BI211" s="3">
        <v>1703</v>
      </c>
    </row>
    <row r="212" spans="1:61" ht="13" x14ac:dyDescent="0.15">
      <c r="A212" s="3">
        <v>42436</v>
      </c>
      <c r="B212" s="3">
        <v>1996.11</v>
      </c>
      <c r="C212" s="3">
        <v>2006.12</v>
      </c>
      <c r="D212" s="3">
        <v>1989.38</v>
      </c>
      <c r="E212" s="3">
        <v>2001.76</v>
      </c>
      <c r="F212" s="3">
        <v>654455151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3">
        <v>76.319999999999993</v>
      </c>
      <c r="M212" s="3">
        <v>76.78</v>
      </c>
      <c r="N212" s="3">
        <v>75.94</v>
      </c>
      <c r="O212" s="3">
        <v>76.39</v>
      </c>
      <c r="P212" s="3">
        <v>7435489</v>
      </c>
      <c r="Q212" s="3">
        <v>51.82</v>
      </c>
      <c r="R212" s="3">
        <v>52</v>
      </c>
      <c r="S212" s="3">
        <v>51.63</v>
      </c>
      <c r="T212" s="3">
        <v>51.72</v>
      </c>
      <c r="U212" s="3">
        <v>14095858</v>
      </c>
      <c r="V212" s="3">
        <v>60.93</v>
      </c>
      <c r="W212" s="3">
        <v>62.46</v>
      </c>
      <c r="X212" s="3">
        <v>60.64</v>
      </c>
      <c r="Y212" s="3">
        <v>62.39</v>
      </c>
      <c r="Z212" s="3">
        <v>33360502</v>
      </c>
      <c r="AA212" s="3">
        <v>17.97</v>
      </c>
      <c r="AB212" s="3">
        <v>18.100000000000001</v>
      </c>
      <c r="AC212" s="3">
        <v>17.91</v>
      </c>
      <c r="AD212" s="3">
        <v>18.079999999999998</v>
      </c>
      <c r="AE212" s="3">
        <v>39196822</v>
      </c>
      <c r="AF212" s="3">
        <v>66.97</v>
      </c>
      <c r="AG212" s="3">
        <v>68.180000000000007</v>
      </c>
      <c r="AH212" s="3">
        <v>66.959999999999994</v>
      </c>
      <c r="AI212" s="3">
        <v>67.95</v>
      </c>
      <c r="AJ212" s="3">
        <v>11082434</v>
      </c>
      <c r="AK212" s="3">
        <v>53.5</v>
      </c>
      <c r="AL212" s="3">
        <v>53.96</v>
      </c>
      <c r="AM212" s="3">
        <v>53.42</v>
      </c>
      <c r="AN212" s="3">
        <v>53.94</v>
      </c>
      <c r="AO212" s="3">
        <v>11753981</v>
      </c>
      <c r="AP212" s="3">
        <v>43.48</v>
      </c>
      <c r="AQ212" s="3">
        <v>44.06</v>
      </c>
      <c r="AR212" s="3">
        <v>43.47</v>
      </c>
      <c r="AS212" s="3">
        <v>43.96</v>
      </c>
      <c r="AT212" s="3">
        <v>7884393</v>
      </c>
      <c r="AU212" s="3">
        <v>42.18</v>
      </c>
      <c r="AV212" s="3">
        <v>42.35</v>
      </c>
      <c r="AW212" s="3">
        <v>41.85</v>
      </c>
      <c r="AX212" s="3">
        <v>42.16</v>
      </c>
      <c r="AY212" s="3">
        <v>15813499</v>
      </c>
      <c r="AZ212" s="3">
        <v>47.03</v>
      </c>
      <c r="BA212" s="3">
        <v>47.47</v>
      </c>
      <c r="BB212" s="3">
        <v>46.88</v>
      </c>
      <c r="BC212" s="3">
        <v>47.37</v>
      </c>
      <c r="BD212" s="3">
        <v>18492787</v>
      </c>
      <c r="BE212" s="3">
        <v>30.61</v>
      </c>
      <c r="BF212" s="3">
        <v>30.63</v>
      </c>
      <c r="BG212" s="3">
        <v>30.47</v>
      </c>
      <c r="BH212" s="3">
        <v>30.47</v>
      </c>
      <c r="BI212" s="3">
        <v>1542</v>
      </c>
    </row>
    <row r="213" spans="1:61" ht="13" x14ac:dyDescent="0.15">
      <c r="A213" s="3">
        <v>42437</v>
      </c>
      <c r="B213" s="3">
        <v>1996.88</v>
      </c>
      <c r="C213" s="3">
        <v>1996.88</v>
      </c>
      <c r="D213" s="3">
        <v>1977.43</v>
      </c>
      <c r="E213" s="3">
        <v>1979.26</v>
      </c>
      <c r="F213" s="3">
        <v>699806748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3">
        <v>75.94</v>
      </c>
      <c r="M213" s="3">
        <v>76.5</v>
      </c>
      <c r="N213" s="3">
        <v>75.72</v>
      </c>
      <c r="O213" s="3">
        <v>75.790000000000006</v>
      </c>
      <c r="P213" s="3">
        <v>6340033</v>
      </c>
      <c r="Q213" s="3">
        <v>51.58</v>
      </c>
      <c r="R213" s="3">
        <v>52.15</v>
      </c>
      <c r="S213" s="3">
        <v>51.49</v>
      </c>
      <c r="T213" s="3">
        <v>51.87</v>
      </c>
      <c r="U213" s="3">
        <v>11554949</v>
      </c>
      <c r="V213" s="3">
        <v>61.88</v>
      </c>
      <c r="W213" s="3">
        <v>61.92</v>
      </c>
      <c r="X213" s="3">
        <v>59.67</v>
      </c>
      <c r="Y213" s="3">
        <v>59.77</v>
      </c>
      <c r="Z213" s="3">
        <v>29817592</v>
      </c>
      <c r="AA213" s="3">
        <v>17.920000000000002</v>
      </c>
      <c r="AB213" s="3">
        <v>18</v>
      </c>
      <c r="AC213" s="3">
        <v>17.77</v>
      </c>
      <c r="AD213" s="3">
        <v>17.79</v>
      </c>
      <c r="AE213" s="3">
        <v>76916759</v>
      </c>
      <c r="AF213" s="3">
        <v>67.55</v>
      </c>
      <c r="AG213" s="3">
        <v>67.77</v>
      </c>
      <c r="AH213" s="3">
        <v>67.03</v>
      </c>
      <c r="AI213" s="3">
        <v>67.12</v>
      </c>
      <c r="AJ213" s="3">
        <v>8204189</v>
      </c>
      <c r="AK213" s="3">
        <v>53.5</v>
      </c>
      <c r="AL213" s="3">
        <v>53.54</v>
      </c>
      <c r="AM213" s="3">
        <v>53.1</v>
      </c>
      <c r="AN213" s="3">
        <v>53.18</v>
      </c>
      <c r="AO213" s="3">
        <v>12241121</v>
      </c>
      <c r="AP213" s="3">
        <v>43.6</v>
      </c>
      <c r="AQ213" s="3">
        <v>43.61</v>
      </c>
      <c r="AR213" s="3">
        <v>42.85</v>
      </c>
      <c r="AS213" s="3">
        <v>43.1</v>
      </c>
      <c r="AT213" s="3">
        <v>6288850</v>
      </c>
      <c r="AU213" s="3">
        <v>41.91</v>
      </c>
      <c r="AV213" s="3">
        <v>42.25</v>
      </c>
      <c r="AW213" s="3">
        <v>41.75</v>
      </c>
      <c r="AX213" s="3">
        <v>41.9</v>
      </c>
      <c r="AY213" s="3">
        <v>11700533</v>
      </c>
      <c r="AZ213" s="3">
        <v>47.46</v>
      </c>
      <c r="BA213" s="3">
        <v>47.88</v>
      </c>
      <c r="BB213" s="3">
        <v>47.21</v>
      </c>
      <c r="BC213" s="3">
        <v>47.84</v>
      </c>
      <c r="BD213" s="3">
        <v>16374777</v>
      </c>
      <c r="BE213" s="3">
        <v>30.45</v>
      </c>
      <c r="BF213" s="3">
        <v>30.45</v>
      </c>
      <c r="BG213" s="3">
        <v>30.42</v>
      </c>
      <c r="BH213" s="3">
        <v>30.42</v>
      </c>
      <c r="BI213" s="3">
        <v>611</v>
      </c>
    </row>
    <row r="214" spans="1:61" ht="13" x14ac:dyDescent="0.15">
      <c r="A214" s="3">
        <v>42438</v>
      </c>
      <c r="B214" s="3">
        <v>1981.44</v>
      </c>
      <c r="C214" s="3">
        <v>1992.69</v>
      </c>
      <c r="D214" s="3">
        <v>1979.84</v>
      </c>
      <c r="E214" s="3">
        <v>1989.26</v>
      </c>
      <c r="F214" s="3">
        <v>608081877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3">
        <v>76.08</v>
      </c>
      <c r="M214" s="3">
        <v>76.14</v>
      </c>
      <c r="N214" s="3">
        <v>75.44</v>
      </c>
      <c r="O214" s="3">
        <v>75.94</v>
      </c>
      <c r="P214" s="3">
        <v>6744650</v>
      </c>
      <c r="Q214" s="3">
        <v>52.03</v>
      </c>
      <c r="R214" s="3">
        <v>52.33</v>
      </c>
      <c r="S214" s="3">
        <v>52.02</v>
      </c>
      <c r="T214" s="3">
        <v>52.26</v>
      </c>
      <c r="U214" s="3">
        <v>11307512</v>
      </c>
      <c r="V214" s="3">
        <v>60.58</v>
      </c>
      <c r="W214" s="3">
        <v>61.52</v>
      </c>
      <c r="X214" s="3">
        <v>59.84</v>
      </c>
      <c r="Y214" s="3">
        <v>60.74</v>
      </c>
      <c r="Z214" s="3">
        <v>25467590</v>
      </c>
      <c r="AA214" s="3">
        <v>17.86</v>
      </c>
      <c r="AB214" s="3">
        <v>17.91</v>
      </c>
      <c r="AC214" s="3">
        <v>17.75</v>
      </c>
      <c r="AD214" s="3">
        <v>17.82</v>
      </c>
      <c r="AE214" s="3">
        <v>48670604</v>
      </c>
      <c r="AF214" s="3">
        <v>67.3</v>
      </c>
      <c r="AG214" s="3">
        <v>67.53</v>
      </c>
      <c r="AH214" s="3">
        <v>66.78</v>
      </c>
      <c r="AI214" s="3">
        <v>67.239999999999995</v>
      </c>
      <c r="AJ214" s="3">
        <v>13032476</v>
      </c>
      <c r="AK214" s="3">
        <v>53.32</v>
      </c>
      <c r="AL214" s="3">
        <v>53.5</v>
      </c>
      <c r="AM214" s="3">
        <v>53.17</v>
      </c>
      <c r="AN214" s="3">
        <v>53.35</v>
      </c>
      <c r="AO214" s="3">
        <v>11060113</v>
      </c>
      <c r="AP214" s="3">
        <v>43.33</v>
      </c>
      <c r="AQ214" s="3">
        <v>43.58</v>
      </c>
      <c r="AR214" s="3">
        <v>43.07</v>
      </c>
      <c r="AS214" s="3">
        <v>43.37</v>
      </c>
      <c r="AT214" s="3">
        <v>5612808</v>
      </c>
      <c r="AU214" s="3">
        <v>41.96</v>
      </c>
      <c r="AV214" s="3">
        <v>42.27</v>
      </c>
      <c r="AW214" s="3">
        <v>41.96</v>
      </c>
      <c r="AX214" s="3">
        <v>42.26</v>
      </c>
      <c r="AY214" s="3">
        <v>12160586</v>
      </c>
      <c r="AZ214" s="3">
        <v>47.74</v>
      </c>
      <c r="BA214" s="3">
        <v>48.21</v>
      </c>
      <c r="BB214" s="3">
        <v>47.7</v>
      </c>
      <c r="BC214" s="3">
        <v>48.06</v>
      </c>
      <c r="BD214" s="3">
        <v>14256618</v>
      </c>
      <c r="BE214" s="3">
        <v>30.45</v>
      </c>
      <c r="BF214" s="3">
        <v>30.52</v>
      </c>
      <c r="BG214" s="3">
        <v>30.25</v>
      </c>
      <c r="BH214" s="3">
        <v>30.33</v>
      </c>
      <c r="BI214" s="3">
        <v>3688</v>
      </c>
    </row>
    <row r="215" spans="1:61" ht="13" x14ac:dyDescent="0.15">
      <c r="A215" s="3">
        <v>42439</v>
      </c>
      <c r="B215" s="3">
        <v>1990.97</v>
      </c>
      <c r="C215" s="3">
        <v>2005.08</v>
      </c>
      <c r="D215" s="3">
        <v>1969.25</v>
      </c>
      <c r="E215" s="3">
        <v>1989.57</v>
      </c>
      <c r="F215" s="3">
        <v>665444879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3">
        <v>76.3</v>
      </c>
      <c r="M215" s="3">
        <v>76.62</v>
      </c>
      <c r="N215" s="3">
        <v>75.14</v>
      </c>
      <c r="O215" s="3">
        <v>76.13</v>
      </c>
      <c r="P215" s="3">
        <v>8064863</v>
      </c>
      <c r="Q215" s="3">
        <v>52.45</v>
      </c>
      <c r="R215" s="3">
        <v>52.57</v>
      </c>
      <c r="S215" s="3">
        <v>51.83</v>
      </c>
      <c r="T215" s="3">
        <v>52.28</v>
      </c>
      <c r="U215" s="3">
        <v>13089841</v>
      </c>
      <c r="V215" s="3">
        <v>60.48</v>
      </c>
      <c r="W215" s="3">
        <v>60.86</v>
      </c>
      <c r="X215" s="3">
        <v>59.69</v>
      </c>
      <c r="Y215" s="3">
        <v>60.79</v>
      </c>
      <c r="Z215" s="3">
        <v>28773815</v>
      </c>
      <c r="AA215" s="3">
        <v>17.93</v>
      </c>
      <c r="AB215" s="3">
        <v>18.010000000000002</v>
      </c>
      <c r="AC215" s="3">
        <v>17.59</v>
      </c>
      <c r="AD215" s="3">
        <v>17.8</v>
      </c>
      <c r="AE215" s="3">
        <v>77348380</v>
      </c>
      <c r="AF215" s="3">
        <v>67.569999999999993</v>
      </c>
      <c r="AG215" s="3">
        <v>68.03</v>
      </c>
      <c r="AH215" s="3">
        <v>66.760000000000005</v>
      </c>
      <c r="AI215" s="3">
        <v>67.28</v>
      </c>
      <c r="AJ215" s="3">
        <v>11288361</v>
      </c>
      <c r="AK215" s="3">
        <v>53.47</v>
      </c>
      <c r="AL215" s="3">
        <v>53.71</v>
      </c>
      <c r="AM215" s="3">
        <v>52.82</v>
      </c>
      <c r="AN215" s="3">
        <v>53.27</v>
      </c>
      <c r="AO215" s="3">
        <v>12693338</v>
      </c>
      <c r="AP215" s="3">
        <v>43.48</v>
      </c>
      <c r="AQ215" s="3">
        <v>43.86</v>
      </c>
      <c r="AR215" s="3">
        <v>43.1</v>
      </c>
      <c r="AS215" s="3">
        <v>43.6</v>
      </c>
      <c r="AT215" s="3">
        <v>7579079</v>
      </c>
      <c r="AU215" s="3">
        <v>42.44</v>
      </c>
      <c r="AV215" s="3">
        <v>42.63</v>
      </c>
      <c r="AW215" s="3">
        <v>41.7</v>
      </c>
      <c r="AX215" s="3">
        <v>42.22</v>
      </c>
      <c r="AY215" s="3">
        <v>12938424</v>
      </c>
      <c r="AZ215" s="3">
        <v>48.04</v>
      </c>
      <c r="BA215" s="3">
        <v>48.26</v>
      </c>
      <c r="BB215" s="3">
        <v>47.64</v>
      </c>
      <c r="BC215" s="3">
        <v>48.1</v>
      </c>
      <c r="BD215" s="3">
        <v>19471354</v>
      </c>
      <c r="BE215" s="3">
        <v>30.65</v>
      </c>
      <c r="BF215" s="3">
        <v>30.65</v>
      </c>
      <c r="BG215" s="3">
        <v>30.19</v>
      </c>
      <c r="BH215" s="3">
        <v>30.19</v>
      </c>
      <c r="BI215" s="3">
        <v>1001</v>
      </c>
    </row>
    <row r="216" spans="1:61" ht="13" x14ac:dyDescent="0.15">
      <c r="A216" s="3">
        <v>42440</v>
      </c>
      <c r="B216" s="3">
        <v>1994.71</v>
      </c>
      <c r="C216" s="3">
        <v>2022.37</v>
      </c>
      <c r="D216" s="3">
        <v>1994.71</v>
      </c>
      <c r="E216" s="3">
        <v>2022.19</v>
      </c>
      <c r="F216" s="3">
        <v>641712853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3">
        <v>76.77</v>
      </c>
      <c r="M216" s="3">
        <v>77.3</v>
      </c>
      <c r="N216" s="3">
        <v>76.58</v>
      </c>
      <c r="O216" s="3">
        <v>77.3</v>
      </c>
      <c r="P216" s="3">
        <v>5693561</v>
      </c>
      <c r="Q216" s="3">
        <v>52.54</v>
      </c>
      <c r="R216" s="3">
        <v>52.65</v>
      </c>
      <c r="S216" s="3">
        <v>52.26</v>
      </c>
      <c r="T216" s="3">
        <v>52.45</v>
      </c>
      <c r="U216" s="3">
        <v>12880525</v>
      </c>
      <c r="V216" s="3">
        <v>61.59</v>
      </c>
      <c r="W216" s="3">
        <v>62.57</v>
      </c>
      <c r="X216" s="3">
        <v>61.52</v>
      </c>
      <c r="Y216" s="3">
        <v>62.36</v>
      </c>
      <c r="Z216" s="3">
        <v>24783649</v>
      </c>
      <c r="AA216" s="3">
        <v>17.98</v>
      </c>
      <c r="AB216" s="3">
        <v>18.29</v>
      </c>
      <c r="AC216" s="3">
        <v>17.98</v>
      </c>
      <c r="AD216" s="3">
        <v>18.260000000000002</v>
      </c>
      <c r="AE216" s="3">
        <v>64406350</v>
      </c>
      <c r="AF216" s="3">
        <v>67.709999999999994</v>
      </c>
      <c r="AG216" s="3">
        <v>68.599999999999994</v>
      </c>
      <c r="AH216" s="3">
        <v>67.66</v>
      </c>
      <c r="AI216" s="3">
        <v>68.59</v>
      </c>
      <c r="AJ216" s="3">
        <v>10618305</v>
      </c>
      <c r="AK216" s="3">
        <v>53.76</v>
      </c>
      <c r="AL216" s="3">
        <v>54.17</v>
      </c>
      <c r="AM216" s="3">
        <v>53.72</v>
      </c>
      <c r="AN216" s="3">
        <v>54.04</v>
      </c>
      <c r="AO216" s="3">
        <v>11059850</v>
      </c>
      <c r="AP216" s="3">
        <v>44.03</v>
      </c>
      <c r="AQ216" s="3">
        <v>44.52</v>
      </c>
      <c r="AR216" s="3">
        <v>44.03</v>
      </c>
      <c r="AS216" s="3">
        <v>44.4</v>
      </c>
      <c r="AT216" s="3">
        <v>5019959</v>
      </c>
      <c r="AU216" s="3">
        <v>42.64</v>
      </c>
      <c r="AV216" s="3">
        <v>42.88</v>
      </c>
      <c r="AW216" s="3">
        <v>42.54</v>
      </c>
      <c r="AX216" s="3">
        <v>42.87</v>
      </c>
      <c r="AY216" s="3">
        <v>8820147</v>
      </c>
      <c r="AZ216" s="3">
        <v>48.33</v>
      </c>
      <c r="BA216" s="3">
        <v>48.45</v>
      </c>
      <c r="BB216" s="3">
        <v>48.05</v>
      </c>
      <c r="BC216" s="3">
        <v>48.15</v>
      </c>
      <c r="BD216" s="3">
        <v>15695449</v>
      </c>
      <c r="BE216" s="3">
        <v>30.78</v>
      </c>
      <c r="BF216" s="3">
        <v>30.89</v>
      </c>
      <c r="BG216" s="3">
        <v>30.78</v>
      </c>
      <c r="BH216" s="3">
        <v>30.89</v>
      </c>
      <c r="BI216" s="3">
        <v>410</v>
      </c>
    </row>
    <row r="217" spans="1:61" ht="13" x14ac:dyDescent="0.15">
      <c r="A217" s="3">
        <v>42443</v>
      </c>
      <c r="B217" s="3">
        <v>2019.27</v>
      </c>
      <c r="C217" s="3">
        <v>2024.57</v>
      </c>
      <c r="D217" s="3">
        <v>2012.05</v>
      </c>
      <c r="E217" s="3">
        <v>2019.64</v>
      </c>
      <c r="F217" s="3">
        <v>546841030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3">
        <v>77.08</v>
      </c>
      <c r="M217" s="3">
        <v>77.81</v>
      </c>
      <c r="N217" s="3">
        <v>77.08</v>
      </c>
      <c r="O217" s="3">
        <v>77.59</v>
      </c>
      <c r="P217" s="3">
        <v>5500344</v>
      </c>
      <c r="Q217" s="3">
        <v>52.42</v>
      </c>
      <c r="R217" s="3">
        <v>52.54</v>
      </c>
      <c r="S217" s="3">
        <v>52.26</v>
      </c>
      <c r="T217" s="3">
        <v>52.42</v>
      </c>
      <c r="U217" s="3">
        <v>10645085</v>
      </c>
      <c r="V217" s="3">
        <v>61.58</v>
      </c>
      <c r="W217" s="3">
        <v>62.17</v>
      </c>
      <c r="X217" s="3">
        <v>61.34</v>
      </c>
      <c r="Y217" s="3">
        <v>61.95</v>
      </c>
      <c r="Z217" s="3">
        <v>21766057</v>
      </c>
      <c r="AA217" s="3">
        <v>18.21</v>
      </c>
      <c r="AB217" s="3">
        <v>18.25</v>
      </c>
      <c r="AC217" s="3">
        <v>18.09</v>
      </c>
      <c r="AD217" s="3">
        <v>18.21</v>
      </c>
      <c r="AE217" s="3">
        <v>44961727</v>
      </c>
      <c r="AF217" s="3">
        <v>68.34</v>
      </c>
      <c r="AG217" s="3">
        <v>68.569999999999993</v>
      </c>
      <c r="AH217" s="3">
        <v>68.13</v>
      </c>
      <c r="AI217" s="3">
        <v>68.3</v>
      </c>
      <c r="AJ217" s="3">
        <v>6140946</v>
      </c>
      <c r="AK217" s="3">
        <v>53.84</v>
      </c>
      <c r="AL217" s="3">
        <v>54.23</v>
      </c>
      <c r="AM217" s="3">
        <v>53.84</v>
      </c>
      <c r="AN217" s="3">
        <v>54.09</v>
      </c>
      <c r="AO217" s="3">
        <v>6946730</v>
      </c>
      <c r="AP217" s="3">
        <v>44.12</v>
      </c>
      <c r="AQ217" s="3">
        <v>44.34</v>
      </c>
      <c r="AR217" s="3">
        <v>43.93</v>
      </c>
      <c r="AS217" s="3">
        <v>44.1</v>
      </c>
      <c r="AT217" s="3">
        <v>5471967</v>
      </c>
      <c r="AU217" s="3">
        <v>42.74</v>
      </c>
      <c r="AV217" s="3">
        <v>43</v>
      </c>
      <c r="AW217" s="3">
        <v>42.72</v>
      </c>
      <c r="AX217" s="3">
        <v>42.92</v>
      </c>
      <c r="AY217" s="3">
        <v>10060929</v>
      </c>
      <c r="AZ217" s="3">
        <v>48.14</v>
      </c>
      <c r="BA217" s="3">
        <v>48.3</v>
      </c>
      <c r="BB217" s="3">
        <v>47.94</v>
      </c>
      <c r="BC217" s="3">
        <v>48.21</v>
      </c>
      <c r="BD217" s="3">
        <v>11724815</v>
      </c>
      <c r="BE217" s="3">
        <v>31.04</v>
      </c>
      <c r="BF217" s="3">
        <v>31.1</v>
      </c>
      <c r="BG217" s="3">
        <v>30.99</v>
      </c>
      <c r="BH217" s="3">
        <v>30.99</v>
      </c>
      <c r="BI217" s="3">
        <v>3010</v>
      </c>
    </row>
    <row r="218" spans="1:61" ht="13" x14ac:dyDescent="0.15">
      <c r="A218" s="3">
        <v>42444</v>
      </c>
      <c r="B218" s="3">
        <v>2015.27</v>
      </c>
      <c r="C218" s="3">
        <v>2015.94</v>
      </c>
      <c r="D218" s="3">
        <v>2005.23</v>
      </c>
      <c r="E218" s="3">
        <v>2015.93</v>
      </c>
      <c r="F218" s="3">
        <v>529503338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3">
        <v>77.099999999999994</v>
      </c>
      <c r="M218" s="3">
        <v>77.599999999999994</v>
      </c>
      <c r="N218" s="3">
        <v>77.099999999999994</v>
      </c>
      <c r="O218" s="3">
        <v>77.569999999999993</v>
      </c>
      <c r="P218" s="3">
        <v>4499599</v>
      </c>
      <c r="Q218" s="3">
        <v>52.27</v>
      </c>
      <c r="R218" s="3">
        <v>52.62</v>
      </c>
      <c r="S218" s="3">
        <v>52.18</v>
      </c>
      <c r="T218" s="3">
        <v>52.55</v>
      </c>
      <c r="U218" s="3">
        <v>6523735</v>
      </c>
      <c r="V218" s="3">
        <v>61.1</v>
      </c>
      <c r="W218" s="3">
        <v>61.84</v>
      </c>
      <c r="X218" s="3">
        <v>60.66</v>
      </c>
      <c r="Y218" s="3">
        <v>61.83</v>
      </c>
      <c r="Z218" s="3">
        <v>21719596</v>
      </c>
      <c r="AA218" s="3">
        <v>18.079999999999998</v>
      </c>
      <c r="AB218" s="3">
        <v>18.2</v>
      </c>
      <c r="AC218" s="3">
        <v>18.02</v>
      </c>
      <c r="AD218" s="3">
        <v>18.2</v>
      </c>
      <c r="AE218" s="3">
        <v>61493976</v>
      </c>
      <c r="AF218" s="3">
        <v>67.849999999999994</v>
      </c>
      <c r="AG218" s="3">
        <v>67.989999999999995</v>
      </c>
      <c r="AH218" s="3">
        <v>67.040000000000006</v>
      </c>
      <c r="AI218" s="3">
        <v>67.239999999999995</v>
      </c>
      <c r="AJ218" s="3">
        <v>15226481</v>
      </c>
      <c r="AK218" s="3">
        <v>53.7</v>
      </c>
      <c r="AL218" s="3">
        <v>54.06</v>
      </c>
      <c r="AM218" s="3">
        <v>53.53</v>
      </c>
      <c r="AN218" s="3">
        <v>54.06</v>
      </c>
      <c r="AO218" s="3">
        <v>6948723</v>
      </c>
      <c r="AP218" s="3">
        <v>43.7</v>
      </c>
      <c r="AQ218" s="3">
        <v>44.2</v>
      </c>
      <c r="AR218" s="3">
        <v>43.44</v>
      </c>
      <c r="AS218" s="3">
        <v>44.2</v>
      </c>
      <c r="AT218" s="3">
        <v>4984327</v>
      </c>
      <c r="AU218" s="3">
        <v>42.75</v>
      </c>
      <c r="AV218" s="3">
        <v>43.12</v>
      </c>
      <c r="AW218" s="3">
        <v>42.73</v>
      </c>
      <c r="AX218" s="3">
        <v>43.08</v>
      </c>
      <c r="AY218" s="3">
        <v>6321100</v>
      </c>
      <c r="AZ218" s="3">
        <v>48.16</v>
      </c>
      <c r="BA218" s="3">
        <v>48.46</v>
      </c>
      <c r="BB218" s="3">
        <v>48.1</v>
      </c>
      <c r="BC218" s="3">
        <v>48.3</v>
      </c>
      <c r="BD218" s="3">
        <v>13737001</v>
      </c>
      <c r="BE218" s="3">
        <v>31</v>
      </c>
      <c r="BF218" s="3">
        <v>31.2</v>
      </c>
      <c r="BG218" s="3">
        <v>31</v>
      </c>
      <c r="BH218" s="3">
        <v>31.2</v>
      </c>
      <c r="BI218" s="3">
        <v>2258</v>
      </c>
    </row>
    <row r="219" spans="1:61" ht="13" x14ac:dyDescent="0.15">
      <c r="A219" s="3">
        <v>42445</v>
      </c>
      <c r="B219" s="3">
        <v>2014.24</v>
      </c>
      <c r="C219" s="3">
        <v>2032.02</v>
      </c>
      <c r="D219" s="3">
        <v>2010.04</v>
      </c>
      <c r="E219" s="3">
        <v>2027.22</v>
      </c>
      <c r="F219" s="3">
        <v>617671853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3">
        <v>77.48</v>
      </c>
      <c r="M219" s="3">
        <v>78.37</v>
      </c>
      <c r="N219" s="3">
        <v>77.260000000000005</v>
      </c>
      <c r="O219" s="3">
        <v>78.2</v>
      </c>
      <c r="P219" s="3">
        <v>7254347</v>
      </c>
      <c r="Q219" s="3">
        <v>52.51</v>
      </c>
      <c r="R219" s="3">
        <v>52.79</v>
      </c>
      <c r="S219" s="3">
        <v>52.15</v>
      </c>
      <c r="T219" s="3">
        <v>52.67</v>
      </c>
      <c r="U219" s="3">
        <v>13743414</v>
      </c>
      <c r="V219" s="3">
        <v>62.2</v>
      </c>
      <c r="W219" s="3">
        <v>63.04</v>
      </c>
      <c r="X219" s="3">
        <v>61.77</v>
      </c>
      <c r="Y219" s="3">
        <v>62.9</v>
      </c>
      <c r="Z219" s="3">
        <v>26970370</v>
      </c>
      <c r="AA219" s="3">
        <v>18.100000000000001</v>
      </c>
      <c r="AB219" s="3">
        <v>18.27</v>
      </c>
      <c r="AC219" s="3">
        <v>18.02</v>
      </c>
      <c r="AD219" s="3">
        <v>18.16</v>
      </c>
      <c r="AE219" s="3">
        <v>58797741</v>
      </c>
      <c r="AF219" s="3">
        <v>67.11</v>
      </c>
      <c r="AG219" s="3">
        <v>67.47</v>
      </c>
      <c r="AH219" s="3">
        <v>66.55</v>
      </c>
      <c r="AI219" s="3">
        <v>67.08</v>
      </c>
      <c r="AJ219" s="3">
        <v>16881339</v>
      </c>
      <c r="AK219" s="3">
        <v>53.94</v>
      </c>
      <c r="AL219" s="3">
        <v>54.57</v>
      </c>
      <c r="AM219" s="3">
        <v>53.81</v>
      </c>
      <c r="AN219" s="3">
        <v>54.25</v>
      </c>
      <c r="AO219" s="3">
        <v>11447932</v>
      </c>
      <c r="AP219" s="3">
        <v>43.5</v>
      </c>
      <c r="AQ219" s="3">
        <v>44.57</v>
      </c>
      <c r="AR219" s="3">
        <v>43.5</v>
      </c>
      <c r="AS219" s="3">
        <v>44.57</v>
      </c>
      <c r="AT219" s="3">
        <v>7289733</v>
      </c>
      <c r="AU219" s="3">
        <v>42.88</v>
      </c>
      <c r="AV219" s="3">
        <v>43.65</v>
      </c>
      <c r="AW219" s="3">
        <v>42.87</v>
      </c>
      <c r="AX219" s="3">
        <v>43.58</v>
      </c>
      <c r="AY219" s="3">
        <v>14756858</v>
      </c>
      <c r="AZ219" s="3">
        <v>48.12</v>
      </c>
      <c r="BA219" s="3">
        <v>49.04</v>
      </c>
      <c r="BB219" s="3">
        <v>47.8</v>
      </c>
      <c r="BC219" s="3">
        <v>49.04</v>
      </c>
      <c r="BD219" s="3">
        <v>27868155</v>
      </c>
      <c r="BE219" s="3">
        <v>31.2</v>
      </c>
      <c r="BF219" s="3">
        <v>31.21</v>
      </c>
      <c r="BG219" s="3">
        <v>30.96</v>
      </c>
      <c r="BH219" s="3">
        <v>30.96</v>
      </c>
      <c r="BI219" s="3">
        <v>1537</v>
      </c>
    </row>
    <row r="220" spans="1:61" ht="13" x14ac:dyDescent="0.15">
      <c r="A220" s="3">
        <v>42446</v>
      </c>
      <c r="B220" s="3">
        <v>2026.9</v>
      </c>
      <c r="C220" s="3">
        <v>2046.24</v>
      </c>
      <c r="D220" s="3">
        <v>2022.16</v>
      </c>
      <c r="E220" s="3">
        <v>2040.59</v>
      </c>
      <c r="F220" s="3">
        <v>661763816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3">
        <v>78.03</v>
      </c>
      <c r="M220" s="3">
        <v>78.599999999999994</v>
      </c>
      <c r="N220" s="3">
        <v>77.790000000000006</v>
      </c>
      <c r="O220" s="3">
        <v>78.31</v>
      </c>
      <c r="P220" s="3">
        <v>1423165</v>
      </c>
      <c r="Q220" s="3">
        <v>52.65</v>
      </c>
      <c r="R220" s="3">
        <v>53.16</v>
      </c>
      <c r="S220" s="3">
        <v>52.6</v>
      </c>
      <c r="T220" s="3">
        <v>52.99</v>
      </c>
      <c r="U220" s="3">
        <v>1917894</v>
      </c>
      <c r="V220" s="3">
        <v>63.41</v>
      </c>
      <c r="W220" s="3">
        <v>64.28</v>
      </c>
      <c r="X220" s="3">
        <v>62.84</v>
      </c>
      <c r="Y220" s="3">
        <v>63.76</v>
      </c>
      <c r="Z220" s="3">
        <v>6862514</v>
      </c>
      <c r="AA220" s="3">
        <v>18.11</v>
      </c>
      <c r="AB220" s="3">
        <v>18.43</v>
      </c>
      <c r="AC220" s="3">
        <v>18.03</v>
      </c>
      <c r="AD220" s="3">
        <v>18.38</v>
      </c>
      <c r="AE220" s="3">
        <v>12887507</v>
      </c>
      <c r="AF220" s="3">
        <v>67.02</v>
      </c>
      <c r="AG220" s="3">
        <v>67.03</v>
      </c>
      <c r="AH220" s="3">
        <v>65.66</v>
      </c>
      <c r="AI220" s="3">
        <v>66.3</v>
      </c>
      <c r="AJ220" s="3">
        <v>3912992</v>
      </c>
      <c r="AK220" s="3">
        <v>54.59</v>
      </c>
      <c r="AL220" s="3">
        <v>55.75</v>
      </c>
      <c r="AM220" s="3">
        <v>54.26</v>
      </c>
      <c r="AN220" s="3">
        <v>55.44</v>
      </c>
      <c r="AO220" s="3">
        <v>2633919</v>
      </c>
      <c r="AP220" s="3">
        <v>44.49</v>
      </c>
      <c r="AQ220" s="3">
        <v>45.53</v>
      </c>
      <c r="AR220" s="3">
        <v>44.49</v>
      </c>
      <c r="AS220" s="3">
        <v>45.39</v>
      </c>
      <c r="AT220" s="3">
        <v>1703898</v>
      </c>
      <c r="AU220" s="3">
        <v>43.5</v>
      </c>
      <c r="AV220" s="3">
        <v>43.88</v>
      </c>
      <c r="AW220" s="3">
        <v>43.45</v>
      </c>
      <c r="AX220" s="3">
        <v>43.74</v>
      </c>
      <c r="AY220" s="3">
        <v>1858457</v>
      </c>
      <c r="AZ220" s="3">
        <v>48.85</v>
      </c>
      <c r="BA220" s="3">
        <v>49.42</v>
      </c>
      <c r="BB220" s="3">
        <v>48.67</v>
      </c>
      <c r="BC220" s="3">
        <v>49.31</v>
      </c>
      <c r="BD220" s="3">
        <v>5017920</v>
      </c>
      <c r="BE220" s="3">
        <v>31.99</v>
      </c>
      <c r="BF220" s="3">
        <v>32.049999999999997</v>
      </c>
      <c r="BG220" s="3">
        <v>31.98</v>
      </c>
      <c r="BH220" s="3">
        <v>32</v>
      </c>
      <c r="BI220" s="3">
        <v>13610</v>
      </c>
    </row>
    <row r="221" spans="1:61" ht="13" x14ac:dyDescent="0.15">
      <c r="A221" s="3">
        <v>42447</v>
      </c>
      <c r="B221" s="3">
        <v>2041.16</v>
      </c>
      <c r="C221" s="3">
        <v>2052.36</v>
      </c>
      <c r="D221" s="3">
        <v>2041.16</v>
      </c>
      <c r="E221" s="3">
        <v>2049.58</v>
      </c>
      <c r="F221" s="3">
        <v>669416338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3">
        <v>78.13</v>
      </c>
      <c r="M221" s="3">
        <v>78.47</v>
      </c>
      <c r="N221" s="3">
        <v>77.95</v>
      </c>
      <c r="O221" s="3">
        <v>78.09</v>
      </c>
      <c r="P221" s="3">
        <v>9706532</v>
      </c>
      <c r="Q221" s="3">
        <v>52.81</v>
      </c>
      <c r="R221" s="3">
        <v>52.86</v>
      </c>
      <c r="S221" s="3">
        <v>52.57</v>
      </c>
      <c r="T221" s="3">
        <v>52.65</v>
      </c>
      <c r="U221" s="3">
        <v>13037040</v>
      </c>
      <c r="V221" s="3">
        <v>63.79</v>
      </c>
      <c r="W221" s="3">
        <v>63.85</v>
      </c>
      <c r="X221" s="3">
        <v>62.9</v>
      </c>
      <c r="Y221" s="3">
        <v>63.49</v>
      </c>
      <c r="Z221" s="3">
        <v>30474007</v>
      </c>
      <c r="AA221" s="3">
        <v>18.41</v>
      </c>
      <c r="AB221" s="3">
        <v>18.53</v>
      </c>
      <c r="AC221" s="3">
        <v>18.36</v>
      </c>
      <c r="AD221" s="3">
        <v>18.46</v>
      </c>
      <c r="AE221" s="3">
        <v>52827971</v>
      </c>
      <c r="AF221" s="3">
        <v>66.180000000000007</v>
      </c>
      <c r="AG221" s="3">
        <v>67.08</v>
      </c>
      <c r="AH221" s="3">
        <v>66.06</v>
      </c>
      <c r="AI221" s="3">
        <v>66.84</v>
      </c>
      <c r="AJ221" s="3">
        <v>19524758</v>
      </c>
      <c r="AK221" s="3">
        <v>55.3</v>
      </c>
      <c r="AL221" s="3">
        <v>55.75</v>
      </c>
      <c r="AM221" s="3">
        <v>55.24</v>
      </c>
      <c r="AN221" s="3">
        <v>55.63</v>
      </c>
      <c r="AO221" s="3">
        <v>17059773</v>
      </c>
      <c r="AP221" s="3">
        <v>45.51</v>
      </c>
      <c r="AQ221" s="3">
        <v>45.74</v>
      </c>
      <c r="AR221" s="3">
        <v>45.17</v>
      </c>
      <c r="AS221" s="3">
        <v>45.42</v>
      </c>
      <c r="AT221" s="3">
        <v>7630194</v>
      </c>
      <c r="AU221" s="3">
        <v>43.69</v>
      </c>
      <c r="AV221" s="3">
        <v>43.72</v>
      </c>
      <c r="AW221" s="3">
        <v>43.4</v>
      </c>
      <c r="AX221" s="3">
        <v>43.59</v>
      </c>
      <c r="AY221" s="3">
        <v>9414370</v>
      </c>
      <c r="AZ221" s="3">
        <v>48.94</v>
      </c>
      <c r="BA221" s="3">
        <v>49.09</v>
      </c>
      <c r="BB221" s="3">
        <v>48.61</v>
      </c>
      <c r="BC221" s="3">
        <v>48.63</v>
      </c>
      <c r="BD221" s="3">
        <v>16990654</v>
      </c>
      <c r="BE221" s="3">
        <v>31.69</v>
      </c>
      <c r="BF221" s="3">
        <v>31.78</v>
      </c>
      <c r="BG221" s="3">
        <v>31.43</v>
      </c>
      <c r="BH221" s="3">
        <v>31.47</v>
      </c>
      <c r="BI221" s="3">
        <v>136356</v>
      </c>
    </row>
    <row r="222" spans="1:61" ht="13" x14ac:dyDescent="0.15">
      <c r="A222" s="3">
        <v>42450</v>
      </c>
      <c r="B222" s="3">
        <v>2047.88</v>
      </c>
      <c r="C222" s="3">
        <v>2053.91</v>
      </c>
      <c r="D222" s="3">
        <v>2043.14</v>
      </c>
      <c r="E222" s="3">
        <v>2051.6</v>
      </c>
      <c r="F222" s="3">
        <v>535577137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3">
        <v>78.069999999999993</v>
      </c>
      <c r="M222" s="3">
        <v>78.22</v>
      </c>
      <c r="N222" s="3">
        <v>77.64</v>
      </c>
      <c r="O222" s="3">
        <v>78.13</v>
      </c>
      <c r="P222" s="3">
        <v>4049374</v>
      </c>
      <c r="Q222" s="3">
        <v>52.67</v>
      </c>
      <c r="R222" s="3">
        <v>52.87</v>
      </c>
      <c r="S222" s="3">
        <v>52.44</v>
      </c>
      <c r="T222" s="3">
        <v>52.68</v>
      </c>
      <c r="U222" s="3">
        <v>11421420</v>
      </c>
      <c r="V222" s="3">
        <v>63.24</v>
      </c>
      <c r="W222" s="3">
        <v>63.69</v>
      </c>
      <c r="X222" s="3">
        <v>62.57</v>
      </c>
      <c r="Y222" s="3">
        <v>63.27</v>
      </c>
      <c r="Z222" s="3">
        <v>16698510</v>
      </c>
      <c r="AA222" s="3">
        <v>18.399999999999999</v>
      </c>
      <c r="AB222" s="3">
        <v>18.55</v>
      </c>
      <c r="AC222" s="3">
        <v>18.350000000000001</v>
      </c>
      <c r="AD222" s="3">
        <v>18.43</v>
      </c>
      <c r="AE222" s="3">
        <v>38573777</v>
      </c>
      <c r="AF222" s="3">
        <v>66.900000000000006</v>
      </c>
      <c r="AG222" s="3">
        <v>67.37</v>
      </c>
      <c r="AH222" s="3">
        <v>66.790000000000006</v>
      </c>
      <c r="AI222" s="3">
        <v>67.23</v>
      </c>
      <c r="AJ222" s="3">
        <v>12183575</v>
      </c>
      <c r="AK222" s="3">
        <v>55.56</v>
      </c>
      <c r="AL222" s="3">
        <v>55.96</v>
      </c>
      <c r="AM222" s="3">
        <v>55.49</v>
      </c>
      <c r="AN222" s="3">
        <v>55.96</v>
      </c>
      <c r="AO222" s="3">
        <v>7150439</v>
      </c>
      <c r="AP222" s="3">
        <v>45.32</v>
      </c>
      <c r="AQ222" s="3">
        <v>45.63</v>
      </c>
      <c r="AR222" s="3">
        <v>44.76</v>
      </c>
      <c r="AS222" s="3">
        <v>45.63</v>
      </c>
      <c r="AT222" s="3">
        <v>5074746</v>
      </c>
      <c r="AU222" s="3">
        <v>43.49</v>
      </c>
      <c r="AV222" s="3">
        <v>43.76</v>
      </c>
      <c r="AW222" s="3">
        <v>43.47</v>
      </c>
      <c r="AX222" s="3">
        <v>43.74</v>
      </c>
      <c r="AY222" s="3">
        <v>8003471</v>
      </c>
      <c r="AZ222" s="3">
        <v>48.48</v>
      </c>
      <c r="BA222" s="3">
        <v>48.82</v>
      </c>
      <c r="BB222" s="3">
        <v>48.11</v>
      </c>
      <c r="BC222" s="3">
        <v>48.58</v>
      </c>
      <c r="BD222" s="3">
        <v>15743228</v>
      </c>
      <c r="BE222" s="3">
        <v>31.62</v>
      </c>
      <c r="BF222" s="3">
        <v>31.62</v>
      </c>
      <c r="BG222" s="3">
        <v>31.26</v>
      </c>
      <c r="BH222" s="3">
        <v>31.31</v>
      </c>
      <c r="BI222" s="3">
        <v>3413</v>
      </c>
    </row>
    <row r="223" spans="1:61" ht="13" x14ac:dyDescent="0.15">
      <c r="A223" s="3">
        <v>42451</v>
      </c>
      <c r="B223" s="3">
        <v>2048.64</v>
      </c>
      <c r="C223" s="3">
        <v>2056.6</v>
      </c>
      <c r="D223" s="3">
        <v>2040.57</v>
      </c>
      <c r="E223" s="3">
        <v>2049.8000000000002</v>
      </c>
      <c r="F223" s="3">
        <v>555485645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3">
        <v>77.569999999999993</v>
      </c>
      <c r="M223" s="3">
        <v>78.22</v>
      </c>
      <c r="N223" s="3">
        <v>77.540000000000006</v>
      </c>
      <c r="O223" s="3">
        <v>78</v>
      </c>
      <c r="P223" s="3">
        <v>4492322</v>
      </c>
      <c r="Q223" s="3">
        <v>52.51</v>
      </c>
      <c r="R223" s="3">
        <v>52.65</v>
      </c>
      <c r="S223" s="3">
        <v>52.29</v>
      </c>
      <c r="T223" s="3">
        <v>52.37</v>
      </c>
      <c r="U223" s="3">
        <v>9853229</v>
      </c>
      <c r="V223" s="3">
        <v>62.53</v>
      </c>
      <c r="W223" s="3">
        <v>63.49</v>
      </c>
      <c r="X223" s="3">
        <v>62.49</v>
      </c>
      <c r="Y223" s="3">
        <v>62.92</v>
      </c>
      <c r="Z223" s="3">
        <v>14180119</v>
      </c>
      <c r="AA223" s="3">
        <v>18.3</v>
      </c>
      <c r="AB223" s="3">
        <v>18.440000000000001</v>
      </c>
      <c r="AC223" s="3">
        <v>18.25</v>
      </c>
      <c r="AD223" s="3">
        <v>18.37</v>
      </c>
      <c r="AE223" s="3">
        <v>35322830</v>
      </c>
      <c r="AF223" s="3">
        <v>67.010000000000005</v>
      </c>
      <c r="AG223" s="3">
        <v>68.11</v>
      </c>
      <c r="AH223" s="3">
        <v>67.010000000000005</v>
      </c>
      <c r="AI223" s="3">
        <v>67.900000000000006</v>
      </c>
      <c r="AJ223" s="3">
        <v>13200185</v>
      </c>
      <c r="AK223" s="3">
        <v>55.41</v>
      </c>
      <c r="AL223" s="3">
        <v>55.81</v>
      </c>
      <c r="AM223" s="3">
        <v>55.4</v>
      </c>
      <c r="AN223" s="3">
        <v>55.64</v>
      </c>
      <c r="AO223" s="3">
        <v>7570862</v>
      </c>
      <c r="AP223" s="3">
        <v>44.75</v>
      </c>
      <c r="AQ223" s="3">
        <v>45.28</v>
      </c>
      <c r="AR223" s="3">
        <v>44.68</v>
      </c>
      <c r="AS223" s="3">
        <v>45.11</v>
      </c>
      <c r="AT223" s="3">
        <v>4096125</v>
      </c>
      <c r="AU223" s="3">
        <v>43.54</v>
      </c>
      <c r="AV223" s="3">
        <v>43.92</v>
      </c>
      <c r="AW223" s="3">
        <v>43.54</v>
      </c>
      <c r="AX223" s="3">
        <v>43.75</v>
      </c>
      <c r="AY223" s="3">
        <v>13112858</v>
      </c>
      <c r="AZ223" s="3">
        <v>48.52</v>
      </c>
      <c r="BA223" s="3">
        <v>48.78</v>
      </c>
      <c r="BB223" s="3">
        <v>48.36</v>
      </c>
      <c r="BC223" s="3">
        <v>48.42</v>
      </c>
      <c r="BD223" s="3">
        <v>11457382</v>
      </c>
      <c r="BE223" s="3">
        <v>31.22</v>
      </c>
      <c r="BF223" s="3">
        <v>31.41</v>
      </c>
      <c r="BG223" s="3">
        <v>31.21</v>
      </c>
      <c r="BH223" s="3">
        <v>31.26</v>
      </c>
      <c r="BI223" s="3">
        <v>1576</v>
      </c>
    </row>
    <row r="224" spans="1:61" ht="13" x14ac:dyDescent="0.15">
      <c r="A224" s="3">
        <v>42452</v>
      </c>
      <c r="B224" s="3">
        <v>2048.5500000000002</v>
      </c>
      <c r="C224" s="3">
        <v>2048.5500000000002</v>
      </c>
      <c r="D224" s="3">
        <v>2034.86</v>
      </c>
      <c r="E224" s="3">
        <v>2036.71</v>
      </c>
      <c r="F224" s="3">
        <v>542134056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3">
        <v>77.63</v>
      </c>
      <c r="M224" s="3">
        <v>77.83</v>
      </c>
      <c r="N224" s="3">
        <v>77.37</v>
      </c>
      <c r="O224" s="3">
        <v>77.45</v>
      </c>
      <c r="P224" s="3">
        <v>8521961</v>
      </c>
      <c r="Q224" s="3">
        <v>52.26</v>
      </c>
      <c r="R224" s="3">
        <v>52.94</v>
      </c>
      <c r="S224" s="3">
        <v>52.24</v>
      </c>
      <c r="T224" s="3">
        <v>52.38</v>
      </c>
      <c r="U224" s="3">
        <v>11304315</v>
      </c>
      <c r="V224" s="3">
        <v>62.47</v>
      </c>
      <c r="W224" s="3">
        <v>62.7</v>
      </c>
      <c r="X224" s="3">
        <v>61.42</v>
      </c>
      <c r="Y224" s="3">
        <v>61.54</v>
      </c>
      <c r="Z224" s="3">
        <v>18873756</v>
      </c>
      <c r="AA224" s="3">
        <v>18.34</v>
      </c>
      <c r="AB224" s="3">
        <v>18.36</v>
      </c>
      <c r="AC224" s="3">
        <v>18.22</v>
      </c>
      <c r="AD224" s="3">
        <v>18.23</v>
      </c>
      <c r="AE224" s="3">
        <v>45420218</v>
      </c>
      <c r="AF224" s="3">
        <v>67.849999999999994</v>
      </c>
      <c r="AG224" s="3">
        <v>67.97</v>
      </c>
      <c r="AH224" s="3">
        <v>67.36</v>
      </c>
      <c r="AI224" s="3">
        <v>67.42</v>
      </c>
      <c r="AJ224" s="3">
        <v>9105057</v>
      </c>
      <c r="AK224" s="3">
        <v>55.52</v>
      </c>
      <c r="AL224" s="3">
        <v>55.59</v>
      </c>
      <c r="AM224" s="3">
        <v>55.23</v>
      </c>
      <c r="AN224" s="3">
        <v>55.28</v>
      </c>
      <c r="AO224" s="3">
        <v>10833202</v>
      </c>
      <c r="AP224" s="3">
        <v>44.73</v>
      </c>
      <c r="AQ224" s="3">
        <v>44.87</v>
      </c>
      <c r="AR224" s="3">
        <v>44.47</v>
      </c>
      <c r="AS224" s="3">
        <v>44.55</v>
      </c>
      <c r="AT224" s="3">
        <v>5663612</v>
      </c>
      <c r="AU224" s="3">
        <v>43.69</v>
      </c>
      <c r="AV224" s="3">
        <v>43.74</v>
      </c>
      <c r="AW224" s="3">
        <v>43.41</v>
      </c>
      <c r="AX224" s="3">
        <v>43.5</v>
      </c>
      <c r="AY224" s="3">
        <v>10675096</v>
      </c>
      <c r="AZ224" s="3">
        <v>48.42</v>
      </c>
      <c r="BA224" s="3">
        <v>48.97</v>
      </c>
      <c r="BB224" s="3">
        <v>48.2</v>
      </c>
      <c r="BC224" s="3">
        <v>48.78</v>
      </c>
      <c r="BD224" s="3">
        <v>15239636</v>
      </c>
      <c r="BE224" s="3">
        <v>31.27</v>
      </c>
      <c r="BF224" s="3">
        <v>31.34</v>
      </c>
      <c r="BG224" s="3">
        <v>31.14</v>
      </c>
      <c r="BH224" s="3">
        <v>31.14</v>
      </c>
      <c r="BI224" s="3">
        <v>2642</v>
      </c>
    </row>
    <row r="225" spans="1:61" ht="13" x14ac:dyDescent="0.15">
      <c r="A225" s="3">
        <v>42453</v>
      </c>
      <c r="B225" s="3">
        <v>2032.48</v>
      </c>
      <c r="C225" s="3">
        <v>2036.04</v>
      </c>
      <c r="D225" s="3">
        <v>2022.49</v>
      </c>
      <c r="E225" s="3">
        <v>2035.94</v>
      </c>
      <c r="F225" s="3">
        <v>600131213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3">
        <v>76.819999999999993</v>
      </c>
      <c r="M225" s="3">
        <v>77.56</v>
      </c>
      <c r="N225" s="3">
        <v>76.599999999999994</v>
      </c>
      <c r="O225" s="3">
        <v>77.55</v>
      </c>
      <c r="P225" s="3">
        <v>6958072</v>
      </c>
      <c r="Q225" s="3">
        <v>52.2</v>
      </c>
      <c r="R225" s="3">
        <v>52.37</v>
      </c>
      <c r="S225" s="3">
        <v>52.15</v>
      </c>
      <c r="T225" s="3">
        <v>52.32</v>
      </c>
      <c r="U225" s="3">
        <v>9455483</v>
      </c>
      <c r="V225" s="3">
        <v>60.69</v>
      </c>
      <c r="W225" s="3">
        <v>61.84</v>
      </c>
      <c r="X225" s="3">
        <v>60.4</v>
      </c>
      <c r="Y225" s="3">
        <v>61.84</v>
      </c>
      <c r="Z225" s="3">
        <v>15516028</v>
      </c>
      <c r="AA225" s="3">
        <v>18.07</v>
      </c>
      <c r="AB225" s="3">
        <v>18.12</v>
      </c>
      <c r="AC225" s="3">
        <v>17.95</v>
      </c>
      <c r="AD225" s="3">
        <v>18.12</v>
      </c>
      <c r="AE225" s="3">
        <v>39399509</v>
      </c>
      <c r="AF225" s="3">
        <v>67.12</v>
      </c>
      <c r="AG225" s="3">
        <v>67.64</v>
      </c>
      <c r="AH225" s="3">
        <v>66.87</v>
      </c>
      <c r="AI225" s="3">
        <v>67.39</v>
      </c>
      <c r="AJ225" s="3">
        <v>8492750</v>
      </c>
      <c r="AK225" s="3">
        <v>54.96</v>
      </c>
      <c r="AL225" s="3">
        <v>55.12</v>
      </c>
      <c r="AM225" s="3">
        <v>54.74</v>
      </c>
      <c r="AN225" s="3">
        <v>55.12</v>
      </c>
      <c r="AO225" s="3">
        <v>10403597</v>
      </c>
      <c r="AP225" s="3">
        <v>44.18</v>
      </c>
      <c r="AQ225" s="3">
        <v>44.57</v>
      </c>
      <c r="AR225" s="3">
        <v>43.99</v>
      </c>
      <c r="AS225" s="3">
        <v>44.55</v>
      </c>
      <c r="AT225" s="3">
        <v>3762072</v>
      </c>
      <c r="AU225" s="3">
        <v>43.31</v>
      </c>
      <c r="AV225" s="3">
        <v>43.62</v>
      </c>
      <c r="AW225" s="3">
        <v>43.25</v>
      </c>
      <c r="AX225" s="3">
        <v>43.62</v>
      </c>
      <c r="AY225" s="3">
        <v>6743333</v>
      </c>
      <c r="AZ225" s="3">
        <v>48.76</v>
      </c>
      <c r="BA225" s="3">
        <v>48.98</v>
      </c>
      <c r="BB225" s="3">
        <v>48.62</v>
      </c>
      <c r="BC225" s="3">
        <v>48.91</v>
      </c>
      <c r="BD225" s="3">
        <v>15073453</v>
      </c>
      <c r="BE225" s="3">
        <v>31.01</v>
      </c>
      <c r="BF225" s="3">
        <v>31.19</v>
      </c>
      <c r="BG225" s="3">
        <v>30.98</v>
      </c>
      <c r="BH225" s="3">
        <v>31.19</v>
      </c>
      <c r="BI225" s="3">
        <v>2197</v>
      </c>
    </row>
    <row r="226" spans="1:61" ht="13" x14ac:dyDescent="0.15">
      <c r="A226" s="3">
        <v>42457</v>
      </c>
      <c r="B226" s="3">
        <v>2037.89</v>
      </c>
      <c r="C226" s="3">
        <v>2042.67</v>
      </c>
      <c r="D226" s="3">
        <v>2031.96</v>
      </c>
      <c r="E226" s="3">
        <v>2037.05</v>
      </c>
      <c r="F226" s="3">
        <v>460627846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3">
        <v>77.66</v>
      </c>
      <c r="M226" s="3">
        <v>78.239999999999995</v>
      </c>
      <c r="N226" s="3">
        <v>77.599999999999994</v>
      </c>
      <c r="O226" s="3">
        <v>77.900000000000006</v>
      </c>
      <c r="P226" s="3">
        <v>5132622</v>
      </c>
      <c r="Q226" s="3">
        <v>52.38</v>
      </c>
      <c r="R226" s="3">
        <v>52.71</v>
      </c>
      <c r="S226" s="3">
        <v>52.38</v>
      </c>
      <c r="T226" s="3">
        <v>52.6</v>
      </c>
      <c r="U226" s="3">
        <v>7363677</v>
      </c>
      <c r="V226" s="3">
        <v>61.86</v>
      </c>
      <c r="W226" s="3">
        <v>62.03</v>
      </c>
      <c r="X226" s="3">
        <v>61.08</v>
      </c>
      <c r="Y226" s="3">
        <v>61.51</v>
      </c>
      <c r="Z226" s="3">
        <v>11564874</v>
      </c>
      <c r="AA226" s="3">
        <v>18.14</v>
      </c>
      <c r="AB226" s="3">
        <v>18.23</v>
      </c>
      <c r="AC226" s="3">
        <v>18.079999999999998</v>
      </c>
      <c r="AD226" s="3">
        <v>18.170000000000002</v>
      </c>
      <c r="AE226" s="3">
        <v>29343054</v>
      </c>
      <c r="AF226" s="3">
        <v>67.569999999999993</v>
      </c>
      <c r="AG226" s="3">
        <v>67.64</v>
      </c>
      <c r="AH226" s="3">
        <v>67.099999999999994</v>
      </c>
      <c r="AI226" s="3">
        <v>67.2</v>
      </c>
      <c r="AJ226" s="3">
        <v>7156295</v>
      </c>
      <c r="AK226" s="3">
        <v>55.13</v>
      </c>
      <c r="AL226" s="3">
        <v>55.28</v>
      </c>
      <c r="AM226" s="3">
        <v>54.89</v>
      </c>
      <c r="AN226" s="3">
        <v>55.14</v>
      </c>
      <c r="AO226" s="3">
        <v>6591652</v>
      </c>
      <c r="AP226" s="3">
        <v>44.5</v>
      </c>
      <c r="AQ226" s="3">
        <v>44.9</v>
      </c>
      <c r="AR226" s="3">
        <v>44.46</v>
      </c>
      <c r="AS226" s="3">
        <v>44.74</v>
      </c>
      <c r="AT226" s="3">
        <v>3949338</v>
      </c>
      <c r="AU226" s="3">
        <v>43.66</v>
      </c>
      <c r="AV226" s="3">
        <v>43.72</v>
      </c>
      <c r="AW226" s="3">
        <v>43.43</v>
      </c>
      <c r="AX226" s="3">
        <v>43.51</v>
      </c>
      <c r="AY226" s="3">
        <v>6407959</v>
      </c>
      <c r="AZ226" s="3">
        <v>48.99</v>
      </c>
      <c r="BA226" s="3">
        <v>49.25</v>
      </c>
      <c r="BB226" s="3">
        <v>48.63</v>
      </c>
      <c r="BC226" s="3">
        <v>48.73</v>
      </c>
      <c r="BD226" s="3">
        <v>11244554</v>
      </c>
      <c r="BE226" s="3">
        <v>31.01</v>
      </c>
      <c r="BF226" s="3">
        <v>31.47</v>
      </c>
      <c r="BG226" s="3">
        <v>31.01</v>
      </c>
      <c r="BH226" s="3">
        <v>31.39</v>
      </c>
      <c r="BI226" s="3">
        <v>2583</v>
      </c>
    </row>
    <row r="227" spans="1:61" ht="13" x14ac:dyDescent="0.15">
      <c r="A227" s="3">
        <v>42458</v>
      </c>
      <c r="B227" s="3">
        <v>2035.75</v>
      </c>
      <c r="C227" s="3">
        <v>2055.91</v>
      </c>
      <c r="D227" s="3">
        <v>2028.31</v>
      </c>
      <c r="E227" s="3">
        <v>2055.0100000000002</v>
      </c>
      <c r="F227" s="3">
        <v>571883048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3">
        <v>77.790000000000006</v>
      </c>
      <c r="M227" s="3">
        <v>78.760000000000005</v>
      </c>
      <c r="N227" s="3">
        <v>77.790000000000006</v>
      </c>
      <c r="O227" s="3">
        <v>78.69</v>
      </c>
      <c r="P227" s="3">
        <v>5489585</v>
      </c>
      <c r="Q227" s="3">
        <v>52.57</v>
      </c>
      <c r="R227" s="3">
        <v>53.01</v>
      </c>
      <c r="S227" s="3">
        <v>52.5</v>
      </c>
      <c r="T227" s="3">
        <v>52.99</v>
      </c>
      <c r="U227" s="3">
        <v>10354692</v>
      </c>
      <c r="V227" s="3">
        <v>60.82</v>
      </c>
      <c r="W227" s="3">
        <v>61.85</v>
      </c>
      <c r="X227" s="3">
        <v>60.46</v>
      </c>
      <c r="Y227" s="3">
        <v>61.8</v>
      </c>
      <c r="Z227" s="3">
        <v>14366942</v>
      </c>
      <c r="AA227" s="3">
        <v>18.100000000000001</v>
      </c>
      <c r="AB227" s="3">
        <v>18.21</v>
      </c>
      <c r="AC227" s="3">
        <v>18</v>
      </c>
      <c r="AD227" s="3">
        <v>18.21</v>
      </c>
      <c r="AE227" s="3">
        <v>36099160</v>
      </c>
      <c r="AF227" s="3">
        <v>67.08</v>
      </c>
      <c r="AG227" s="3">
        <v>68.040000000000006</v>
      </c>
      <c r="AH227" s="3">
        <v>66.849999999999994</v>
      </c>
      <c r="AI227" s="3">
        <v>67.98</v>
      </c>
      <c r="AJ227" s="3">
        <v>10455626</v>
      </c>
      <c r="AK227" s="3">
        <v>55.03</v>
      </c>
      <c r="AL227" s="3">
        <v>55.51</v>
      </c>
      <c r="AM227" s="3">
        <v>54.72</v>
      </c>
      <c r="AN227" s="3">
        <v>55.5</v>
      </c>
      <c r="AO227" s="3">
        <v>9271815</v>
      </c>
      <c r="AP227" s="3">
        <v>44.43</v>
      </c>
      <c r="AQ227" s="3">
        <v>45</v>
      </c>
      <c r="AR227" s="3">
        <v>44.28</v>
      </c>
      <c r="AS227" s="3">
        <v>44.99</v>
      </c>
      <c r="AT227" s="3">
        <v>4095555</v>
      </c>
      <c r="AU227" s="3">
        <v>43.43</v>
      </c>
      <c r="AV227" s="3">
        <v>44.22</v>
      </c>
      <c r="AW227" s="3">
        <v>43.38</v>
      </c>
      <c r="AX227" s="3">
        <v>44.19</v>
      </c>
      <c r="AY227" s="3">
        <v>10081507</v>
      </c>
      <c r="AZ227" s="3">
        <v>48.88</v>
      </c>
      <c r="BA227" s="3">
        <v>49.49</v>
      </c>
      <c r="BB227" s="3">
        <v>48.69</v>
      </c>
      <c r="BC227" s="3">
        <v>49.45</v>
      </c>
      <c r="BD227" s="3">
        <v>17553613</v>
      </c>
      <c r="BE227" s="3">
        <v>31.72</v>
      </c>
      <c r="BF227" s="3">
        <v>32.07</v>
      </c>
      <c r="BG227" s="3">
        <v>31.51</v>
      </c>
      <c r="BH227" s="3">
        <v>32.07</v>
      </c>
      <c r="BI227" s="3">
        <v>17268</v>
      </c>
    </row>
    <row r="228" spans="1:61" ht="13" x14ac:dyDescent="0.15">
      <c r="A228" s="3">
        <v>42459</v>
      </c>
      <c r="B228" s="3">
        <v>2058.27</v>
      </c>
      <c r="C228" s="3">
        <v>2072.21</v>
      </c>
      <c r="D228" s="3">
        <v>2058.27</v>
      </c>
      <c r="E228" s="3">
        <v>2063.9499999999998</v>
      </c>
      <c r="F228" s="3">
        <v>511410521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3">
        <v>79.010000000000005</v>
      </c>
      <c r="M228" s="3">
        <v>79.37</v>
      </c>
      <c r="N228" s="3">
        <v>78.86</v>
      </c>
      <c r="O228" s="3">
        <v>79.19</v>
      </c>
      <c r="P228" s="3">
        <v>5274240</v>
      </c>
      <c r="Q228" s="3">
        <v>53.17</v>
      </c>
      <c r="R228" s="3">
        <v>53.34</v>
      </c>
      <c r="S228" s="3">
        <v>53.04</v>
      </c>
      <c r="T228" s="3">
        <v>53.34</v>
      </c>
      <c r="U228" s="3">
        <v>8932310</v>
      </c>
      <c r="V228" s="3">
        <v>62.36</v>
      </c>
      <c r="W228" s="3">
        <v>62.62</v>
      </c>
      <c r="X228" s="3">
        <v>61.56</v>
      </c>
      <c r="Y228" s="3">
        <v>61.92</v>
      </c>
      <c r="Z228" s="3">
        <v>15744847</v>
      </c>
      <c r="AA228" s="3">
        <v>18.3</v>
      </c>
      <c r="AB228" s="3">
        <v>18.45</v>
      </c>
      <c r="AC228" s="3">
        <v>18.29</v>
      </c>
      <c r="AD228" s="3">
        <v>18.309999999999999</v>
      </c>
      <c r="AE228" s="3">
        <v>30573609</v>
      </c>
      <c r="AF228" s="3">
        <v>68.319999999999993</v>
      </c>
      <c r="AG228" s="3">
        <v>68.5</v>
      </c>
      <c r="AH228" s="3">
        <v>67.87</v>
      </c>
      <c r="AI228" s="3">
        <v>67.989999999999995</v>
      </c>
      <c r="AJ228" s="3">
        <v>7607715</v>
      </c>
      <c r="AK228" s="3">
        <v>55.99</v>
      </c>
      <c r="AL228" s="3">
        <v>56.03</v>
      </c>
      <c r="AM228" s="3">
        <v>55.6</v>
      </c>
      <c r="AN228" s="3">
        <v>55.6</v>
      </c>
      <c r="AO228" s="3">
        <v>8197593</v>
      </c>
      <c r="AP228" s="3">
        <v>45.19</v>
      </c>
      <c r="AQ228" s="3">
        <v>45.38</v>
      </c>
      <c r="AR228" s="3">
        <v>45</v>
      </c>
      <c r="AS228" s="3">
        <v>45.19</v>
      </c>
      <c r="AT228" s="3">
        <v>4036329</v>
      </c>
      <c r="AU228" s="3">
        <v>44.42</v>
      </c>
      <c r="AV228" s="3">
        <v>44.67</v>
      </c>
      <c r="AW228" s="3">
        <v>44.35</v>
      </c>
      <c r="AX228" s="3">
        <v>44.45</v>
      </c>
      <c r="AY228" s="3">
        <v>10988322</v>
      </c>
      <c r="AZ228" s="3">
        <v>49.45</v>
      </c>
      <c r="BA228" s="3">
        <v>49.56</v>
      </c>
      <c r="BB228" s="3">
        <v>49.15</v>
      </c>
      <c r="BC228" s="3">
        <v>49.33</v>
      </c>
      <c r="BD228" s="3">
        <v>14516907</v>
      </c>
      <c r="BE228" s="3">
        <v>32.33</v>
      </c>
      <c r="BF228" s="3">
        <v>32.33</v>
      </c>
      <c r="BG228" s="3">
        <v>32</v>
      </c>
      <c r="BH228" s="3">
        <v>32</v>
      </c>
      <c r="BI228" s="3">
        <v>4165</v>
      </c>
    </row>
    <row r="229" spans="1:61" ht="13" x14ac:dyDescent="0.15">
      <c r="A229" s="3">
        <v>42460</v>
      </c>
      <c r="B229" s="3">
        <v>2063.77</v>
      </c>
      <c r="C229" s="3">
        <v>2067.92</v>
      </c>
      <c r="D229" s="3">
        <v>2057.46</v>
      </c>
      <c r="E229" s="3">
        <v>2059.7399999999998</v>
      </c>
      <c r="F229" s="3">
        <v>636510226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3">
        <v>79.069999999999993</v>
      </c>
      <c r="M229" s="3">
        <v>79.39</v>
      </c>
      <c r="N229" s="3">
        <v>78.97</v>
      </c>
      <c r="O229" s="3">
        <v>79.099999999999994</v>
      </c>
      <c r="P229" s="3">
        <v>5070440</v>
      </c>
      <c r="Q229" s="3">
        <v>53.25</v>
      </c>
      <c r="R229" s="3">
        <v>53.34</v>
      </c>
      <c r="S229" s="3">
        <v>53</v>
      </c>
      <c r="T229" s="3">
        <v>53.06</v>
      </c>
      <c r="U229" s="3">
        <v>8297414</v>
      </c>
      <c r="V229" s="3">
        <v>61.68</v>
      </c>
      <c r="W229" s="3">
        <v>62.37</v>
      </c>
      <c r="X229" s="3">
        <v>61.58</v>
      </c>
      <c r="Y229" s="3">
        <v>61.89</v>
      </c>
      <c r="Z229" s="3">
        <v>14046407</v>
      </c>
      <c r="AA229" s="3">
        <v>18.260000000000002</v>
      </c>
      <c r="AB229" s="3">
        <v>18.38</v>
      </c>
      <c r="AC229" s="3">
        <v>18.23</v>
      </c>
      <c r="AD229" s="3">
        <v>18.27</v>
      </c>
      <c r="AE229" s="3">
        <v>32450052</v>
      </c>
      <c r="AF229" s="3">
        <v>67.89</v>
      </c>
      <c r="AG229" s="3">
        <v>68.290000000000006</v>
      </c>
      <c r="AH229" s="3">
        <v>67.75</v>
      </c>
      <c r="AI229" s="3">
        <v>67.78</v>
      </c>
      <c r="AJ229" s="3">
        <v>8602692</v>
      </c>
      <c r="AK229" s="3">
        <v>55.71</v>
      </c>
      <c r="AL229" s="3">
        <v>55.79</v>
      </c>
      <c r="AM229" s="3">
        <v>55.4</v>
      </c>
      <c r="AN229" s="3">
        <v>55.47</v>
      </c>
      <c r="AO229" s="3">
        <v>12949115</v>
      </c>
      <c r="AP229" s="3">
        <v>45.24</v>
      </c>
      <c r="AQ229" s="3">
        <v>45.3</v>
      </c>
      <c r="AR229" s="3">
        <v>44.66</v>
      </c>
      <c r="AS229" s="3">
        <v>44.81</v>
      </c>
      <c r="AT229" s="3">
        <v>5557764</v>
      </c>
      <c r="AU229" s="3">
        <v>44.39</v>
      </c>
      <c r="AV229" s="3">
        <v>44.58</v>
      </c>
      <c r="AW229" s="3">
        <v>44.28</v>
      </c>
      <c r="AX229" s="3">
        <v>44.36</v>
      </c>
      <c r="AY229" s="3">
        <v>14594927</v>
      </c>
      <c r="AZ229" s="3">
        <v>49.4</v>
      </c>
      <c r="BA229" s="3">
        <v>49.67</v>
      </c>
      <c r="BB229" s="3">
        <v>49.22</v>
      </c>
      <c r="BC229" s="3">
        <v>49.62</v>
      </c>
      <c r="BD229" s="3">
        <v>14703418</v>
      </c>
      <c r="BE229" s="3">
        <v>32</v>
      </c>
      <c r="BF229" s="3">
        <v>32.159999999999997</v>
      </c>
      <c r="BG229" s="3">
        <v>32</v>
      </c>
      <c r="BH229" s="3">
        <v>32.159999999999997</v>
      </c>
      <c r="BI229" s="3">
        <v>11342</v>
      </c>
    </row>
    <row r="230" spans="1:61" ht="13" x14ac:dyDescent="0.15">
      <c r="A230" s="3">
        <v>42461</v>
      </c>
      <c r="B230" s="3">
        <v>2056.62</v>
      </c>
      <c r="C230" s="3">
        <v>2075.0700000000002</v>
      </c>
      <c r="D230" s="3">
        <v>2043.98</v>
      </c>
      <c r="E230" s="3">
        <v>2072.7800000000002</v>
      </c>
      <c r="F230" s="3">
        <v>655021615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3">
        <v>78.599999999999994</v>
      </c>
      <c r="M230" s="3">
        <v>79.599999999999994</v>
      </c>
      <c r="N230" s="3">
        <v>78.540000000000006</v>
      </c>
      <c r="O230" s="3">
        <v>79.430000000000007</v>
      </c>
      <c r="P230" s="3">
        <v>8141837</v>
      </c>
      <c r="Q230" s="3">
        <v>52.84</v>
      </c>
      <c r="R230" s="3">
        <v>53.77</v>
      </c>
      <c r="S230" s="3">
        <v>52.77</v>
      </c>
      <c r="T230" s="3">
        <v>53.62</v>
      </c>
      <c r="U230" s="3">
        <v>14840290</v>
      </c>
      <c r="V230" s="3">
        <v>60.82</v>
      </c>
      <c r="W230" s="3">
        <v>61.24</v>
      </c>
      <c r="X230" s="3">
        <v>60.61</v>
      </c>
      <c r="Y230" s="3">
        <v>61.06</v>
      </c>
      <c r="Z230" s="3">
        <v>14804794</v>
      </c>
      <c r="AA230" s="3">
        <v>18.18</v>
      </c>
      <c r="AB230" s="3">
        <v>18.46</v>
      </c>
      <c r="AC230" s="3">
        <v>18.11</v>
      </c>
      <c r="AD230" s="3">
        <v>18.43</v>
      </c>
      <c r="AE230" s="3">
        <v>37167566</v>
      </c>
      <c r="AF230" s="3">
        <v>67.5</v>
      </c>
      <c r="AG230" s="3">
        <v>68.8</v>
      </c>
      <c r="AH230" s="3">
        <v>67.37</v>
      </c>
      <c r="AI230" s="3">
        <v>68.55</v>
      </c>
      <c r="AJ230" s="3">
        <v>9120164</v>
      </c>
      <c r="AK230" s="3">
        <v>55.15</v>
      </c>
      <c r="AL230" s="3">
        <v>55.73</v>
      </c>
      <c r="AM230" s="3">
        <v>54.75</v>
      </c>
      <c r="AN230" s="3">
        <v>55.73</v>
      </c>
      <c r="AO230" s="3">
        <v>16184593</v>
      </c>
      <c r="AP230" s="3">
        <v>44.49</v>
      </c>
      <c r="AQ230" s="3">
        <v>45.24</v>
      </c>
      <c r="AR230" s="3">
        <v>44.16</v>
      </c>
      <c r="AS230" s="3">
        <v>45.24</v>
      </c>
      <c r="AT230" s="3">
        <v>8590546</v>
      </c>
      <c r="AU230" s="3">
        <v>44.05</v>
      </c>
      <c r="AV230" s="3">
        <v>44.72</v>
      </c>
      <c r="AW230" s="3">
        <v>44.01</v>
      </c>
      <c r="AX230" s="3">
        <v>44.7</v>
      </c>
      <c r="AY230" s="3">
        <v>9654907</v>
      </c>
      <c r="AZ230" s="3">
        <v>49.42</v>
      </c>
      <c r="BA230" s="3">
        <v>49.88</v>
      </c>
      <c r="BB230" s="3">
        <v>49.26</v>
      </c>
      <c r="BC230" s="3">
        <v>49.81</v>
      </c>
      <c r="BD230" s="3">
        <v>17872603</v>
      </c>
      <c r="BE230" s="3">
        <v>32.020000000000003</v>
      </c>
      <c r="BF230" s="3">
        <v>32.229999999999997</v>
      </c>
      <c r="BG230" s="3">
        <v>32.020000000000003</v>
      </c>
      <c r="BH230" s="3">
        <v>32.229999999999997</v>
      </c>
      <c r="BI230" s="3">
        <v>658</v>
      </c>
    </row>
    <row r="231" spans="1:61" ht="13" x14ac:dyDescent="0.15">
      <c r="A231" s="3">
        <v>42464</v>
      </c>
      <c r="B231" s="3">
        <v>2073.19</v>
      </c>
      <c r="C231" s="3">
        <v>2074.02</v>
      </c>
      <c r="D231" s="3">
        <v>2062.5700000000002</v>
      </c>
      <c r="E231" s="3">
        <v>2066.13</v>
      </c>
      <c r="F231" s="3">
        <v>532705295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3">
        <v>79.52</v>
      </c>
      <c r="M231" s="3">
        <v>79.599999999999994</v>
      </c>
      <c r="N231" s="3">
        <v>78.709999999999994</v>
      </c>
      <c r="O231" s="3">
        <v>78.81</v>
      </c>
      <c r="P231" s="3">
        <v>9471831</v>
      </c>
      <c r="Q231" s="3">
        <v>53.69</v>
      </c>
      <c r="R231" s="3">
        <v>53.75</v>
      </c>
      <c r="S231" s="3">
        <v>53.36</v>
      </c>
      <c r="T231" s="3">
        <v>53.64</v>
      </c>
      <c r="U231" s="3">
        <v>12949022</v>
      </c>
      <c r="V231" s="3">
        <v>60.95</v>
      </c>
      <c r="W231" s="3">
        <v>61.59</v>
      </c>
      <c r="X231" s="3">
        <v>60.43</v>
      </c>
      <c r="Y231" s="3">
        <v>60.61</v>
      </c>
      <c r="Z231" s="3">
        <v>15809530</v>
      </c>
      <c r="AA231" s="3">
        <v>18.420000000000002</v>
      </c>
      <c r="AB231" s="3">
        <v>18.46</v>
      </c>
      <c r="AC231" s="3">
        <v>18.3</v>
      </c>
      <c r="AD231" s="3">
        <v>18.34</v>
      </c>
      <c r="AE231" s="3">
        <v>31311785</v>
      </c>
      <c r="AF231" s="3">
        <v>68.709999999999994</v>
      </c>
      <c r="AG231" s="3">
        <v>69.62</v>
      </c>
      <c r="AH231" s="3">
        <v>68.7</v>
      </c>
      <c r="AI231" s="3">
        <v>69.37</v>
      </c>
      <c r="AJ231" s="3">
        <v>17381180</v>
      </c>
      <c r="AK231" s="3">
        <v>55.54</v>
      </c>
      <c r="AL231" s="3">
        <v>55.61</v>
      </c>
      <c r="AM231" s="3">
        <v>55</v>
      </c>
      <c r="AN231" s="3">
        <v>55.1</v>
      </c>
      <c r="AO231" s="3">
        <v>12014932</v>
      </c>
      <c r="AP231" s="3">
        <v>44.95</v>
      </c>
      <c r="AQ231" s="3">
        <v>45.21</v>
      </c>
      <c r="AR231" s="3">
        <v>44.57</v>
      </c>
      <c r="AS231" s="3">
        <v>44.65</v>
      </c>
      <c r="AT231" s="3">
        <v>5660555</v>
      </c>
      <c r="AU231" s="3">
        <v>44.63</v>
      </c>
      <c r="AV231" s="3">
        <v>44.73</v>
      </c>
      <c r="AW231" s="3">
        <v>44.44</v>
      </c>
      <c r="AX231" s="3">
        <v>44.53</v>
      </c>
      <c r="AY231" s="3">
        <v>7646170</v>
      </c>
      <c r="AZ231" s="3">
        <v>49.82</v>
      </c>
      <c r="BA231" s="3">
        <v>49.88</v>
      </c>
      <c r="BB231" s="3">
        <v>49.35</v>
      </c>
      <c r="BC231" s="3">
        <v>49.6</v>
      </c>
      <c r="BD231" s="3">
        <v>15286137</v>
      </c>
      <c r="BE231" s="3">
        <v>32.270000000000003</v>
      </c>
      <c r="BF231" s="3">
        <v>32.270000000000003</v>
      </c>
      <c r="BG231" s="3">
        <v>32.1</v>
      </c>
      <c r="BH231" s="3">
        <v>32.18</v>
      </c>
      <c r="BI231" s="3">
        <v>5325</v>
      </c>
    </row>
    <row r="232" spans="1:61" ht="13" x14ac:dyDescent="0.15">
      <c r="A232" s="3">
        <v>42465</v>
      </c>
      <c r="B232" s="3">
        <v>2062.5</v>
      </c>
      <c r="C232" s="3">
        <v>2062.5</v>
      </c>
      <c r="D232" s="3">
        <v>2042.56</v>
      </c>
      <c r="E232" s="3">
        <v>2045.17</v>
      </c>
      <c r="F232" s="3">
        <v>666163177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3">
        <v>78.41</v>
      </c>
      <c r="M232" s="3">
        <v>78.55</v>
      </c>
      <c r="N232" s="3">
        <v>77.959999999999994</v>
      </c>
      <c r="O232" s="3">
        <v>78.14</v>
      </c>
      <c r="P232" s="3">
        <v>8548041</v>
      </c>
      <c r="Q232" s="3">
        <v>53.42</v>
      </c>
      <c r="R232" s="3">
        <v>53.54</v>
      </c>
      <c r="S232" s="3">
        <v>53.16</v>
      </c>
      <c r="T232" s="3">
        <v>53.28</v>
      </c>
      <c r="U232" s="3">
        <v>11748798</v>
      </c>
      <c r="V232" s="3">
        <v>60.1</v>
      </c>
      <c r="W232" s="3">
        <v>60.63</v>
      </c>
      <c r="X232" s="3">
        <v>59.94</v>
      </c>
      <c r="Y232" s="3">
        <v>60.2</v>
      </c>
      <c r="Z232" s="3">
        <v>16048846</v>
      </c>
      <c r="AA232" s="3">
        <v>18.170000000000002</v>
      </c>
      <c r="AB232" s="3">
        <v>18.21</v>
      </c>
      <c r="AC232" s="3">
        <v>18.05</v>
      </c>
      <c r="AD232" s="3">
        <v>18.079999999999998</v>
      </c>
      <c r="AE232" s="3">
        <v>50076461</v>
      </c>
      <c r="AF232" s="3">
        <v>68.56</v>
      </c>
      <c r="AG232" s="3">
        <v>68.88</v>
      </c>
      <c r="AH232" s="3">
        <v>68.31</v>
      </c>
      <c r="AI232" s="3">
        <v>68.47</v>
      </c>
      <c r="AJ232" s="3">
        <v>16555121</v>
      </c>
      <c r="AK232" s="3">
        <v>54.73</v>
      </c>
      <c r="AL232" s="3">
        <v>55.01</v>
      </c>
      <c r="AM232" s="3">
        <v>54.56</v>
      </c>
      <c r="AN232" s="3">
        <v>54.76</v>
      </c>
      <c r="AO232" s="3">
        <v>11244897</v>
      </c>
      <c r="AP232" s="3">
        <v>44.32</v>
      </c>
      <c r="AQ232" s="3">
        <v>44.59</v>
      </c>
      <c r="AR232" s="3">
        <v>44.26</v>
      </c>
      <c r="AS232" s="3">
        <v>44.37</v>
      </c>
      <c r="AT232" s="3">
        <v>5483161</v>
      </c>
      <c r="AU232" s="3">
        <v>44.24</v>
      </c>
      <c r="AV232" s="3">
        <v>44.35</v>
      </c>
      <c r="AW232" s="3">
        <v>44.01</v>
      </c>
      <c r="AX232" s="3">
        <v>44.1</v>
      </c>
      <c r="AY232" s="3">
        <v>10726144</v>
      </c>
      <c r="AZ232" s="3">
        <v>49.49</v>
      </c>
      <c r="BA232" s="3">
        <v>49.57</v>
      </c>
      <c r="BB232" s="3">
        <v>48.63</v>
      </c>
      <c r="BC232" s="3">
        <v>48.67</v>
      </c>
      <c r="BD232" s="3">
        <v>18658430</v>
      </c>
      <c r="BE232" s="3">
        <v>31.9</v>
      </c>
      <c r="BF232" s="3">
        <v>31.9</v>
      </c>
      <c r="BG232" s="3">
        <v>31.88</v>
      </c>
      <c r="BH232" s="3">
        <v>31.89</v>
      </c>
      <c r="BI232" s="3">
        <v>310</v>
      </c>
    </row>
    <row r="233" spans="1:61" ht="13" x14ac:dyDescent="0.15">
      <c r="A233" s="3">
        <v>42466</v>
      </c>
      <c r="B233" s="3">
        <v>2045.56</v>
      </c>
      <c r="C233" s="3">
        <v>2067.33</v>
      </c>
      <c r="D233" s="3">
        <v>2043.09</v>
      </c>
      <c r="E233" s="3">
        <v>2066.66</v>
      </c>
      <c r="F233" s="3">
        <v>581198920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3">
        <v>78.239999999999995</v>
      </c>
      <c r="M233" s="3">
        <v>78.95</v>
      </c>
      <c r="N233" s="3">
        <v>78.040000000000006</v>
      </c>
      <c r="O233" s="3">
        <v>78.88</v>
      </c>
      <c r="P233" s="3">
        <v>6777084</v>
      </c>
      <c r="Q233" s="3">
        <v>53.14</v>
      </c>
      <c r="R233" s="3">
        <v>53.71</v>
      </c>
      <c r="S233" s="3">
        <v>53.14</v>
      </c>
      <c r="T233" s="3">
        <v>53.7</v>
      </c>
      <c r="U233" s="3">
        <v>11672409</v>
      </c>
      <c r="V233" s="3">
        <v>60.69</v>
      </c>
      <c r="W233" s="3">
        <v>61.51</v>
      </c>
      <c r="X233" s="3">
        <v>60.24</v>
      </c>
      <c r="Y233" s="3">
        <v>61.5</v>
      </c>
      <c r="Z233" s="3">
        <v>18218791</v>
      </c>
      <c r="AA233" s="3">
        <v>18.05</v>
      </c>
      <c r="AB233" s="3">
        <v>18.2</v>
      </c>
      <c r="AC233" s="3">
        <v>18</v>
      </c>
      <c r="AD233" s="3">
        <v>18.18</v>
      </c>
      <c r="AE233" s="3">
        <v>30974472</v>
      </c>
      <c r="AF233" s="3">
        <v>68.489999999999995</v>
      </c>
      <c r="AG233" s="3">
        <v>70.34</v>
      </c>
      <c r="AH233" s="3">
        <v>68.489999999999995</v>
      </c>
      <c r="AI233" s="3">
        <v>70.31</v>
      </c>
      <c r="AJ233" s="3">
        <v>24546616</v>
      </c>
      <c r="AK233" s="3">
        <v>54.74</v>
      </c>
      <c r="AL233" s="3">
        <v>55.03</v>
      </c>
      <c r="AM233" s="3">
        <v>54.25</v>
      </c>
      <c r="AN233" s="3">
        <v>55.03</v>
      </c>
      <c r="AO233" s="3">
        <v>10962441</v>
      </c>
      <c r="AP233" s="3">
        <v>44.26</v>
      </c>
      <c r="AQ233" s="3">
        <v>44.88</v>
      </c>
      <c r="AR233" s="3">
        <v>43.97</v>
      </c>
      <c r="AS233" s="3">
        <v>44.88</v>
      </c>
      <c r="AT233" s="3">
        <v>5672738</v>
      </c>
      <c r="AU233" s="3">
        <v>44.11</v>
      </c>
      <c r="AV233" s="3">
        <v>44.53</v>
      </c>
      <c r="AW233" s="3">
        <v>43.95</v>
      </c>
      <c r="AX233" s="3">
        <v>44.53</v>
      </c>
      <c r="AY233" s="3">
        <v>11138477</v>
      </c>
      <c r="AZ233" s="3">
        <v>48.6</v>
      </c>
      <c r="BA233" s="3">
        <v>48.68</v>
      </c>
      <c r="BB233" s="3">
        <v>48.31</v>
      </c>
      <c r="BC233" s="3">
        <v>48.61</v>
      </c>
      <c r="BD233" s="3">
        <v>20294480</v>
      </c>
      <c r="BE233" s="3">
        <v>31.93</v>
      </c>
      <c r="BF233" s="3">
        <v>31.98</v>
      </c>
      <c r="BG233" s="3">
        <v>31.85</v>
      </c>
      <c r="BH233" s="3">
        <v>31.98</v>
      </c>
      <c r="BI233" s="3">
        <v>588</v>
      </c>
    </row>
    <row r="234" spans="1:61" ht="13" x14ac:dyDescent="0.15">
      <c r="A234" s="3">
        <v>42467</v>
      </c>
      <c r="B234" s="3">
        <v>2063.0100000000002</v>
      </c>
      <c r="C234" s="3">
        <v>2063.0100000000002</v>
      </c>
      <c r="D234" s="3">
        <v>2033.8</v>
      </c>
      <c r="E234" s="3">
        <v>2041.91</v>
      </c>
      <c r="F234" s="3">
        <v>618277738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3">
        <v>78.56</v>
      </c>
      <c r="M234" s="3">
        <v>78.81</v>
      </c>
      <c r="N234" s="3">
        <v>77.650000000000006</v>
      </c>
      <c r="O234" s="3">
        <v>77.989999999999995</v>
      </c>
      <c r="P234" s="3">
        <v>5173359</v>
      </c>
      <c r="Q234" s="3">
        <v>53.34</v>
      </c>
      <c r="R234" s="3">
        <v>53.53</v>
      </c>
      <c r="S234" s="3">
        <v>52.95</v>
      </c>
      <c r="T234" s="3">
        <v>53.12</v>
      </c>
      <c r="U234" s="3">
        <v>11243439</v>
      </c>
      <c r="V234" s="3">
        <v>61.02</v>
      </c>
      <c r="W234" s="3">
        <v>61.59</v>
      </c>
      <c r="X234" s="3">
        <v>60.63</v>
      </c>
      <c r="Y234" s="3">
        <v>61.14</v>
      </c>
      <c r="Z234" s="3">
        <v>13927061</v>
      </c>
      <c r="AA234" s="3">
        <v>18.05</v>
      </c>
      <c r="AB234" s="3">
        <v>18.07</v>
      </c>
      <c r="AC234" s="3">
        <v>17.739999999999998</v>
      </c>
      <c r="AD234" s="3">
        <v>17.84</v>
      </c>
      <c r="AE234" s="3">
        <v>41685837</v>
      </c>
      <c r="AF234" s="3">
        <v>69.81</v>
      </c>
      <c r="AG234" s="3">
        <v>70.28</v>
      </c>
      <c r="AH234" s="3">
        <v>69.180000000000007</v>
      </c>
      <c r="AI234" s="3">
        <v>69.540000000000006</v>
      </c>
      <c r="AJ234" s="3">
        <v>19216681</v>
      </c>
      <c r="AK234" s="3">
        <v>54.57</v>
      </c>
      <c r="AL234" s="3">
        <v>54.86</v>
      </c>
      <c r="AM234" s="3">
        <v>54.33</v>
      </c>
      <c r="AN234" s="3">
        <v>54.5</v>
      </c>
      <c r="AO234" s="3">
        <v>13364507</v>
      </c>
      <c r="AP234" s="3">
        <v>44.54</v>
      </c>
      <c r="AQ234" s="3">
        <v>44.61</v>
      </c>
      <c r="AR234" s="3">
        <v>44.04</v>
      </c>
      <c r="AS234" s="3">
        <v>44.23</v>
      </c>
      <c r="AT234" s="3">
        <v>5067081</v>
      </c>
      <c r="AU234" s="3">
        <v>44.21</v>
      </c>
      <c r="AV234" s="3">
        <v>44.3</v>
      </c>
      <c r="AW234" s="3">
        <v>43.72</v>
      </c>
      <c r="AX234" s="3">
        <v>43.89</v>
      </c>
      <c r="AY234" s="3">
        <v>10631220</v>
      </c>
      <c r="AZ234" s="3">
        <v>48.54</v>
      </c>
      <c r="BA234" s="3">
        <v>48.91</v>
      </c>
      <c r="BB234" s="3">
        <v>48.46</v>
      </c>
      <c r="BC234" s="3">
        <v>48.59</v>
      </c>
      <c r="BD234" s="3">
        <v>15280570</v>
      </c>
      <c r="BE234" s="3">
        <v>32.03</v>
      </c>
      <c r="BF234" s="3">
        <v>32.03</v>
      </c>
      <c r="BG234" s="3">
        <v>31.72</v>
      </c>
      <c r="BH234" s="3">
        <v>31.72</v>
      </c>
      <c r="BI234" s="3">
        <v>2124</v>
      </c>
    </row>
    <row r="235" spans="1:61" ht="13" x14ac:dyDescent="0.15">
      <c r="A235" s="3">
        <v>42468</v>
      </c>
      <c r="B235" s="3">
        <v>2045.54</v>
      </c>
      <c r="C235" s="3">
        <v>2060.63</v>
      </c>
      <c r="D235" s="3">
        <v>2041.69</v>
      </c>
      <c r="E235" s="3">
        <v>2047.6</v>
      </c>
      <c r="F235" s="3">
        <v>534860062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3">
        <v>78.31</v>
      </c>
      <c r="M235" s="3">
        <v>78.39</v>
      </c>
      <c r="N235" s="3">
        <v>77.58</v>
      </c>
      <c r="O235" s="3">
        <v>77.87</v>
      </c>
      <c r="P235" s="3">
        <v>5159432</v>
      </c>
      <c r="Q235" s="3">
        <v>53.35</v>
      </c>
      <c r="R235" s="3">
        <v>53.47</v>
      </c>
      <c r="S235" s="3">
        <v>53.24</v>
      </c>
      <c r="T235" s="3">
        <v>53.41</v>
      </c>
      <c r="U235" s="3">
        <v>7040184</v>
      </c>
      <c r="V235" s="3">
        <v>62.29</v>
      </c>
      <c r="W235" s="3">
        <v>62.71</v>
      </c>
      <c r="X235" s="3">
        <v>62.06</v>
      </c>
      <c r="Y235" s="3">
        <v>62.37</v>
      </c>
      <c r="Z235" s="3">
        <v>17666506</v>
      </c>
      <c r="AA235" s="3">
        <v>17.96</v>
      </c>
      <c r="AB235" s="3">
        <v>18.079999999999998</v>
      </c>
      <c r="AC235" s="3">
        <v>17.87</v>
      </c>
      <c r="AD235" s="3">
        <v>17.91</v>
      </c>
      <c r="AE235" s="3">
        <v>45456367</v>
      </c>
      <c r="AF235" s="3">
        <v>69.97</v>
      </c>
      <c r="AG235" s="3">
        <v>70</v>
      </c>
      <c r="AH235" s="3">
        <v>68.94</v>
      </c>
      <c r="AI235" s="3">
        <v>69.349999999999994</v>
      </c>
      <c r="AJ235" s="3">
        <v>12883771</v>
      </c>
      <c r="AK235" s="3">
        <v>54.84</v>
      </c>
      <c r="AL235" s="3">
        <v>55.32</v>
      </c>
      <c r="AM235" s="3">
        <v>54.67</v>
      </c>
      <c r="AN235" s="3">
        <v>54.71</v>
      </c>
      <c r="AO235" s="3">
        <v>9188866</v>
      </c>
      <c r="AP235" s="3">
        <v>44.47</v>
      </c>
      <c r="AQ235" s="3">
        <v>45.02</v>
      </c>
      <c r="AR235" s="3">
        <v>44.47</v>
      </c>
      <c r="AS235" s="3">
        <v>44.52</v>
      </c>
      <c r="AT235" s="3">
        <v>4405767</v>
      </c>
      <c r="AU235" s="3">
        <v>44.12</v>
      </c>
      <c r="AV235" s="3">
        <v>44.29</v>
      </c>
      <c r="AW235" s="3">
        <v>43.74</v>
      </c>
      <c r="AX235" s="3">
        <v>43.89</v>
      </c>
      <c r="AY235" s="3">
        <v>8762796</v>
      </c>
      <c r="AZ235" s="3">
        <v>48.74</v>
      </c>
      <c r="BA235" s="3">
        <v>49.17</v>
      </c>
      <c r="BB235" s="3">
        <v>48.69</v>
      </c>
      <c r="BC235" s="3">
        <v>48.85</v>
      </c>
      <c r="BD235" s="3">
        <v>16437195</v>
      </c>
      <c r="BE235" s="3">
        <v>32.19</v>
      </c>
      <c r="BF235" s="3">
        <v>32.25</v>
      </c>
      <c r="BG235" s="3">
        <v>32.020000000000003</v>
      </c>
      <c r="BH235" s="3">
        <v>32.020000000000003</v>
      </c>
      <c r="BI235" s="3">
        <v>1897</v>
      </c>
    </row>
    <row r="236" spans="1:61" ht="13" x14ac:dyDescent="0.15">
      <c r="A236" s="3">
        <v>42471</v>
      </c>
      <c r="B236" s="3">
        <v>2050.23</v>
      </c>
      <c r="C236" s="3">
        <v>2062.9299999999998</v>
      </c>
      <c r="D236" s="3">
        <v>2041.88</v>
      </c>
      <c r="E236" s="3">
        <v>2041.99</v>
      </c>
      <c r="F236" s="3">
        <v>586554903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3">
        <v>78.11</v>
      </c>
      <c r="M236" s="3">
        <v>78.459999999999994</v>
      </c>
      <c r="N236" s="3">
        <v>77.540000000000006</v>
      </c>
      <c r="O236" s="3">
        <v>77.58</v>
      </c>
      <c r="P236" s="3">
        <v>5870999</v>
      </c>
      <c r="Q236" s="3">
        <v>53.47</v>
      </c>
      <c r="R236" s="3">
        <v>53.64</v>
      </c>
      <c r="S236" s="3">
        <v>52.99</v>
      </c>
      <c r="T236" s="3">
        <v>53.03</v>
      </c>
      <c r="U236" s="3">
        <v>6694269</v>
      </c>
      <c r="V236" s="3">
        <v>62.87</v>
      </c>
      <c r="W236" s="3">
        <v>63.06</v>
      </c>
      <c r="X236" s="3">
        <v>62.11</v>
      </c>
      <c r="Y236" s="3">
        <v>62.11</v>
      </c>
      <c r="Z236" s="3">
        <v>16235725</v>
      </c>
      <c r="AA236" s="3">
        <v>17.989999999999998</v>
      </c>
      <c r="AB236" s="3">
        <v>18.13</v>
      </c>
      <c r="AC236" s="3">
        <v>17.96</v>
      </c>
      <c r="AD236" s="3">
        <v>17.98</v>
      </c>
      <c r="AE236" s="3">
        <v>36899359</v>
      </c>
      <c r="AF236" s="3">
        <v>69.319999999999993</v>
      </c>
      <c r="AG236" s="3">
        <v>69.52</v>
      </c>
      <c r="AH236" s="3">
        <v>68.67</v>
      </c>
      <c r="AI236" s="3">
        <v>68.819999999999993</v>
      </c>
      <c r="AJ236" s="3">
        <v>8695545</v>
      </c>
      <c r="AK236" s="3">
        <v>54.98</v>
      </c>
      <c r="AL236" s="3">
        <v>55.34</v>
      </c>
      <c r="AM236" s="3">
        <v>54.71</v>
      </c>
      <c r="AN236" s="3">
        <v>54.73</v>
      </c>
      <c r="AO236" s="3">
        <v>7710122</v>
      </c>
      <c r="AP236" s="3">
        <v>44.92</v>
      </c>
      <c r="AQ236" s="3">
        <v>45.19</v>
      </c>
      <c r="AR236" s="3">
        <v>44.72</v>
      </c>
      <c r="AS236" s="3">
        <v>44.72</v>
      </c>
      <c r="AT236" s="3">
        <v>3845688</v>
      </c>
      <c r="AU236" s="3">
        <v>44.08</v>
      </c>
      <c r="AV236" s="3">
        <v>44.34</v>
      </c>
      <c r="AW236" s="3">
        <v>43.77</v>
      </c>
      <c r="AX236" s="3">
        <v>43.77</v>
      </c>
      <c r="AY236" s="3">
        <v>8138585</v>
      </c>
      <c r="AZ236" s="3">
        <v>48.85</v>
      </c>
      <c r="BA236" s="3">
        <v>49.16</v>
      </c>
      <c r="BB236" s="3">
        <v>48.6</v>
      </c>
      <c r="BC236" s="3">
        <v>48.64</v>
      </c>
      <c r="BD236" s="3">
        <v>11125030</v>
      </c>
      <c r="BE236" s="3">
        <v>32.06</v>
      </c>
      <c r="BF236" s="3">
        <v>32.200000000000003</v>
      </c>
      <c r="BG236" s="3">
        <v>31.99</v>
      </c>
      <c r="BH236" s="3">
        <v>32</v>
      </c>
      <c r="BI236" s="3">
        <v>3141</v>
      </c>
    </row>
    <row r="237" spans="1:61" ht="13" x14ac:dyDescent="0.15">
      <c r="A237" s="3">
        <v>42472</v>
      </c>
      <c r="B237" s="3">
        <v>2043.72</v>
      </c>
      <c r="C237" s="3">
        <v>2065.0500000000002</v>
      </c>
      <c r="D237" s="3">
        <v>2039.74</v>
      </c>
      <c r="E237" s="3">
        <v>2061.7199999999998</v>
      </c>
      <c r="F237" s="3">
        <v>590857575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3">
        <v>77.599999999999994</v>
      </c>
      <c r="M237" s="3">
        <v>78.290000000000006</v>
      </c>
      <c r="N237" s="3">
        <v>77.25</v>
      </c>
      <c r="O237" s="3">
        <v>78.17</v>
      </c>
      <c r="P237" s="3">
        <v>5751270</v>
      </c>
      <c r="Q237" s="3">
        <v>53.04</v>
      </c>
      <c r="R237" s="3">
        <v>53.42</v>
      </c>
      <c r="S237" s="3">
        <v>53.04</v>
      </c>
      <c r="T237" s="3">
        <v>53.36</v>
      </c>
      <c r="U237" s="3">
        <v>9361144</v>
      </c>
      <c r="V237" s="3">
        <v>62.35</v>
      </c>
      <c r="W237" s="3">
        <v>64.33</v>
      </c>
      <c r="X237" s="3">
        <v>62.22</v>
      </c>
      <c r="Y237" s="3">
        <v>63.96</v>
      </c>
      <c r="Z237" s="3">
        <v>27630418</v>
      </c>
      <c r="AA237" s="3">
        <v>18</v>
      </c>
      <c r="AB237" s="3">
        <v>18.239999999999998</v>
      </c>
      <c r="AC237" s="3">
        <v>17.96</v>
      </c>
      <c r="AD237" s="3">
        <v>18.21</v>
      </c>
      <c r="AE237" s="3">
        <v>39176215</v>
      </c>
      <c r="AF237" s="3">
        <v>68.81</v>
      </c>
      <c r="AG237" s="3">
        <v>69.53</v>
      </c>
      <c r="AH237" s="3">
        <v>68.8</v>
      </c>
      <c r="AI237" s="3">
        <v>69.38</v>
      </c>
      <c r="AJ237" s="3">
        <v>13510509</v>
      </c>
      <c r="AK237" s="3">
        <v>54.75</v>
      </c>
      <c r="AL237" s="3">
        <v>55.33</v>
      </c>
      <c r="AM237" s="3">
        <v>54.66</v>
      </c>
      <c r="AN237" s="3">
        <v>55.05</v>
      </c>
      <c r="AO237" s="3">
        <v>10724259</v>
      </c>
      <c r="AP237" s="3">
        <v>44.99</v>
      </c>
      <c r="AQ237" s="3">
        <v>45.42</v>
      </c>
      <c r="AR237" s="3">
        <v>44.74</v>
      </c>
      <c r="AS237" s="3">
        <v>45.34</v>
      </c>
      <c r="AT237" s="3">
        <v>4704884</v>
      </c>
      <c r="AU237" s="3">
        <v>43.85</v>
      </c>
      <c r="AV237" s="3">
        <v>44.11</v>
      </c>
      <c r="AW237" s="3">
        <v>43.55</v>
      </c>
      <c r="AX237" s="3">
        <v>44.07</v>
      </c>
      <c r="AY237" s="3">
        <v>9591974</v>
      </c>
      <c r="AZ237" s="3">
        <v>48.65</v>
      </c>
      <c r="BA237" s="3">
        <v>49.04</v>
      </c>
      <c r="BB237" s="3">
        <v>48.57</v>
      </c>
      <c r="BC237" s="3">
        <v>48.98</v>
      </c>
      <c r="BD237" s="3">
        <v>13427647</v>
      </c>
      <c r="BE237" s="3">
        <v>32.090000000000003</v>
      </c>
      <c r="BF237" s="3">
        <v>32.19</v>
      </c>
      <c r="BG237" s="3">
        <v>32.090000000000003</v>
      </c>
      <c r="BH237" s="3">
        <v>32.14</v>
      </c>
      <c r="BI237" s="3">
        <v>1322</v>
      </c>
    </row>
    <row r="238" spans="1:61" ht="13" x14ac:dyDescent="0.15">
      <c r="A238" s="3">
        <v>42473</v>
      </c>
      <c r="B238" s="3">
        <v>2065.92</v>
      </c>
      <c r="C238" s="3">
        <v>2083.1799999999998</v>
      </c>
      <c r="D238" s="3">
        <v>2065.92</v>
      </c>
      <c r="E238" s="3">
        <v>2082.42</v>
      </c>
      <c r="F238" s="3">
        <v>630914475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3">
        <v>78.63</v>
      </c>
      <c r="M238" s="3">
        <v>79.3</v>
      </c>
      <c r="N238" s="3">
        <v>78.5</v>
      </c>
      <c r="O238" s="3">
        <v>79.27</v>
      </c>
      <c r="P238" s="3">
        <v>5040500</v>
      </c>
      <c r="Q238" s="3">
        <v>53.49</v>
      </c>
      <c r="R238" s="3">
        <v>53.55</v>
      </c>
      <c r="S238" s="3">
        <v>52.71</v>
      </c>
      <c r="T238" s="3">
        <v>52.95</v>
      </c>
      <c r="U238" s="3">
        <v>14779973</v>
      </c>
      <c r="V238" s="3">
        <v>63.93</v>
      </c>
      <c r="W238" s="3">
        <v>64.45</v>
      </c>
      <c r="X238" s="3">
        <v>63.48</v>
      </c>
      <c r="Y238" s="3">
        <v>64.260000000000005</v>
      </c>
      <c r="Z238" s="3">
        <v>18702915</v>
      </c>
      <c r="AA238" s="3">
        <v>18.39</v>
      </c>
      <c r="AB238" s="3">
        <v>18.64</v>
      </c>
      <c r="AC238" s="3">
        <v>18.38</v>
      </c>
      <c r="AD238" s="3">
        <v>18.62</v>
      </c>
      <c r="AE238" s="3">
        <v>56579584</v>
      </c>
      <c r="AF238" s="3">
        <v>69.7</v>
      </c>
      <c r="AG238" s="3">
        <v>70.069999999999993</v>
      </c>
      <c r="AH238" s="3">
        <v>69.33</v>
      </c>
      <c r="AI238" s="3">
        <v>70.03</v>
      </c>
      <c r="AJ238" s="3">
        <v>9706171</v>
      </c>
      <c r="AK238" s="3">
        <v>55.56</v>
      </c>
      <c r="AL238" s="3">
        <v>56.02</v>
      </c>
      <c r="AM238" s="3">
        <v>55.49</v>
      </c>
      <c r="AN238" s="3">
        <v>55.87</v>
      </c>
      <c r="AO238" s="3">
        <v>13215527</v>
      </c>
      <c r="AP238" s="3">
        <v>45.63</v>
      </c>
      <c r="AQ238" s="3">
        <v>45.94</v>
      </c>
      <c r="AR238" s="3">
        <v>45.59</v>
      </c>
      <c r="AS238" s="3">
        <v>45.79</v>
      </c>
      <c r="AT238" s="3">
        <v>4825903</v>
      </c>
      <c r="AU238" s="3">
        <v>44.33</v>
      </c>
      <c r="AV238" s="3">
        <v>44.59</v>
      </c>
      <c r="AW238" s="3">
        <v>44.28</v>
      </c>
      <c r="AX238" s="3">
        <v>44.52</v>
      </c>
      <c r="AY238" s="3">
        <v>7876600</v>
      </c>
      <c r="AZ238" s="3">
        <v>49.12</v>
      </c>
      <c r="BA238" s="3">
        <v>49.12</v>
      </c>
      <c r="BB238" s="3">
        <v>48.42</v>
      </c>
      <c r="BC238" s="3">
        <v>48.68</v>
      </c>
      <c r="BD238" s="3">
        <v>13320464</v>
      </c>
      <c r="BE238" s="3">
        <v>32.14</v>
      </c>
      <c r="BF238" s="3">
        <v>32.159999999999997</v>
      </c>
      <c r="BG238" s="3">
        <v>31.95</v>
      </c>
      <c r="BH238" s="3">
        <v>32.020000000000003</v>
      </c>
      <c r="BI238" s="3">
        <v>2847</v>
      </c>
    </row>
    <row r="239" spans="1:61" ht="13" x14ac:dyDescent="0.15">
      <c r="A239" s="3">
        <v>42474</v>
      </c>
      <c r="B239" s="3">
        <v>2082.89</v>
      </c>
      <c r="C239" s="3">
        <v>2087.84</v>
      </c>
      <c r="D239" s="3">
        <v>2078.13</v>
      </c>
      <c r="E239" s="3">
        <v>2082.7800000000002</v>
      </c>
      <c r="F239" s="3">
        <v>563108643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3">
        <v>79.319999999999993</v>
      </c>
      <c r="M239" s="3">
        <v>79.510000000000005</v>
      </c>
      <c r="N239" s="3">
        <v>79</v>
      </c>
      <c r="O239" s="3">
        <v>79.27</v>
      </c>
      <c r="P239" s="3">
        <v>3462258</v>
      </c>
      <c r="Q239" s="3">
        <v>52.92</v>
      </c>
      <c r="R239" s="3">
        <v>53.05</v>
      </c>
      <c r="S239" s="3">
        <v>52.67</v>
      </c>
      <c r="T239" s="3">
        <v>52.71</v>
      </c>
      <c r="U239" s="3">
        <v>11811284</v>
      </c>
      <c r="V239" s="3">
        <v>64.53</v>
      </c>
      <c r="W239" s="3">
        <v>64.540000000000006</v>
      </c>
      <c r="X239" s="3">
        <v>64.03</v>
      </c>
      <c r="Y239" s="3">
        <v>64.41</v>
      </c>
      <c r="Z239" s="3">
        <v>17435536</v>
      </c>
      <c r="AA239" s="3">
        <v>18.53</v>
      </c>
      <c r="AB239" s="3">
        <v>18.760000000000002</v>
      </c>
      <c r="AC239" s="3">
        <v>18.53</v>
      </c>
      <c r="AD239" s="3">
        <v>18.66</v>
      </c>
      <c r="AE239" s="3">
        <v>42286759</v>
      </c>
      <c r="AF239" s="3">
        <v>70.010000000000005</v>
      </c>
      <c r="AG239" s="3">
        <v>70.3</v>
      </c>
      <c r="AH239" s="3">
        <v>69.81</v>
      </c>
      <c r="AI239" s="3">
        <v>70.069999999999993</v>
      </c>
      <c r="AJ239" s="3">
        <v>6655195</v>
      </c>
      <c r="AK239" s="3">
        <v>56.14</v>
      </c>
      <c r="AL239" s="3">
        <v>56.2</v>
      </c>
      <c r="AM239" s="3">
        <v>55.89</v>
      </c>
      <c r="AN239" s="3">
        <v>55.97</v>
      </c>
      <c r="AO239" s="3">
        <v>13195465</v>
      </c>
      <c r="AP239" s="3">
        <v>45.99</v>
      </c>
      <c r="AQ239" s="3">
        <v>46.07</v>
      </c>
      <c r="AR239" s="3">
        <v>45.72</v>
      </c>
      <c r="AS239" s="3">
        <v>45.82</v>
      </c>
      <c r="AT239" s="3">
        <v>3538305</v>
      </c>
      <c r="AU239" s="3">
        <v>44.46</v>
      </c>
      <c r="AV239" s="3">
        <v>44.65</v>
      </c>
      <c r="AW239" s="3">
        <v>44.36</v>
      </c>
      <c r="AX239" s="3">
        <v>44.51</v>
      </c>
      <c r="AY239" s="3">
        <v>6502749</v>
      </c>
      <c r="AZ239" s="3">
        <v>48.56</v>
      </c>
      <c r="BA239" s="3">
        <v>48.79</v>
      </c>
      <c r="BB239" s="3">
        <v>48.46</v>
      </c>
      <c r="BC239" s="3">
        <v>48.62</v>
      </c>
      <c r="BD239" s="3">
        <v>12090787</v>
      </c>
      <c r="BE239" s="3">
        <v>31.97</v>
      </c>
      <c r="BF239" s="3">
        <v>31.97</v>
      </c>
      <c r="BG239" s="3">
        <v>31.84</v>
      </c>
      <c r="BH239" s="3">
        <v>31.89</v>
      </c>
      <c r="BI239" s="3">
        <v>3616</v>
      </c>
    </row>
    <row r="240" spans="1:61" ht="13" x14ac:dyDescent="0.15">
      <c r="A240" s="3">
        <v>42475</v>
      </c>
      <c r="B240" s="3">
        <v>2083.1</v>
      </c>
      <c r="C240" s="3">
        <v>2083.2199999999998</v>
      </c>
      <c r="D240" s="3">
        <v>2076.31</v>
      </c>
      <c r="E240" s="3">
        <v>2080.73</v>
      </c>
      <c r="F240" s="3">
        <v>693554004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3">
        <v>79.28</v>
      </c>
      <c r="M240" s="3">
        <v>79.540000000000006</v>
      </c>
      <c r="N240" s="3">
        <v>79.05</v>
      </c>
      <c r="O240" s="3">
        <v>79.489999999999995</v>
      </c>
      <c r="P240" s="3">
        <v>4299693</v>
      </c>
      <c r="Q240" s="3">
        <v>52.7</v>
      </c>
      <c r="R240" s="3">
        <v>53.06</v>
      </c>
      <c r="S240" s="3">
        <v>52.64</v>
      </c>
      <c r="T240" s="3">
        <v>53.04</v>
      </c>
      <c r="U240" s="3">
        <v>12384193</v>
      </c>
      <c r="V240" s="3">
        <v>64.05</v>
      </c>
      <c r="W240" s="3">
        <v>64.16</v>
      </c>
      <c r="X240" s="3">
        <v>63.46</v>
      </c>
      <c r="Y240" s="3">
        <v>63.54</v>
      </c>
      <c r="Z240" s="3">
        <v>14221157</v>
      </c>
      <c r="AA240" s="3">
        <v>18.71</v>
      </c>
      <c r="AB240" s="3">
        <v>18.73</v>
      </c>
      <c r="AC240" s="3">
        <v>18.559999999999999</v>
      </c>
      <c r="AD240" s="3">
        <v>18.600000000000001</v>
      </c>
      <c r="AE240" s="3">
        <v>43786999</v>
      </c>
      <c r="AF240" s="3">
        <v>70.239999999999995</v>
      </c>
      <c r="AG240" s="3">
        <v>70.239999999999995</v>
      </c>
      <c r="AH240" s="3">
        <v>69.55</v>
      </c>
      <c r="AI240" s="3">
        <v>70.02</v>
      </c>
      <c r="AJ240" s="3">
        <v>7945340</v>
      </c>
      <c r="AK240" s="3">
        <v>56.07</v>
      </c>
      <c r="AL240" s="3">
        <v>56.1</v>
      </c>
      <c r="AM240" s="3">
        <v>55.9</v>
      </c>
      <c r="AN240" s="3">
        <v>56.05</v>
      </c>
      <c r="AO240" s="3">
        <v>10781632</v>
      </c>
      <c r="AP240" s="3">
        <v>45.94</v>
      </c>
      <c r="AQ240" s="3">
        <v>46.06</v>
      </c>
      <c r="AR240" s="3">
        <v>45.65</v>
      </c>
      <c r="AS240" s="3">
        <v>46.03</v>
      </c>
      <c r="AT240" s="3">
        <v>3437427</v>
      </c>
      <c r="AU240" s="3">
        <v>44.45</v>
      </c>
      <c r="AV240" s="3">
        <v>44.57</v>
      </c>
      <c r="AW240" s="3">
        <v>44.25</v>
      </c>
      <c r="AX240" s="3">
        <v>44.34</v>
      </c>
      <c r="AY240" s="3">
        <v>6460875</v>
      </c>
      <c r="AZ240" s="3">
        <v>48.72</v>
      </c>
      <c r="BA240" s="3">
        <v>49</v>
      </c>
      <c r="BB240" s="3">
        <v>48.55</v>
      </c>
      <c r="BC240" s="3">
        <v>48.89</v>
      </c>
      <c r="BD240" s="3">
        <v>10962869</v>
      </c>
      <c r="BE240" s="3">
        <v>31.89</v>
      </c>
      <c r="BF240" s="3">
        <v>32.11</v>
      </c>
      <c r="BG240" s="3">
        <v>31.89</v>
      </c>
      <c r="BH240" s="3">
        <v>32.11</v>
      </c>
      <c r="BI240" s="3">
        <v>731</v>
      </c>
    </row>
    <row r="241" spans="1:61" ht="13" x14ac:dyDescent="0.15">
      <c r="A241" s="3">
        <v>42478</v>
      </c>
      <c r="B241" s="3">
        <v>2078.83</v>
      </c>
      <c r="C241" s="3">
        <v>2094.66</v>
      </c>
      <c r="D241" s="3">
        <v>2073.65</v>
      </c>
      <c r="E241" s="3">
        <v>2094.34</v>
      </c>
      <c r="F241" s="3">
        <v>547244884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3">
        <v>79.489999999999995</v>
      </c>
      <c r="M241" s="3">
        <v>80.239999999999995</v>
      </c>
      <c r="N241" s="3">
        <v>79.27</v>
      </c>
      <c r="O241" s="3">
        <v>80.239999999999995</v>
      </c>
      <c r="P241" s="3">
        <v>4463022</v>
      </c>
      <c r="Q241" s="3">
        <v>52.95</v>
      </c>
      <c r="R241" s="3">
        <v>53.34</v>
      </c>
      <c r="S241" s="3">
        <v>52.91</v>
      </c>
      <c r="T241" s="3">
        <v>53.34</v>
      </c>
      <c r="U241" s="3">
        <v>8476819</v>
      </c>
      <c r="V241" s="3">
        <v>62.23</v>
      </c>
      <c r="W241" s="3">
        <v>64.75</v>
      </c>
      <c r="X241" s="3">
        <v>62.08</v>
      </c>
      <c r="Y241" s="3">
        <v>64.59</v>
      </c>
      <c r="Z241" s="3">
        <v>20685801</v>
      </c>
      <c r="AA241" s="3">
        <v>18.510000000000002</v>
      </c>
      <c r="AB241" s="3">
        <v>18.75</v>
      </c>
      <c r="AC241" s="3">
        <v>18.489999999999998</v>
      </c>
      <c r="AD241" s="3">
        <v>18.73</v>
      </c>
      <c r="AE241" s="3">
        <v>42594658</v>
      </c>
      <c r="AF241" s="3">
        <v>69.819999999999993</v>
      </c>
      <c r="AG241" s="3">
        <v>70.75</v>
      </c>
      <c r="AH241" s="3">
        <v>69.709999999999994</v>
      </c>
      <c r="AI241" s="3">
        <v>70.67</v>
      </c>
      <c r="AJ241" s="3">
        <v>11505376</v>
      </c>
      <c r="AK241" s="3">
        <v>55.8</v>
      </c>
      <c r="AL241" s="3">
        <v>56.29</v>
      </c>
      <c r="AM241" s="3">
        <v>55.71</v>
      </c>
      <c r="AN241" s="3">
        <v>56.1</v>
      </c>
      <c r="AO241" s="3">
        <v>8618994</v>
      </c>
      <c r="AP241" s="3">
        <v>45.8</v>
      </c>
      <c r="AQ241" s="3">
        <v>46.25</v>
      </c>
      <c r="AR241" s="3">
        <v>45.63</v>
      </c>
      <c r="AS241" s="3">
        <v>46.24</v>
      </c>
      <c r="AT241" s="3">
        <v>4465687</v>
      </c>
      <c r="AU241" s="3">
        <v>44.21</v>
      </c>
      <c r="AV241" s="3">
        <v>44.53</v>
      </c>
      <c r="AW241" s="3">
        <v>44.14</v>
      </c>
      <c r="AX241" s="3">
        <v>44.53</v>
      </c>
      <c r="AY241" s="3">
        <v>7113020</v>
      </c>
      <c r="AZ241" s="3">
        <v>48.86</v>
      </c>
      <c r="BA241" s="3">
        <v>49.08</v>
      </c>
      <c r="BB241" s="3">
        <v>48.53</v>
      </c>
      <c r="BC241" s="3">
        <v>49.08</v>
      </c>
      <c r="BD241" s="3">
        <v>9124107</v>
      </c>
      <c r="BE241" s="3">
        <v>32.130000000000003</v>
      </c>
      <c r="BF241" s="3">
        <v>32.229999999999997</v>
      </c>
      <c r="BG241" s="3">
        <v>31.85</v>
      </c>
      <c r="BH241" s="3">
        <v>32.229999999999997</v>
      </c>
      <c r="BI241" s="3">
        <v>959</v>
      </c>
    </row>
    <row r="242" spans="1:61" ht="13" x14ac:dyDescent="0.15">
      <c r="A242" s="3">
        <v>42479</v>
      </c>
      <c r="B242" s="3">
        <v>2096.0500000000002</v>
      </c>
      <c r="C242" s="3">
        <v>2104.0500000000002</v>
      </c>
      <c r="D242" s="3">
        <v>2091.6799999999998</v>
      </c>
      <c r="E242" s="3">
        <v>2100.8000000000002</v>
      </c>
      <c r="F242" s="3">
        <v>590323888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3">
        <v>80.34</v>
      </c>
      <c r="M242" s="3">
        <v>80.459999999999994</v>
      </c>
      <c r="N242" s="3">
        <v>79.5</v>
      </c>
      <c r="O242" s="3">
        <v>79.8</v>
      </c>
      <c r="P242" s="3">
        <v>4272786</v>
      </c>
      <c r="Q242" s="3">
        <v>53.23</v>
      </c>
      <c r="R242" s="3">
        <v>53.36</v>
      </c>
      <c r="S242" s="3">
        <v>53.07</v>
      </c>
      <c r="T242" s="3">
        <v>53.31</v>
      </c>
      <c r="U242" s="3">
        <v>5980137</v>
      </c>
      <c r="V242" s="3">
        <v>64.959999999999994</v>
      </c>
      <c r="W242" s="3">
        <v>65.95</v>
      </c>
      <c r="X242" s="3">
        <v>64.66</v>
      </c>
      <c r="Y242" s="3">
        <v>65.88</v>
      </c>
      <c r="Z242" s="3">
        <v>17341382</v>
      </c>
      <c r="AA242" s="3">
        <v>18.79</v>
      </c>
      <c r="AB242" s="3">
        <v>18.97</v>
      </c>
      <c r="AC242" s="3">
        <v>18.79</v>
      </c>
      <c r="AD242" s="3">
        <v>18.97</v>
      </c>
      <c r="AE242" s="3">
        <v>46441385</v>
      </c>
      <c r="AF242" s="3">
        <v>70.790000000000006</v>
      </c>
      <c r="AG242" s="3">
        <v>71.3</v>
      </c>
      <c r="AH242" s="3">
        <v>70.53</v>
      </c>
      <c r="AI242" s="3">
        <v>70.92</v>
      </c>
      <c r="AJ242" s="3">
        <v>6655013</v>
      </c>
      <c r="AK242" s="3">
        <v>56.4</v>
      </c>
      <c r="AL242" s="3">
        <v>56.72</v>
      </c>
      <c r="AM242" s="3">
        <v>56.28</v>
      </c>
      <c r="AN242" s="3">
        <v>56.5</v>
      </c>
      <c r="AO242" s="3">
        <v>9318780</v>
      </c>
      <c r="AP242" s="3">
        <v>46.42</v>
      </c>
      <c r="AQ242" s="3">
        <v>47.26</v>
      </c>
      <c r="AR242" s="3">
        <v>46.35</v>
      </c>
      <c r="AS242" s="3">
        <v>47.23</v>
      </c>
      <c r="AT242" s="3">
        <v>6326080</v>
      </c>
      <c r="AU242" s="3">
        <v>44.61</v>
      </c>
      <c r="AV242" s="3">
        <v>44.66</v>
      </c>
      <c r="AW242" s="3">
        <v>44.03</v>
      </c>
      <c r="AX242" s="3">
        <v>44.28</v>
      </c>
      <c r="AY242" s="3">
        <v>6470997</v>
      </c>
      <c r="AZ242" s="3">
        <v>49.13</v>
      </c>
      <c r="BA242" s="3">
        <v>49.23</v>
      </c>
      <c r="BB242" s="3">
        <v>48.84</v>
      </c>
      <c r="BC242" s="3">
        <v>49.16</v>
      </c>
      <c r="BD242" s="3">
        <v>10495446</v>
      </c>
      <c r="BE242" s="3">
        <v>32.409999999999997</v>
      </c>
      <c r="BF242" s="3">
        <v>32.409999999999997</v>
      </c>
      <c r="BG242" s="3">
        <v>32.049999999999997</v>
      </c>
      <c r="BH242" s="3">
        <v>32.119999999999997</v>
      </c>
      <c r="BI242" s="3">
        <v>32759</v>
      </c>
    </row>
    <row r="243" spans="1:61" ht="13" x14ac:dyDescent="0.15">
      <c r="A243" s="3">
        <v>42480</v>
      </c>
      <c r="B243" s="3">
        <v>2101.52</v>
      </c>
      <c r="C243" s="3">
        <v>2111.0500000000002</v>
      </c>
      <c r="D243" s="3">
        <v>2096.3200000000002</v>
      </c>
      <c r="E243" s="3">
        <v>2102.4</v>
      </c>
      <c r="F243" s="3">
        <v>604654546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3">
        <v>80</v>
      </c>
      <c r="M243" s="3">
        <v>80.17</v>
      </c>
      <c r="N243" s="3">
        <v>79.52</v>
      </c>
      <c r="O243" s="3">
        <v>79.900000000000006</v>
      </c>
      <c r="P243" s="3">
        <v>4785727</v>
      </c>
      <c r="Q243" s="3">
        <v>53.22</v>
      </c>
      <c r="R243" s="3">
        <v>53.22</v>
      </c>
      <c r="S243" s="3">
        <v>52.58</v>
      </c>
      <c r="T243" s="3">
        <v>52.59</v>
      </c>
      <c r="U243" s="3">
        <v>20207310</v>
      </c>
      <c r="V243" s="3">
        <v>65.53</v>
      </c>
      <c r="W243" s="3">
        <v>66.98</v>
      </c>
      <c r="X243" s="3">
        <v>65.319999999999993</v>
      </c>
      <c r="Y243" s="3">
        <v>66.47</v>
      </c>
      <c r="Z243" s="3">
        <v>21088333</v>
      </c>
      <c r="AA243" s="3">
        <v>18.96</v>
      </c>
      <c r="AB243" s="3">
        <v>19.149999999999999</v>
      </c>
      <c r="AC243" s="3">
        <v>18.95</v>
      </c>
      <c r="AD243" s="3">
        <v>19.12</v>
      </c>
      <c r="AE243" s="3">
        <v>60717437</v>
      </c>
      <c r="AF243" s="3">
        <v>70.94</v>
      </c>
      <c r="AG243" s="3">
        <v>71.64</v>
      </c>
      <c r="AH243" s="3">
        <v>70.88</v>
      </c>
      <c r="AI243" s="3">
        <v>71.3</v>
      </c>
      <c r="AJ243" s="3">
        <v>10763418</v>
      </c>
      <c r="AK243" s="3">
        <v>56.52</v>
      </c>
      <c r="AL243" s="3">
        <v>56.71</v>
      </c>
      <c r="AM243" s="3">
        <v>56.26</v>
      </c>
      <c r="AN243" s="3">
        <v>56.41</v>
      </c>
      <c r="AO243" s="3">
        <v>13632607</v>
      </c>
      <c r="AP243" s="3">
        <v>47.29</v>
      </c>
      <c r="AQ243" s="3">
        <v>47.32</v>
      </c>
      <c r="AR243" s="3">
        <v>46.97</v>
      </c>
      <c r="AS243" s="3">
        <v>47.09</v>
      </c>
      <c r="AT243" s="3">
        <v>6506675</v>
      </c>
      <c r="AU243" s="3">
        <v>44.32</v>
      </c>
      <c r="AV243" s="3">
        <v>44.57</v>
      </c>
      <c r="AW243" s="3">
        <v>44.19</v>
      </c>
      <c r="AX243" s="3">
        <v>44.37</v>
      </c>
      <c r="AY243" s="3">
        <v>6877832</v>
      </c>
      <c r="AZ243" s="3">
        <v>49.2</v>
      </c>
      <c r="BA243" s="3">
        <v>49.26</v>
      </c>
      <c r="BB243" s="3">
        <v>47.9</v>
      </c>
      <c r="BC243" s="3">
        <v>47.93</v>
      </c>
      <c r="BD243" s="3">
        <v>26068701</v>
      </c>
      <c r="BE243" s="3">
        <v>32.01</v>
      </c>
      <c r="BF243" s="3">
        <v>32.020000000000003</v>
      </c>
      <c r="BG243" s="3">
        <v>31.76</v>
      </c>
      <c r="BH243" s="3">
        <v>31.8</v>
      </c>
      <c r="BI243" s="3">
        <v>1880</v>
      </c>
    </row>
    <row r="244" spans="1:61" ht="13" x14ac:dyDescent="0.15">
      <c r="A244" s="3">
        <v>42481</v>
      </c>
      <c r="B244" s="3">
        <v>2102.09</v>
      </c>
      <c r="C244" s="3">
        <v>2103.7800000000002</v>
      </c>
      <c r="D244" s="3">
        <v>2088.52</v>
      </c>
      <c r="E244" s="3">
        <v>2091.48</v>
      </c>
      <c r="F244" s="3">
        <v>651246160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3">
        <v>80.11</v>
      </c>
      <c r="M244" s="3">
        <v>80.260000000000005</v>
      </c>
      <c r="N244" s="3">
        <v>79.59</v>
      </c>
      <c r="O244" s="3">
        <v>79.62</v>
      </c>
      <c r="P244" s="3">
        <v>4142744</v>
      </c>
      <c r="Q244" s="3">
        <v>52.51</v>
      </c>
      <c r="R244" s="3">
        <v>52.58</v>
      </c>
      <c r="S244" s="3">
        <v>51.73</v>
      </c>
      <c r="T244" s="3">
        <v>51.77</v>
      </c>
      <c r="U244" s="3">
        <v>30667357</v>
      </c>
      <c r="V244" s="3">
        <v>66.56</v>
      </c>
      <c r="W244" s="3">
        <v>66.84</v>
      </c>
      <c r="X244" s="3">
        <v>65.94</v>
      </c>
      <c r="Y244" s="3">
        <v>66.08</v>
      </c>
      <c r="Z244" s="3">
        <v>19335063</v>
      </c>
      <c r="AA244" s="3">
        <v>19.11</v>
      </c>
      <c r="AB244" s="3">
        <v>19.190000000000001</v>
      </c>
      <c r="AC244" s="3">
        <v>18.899999999999999</v>
      </c>
      <c r="AD244" s="3">
        <v>18.95</v>
      </c>
      <c r="AE244" s="3">
        <v>51532672</v>
      </c>
      <c r="AF244" s="3">
        <v>71.34</v>
      </c>
      <c r="AG244" s="3">
        <v>71.88</v>
      </c>
      <c r="AH244" s="3">
        <v>71.25</v>
      </c>
      <c r="AI244" s="3">
        <v>71.72</v>
      </c>
      <c r="AJ244" s="3">
        <v>12463114</v>
      </c>
      <c r="AK244" s="3">
        <v>56.39</v>
      </c>
      <c r="AL244" s="3">
        <v>56.6</v>
      </c>
      <c r="AM244" s="3">
        <v>56.21</v>
      </c>
      <c r="AN244" s="3">
        <v>56.27</v>
      </c>
      <c r="AO244" s="3">
        <v>11941761</v>
      </c>
      <c r="AP244" s="3">
        <v>47.23</v>
      </c>
      <c r="AQ244" s="3">
        <v>47.41</v>
      </c>
      <c r="AR244" s="3">
        <v>46.87</v>
      </c>
      <c r="AS244" s="3">
        <v>46.88</v>
      </c>
      <c r="AT244" s="3">
        <v>6070639</v>
      </c>
      <c r="AU244" s="3">
        <v>44.31</v>
      </c>
      <c r="AV244" s="3">
        <v>44.4</v>
      </c>
      <c r="AW244" s="3">
        <v>44.1</v>
      </c>
      <c r="AX244" s="3">
        <v>44.21</v>
      </c>
      <c r="AY244" s="3">
        <v>11277897</v>
      </c>
      <c r="AZ244" s="3">
        <v>47.75</v>
      </c>
      <c r="BA244" s="3">
        <v>47.88</v>
      </c>
      <c r="BB244" s="3">
        <v>46.73</v>
      </c>
      <c r="BC244" s="3">
        <v>46.93</v>
      </c>
      <c r="BD244" s="3">
        <v>32065681</v>
      </c>
      <c r="BE244" s="3">
        <v>31.63</v>
      </c>
      <c r="BF244" s="3">
        <v>31.66</v>
      </c>
      <c r="BG244" s="3">
        <v>31.01</v>
      </c>
      <c r="BH244" s="3">
        <v>31.06</v>
      </c>
      <c r="BI244" s="3">
        <v>1293</v>
      </c>
    </row>
    <row r="245" spans="1:61" ht="13" x14ac:dyDescent="0.15">
      <c r="A245" s="3">
        <v>42482</v>
      </c>
      <c r="B245" s="3">
        <v>2091.4899999999998</v>
      </c>
      <c r="C245" s="3">
        <v>2094.3200000000002</v>
      </c>
      <c r="D245" s="3">
        <v>2081.1999999999998</v>
      </c>
      <c r="E245" s="3">
        <v>2091.58</v>
      </c>
      <c r="F245" s="3">
        <v>705983995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3">
        <v>79.66</v>
      </c>
      <c r="M245" s="3">
        <v>79.91</v>
      </c>
      <c r="N245" s="3">
        <v>78.97</v>
      </c>
      <c r="O245" s="3">
        <v>79.459999999999994</v>
      </c>
      <c r="P245" s="3">
        <v>4730011</v>
      </c>
      <c r="Q245" s="3">
        <v>51.6</v>
      </c>
      <c r="R245" s="3">
        <v>51.96</v>
      </c>
      <c r="S245" s="3">
        <v>51.54</v>
      </c>
      <c r="T245" s="3">
        <v>51.96</v>
      </c>
      <c r="U245" s="3">
        <v>22004991</v>
      </c>
      <c r="V245" s="3">
        <v>66.239999999999995</v>
      </c>
      <c r="W245" s="3">
        <v>67.290000000000006</v>
      </c>
      <c r="X245" s="3">
        <v>66.19</v>
      </c>
      <c r="Y245" s="3">
        <v>67.040000000000006</v>
      </c>
      <c r="Z245" s="3">
        <v>15764509</v>
      </c>
      <c r="AA245" s="3">
        <v>18.96</v>
      </c>
      <c r="AB245" s="3">
        <v>19.16</v>
      </c>
      <c r="AC245" s="3">
        <v>18.96</v>
      </c>
      <c r="AD245" s="3">
        <v>19.12</v>
      </c>
      <c r="AE245" s="3">
        <v>37959483</v>
      </c>
      <c r="AF245" s="3">
        <v>71.760000000000005</v>
      </c>
      <c r="AG245" s="3">
        <v>72.11</v>
      </c>
      <c r="AH245" s="3">
        <v>71.44</v>
      </c>
      <c r="AI245" s="3">
        <v>71.87</v>
      </c>
      <c r="AJ245" s="3">
        <v>12052773</v>
      </c>
      <c r="AK245" s="3">
        <v>56.31</v>
      </c>
      <c r="AL245" s="3">
        <v>56.5</v>
      </c>
      <c r="AM245" s="3">
        <v>56.14</v>
      </c>
      <c r="AN245" s="3">
        <v>56.41</v>
      </c>
      <c r="AO245" s="3">
        <v>14750155</v>
      </c>
      <c r="AP245" s="3">
        <v>47.03</v>
      </c>
      <c r="AQ245" s="3">
        <v>47.36</v>
      </c>
      <c r="AR245" s="3">
        <v>46.95</v>
      </c>
      <c r="AS245" s="3">
        <v>47.21</v>
      </c>
      <c r="AT245" s="3">
        <v>5429761</v>
      </c>
      <c r="AU245" s="3">
        <v>43.51</v>
      </c>
      <c r="AV245" s="3">
        <v>43.73</v>
      </c>
      <c r="AW245" s="3">
        <v>43.21</v>
      </c>
      <c r="AX245" s="3">
        <v>43.44</v>
      </c>
      <c r="AY245" s="3">
        <v>14924441</v>
      </c>
      <c r="AZ245" s="3">
        <v>47.06</v>
      </c>
      <c r="BA245" s="3">
        <v>47.41</v>
      </c>
      <c r="BB245" s="3">
        <v>47.03</v>
      </c>
      <c r="BC245" s="3">
        <v>47.35</v>
      </c>
      <c r="BD245" s="3">
        <v>12309022</v>
      </c>
      <c r="BE245" s="3">
        <v>31.39</v>
      </c>
      <c r="BF245" s="3">
        <v>31.6</v>
      </c>
      <c r="BG245" s="3">
        <v>31.32</v>
      </c>
      <c r="BH245" s="3">
        <v>31.46</v>
      </c>
      <c r="BI245" s="3">
        <v>2431</v>
      </c>
    </row>
    <row r="246" spans="1:61" ht="13" x14ac:dyDescent="0.15">
      <c r="A246" s="3">
        <v>42485</v>
      </c>
      <c r="B246" s="3">
        <v>2089.37</v>
      </c>
      <c r="C246" s="3">
        <v>2089.37</v>
      </c>
      <c r="D246" s="3">
        <v>2077.52</v>
      </c>
      <c r="E246" s="3">
        <v>2087.79</v>
      </c>
      <c r="F246" s="3">
        <v>544779102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3">
        <v>79.31</v>
      </c>
      <c r="M246" s="3">
        <v>79.56</v>
      </c>
      <c r="N246" s="3">
        <v>78.989999999999995</v>
      </c>
      <c r="O246" s="3">
        <v>79.55</v>
      </c>
      <c r="P246" s="3">
        <v>3897217</v>
      </c>
      <c r="Q246" s="3">
        <v>51.67</v>
      </c>
      <c r="R246" s="3">
        <v>52.32</v>
      </c>
      <c r="S246" s="3">
        <v>51.66</v>
      </c>
      <c r="T246" s="3">
        <v>52.32</v>
      </c>
      <c r="U246" s="3">
        <v>8947330</v>
      </c>
      <c r="V246" s="3">
        <v>66.81</v>
      </c>
      <c r="W246" s="3">
        <v>66.819999999999993</v>
      </c>
      <c r="X246" s="3">
        <v>65.790000000000006</v>
      </c>
      <c r="Y246" s="3">
        <v>66.290000000000006</v>
      </c>
      <c r="Z246" s="3">
        <v>17234253</v>
      </c>
      <c r="AA246" s="3">
        <v>19.04</v>
      </c>
      <c r="AB246" s="3">
        <v>19.100000000000001</v>
      </c>
      <c r="AC246" s="3">
        <v>18.95</v>
      </c>
      <c r="AD246" s="3">
        <v>19.079999999999998</v>
      </c>
      <c r="AE246" s="3">
        <v>31023297</v>
      </c>
      <c r="AF246" s="3">
        <v>71.599999999999994</v>
      </c>
      <c r="AG246" s="3">
        <v>71.819999999999993</v>
      </c>
      <c r="AH246" s="3">
        <v>71.36</v>
      </c>
      <c r="AI246" s="3">
        <v>71.59</v>
      </c>
      <c r="AJ246" s="3">
        <v>8937489</v>
      </c>
      <c r="AK246" s="3">
        <v>56.36</v>
      </c>
      <c r="AL246" s="3">
        <v>56.38</v>
      </c>
      <c r="AM246" s="3">
        <v>55.87</v>
      </c>
      <c r="AN246" s="3">
        <v>56.14</v>
      </c>
      <c r="AO246" s="3">
        <v>10224099</v>
      </c>
      <c r="AP246" s="3">
        <v>47.16</v>
      </c>
      <c r="AQ246" s="3">
        <v>47.16</v>
      </c>
      <c r="AR246" s="3">
        <v>46.69</v>
      </c>
      <c r="AS246" s="3">
        <v>47.05</v>
      </c>
      <c r="AT246" s="3">
        <v>4601892</v>
      </c>
      <c r="AU246" s="3">
        <v>43.32</v>
      </c>
      <c r="AV246" s="3">
        <v>43.47</v>
      </c>
      <c r="AW246" s="3">
        <v>43.21</v>
      </c>
      <c r="AX246" s="3">
        <v>43.45</v>
      </c>
      <c r="AY246" s="3">
        <v>9357526</v>
      </c>
      <c r="AZ246" s="3">
        <v>47.15</v>
      </c>
      <c r="BA246" s="3">
        <v>47.45</v>
      </c>
      <c r="BB246" s="3">
        <v>47.12</v>
      </c>
      <c r="BC246" s="3">
        <v>47.44</v>
      </c>
      <c r="BD246" s="3">
        <v>12742883</v>
      </c>
      <c r="BE246" s="3">
        <v>31.51</v>
      </c>
      <c r="BF246" s="3">
        <v>31.68</v>
      </c>
      <c r="BG246" s="3">
        <v>31.51</v>
      </c>
      <c r="BH246" s="3">
        <v>31.68</v>
      </c>
      <c r="BI246" s="3">
        <v>2284</v>
      </c>
    </row>
    <row r="247" spans="1:61" ht="13" x14ac:dyDescent="0.15">
      <c r="A247" s="3">
        <v>42486</v>
      </c>
      <c r="B247" s="3">
        <v>2089.84</v>
      </c>
      <c r="C247" s="3">
        <v>2096.87</v>
      </c>
      <c r="D247" s="3">
        <v>2085.8000000000002</v>
      </c>
      <c r="E247" s="3">
        <v>2091.6999999999998</v>
      </c>
      <c r="F247" s="3">
        <v>598555074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3">
        <v>79.69</v>
      </c>
      <c r="M247" s="3">
        <v>80</v>
      </c>
      <c r="N247" s="3">
        <v>79.31</v>
      </c>
      <c r="O247" s="3">
        <v>79.739999999999995</v>
      </c>
      <c r="P247" s="3">
        <v>3898533</v>
      </c>
      <c r="Q247" s="3">
        <v>52.45</v>
      </c>
      <c r="R247" s="3">
        <v>52.48</v>
      </c>
      <c r="S247" s="3">
        <v>52.02</v>
      </c>
      <c r="T247" s="3">
        <v>52.11</v>
      </c>
      <c r="U247" s="3">
        <v>10821827</v>
      </c>
      <c r="V247" s="3">
        <v>66.67</v>
      </c>
      <c r="W247" s="3">
        <v>67.38</v>
      </c>
      <c r="X247" s="3">
        <v>66.510000000000005</v>
      </c>
      <c r="Y247" s="3">
        <v>67.349999999999994</v>
      </c>
      <c r="Z247" s="3">
        <v>13585695</v>
      </c>
      <c r="AA247" s="3">
        <v>19.100000000000001</v>
      </c>
      <c r="AB247" s="3">
        <v>19.23</v>
      </c>
      <c r="AC247" s="3">
        <v>19.07</v>
      </c>
      <c r="AD247" s="3">
        <v>19.21</v>
      </c>
      <c r="AE247" s="3">
        <v>33846309</v>
      </c>
      <c r="AF247" s="3">
        <v>71.73</v>
      </c>
      <c r="AG247" s="3">
        <v>71.73</v>
      </c>
      <c r="AH247" s="3">
        <v>71.11</v>
      </c>
      <c r="AI247" s="3">
        <v>71.319999999999993</v>
      </c>
      <c r="AJ247" s="3">
        <v>7433502</v>
      </c>
      <c r="AK247" s="3">
        <v>56.27</v>
      </c>
      <c r="AL247" s="3">
        <v>56.64</v>
      </c>
      <c r="AM247" s="3">
        <v>56.24</v>
      </c>
      <c r="AN247" s="3">
        <v>56.64</v>
      </c>
      <c r="AO247" s="3">
        <v>10139889</v>
      </c>
      <c r="AP247" s="3">
        <v>47.09</v>
      </c>
      <c r="AQ247" s="3">
        <v>47.49</v>
      </c>
      <c r="AR247" s="3">
        <v>47.05</v>
      </c>
      <c r="AS247" s="3">
        <v>47.43</v>
      </c>
      <c r="AT247" s="3">
        <v>5040021</v>
      </c>
      <c r="AU247" s="3">
        <v>43.5</v>
      </c>
      <c r="AV247" s="3">
        <v>43.6</v>
      </c>
      <c r="AW247" s="3">
        <v>43.1</v>
      </c>
      <c r="AX247" s="3">
        <v>43.24</v>
      </c>
      <c r="AY247" s="3">
        <v>7367371</v>
      </c>
      <c r="AZ247" s="3">
        <v>47.47</v>
      </c>
      <c r="BA247" s="3">
        <v>47.71</v>
      </c>
      <c r="BB247" s="3">
        <v>47.38</v>
      </c>
      <c r="BC247" s="3">
        <v>47.51</v>
      </c>
      <c r="BD247" s="3">
        <v>13021794</v>
      </c>
      <c r="BE247" s="3">
        <v>31.98</v>
      </c>
      <c r="BF247" s="3">
        <v>31.98</v>
      </c>
      <c r="BG247" s="3">
        <v>31.77</v>
      </c>
      <c r="BH247" s="3">
        <v>31.77</v>
      </c>
      <c r="BI247" s="3">
        <v>2547</v>
      </c>
    </row>
    <row r="248" spans="1:61" ht="13" x14ac:dyDescent="0.15">
      <c r="A248" s="3">
        <v>42487</v>
      </c>
      <c r="B248" s="3">
        <v>2092.33</v>
      </c>
      <c r="C248" s="3">
        <v>2099.89</v>
      </c>
      <c r="D248" s="3">
        <v>2082.31</v>
      </c>
      <c r="E248" s="3">
        <v>2095.15</v>
      </c>
      <c r="F248" s="3">
        <v>672757652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3">
        <v>79.7</v>
      </c>
      <c r="M248" s="3">
        <v>79.86</v>
      </c>
      <c r="N248" s="3">
        <v>79.27</v>
      </c>
      <c r="O248" s="3">
        <v>79.66</v>
      </c>
      <c r="P248" s="3">
        <v>5711629</v>
      </c>
      <c r="Q248" s="3">
        <v>52.3</v>
      </c>
      <c r="R248" s="3">
        <v>52.52</v>
      </c>
      <c r="S248" s="3">
        <v>51.91</v>
      </c>
      <c r="T248" s="3">
        <v>52.36</v>
      </c>
      <c r="U248" s="3">
        <v>12012219</v>
      </c>
      <c r="V248" s="3">
        <v>67.7</v>
      </c>
      <c r="W248" s="3">
        <v>68.78</v>
      </c>
      <c r="X248" s="3">
        <v>67.650000000000006</v>
      </c>
      <c r="Y248" s="3">
        <v>68.63</v>
      </c>
      <c r="Z248" s="3">
        <v>21962444</v>
      </c>
      <c r="AA248" s="3">
        <v>19.190000000000001</v>
      </c>
      <c r="AB248" s="3">
        <v>19.3</v>
      </c>
      <c r="AC248" s="3">
        <v>19.12</v>
      </c>
      <c r="AD248" s="3">
        <v>19.239999999999998</v>
      </c>
      <c r="AE248" s="3">
        <v>46235737</v>
      </c>
      <c r="AF248" s="3">
        <v>71.37</v>
      </c>
      <c r="AG248" s="3">
        <v>71.540000000000006</v>
      </c>
      <c r="AH248" s="3">
        <v>70.94</v>
      </c>
      <c r="AI248" s="3">
        <v>71.239999999999995</v>
      </c>
      <c r="AJ248" s="3">
        <v>9121173</v>
      </c>
      <c r="AK248" s="3">
        <v>56.71</v>
      </c>
      <c r="AL248" s="3">
        <v>57.18</v>
      </c>
      <c r="AM248" s="3">
        <v>56.48</v>
      </c>
      <c r="AN248" s="3">
        <v>57.04</v>
      </c>
      <c r="AO248" s="3">
        <v>9258143</v>
      </c>
      <c r="AP248" s="3">
        <v>47.55</v>
      </c>
      <c r="AQ248" s="3">
        <v>47.88</v>
      </c>
      <c r="AR248" s="3">
        <v>47.34</v>
      </c>
      <c r="AS248" s="3">
        <v>47.83</v>
      </c>
      <c r="AT248" s="3">
        <v>5705787</v>
      </c>
      <c r="AU248" s="3">
        <v>42.69</v>
      </c>
      <c r="AV248" s="3">
        <v>43.09</v>
      </c>
      <c r="AW248" s="3">
        <v>42.53</v>
      </c>
      <c r="AX248" s="3">
        <v>43.04</v>
      </c>
      <c r="AY248" s="3">
        <v>12779629</v>
      </c>
      <c r="AZ248" s="3">
        <v>47.65</v>
      </c>
      <c r="BA248" s="3">
        <v>48.48</v>
      </c>
      <c r="BB248" s="3">
        <v>47.5</v>
      </c>
      <c r="BC248" s="3">
        <v>48.2</v>
      </c>
      <c r="BD248" s="3">
        <v>24559219</v>
      </c>
      <c r="BE248" s="3">
        <v>31.62</v>
      </c>
      <c r="BF248" s="3">
        <v>31.65</v>
      </c>
      <c r="BG248" s="3">
        <v>31.51</v>
      </c>
      <c r="BH248" s="3">
        <v>31.65</v>
      </c>
      <c r="BI248" s="3">
        <v>1161</v>
      </c>
    </row>
    <row r="249" spans="1:61" ht="13" x14ac:dyDescent="0.15">
      <c r="A249" s="3">
        <v>42488</v>
      </c>
      <c r="B249" s="3">
        <v>2090.9299999999998</v>
      </c>
      <c r="C249" s="3">
        <v>2099.3000000000002</v>
      </c>
      <c r="D249" s="3">
        <v>2071.62</v>
      </c>
      <c r="E249" s="3">
        <v>2075.81</v>
      </c>
      <c r="F249" s="3">
        <v>689220607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3">
        <v>79.27</v>
      </c>
      <c r="M249" s="3">
        <v>79.97</v>
      </c>
      <c r="N249" s="3">
        <v>78.63</v>
      </c>
      <c r="O249" s="3">
        <v>78.8</v>
      </c>
      <c r="P249" s="3">
        <v>7300781</v>
      </c>
      <c r="Q249" s="3">
        <v>52.16</v>
      </c>
      <c r="R249" s="3">
        <v>52.72</v>
      </c>
      <c r="S249" s="3">
        <v>52.15</v>
      </c>
      <c r="T249" s="3">
        <v>52.41</v>
      </c>
      <c r="U249" s="3">
        <v>11547041</v>
      </c>
      <c r="V249" s="3">
        <v>68.319999999999993</v>
      </c>
      <c r="W249" s="3">
        <v>68.819999999999993</v>
      </c>
      <c r="X249" s="3">
        <v>67.349999999999994</v>
      </c>
      <c r="Y249" s="3">
        <v>67.61</v>
      </c>
      <c r="Z249" s="3">
        <v>15555187</v>
      </c>
      <c r="AA249" s="3">
        <v>19.079999999999998</v>
      </c>
      <c r="AB249" s="3">
        <v>19.23</v>
      </c>
      <c r="AC249" s="3">
        <v>18.97</v>
      </c>
      <c r="AD249" s="3">
        <v>19.03</v>
      </c>
      <c r="AE249" s="3">
        <v>60804934</v>
      </c>
      <c r="AF249" s="3">
        <v>70.83</v>
      </c>
      <c r="AG249" s="3">
        <v>71.59</v>
      </c>
      <c r="AH249" s="3">
        <v>70.510000000000005</v>
      </c>
      <c r="AI249" s="3">
        <v>70.900000000000006</v>
      </c>
      <c r="AJ249" s="3">
        <v>19512040</v>
      </c>
      <c r="AK249" s="3">
        <v>56.65</v>
      </c>
      <c r="AL249" s="3">
        <v>57.14</v>
      </c>
      <c r="AM249" s="3">
        <v>56.36</v>
      </c>
      <c r="AN249" s="3">
        <v>56.49</v>
      </c>
      <c r="AO249" s="3">
        <v>19554920</v>
      </c>
      <c r="AP249" s="3">
        <v>47.47</v>
      </c>
      <c r="AQ249" s="3">
        <v>47.91</v>
      </c>
      <c r="AR249" s="3">
        <v>47.18</v>
      </c>
      <c r="AS249" s="3">
        <v>47.38</v>
      </c>
      <c r="AT249" s="3">
        <v>5664100</v>
      </c>
      <c r="AU249" s="3">
        <v>43.11</v>
      </c>
      <c r="AV249" s="3">
        <v>43.26</v>
      </c>
      <c r="AW249" s="3">
        <v>42.36</v>
      </c>
      <c r="AX249" s="3">
        <v>42.5</v>
      </c>
      <c r="AY249" s="3">
        <v>22669609</v>
      </c>
      <c r="AZ249" s="3">
        <v>47.78</v>
      </c>
      <c r="BA249" s="3">
        <v>48.25</v>
      </c>
      <c r="BB249" s="3">
        <v>47.5</v>
      </c>
      <c r="BC249" s="3">
        <v>48.13</v>
      </c>
      <c r="BD249" s="3">
        <v>20158019</v>
      </c>
      <c r="BE249" s="3">
        <v>33.15</v>
      </c>
      <c r="BF249" s="3">
        <v>33.15</v>
      </c>
      <c r="BG249" s="3">
        <v>31.68</v>
      </c>
      <c r="BH249" s="3">
        <v>31.68</v>
      </c>
      <c r="BI249" s="3">
        <v>1111</v>
      </c>
    </row>
    <row r="250" spans="1:61" ht="13" x14ac:dyDescent="0.15">
      <c r="A250" s="3">
        <v>42489</v>
      </c>
      <c r="B250" s="3">
        <v>2071.8200000000002</v>
      </c>
      <c r="C250" s="3">
        <v>2073.85</v>
      </c>
      <c r="D250" s="3">
        <v>2052.2800000000002</v>
      </c>
      <c r="E250" s="3">
        <v>2065.3000000000002</v>
      </c>
      <c r="F250" s="3">
        <v>887327440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3">
        <v>79.45</v>
      </c>
      <c r="M250" s="3">
        <v>79.58</v>
      </c>
      <c r="N250" s="3">
        <v>78.599999999999994</v>
      </c>
      <c r="O250" s="3">
        <v>79.2</v>
      </c>
      <c r="P250" s="3">
        <v>8399548</v>
      </c>
      <c r="Q250" s="3">
        <v>52.4</v>
      </c>
      <c r="R250" s="3">
        <v>52.41</v>
      </c>
      <c r="S250" s="3">
        <v>51.99</v>
      </c>
      <c r="T250" s="3">
        <v>52.3</v>
      </c>
      <c r="U250" s="3">
        <v>13198539</v>
      </c>
      <c r="V250" s="3">
        <v>67.760000000000005</v>
      </c>
      <c r="W250" s="3">
        <v>68.42</v>
      </c>
      <c r="X250" s="3">
        <v>66.47</v>
      </c>
      <c r="Y250" s="3">
        <v>67.5</v>
      </c>
      <c r="Z250" s="3">
        <v>24107385</v>
      </c>
      <c r="AA250" s="3">
        <v>18.93</v>
      </c>
      <c r="AB250" s="3">
        <v>19</v>
      </c>
      <c r="AC250" s="3">
        <v>18.760000000000002</v>
      </c>
      <c r="AD250" s="3">
        <v>18.93</v>
      </c>
      <c r="AE250" s="3">
        <v>48999339</v>
      </c>
      <c r="AF250" s="3">
        <v>70.260000000000005</v>
      </c>
      <c r="AG250" s="3">
        <v>70.400000000000006</v>
      </c>
      <c r="AH250" s="3">
        <v>69.37</v>
      </c>
      <c r="AI250" s="3">
        <v>69.790000000000006</v>
      </c>
      <c r="AJ250" s="3">
        <v>13577850</v>
      </c>
      <c r="AK250" s="3">
        <v>56.17</v>
      </c>
      <c r="AL250" s="3">
        <v>56.4</v>
      </c>
      <c r="AM250" s="3">
        <v>55.82</v>
      </c>
      <c r="AN250" s="3">
        <v>56.16</v>
      </c>
      <c r="AO250" s="3">
        <v>16369932</v>
      </c>
      <c r="AP250" s="3">
        <v>47.22</v>
      </c>
      <c r="AQ250" s="3">
        <v>47.54</v>
      </c>
      <c r="AR250" s="3">
        <v>46.78</v>
      </c>
      <c r="AS250" s="3">
        <v>47.1</v>
      </c>
      <c r="AT250" s="3">
        <v>6371915</v>
      </c>
      <c r="AU250" s="3">
        <v>42.26</v>
      </c>
      <c r="AV250" s="3">
        <v>42.33</v>
      </c>
      <c r="AW250" s="3">
        <v>41.82</v>
      </c>
      <c r="AX250" s="3">
        <v>42.13</v>
      </c>
      <c r="AY250" s="3">
        <v>11896165</v>
      </c>
      <c r="AZ250" s="3">
        <v>47.93</v>
      </c>
      <c r="BA250" s="3">
        <v>48.47</v>
      </c>
      <c r="BB250" s="3">
        <v>47.57</v>
      </c>
      <c r="BC250" s="3">
        <v>48.42</v>
      </c>
      <c r="BD250" s="3">
        <v>20177234</v>
      </c>
      <c r="BE250" s="3">
        <v>31.65</v>
      </c>
      <c r="BF250" s="3">
        <v>31.65</v>
      </c>
      <c r="BG250" s="3">
        <v>31.09</v>
      </c>
      <c r="BH250" s="3">
        <v>31.38</v>
      </c>
      <c r="BI250" s="3">
        <v>20059</v>
      </c>
    </row>
    <row r="251" spans="1:61" ht="13" x14ac:dyDescent="0.15">
      <c r="A251" s="3">
        <v>42492</v>
      </c>
      <c r="B251" s="3">
        <v>2067.17</v>
      </c>
      <c r="C251" s="3">
        <v>2083.42</v>
      </c>
      <c r="D251" s="3">
        <v>2066.11</v>
      </c>
      <c r="E251" s="3">
        <v>2081.4299999999998</v>
      </c>
      <c r="F251" s="3">
        <v>604121364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3">
        <v>79.42</v>
      </c>
      <c r="M251" s="3">
        <v>80.37</v>
      </c>
      <c r="N251" s="3">
        <v>79.319999999999993</v>
      </c>
      <c r="O251" s="3">
        <v>80.31</v>
      </c>
      <c r="P251" s="3">
        <v>6648020</v>
      </c>
      <c r="Q251" s="3">
        <v>52.45</v>
      </c>
      <c r="R251" s="3">
        <v>52.95</v>
      </c>
      <c r="S251" s="3">
        <v>52.28</v>
      </c>
      <c r="T251" s="3">
        <v>52.9</v>
      </c>
      <c r="U251" s="3">
        <v>14096369</v>
      </c>
      <c r="V251" s="3">
        <v>67.38</v>
      </c>
      <c r="W251" s="3">
        <v>67.66</v>
      </c>
      <c r="X251" s="3">
        <v>66.599999999999994</v>
      </c>
      <c r="Y251" s="3">
        <v>67.430000000000007</v>
      </c>
      <c r="Z251" s="3">
        <v>15065966</v>
      </c>
      <c r="AA251" s="3">
        <v>18.95</v>
      </c>
      <c r="AB251" s="3">
        <v>19.12</v>
      </c>
      <c r="AC251" s="3">
        <v>18.899999999999999</v>
      </c>
      <c r="AD251" s="3">
        <v>19.100000000000001</v>
      </c>
      <c r="AE251" s="3">
        <v>35389630</v>
      </c>
      <c r="AF251" s="3">
        <v>69.92</v>
      </c>
      <c r="AG251" s="3">
        <v>70.22</v>
      </c>
      <c r="AH251" s="3">
        <v>69.63</v>
      </c>
      <c r="AI251" s="3">
        <v>70.19</v>
      </c>
      <c r="AJ251" s="3">
        <v>9074808</v>
      </c>
      <c r="AK251" s="3">
        <v>56.27</v>
      </c>
      <c r="AL251" s="3">
        <v>56.49</v>
      </c>
      <c r="AM251" s="3">
        <v>56.02</v>
      </c>
      <c r="AN251" s="3">
        <v>56.45</v>
      </c>
      <c r="AO251" s="3">
        <v>10145145</v>
      </c>
      <c r="AP251" s="3">
        <v>47.29</v>
      </c>
      <c r="AQ251" s="3">
        <v>47.3</v>
      </c>
      <c r="AR251" s="3">
        <v>46.81</v>
      </c>
      <c r="AS251" s="3">
        <v>47.27</v>
      </c>
      <c r="AT251" s="3">
        <v>6204001</v>
      </c>
      <c r="AU251" s="3">
        <v>42.22</v>
      </c>
      <c r="AV251" s="3">
        <v>42.49</v>
      </c>
      <c r="AW251" s="3">
        <v>42.04</v>
      </c>
      <c r="AX251" s="3">
        <v>42.44</v>
      </c>
      <c r="AY251" s="3">
        <v>12552678</v>
      </c>
      <c r="AZ251" s="3">
        <v>48.45</v>
      </c>
      <c r="BA251" s="3">
        <v>49.05</v>
      </c>
      <c r="BB251" s="3">
        <v>48.39</v>
      </c>
      <c r="BC251" s="3">
        <v>48.81</v>
      </c>
      <c r="BD251" s="3">
        <v>16366582</v>
      </c>
      <c r="BE251" s="3">
        <v>31.19</v>
      </c>
      <c r="BF251" s="3">
        <v>31.81</v>
      </c>
      <c r="BG251" s="3">
        <v>31.19</v>
      </c>
      <c r="BH251" s="3">
        <v>31.71</v>
      </c>
      <c r="BI251" s="3">
        <v>3766</v>
      </c>
    </row>
    <row r="252" spans="1:61" ht="13" x14ac:dyDescent="0.15">
      <c r="A252" s="3">
        <v>42493</v>
      </c>
      <c r="B252" s="3">
        <v>2077.1799999999998</v>
      </c>
      <c r="C252" s="3">
        <v>2077.1799999999998</v>
      </c>
      <c r="D252" s="3">
        <v>2054.89</v>
      </c>
      <c r="E252" s="3">
        <v>2063.37</v>
      </c>
      <c r="F252" s="3">
        <v>635557393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3">
        <v>79.709999999999994</v>
      </c>
      <c r="M252" s="3">
        <v>80.040000000000006</v>
      </c>
      <c r="N252" s="3">
        <v>79.41</v>
      </c>
      <c r="O252" s="3">
        <v>79.569999999999993</v>
      </c>
      <c r="P252" s="3">
        <v>5779349</v>
      </c>
      <c r="Q252" s="3">
        <v>52.71</v>
      </c>
      <c r="R252" s="3">
        <v>53.01</v>
      </c>
      <c r="S252" s="3">
        <v>52.65</v>
      </c>
      <c r="T252" s="3">
        <v>52.8</v>
      </c>
      <c r="U252" s="3">
        <v>12837332</v>
      </c>
      <c r="V252" s="3">
        <v>66.52</v>
      </c>
      <c r="W252" s="3">
        <v>66.64</v>
      </c>
      <c r="X252" s="3">
        <v>65.430000000000007</v>
      </c>
      <c r="Y252" s="3">
        <v>65.84</v>
      </c>
      <c r="Z252" s="3">
        <v>16158058</v>
      </c>
      <c r="AA252" s="3">
        <v>18.88</v>
      </c>
      <c r="AB252" s="3">
        <v>18.899999999999999</v>
      </c>
      <c r="AC252" s="3">
        <v>18.690000000000001</v>
      </c>
      <c r="AD252" s="3">
        <v>18.86</v>
      </c>
      <c r="AE252" s="3">
        <v>35858748</v>
      </c>
      <c r="AF252" s="3">
        <v>69.94</v>
      </c>
      <c r="AG252" s="3">
        <v>70.400000000000006</v>
      </c>
      <c r="AH252" s="3">
        <v>69.7</v>
      </c>
      <c r="AI252" s="3">
        <v>69.97</v>
      </c>
      <c r="AJ252" s="3">
        <v>9436765</v>
      </c>
      <c r="AK252" s="3">
        <v>56.08</v>
      </c>
      <c r="AL252" s="3">
        <v>56.08</v>
      </c>
      <c r="AM252" s="3">
        <v>55.6</v>
      </c>
      <c r="AN252" s="3">
        <v>55.99</v>
      </c>
      <c r="AO252" s="3">
        <v>11171359</v>
      </c>
      <c r="AP252" s="3">
        <v>46.83</v>
      </c>
      <c r="AQ252" s="3">
        <v>46.86</v>
      </c>
      <c r="AR252" s="3">
        <v>46.29</v>
      </c>
      <c r="AS252" s="3">
        <v>46.49</v>
      </c>
      <c r="AT252" s="3">
        <v>9322214</v>
      </c>
      <c r="AU252" s="3">
        <v>42.15</v>
      </c>
      <c r="AV252" s="3">
        <v>42.24</v>
      </c>
      <c r="AW252" s="3">
        <v>41.91</v>
      </c>
      <c r="AX252" s="3">
        <v>42.05</v>
      </c>
      <c r="AY252" s="3">
        <v>12531192</v>
      </c>
      <c r="AZ252" s="3">
        <v>48.77</v>
      </c>
      <c r="BA252" s="3">
        <v>49.03</v>
      </c>
      <c r="BB252" s="3">
        <v>48.5</v>
      </c>
      <c r="BC252" s="3">
        <v>48.77</v>
      </c>
      <c r="BD252" s="3">
        <v>15746653</v>
      </c>
      <c r="BE252" s="3">
        <v>31.61</v>
      </c>
      <c r="BF252" s="3">
        <v>31.87</v>
      </c>
      <c r="BG252" s="3">
        <v>31.61</v>
      </c>
      <c r="BH252" s="3">
        <v>31.87</v>
      </c>
      <c r="BI252" s="3">
        <v>4691</v>
      </c>
    </row>
    <row r="253" spans="1:61" ht="13" x14ac:dyDescent="0.15">
      <c r="A253" s="3">
        <v>42494</v>
      </c>
      <c r="B253" s="3">
        <v>2060.3000000000002</v>
      </c>
      <c r="C253" s="3">
        <v>2060.3000000000002</v>
      </c>
      <c r="D253" s="3">
        <v>2045.55</v>
      </c>
      <c r="E253" s="3">
        <v>2051.12</v>
      </c>
      <c r="F253" s="3">
        <v>626804080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3">
        <v>78.92</v>
      </c>
      <c r="M253" s="3">
        <v>79.55</v>
      </c>
      <c r="N253" s="3">
        <v>78.849999999999994</v>
      </c>
      <c r="O253" s="3">
        <v>79.209999999999994</v>
      </c>
      <c r="P253" s="3">
        <v>6438236</v>
      </c>
      <c r="Q253" s="3">
        <v>52.65</v>
      </c>
      <c r="R253" s="3">
        <v>53.06</v>
      </c>
      <c r="S253" s="3">
        <v>52.5</v>
      </c>
      <c r="T253" s="3">
        <v>52.96</v>
      </c>
      <c r="U253" s="3">
        <v>11003150</v>
      </c>
      <c r="V253" s="3">
        <v>65.88</v>
      </c>
      <c r="W253" s="3">
        <v>66.34</v>
      </c>
      <c r="X253" s="3">
        <v>64.5</v>
      </c>
      <c r="Y253" s="3">
        <v>64.89</v>
      </c>
      <c r="Z253" s="3">
        <v>18605357</v>
      </c>
      <c r="AA253" s="3">
        <v>18.64</v>
      </c>
      <c r="AB253" s="3">
        <v>18.8</v>
      </c>
      <c r="AC253" s="3">
        <v>18.62</v>
      </c>
      <c r="AD253" s="3">
        <v>18.71</v>
      </c>
      <c r="AE253" s="3">
        <v>37747077</v>
      </c>
      <c r="AF253" s="3">
        <v>69.53</v>
      </c>
      <c r="AG253" s="3">
        <v>69.650000000000006</v>
      </c>
      <c r="AH253" s="3">
        <v>69.11</v>
      </c>
      <c r="AI253" s="3">
        <v>69.3</v>
      </c>
      <c r="AJ253" s="3">
        <v>11802044</v>
      </c>
      <c r="AK253" s="3">
        <v>55.69</v>
      </c>
      <c r="AL253" s="3">
        <v>55.73</v>
      </c>
      <c r="AM253" s="3">
        <v>55.06</v>
      </c>
      <c r="AN253" s="3">
        <v>55.3</v>
      </c>
      <c r="AO253" s="3">
        <v>22102900</v>
      </c>
      <c r="AP253" s="3">
        <v>46.08</v>
      </c>
      <c r="AQ253" s="3">
        <v>46.37</v>
      </c>
      <c r="AR253" s="3">
        <v>45.72</v>
      </c>
      <c r="AS253" s="3">
        <v>46.02</v>
      </c>
      <c r="AT253" s="3">
        <v>8070638</v>
      </c>
      <c r="AU253" s="3">
        <v>41.86</v>
      </c>
      <c r="AV253" s="3">
        <v>42.04</v>
      </c>
      <c r="AW253" s="3">
        <v>41.8</v>
      </c>
      <c r="AX253" s="3">
        <v>41.92</v>
      </c>
      <c r="AY253" s="3">
        <v>11245655</v>
      </c>
      <c r="AZ253" s="3">
        <v>48.79</v>
      </c>
      <c r="BA253" s="3">
        <v>49.65</v>
      </c>
      <c r="BB253" s="3">
        <v>48.64</v>
      </c>
      <c r="BC253" s="3">
        <v>49.34</v>
      </c>
      <c r="BD253" s="3">
        <v>17603930</v>
      </c>
      <c r="BE253" s="3">
        <v>31.67</v>
      </c>
      <c r="BF253" s="3">
        <v>32.33</v>
      </c>
      <c r="BG253" s="3">
        <v>31.67</v>
      </c>
      <c r="BH253" s="3">
        <v>32.33</v>
      </c>
      <c r="BI253" s="3">
        <v>1663</v>
      </c>
    </row>
    <row r="254" spans="1:61" ht="13" x14ac:dyDescent="0.15">
      <c r="A254" s="3">
        <v>42495</v>
      </c>
      <c r="B254" s="3">
        <v>2052.9499999999998</v>
      </c>
      <c r="C254" s="3">
        <v>2060.23</v>
      </c>
      <c r="D254" s="3">
        <v>2045.77</v>
      </c>
      <c r="E254" s="3">
        <v>2050.63</v>
      </c>
      <c r="F254" s="3">
        <v>596257671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3">
        <v>79.180000000000007</v>
      </c>
      <c r="M254" s="3">
        <v>79.27</v>
      </c>
      <c r="N254" s="3">
        <v>78.64</v>
      </c>
      <c r="O254" s="3">
        <v>78.7</v>
      </c>
      <c r="P254" s="3">
        <v>6294753</v>
      </c>
      <c r="Q254" s="3">
        <v>52.84</v>
      </c>
      <c r="R254" s="3">
        <v>53.26</v>
      </c>
      <c r="S254" s="3">
        <v>52.8</v>
      </c>
      <c r="T254" s="3">
        <v>52.97</v>
      </c>
      <c r="U254" s="3">
        <v>10555852</v>
      </c>
      <c r="V254" s="3">
        <v>65.989999999999995</v>
      </c>
      <c r="W254" s="3">
        <v>66.349999999999994</v>
      </c>
      <c r="X254" s="3">
        <v>64.88</v>
      </c>
      <c r="Y254" s="3">
        <v>65.42</v>
      </c>
      <c r="Z254" s="3">
        <v>14352026</v>
      </c>
      <c r="AA254" s="3">
        <v>18.75</v>
      </c>
      <c r="AB254" s="3">
        <v>18.82</v>
      </c>
      <c r="AC254" s="3">
        <v>18.649999999999999</v>
      </c>
      <c r="AD254" s="3">
        <v>18.7</v>
      </c>
      <c r="AE254" s="3">
        <v>38215354</v>
      </c>
      <c r="AF254" s="3">
        <v>69.31</v>
      </c>
      <c r="AG254" s="3">
        <v>69.69</v>
      </c>
      <c r="AH254" s="3">
        <v>69.16</v>
      </c>
      <c r="AI254" s="3">
        <v>69.59</v>
      </c>
      <c r="AJ254" s="3">
        <v>10145219</v>
      </c>
      <c r="AK254" s="3">
        <v>55.45</v>
      </c>
      <c r="AL254" s="3">
        <v>55.59</v>
      </c>
      <c r="AM254" s="3">
        <v>55.15</v>
      </c>
      <c r="AN254" s="3">
        <v>55.27</v>
      </c>
      <c r="AO254" s="3">
        <v>12841127</v>
      </c>
      <c r="AP254" s="3">
        <v>46.31</v>
      </c>
      <c r="AQ254" s="3">
        <v>46.38</v>
      </c>
      <c r="AR254" s="3">
        <v>45.71</v>
      </c>
      <c r="AS254" s="3">
        <v>45.79</v>
      </c>
      <c r="AT254" s="3">
        <v>6970993</v>
      </c>
      <c r="AU254" s="3">
        <v>42.04</v>
      </c>
      <c r="AV254" s="3">
        <v>42.14</v>
      </c>
      <c r="AW254" s="3">
        <v>41.84</v>
      </c>
      <c r="AX254" s="3">
        <v>41.94</v>
      </c>
      <c r="AY254" s="3">
        <v>13559918</v>
      </c>
      <c r="AZ254" s="3">
        <v>49.2</v>
      </c>
      <c r="BA254" s="3">
        <v>49.75</v>
      </c>
      <c r="BB254" s="3">
        <v>48.97</v>
      </c>
      <c r="BC254" s="3">
        <v>49.15</v>
      </c>
      <c r="BD254" s="3">
        <v>15826480</v>
      </c>
      <c r="BE254" s="3">
        <v>32.340000000000003</v>
      </c>
      <c r="BF254" s="3">
        <v>32.369999999999997</v>
      </c>
      <c r="BG254" s="3">
        <v>32.299999999999997</v>
      </c>
      <c r="BH254" s="3">
        <v>32.36</v>
      </c>
      <c r="BI254" s="3">
        <v>2650</v>
      </c>
    </row>
    <row r="255" spans="1:61" ht="13" x14ac:dyDescent="0.15">
      <c r="A255" s="3">
        <v>42496</v>
      </c>
      <c r="B255" s="3">
        <v>2047.77</v>
      </c>
      <c r="C255" s="3">
        <v>2057.7199999999998</v>
      </c>
      <c r="D255" s="3">
        <v>2039.45</v>
      </c>
      <c r="E255" s="3">
        <v>2057.14</v>
      </c>
      <c r="F255" s="3">
        <v>588441649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3">
        <v>78.540000000000006</v>
      </c>
      <c r="M255" s="3">
        <v>79.28</v>
      </c>
      <c r="N255" s="3">
        <v>78.28</v>
      </c>
      <c r="O255" s="3">
        <v>79.28</v>
      </c>
      <c r="P255" s="3">
        <v>5391700</v>
      </c>
      <c r="Q255" s="3">
        <v>52.89</v>
      </c>
      <c r="R255" s="3">
        <v>53.24</v>
      </c>
      <c r="S255" s="3">
        <v>52.72</v>
      </c>
      <c r="T255" s="3">
        <v>53.24</v>
      </c>
      <c r="U255" s="3">
        <v>8435388</v>
      </c>
      <c r="V255" s="3">
        <v>65</v>
      </c>
      <c r="W255" s="3">
        <v>66.069999999999993</v>
      </c>
      <c r="X255" s="3">
        <v>64.83</v>
      </c>
      <c r="Y255" s="3">
        <v>65.27</v>
      </c>
      <c r="Z255" s="3">
        <v>12545475</v>
      </c>
      <c r="AA255" s="3">
        <v>18.559999999999999</v>
      </c>
      <c r="AB255" s="3">
        <v>18.79</v>
      </c>
      <c r="AC255" s="3">
        <v>18.559999999999999</v>
      </c>
      <c r="AD255" s="3">
        <v>18.78</v>
      </c>
      <c r="AE255" s="3">
        <v>31652361</v>
      </c>
      <c r="AF255" s="3">
        <v>69.34</v>
      </c>
      <c r="AG255" s="3">
        <v>69.540000000000006</v>
      </c>
      <c r="AH255" s="3">
        <v>68.61</v>
      </c>
      <c r="AI255" s="3">
        <v>69.180000000000007</v>
      </c>
      <c r="AJ255" s="3">
        <v>14164252</v>
      </c>
      <c r="AK255" s="3">
        <v>55.04</v>
      </c>
      <c r="AL255" s="3">
        <v>55.68</v>
      </c>
      <c r="AM255" s="3">
        <v>54.94</v>
      </c>
      <c r="AN255" s="3">
        <v>55.64</v>
      </c>
      <c r="AO255" s="3">
        <v>9934378</v>
      </c>
      <c r="AP255" s="3">
        <v>45.69</v>
      </c>
      <c r="AQ255" s="3">
        <v>46.2</v>
      </c>
      <c r="AR255" s="3">
        <v>45.54</v>
      </c>
      <c r="AS255" s="3">
        <v>46.16</v>
      </c>
      <c r="AT255" s="3">
        <v>6777265</v>
      </c>
      <c r="AU255" s="3">
        <v>41.76</v>
      </c>
      <c r="AV255" s="3">
        <v>42.25</v>
      </c>
      <c r="AW255" s="3">
        <v>41.76</v>
      </c>
      <c r="AX255" s="3">
        <v>42.25</v>
      </c>
      <c r="AY255" s="3">
        <v>9229886</v>
      </c>
      <c r="AZ255" s="3">
        <v>48.91</v>
      </c>
      <c r="BA255" s="3">
        <v>49.08</v>
      </c>
      <c r="BB255" s="3">
        <v>48.39</v>
      </c>
      <c r="BC255" s="3">
        <v>48.83</v>
      </c>
      <c r="BD255" s="3">
        <v>20053586</v>
      </c>
      <c r="BE255" s="3">
        <v>32.26</v>
      </c>
      <c r="BF255" s="3">
        <v>32.67</v>
      </c>
      <c r="BG255" s="3">
        <v>32.229999999999997</v>
      </c>
      <c r="BH255" s="3">
        <v>32.53</v>
      </c>
      <c r="BI255" s="3">
        <v>3761</v>
      </c>
    </row>
    <row r="256" spans="1:61" ht="13" x14ac:dyDescent="0.15">
      <c r="A256" s="3">
        <v>42499</v>
      </c>
      <c r="B256" s="3">
        <v>2057.5500000000002</v>
      </c>
      <c r="C256" s="3">
        <v>2064.15</v>
      </c>
      <c r="D256" s="3">
        <v>2054.31</v>
      </c>
      <c r="E256" s="3">
        <v>2058.69</v>
      </c>
      <c r="F256" s="3">
        <v>557448620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3">
        <v>79.25</v>
      </c>
      <c r="M256" s="3">
        <v>79.73</v>
      </c>
      <c r="N256" s="3">
        <v>79.22</v>
      </c>
      <c r="O256" s="3">
        <v>79.5</v>
      </c>
      <c r="P256" s="3">
        <v>5216513</v>
      </c>
      <c r="Q256" s="3">
        <v>53.27</v>
      </c>
      <c r="R256" s="3">
        <v>53.68</v>
      </c>
      <c r="S256" s="3">
        <v>53.15</v>
      </c>
      <c r="T256" s="3">
        <v>53.53</v>
      </c>
      <c r="U256" s="3">
        <v>9845154</v>
      </c>
      <c r="V256" s="3">
        <v>64.900000000000006</v>
      </c>
      <c r="W256" s="3">
        <v>65.040000000000006</v>
      </c>
      <c r="X256" s="3">
        <v>63.5</v>
      </c>
      <c r="Y256" s="3">
        <v>64.319999999999993</v>
      </c>
      <c r="Z256" s="3">
        <v>16020841</v>
      </c>
      <c r="AA256" s="3">
        <v>18.75</v>
      </c>
      <c r="AB256" s="3">
        <v>18.84</v>
      </c>
      <c r="AC256" s="3">
        <v>18.66</v>
      </c>
      <c r="AD256" s="3">
        <v>18.73</v>
      </c>
      <c r="AE256" s="3">
        <v>25986442</v>
      </c>
      <c r="AF256" s="3">
        <v>69.180000000000007</v>
      </c>
      <c r="AG256" s="3">
        <v>70.19</v>
      </c>
      <c r="AH256" s="3">
        <v>69.150000000000006</v>
      </c>
      <c r="AI256" s="3">
        <v>69.97</v>
      </c>
      <c r="AJ256" s="3">
        <v>13606997</v>
      </c>
      <c r="AK256" s="3">
        <v>55.52</v>
      </c>
      <c r="AL256" s="3">
        <v>55.63</v>
      </c>
      <c r="AM256" s="3">
        <v>55.27</v>
      </c>
      <c r="AN256" s="3">
        <v>55.39</v>
      </c>
      <c r="AO256" s="3">
        <v>7765106</v>
      </c>
      <c r="AP256" s="3">
        <v>45.81</v>
      </c>
      <c r="AQ256" s="3">
        <v>45.88</v>
      </c>
      <c r="AR256" s="3">
        <v>45.54</v>
      </c>
      <c r="AS256" s="3">
        <v>45.6</v>
      </c>
      <c r="AT256" s="3">
        <v>6569086</v>
      </c>
      <c r="AU256" s="3">
        <v>42.27</v>
      </c>
      <c r="AV256" s="3">
        <v>42.45</v>
      </c>
      <c r="AW256" s="3">
        <v>42.22</v>
      </c>
      <c r="AX256" s="3">
        <v>42.25</v>
      </c>
      <c r="AY256" s="3">
        <v>7541183</v>
      </c>
      <c r="AZ256" s="3">
        <v>48.86</v>
      </c>
      <c r="BA256" s="3">
        <v>49.18</v>
      </c>
      <c r="BB256" s="3">
        <v>48.76</v>
      </c>
      <c r="BC256" s="3">
        <v>49.11</v>
      </c>
      <c r="BD256" s="3">
        <v>11231779</v>
      </c>
      <c r="BE256" s="3">
        <v>32.78</v>
      </c>
      <c r="BF256" s="3">
        <v>32.9</v>
      </c>
      <c r="BG256" s="3">
        <v>32.75</v>
      </c>
      <c r="BH256" s="3">
        <v>32.86</v>
      </c>
      <c r="BI256" s="3">
        <v>5211</v>
      </c>
    </row>
    <row r="257" spans="1:61" ht="13" x14ac:dyDescent="0.15">
      <c r="A257" s="3">
        <v>42500</v>
      </c>
      <c r="B257" s="3">
        <v>2062.63</v>
      </c>
      <c r="C257" s="3">
        <v>2084.87</v>
      </c>
      <c r="D257" s="3">
        <v>2062.63</v>
      </c>
      <c r="E257" s="3">
        <v>2084.39</v>
      </c>
      <c r="F257" s="3">
        <v>520435759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3">
        <v>79.73</v>
      </c>
      <c r="M257" s="3">
        <v>80.540000000000006</v>
      </c>
      <c r="N257" s="3">
        <v>79.72</v>
      </c>
      <c r="O257" s="3">
        <v>80.52</v>
      </c>
      <c r="P257" s="3">
        <v>4832283</v>
      </c>
      <c r="Q257" s="3">
        <v>53.7</v>
      </c>
      <c r="R257" s="3">
        <v>54.06</v>
      </c>
      <c r="S257" s="3">
        <v>53.64</v>
      </c>
      <c r="T257" s="3">
        <v>54.06</v>
      </c>
      <c r="U257" s="3">
        <v>8567408</v>
      </c>
      <c r="V257" s="3">
        <v>64.650000000000006</v>
      </c>
      <c r="W257" s="3">
        <v>65.47</v>
      </c>
      <c r="X257" s="3">
        <v>64.62</v>
      </c>
      <c r="Y257" s="3">
        <v>65.45</v>
      </c>
      <c r="Z257" s="3">
        <v>10351379</v>
      </c>
      <c r="AA257" s="3">
        <v>18.82</v>
      </c>
      <c r="AB257" s="3">
        <v>19.010000000000002</v>
      </c>
      <c r="AC257" s="3">
        <v>18.82</v>
      </c>
      <c r="AD257" s="3">
        <v>19</v>
      </c>
      <c r="AE257" s="3">
        <v>30502920</v>
      </c>
      <c r="AF257" s="3">
        <v>70.25</v>
      </c>
      <c r="AG257" s="3">
        <v>70.569999999999993</v>
      </c>
      <c r="AH257" s="3">
        <v>70.06</v>
      </c>
      <c r="AI257" s="3">
        <v>70.56</v>
      </c>
      <c r="AJ257" s="3">
        <v>11073007</v>
      </c>
      <c r="AK257" s="3">
        <v>55.55</v>
      </c>
      <c r="AL257" s="3">
        <v>56.35</v>
      </c>
      <c r="AM257" s="3">
        <v>55.55</v>
      </c>
      <c r="AN257" s="3">
        <v>56.34</v>
      </c>
      <c r="AO257" s="3">
        <v>14983063</v>
      </c>
      <c r="AP257" s="3">
        <v>45.83</v>
      </c>
      <c r="AQ257" s="3">
        <v>46.4</v>
      </c>
      <c r="AR257" s="3">
        <v>45.74</v>
      </c>
      <c r="AS257" s="3">
        <v>46.36</v>
      </c>
      <c r="AT257" s="3">
        <v>6788160</v>
      </c>
      <c r="AU257" s="3">
        <v>42.38</v>
      </c>
      <c r="AV257" s="3">
        <v>42.8</v>
      </c>
      <c r="AW257" s="3">
        <v>42.33</v>
      </c>
      <c r="AX257" s="3">
        <v>42.8</v>
      </c>
      <c r="AY257" s="3">
        <v>13920189</v>
      </c>
      <c r="AZ257" s="3">
        <v>49.16</v>
      </c>
      <c r="BA257" s="3">
        <v>49.34</v>
      </c>
      <c r="BB257" s="3">
        <v>48.98</v>
      </c>
      <c r="BC257" s="3">
        <v>49.16</v>
      </c>
      <c r="BD257" s="3">
        <v>13257927</v>
      </c>
      <c r="BE257" s="3">
        <v>33.19</v>
      </c>
      <c r="BF257" s="3">
        <v>33.19</v>
      </c>
      <c r="BG257" s="3">
        <v>32.909999999999997</v>
      </c>
      <c r="BH257" s="3">
        <v>32.979999999999997</v>
      </c>
      <c r="BI257" s="3">
        <v>7663</v>
      </c>
    </row>
    <row r="258" spans="1:61" ht="13" x14ac:dyDescent="0.15">
      <c r="A258" s="3">
        <v>42501</v>
      </c>
      <c r="B258" s="3">
        <v>2083.29</v>
      </c>
      <c r="C258" s="3">
        <v>2083.29</v>
      </c>
      <c r="D258" s="3">
        <v>2064.46</v>
      </c>
      <c r="E258" s="3">
        <v>2064.46</v>
      </c>
      <c r="F258" s="3">
        <v>580139895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3">
        <v>79.739999999999995</v>
      </c>
      <c r="M258" s="3">
        <v>79.739999999999995</v>
      </c>
      <c r="N258" s="3">
        <v>78.849999999999994</v>
      </c>
      <c r="O258" s="3">
        <v>78.900000000000006</v>
      </c>
      <c r="P258" s="3">
        <v>6116767</v>
      </c>
      <c r="Q258" s="3">
        <v>53.98</v>
      </c>
      <c r="R258" s="3">
        <v>54.04</v>
      </c>
      <c r="S258" s="3">
        <v>53.61</v>
      </c>
      <c r="T258" s="3">
        <v>53.63</v>
      </c>
      <c r="U258" s="3">
        <v>6462128</v>
      </c>
      <c r="V258" s="3">
        <v>65.290000000000006</v>
      </c>
      <c r="W258" s="3">
        <v>66.23</v>
      </c>
      <c r="X258" s="3">
        <v>64.760000000000005</v>
      </c>
      <c r="Y258" s="3">
        <v>65.650000000000006</v>
      </c>
      <c r="Z258" s="3">
        <v>14214778</v>
      </c>
      <c r="AA258" s="3">
        <v>18.95</v>
      </c>
      <c r="AB258" s="3">
        <v>18.989999999999998</v>
      </c>
      <c r="AC258" s="3">
        <v>18.78</v>
      </c>
      <c r="AD258" s="3">
        <v>18.8</v>
      </c>
      <c r="AE258" s="3">
        <v>25963552</v>
      </c>
      <c r="AF258" s="3">
        <v>70.45</v>
      </c>
      <c r="AG258" s="3">
        <v>70.63</v>
      </c>
      <c r="AH258" s="3">
        <v>69.7</v>
      </c>
      <c r="AI258" s="3">
        <v>69.709999999999994</v>
      </c>
      <c r="AJ258" s="3">
        <v>8452541</v>
      </c>
      <c r="AK258" s="3">
        <v>56.3</v>
      </c>
      <c r="AL258" s="3">
        <v>56.48</v>
      </c>
      <c r="AM258" s="3">
        <v>55.87</v>
      </c>
      <c r="AN258" s="3">
        <v>55.87</v>
      </c>
      <c r="AO258" s="3">
        <v>12801978</v>
      </c>
      <c r="AP258" s="3">
        <v>46.44</v>
      </c>
      <c r="AQ258" s="3">
        <v>46.6</v>
      </c>
      <c r="AR258" s="3">
        <v>46.17</v>
      </c>
      <c r="AS258" s="3">
        <v>46.2</v>
      </c>
      <c r="AT258" s="3">
        <v>5682506</v>
      </c>
      <c r="AU258" s="3">
        <v>42.69</v>
      </c>
      <c r="AV258" s="3">
        <v>42.93</v>
      </c>
      <c r="AW258" s="3">
        <v>42.49</v>
      </c>
      <c r="AX258" s="3">
        <v>42.49</v>
      </c>
      <c r="AY258" s="3">
        <v>7152065</v>
      </c>
      <c r="AZ258" s="3">
        <v>49.17</v>
      </c>
      <c r="BA258" s="3">
        <v>49.38</v>
      </c>
      <c r="BB258" s="3">
        <v>48.9</v>
      </c>
      <c r="BC258" s="3">
        <v>49.34</v>
      </c>
      <c r="BD258" s="3">
        <v>12173944</v>
      </c>
      <c r="BE258" s="3">
        <v>33.090000000000003</v>
      </c>
      <c r="BF258" s="3">
        <v>33.090000000000003</v>
      </c>
      <c r="BG258" s="3">
        <v>32.24</v>
      </c>
      <c r="BH258" s="3">
        <v>32.380000000000003</v>
      </c>
      <c r="BI258" s="3">
        <v>7140</v>
      </c>
    </row>
    <row r="259" spans="1:61" ht="13" x14ac:dyDescent="0.15">
      <c r="A259" s="3">
        <v>42502</v>
      </c>
      <c r="B259" s="3">
        <v>2067.17</v>
      </c>
      <c r="C259" s="3">
        <v>2073.9899999999998</v>
      </c>
      <c r="D259" s="3">
        <v>2053.13</v>
      </c>
      <c r="E259" s="3">
        <v>2064.11</v>
      </c>
      <c r="F259" s="3">
        <v>588564913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3">
        <v>79.2</v>
      </c>
      <c r="M259" s="3">
        <v>79.349999999999994</v>
      </c>
      <c r="N259" s="3">
        <v>78.489999999999995</v>
      </c>
      <c r="O259" s="3">
        <v>79.05</v>
      </c>
      <c r="P259" s="3">
        <v>5603270</v>
      </c>
      <c r="Q259" s="3">
        <v>53.75</v>
      </c>
      <c r="R259" s="3">
        <v>54.03</v>
      </c>
      <c r="S259" s="3">
        <v>53.64</v>
      </c>
      <c r="T259" s="3">
        <v>53.92</v>
      </c>
      <c r="U259" s="3">
        <v>11906398</v>
      </c>
      <c r="V259" s="3">
        <v>66.239999999999995</v>
      </c>
      <c r="W259" s="3">
        <v>66.739999999999995</v>
      </c>
      <c r="X259" s="3">
        <v>65.34</v>
      </c>
      <c r="Y259" s="3">
        <v>65.83</v>
      </c>
      <c r="Z259" s="3">
        <v>12477167</v>
      </c>
      <c r="AA259" s="3">
        <v>18.86</v>
      </c>
      <c r="AB259" s="3">
        <v>18.95</v>
      </c>
      <c r="AC259" s="3">
        <v>18.690000000000001</v>
      </c>
      <c r="AD259" s="3">
        <v>18.809999999999999</v>
      </c>
      <c r="AE259" s="3">
        <v>28639309</v>
      </c>
      <c r="AF259" s="3">
        <v>69.86</v>
      </c>
      <c r="AG259" s="3">
        <v>70.069999999999993</v>
      </c>
      <c r="AH259" s="3">
        <v>68.900000000000006</v>
      </c>
      <c r="AI259" s="3">
        <v>69.3</v>
      </c>
      <c r="AJ259" s="3">
        <v>11322942</v>
      </c>
      <c r="AK259" s="3">
        <v>55.88</v>
      </c>
      <c r="AL259" s="3">
        <v>56.13</v>
      </c>
      <c r="AM259" s="3">
        <v>55.41</v>
      </c>
      <c r="AN259" s="3">
        <v>55.75</v>
      </c>
      <c r="AO259" s="3">
        <v>13992392</v>
      </c>
      <c r="AP259" s="3">
        <v>47.04</v>
      </c>
      <c r="AQ259" s="3">
        <v>47.19</v>
      </c>
      <c r="AR259" s="3">
        <v>46.24</v>
      </c>
      <c r="AS259" s="3">
        <v>46.4</v>
      </c>
      <c r="AT259" s="3">
        <v>9937625</v>
      </c>
      <c r="AU259" s="3">
        <v>42.65</v>
      </c>
      <c r="AV259" s="3">
        <v>42.65</v>
      </c>
      <c r="AW259" s="3">
        <v>42.1</v>
      </c>
      <c r="AX259" s="3">
        <v>42.37</v>
      </c>
      <c r="AY259" s="3">
        <v>9336628</v>
      </c>
      <c r="AZ259" s="3">
        <v>49.26</v>
      </c>
      <c r="BA259" s="3">
        <v>49.71</v>
      </c>
      <c r="BB259" s="3">
        <v>49.08</v>
      </c>
      <c r="BC259" s="3">
        <v>49.63</v>
      </c>
      <c r="BD259" s="3">
        <v>17727710</v>
      </c>
      <c r="BE259" s="3">
        <v>32.47</v>
      </c>
      <c r="BF259" s="3">
        <v>32.6</v>
      </c>
      <c r="BG259" s="3">
        <v>32.18</v>
      </c>
      <c r="BH259" s="3">
        <v>32.49</v>
      </c>
      <c r="BI259" s="3">
        <v>3557</v>
      </c>
    </row>
    <row r="260" spans="1:61" ht="13" x14ac:dyDescent="0.15">
      <c r="A260" s="3">
        <v>42503</v>
      </c>
      <c r="B260" s="3">
        <v>2062.5</v>
      </c>
      <c r="C260" s="3">
        <v>2066.79</v>
      </c>
      <c r="D260" s="3">
        <v>2043.13</v>
      </c>
      <c r="E260" s="3">
        <v>2046.61</v>
      </c>
      <c r="F260" s="3">
        <v>567482287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3">
        <v>78.66</v>
      </c>
      <c r="M260" s="3">
        <v>79.010000000000005</v>
      </c>
      <c r="N260" s="3">
        <v>78.069999999999993</v>
      </c>
      <c r="O260" s="3">
        <v>78.11</v>
      </c>
      <c r="P260" s="3">
        <v>7602049</v>
      </c>
      <c r="Q260" s="3">
        <v>53.79</v>
      </c>
      <c r="R260" s="3">
        <v>53.87</v>
      </c>
      <c r="S260" s="3">
        <v>53.15</v>
      </c>
      <c r="T260" s="3">
        <v>53.24</v>
      </c>
      <c r="U260" s="3">
        <v>10657717</v>
      </c>
      <c r="V260" s="3">
        <v>65.540000000000006</v>
      </c>
      <c r="W260" s="3">
        <v>66.040000000000006</v>
      </c>
      <c r="X260" s="3">
        <v>64.849999999999994</v>
      </c>
      <c r="Y260" s="3">
        <v>64.989999999999995</v>
      </c>
      <c r="Z260" s="3">
        <v>12371851</v>
      </c>
      <c r="AA260" s="3">
        <v>18.77</v>
      </c>
      <c r="AB260" s="3">
        <v>18.899999999999999</v>
      </c>
      <c r="AC260" s="3">
        <v>18.55</v>
      </c>
      <c r="AD260" s="3">
        <v>18.579999999999998</v>
      </c>
      <c r="AE260" s="3">
        <v>36993400</v>
      </c>
      <c r="AF260" s="3">
        <v>69.22</v>
      </c>
      <c r="AG260" s="3">
        <v>69.67</v>
      </c>
      <c r="AH260" s="3">
        <v>69.08</v>
      </c>
      <c r="AI260" s="3">
        <v>69.14</v>
      </c>
      <c r="AJ260" s="3">
        <v>11947338</v>
      </c>
      <c r="AK260" s="3">
        <v>55.66</v>
      </c>
      <c r="AL260" s="3">
        <v>55.88</v>
      </c>
      <c r="AM260" s="3">
        <v>54.9</v>
      </c>
      <c r="AN260" s="3">
        <v>55.05</v>
      </c>
      <c r="AO260" s="3">
        <v>13017961</v>
      </c>
      <c r="AP260" s="3">
        <v>46.38</v>
      </c>
      <c r="AQ260" s="3">
        <v>46.62</v>
      </c>
      <c r="AR260" s="3">
        <v>45.78</v>
      </c>
      <c r="AS260" s="3">
        <v>45.95</v>
      </c>
      <c r="AT260" s="3">
        <v>5623949</v>
      </c>
      <c r="AU260" s="3">
        <v>42.36</v>
      </c>
      <c r="AV260" s="3">
        <v>42.62</v>
      </c>
      <c r="AW260" s="3">
        <v>42.16</v>
      </c>
      <c r="AX260" s="3">
        <v>42.21</v>
      </c>
      <c r="AY260" s="3">
        <v>10921355</v>
      </c>
      <c r="AZ260" s="3">
        <v>49.5</v>
      </c>
      <c r="BA260" s="3">
        <v>49.61</v>
      </c>
      <c r="BB260" s="3">
        <v>49.15</v>
      </c>
      <c r="BC260" s="3">
        <v>49.39</v>
      </c>
      <c r="BD260" s="3">
        <v>12626636</v>
      </c>
      <c r="BE260" s="3">
        <v>32.43</v>
      </c>
      <c r="BF260" s="3">
        <v>32.99</v>
      </c>
      <c r="BG260" s="3">
        <v>31.91</v>
      </c>
      <c r="BH260" s="3">
        <v>32.020000000000003</v>
      </c>
      <c r="BI260" s="3">
        <v>3660</v>
      </c>
    </row>
    <row r="261" spans="1:61" ht="13" x14ac:dyDescent="0.15">
      <c r="A261" s="3">
        <v>42506</v>
      </c>
      <c r="B261" s="3">
        <v>2046.53</v>
      </c>
      <c r="C261" s="3">
        <v>2071.88</v>
      </c>
      <c r="D261" s="3">
        <v>2046.53</v>
      </c>
      <c r="E261" s="3">
        <v>2066.66</v>
      </c>
      <c r="F261" s="3">
        <v>567330467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3">
        <v>78.05</v>
      </c>
      <c r="M261" s="3">
        <v>78.849999999999994</v>
      </c>
      <c r="N261" s="3">
        <v>77.94</v>
      </c>
      <c r="O261" s="3">
        <v>78.599999999999994</v>
      </c>
      <c r="P261" s="3">
        <v>4605726</v>
      </c>
      <c r="Q261" s="3">
        <v>53.14</v>
      </c>
      <c r="R261" s="3">
        <v>53.7</v>
      </c>
      <c r="S261" s="3">
        <v>53.1</v>
      </c>
      <c r="T261" s="3">
        <v>53.58</v>
      </c>
      <c r="U261" s="3">
        <v>8139327</v>
      </c>
      <c r="V261" s="3">
        <v>65.84</v>
      </c>
      <c r="W261" s="3">
        <v>66.3</v>
      </c>
      <c r="X261" s="3">
        <v>65.650000000000006</v>
      </c>
      <c r="Y261" s="3">
        <v>66.09</v>
      </c>
      <c r="Z261" s="3">
        <v>13727687</v>
      </c>
      <c r="AA261" s="3">
        <v>18.579999999999998</v>
      </c>
      <c r="AB261" s="3">
        <v>18.760000000000002</v>
      </c>
      <c r="AC261" s="3">
        <v>18.559999999999999</v>
      </c>
      <c r="AD261" s="3">
        <v>18.68</v>
      </c>
      <c r="AE261" s="3">
        <v>27454297</v>
      </c>
      <c r="AF261" s="3">
        <v>69.150000000000006</v>
      </c>
      <c r="AG261" s="3">
        <v>70.23</v>
      </c>
      <c r="AH261" s="3">
        <v>69.12</v>
      </c>
      <c r="AI261" s="3">
        <v>70.08</v>
      </c>
      <c r="AJ261" s="3">
        <v>8338124</v>
      </c>
      <c r="AK261" s="3">
        <v>55.05</v>
      </c>
      <c r="AL261" s="3">
        <v>55.9</v>
      </c>
      <c r="AM261" s="3">
        <v>55.05</v>
      </c>
      <c r="AN261" s="3">
        <v>55.73</v>
      </c>
      <c r="AO261" s="3">
        <v>9210833</v>
      </c>
      <c r="AP261" s="3">
        <v>46.05</v>
      </c>
      <c r="AQ261" s="3">
        <v>46.79</v>
      </c>
      <c r="AR261" s="3">
        <v>46.03</v>
      </c>
      <c r="AS261" s="3">
        <v>46.74</v>
      </c>
      <c r="AT261" s="3">
        <v>5837143</v>
      </c>
      <c r="AU261" s="3">
        <v>42.25</v>
      </c>
      <c r="AV261" s="3">
        <v>42.9</v>
      </c>
      <c r="AW261" s="3">
        <v>42.25</v>
      </c>
      <c r="AX261" s="3">
        <v>42.8</v>
      </c>
      <c r="AY261" s="3">
        <v>6394168</v>
      </c>
      <c r="AZ261" s="3">
        <v>49.22</v>
      </c>
      <c r="BA261" s="3">
        <v>49.46</v>
      </c>
      <c r="BB261" s="3">
        <v>49.04</v>
      </c>
      <c r="BC261" s="3">
        <v>49.45</v>
      </c>
      <c r="BD261" s="3">
        <v>11087144</v>
      </c>
      <c r="BE261" s="3">
        <v>32.119999999999997</v>
      </c>
      <c r="BF261" s="3">
        <v>32.5</v>
      </c>
      <c r="BG261" s="3">
        <v>32.119999999999997</v>
      </c>
      <c r="BH261" s="3">
        <v>32.46</v>
      </c>
      <c r="BI261" s="3">
        <v>6986</v>
      </c>
    </row>
    <row r="262" spans="1:61" ht="13" x14ac:dyDescent="0.15">
      <c r="A262" s="3">
        <v>42507</v>
      </c>
      <c r="B262" s="3">
        <v>2065.04</v>
      </c>
      <c r="C262" s="3">
        <v>2065.69</v>
      </c>
      <c r="D262" s="3">
        <v>2040.82</v>
      </c>
      <c r="E262" s="3">
        <v>2047.21</v>
      </c>
      <c r="F262" s="3">
        <v>686681048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3">
        <v>78.48</v>
      </c>
      <c r="M262" s="3">
        <v>78.650000000000006</v>
      </c>
      <c r="N262" s="3">
        <v>77.489999999999995</v>
      </c>
      <c r="O262" s="3">
        <v>77.709999999999994</v>
      </c>
      <c r="P262" s="3">
        <v>6543245</v>
      </c>
      <c r="Q262" s="3">
        <v>53.38</v>
      </c>
      <c r="R262" s="3">
        <v>53.55</v>
      </c>
      <c r="S262" s="3">
        <v>52.39</v>
      </c>
      <c r="T262" s="3">
        <v>52.53</v>
      </c>
      <c r="U262" s="3">
        <v>19898173</v>
      </c>
      <c r="V262" s="3">
        <v>66.099999999999994</v>
      </c>
      <c r="W262" s="3">
        <v>66.91</v>
      </c>
      <c r="X262" s="3">
        <v>65.89</v>
      </c>
      <c r="Y262" s="3">
        <v>66.400000000000006</v>
      </c>
      <c r="Z262" s="3">
        <v>15837339</v>
      </c>
      <c r="AA262" s="3">
        <v>18.63</v>
      </c>
      <c r="AB262" s="3">
        <v>18.71</v>
      </c>
      <c r="AC262" s="3">
        <v>18.489999999999998</v>
      </c>
      <c r="AD262" s="3">
        <v>18.57</v>
      </c>
      <c r="AE262" s="3">
        <v>36927351</v>
      </c>
      <c r="AF262" s="3">
        <v>69.95</v>
      </c>
      <c r="AG262" s="3">
        <v>70.13</v>
      </c>
      <c r="AH262" s="3">
        <v>69.099999999999994</v>
      </c>
      <c r="AI262" s="3">
        <v>69.349999999999994</v>
      </c>
      <c r="AJ262" s="3">
        <v>14919984</v>
      </c>
      <c r="AK262" s="3">
        <v>55.55</v>
      </c>
      <c r="AL262" s="3">
        <v>56.04</v>
      </c>
      <c r="AM262" s="3">
        <v>55.27</v>
      </c>
      <c r="AN262" s="3">
        <v>55.46</v>
      </c>
      <c r="AO262" s="3">
        <v>11830078</v>
      </c>
      <c r="AP262" s="3">
        <v>46.51</v>
      </c>
      <c r="AQ262" s="3">
        <v>46.97</v>
      </c>
      <c r="AR262" s="3">
        <v>46.4</v>
      </c>
      <c r="AS262" s="3">
        <v>46.5</v>
      </c>
      <c r="AT262" s="3">
        <v>6422449</v>
      </c>
      <c r="AU262" s="3">
        <v>42.67</v>
      </c>
      <c r="AV262" s="3">
        <v>42.88</v>
      </c>
      <c r="AW262" s="3">
        <v>42.24</v>
      </c>
      <c r="AX262" s="3">
        <v>42.37</v>
      </c>
      <c r="AY262" s="3">
        <v>9940068</v>
      </c>
      <c r="AZ262" s="3">
        <v>49.29</v>
      </c>
      <c r="BA262" s="3">
        <v>49.41</v>
      </c>
      <c r="BB262" s="3">
        <v>48.35</v>
      </c>
      <c r="BC262" s="3">
        <v>48.61</v>
      </c>
      <c r="BD262" s="3">
        <v>17532997</v>
      </c>
      <c r="BE262" s="3">
        <v>32</v>
      </c>
      <c r="BF262" s="3">
        <v>32.1</v>
      </c>
      <c r="BG262" s="3">
        <v>31.92</v>
      </c>
      <c r="BH262" s="3">
        <v>31.92</v>
      </c>
      <c r="BI262" s="3">
        <v>2381</v>
      </c>
    </row>
    <row r="263" spans="1:61" ht="13" x14ac:dyDescent="0.15">
      <c r="A263" s="3">
        <v>42508</v>
      </c>
      <c r="B263" s="3">
        <v>2044.38</v>
      </c>
      <c r="C263" s="3">
        <v>2060.61</v>
      </c>
      <c r="D263" s="3">
        <v>2034.49</v>
      </c>
      <c r="E263" s="3">
        <v>2047.63</v>
      </c>
      <c r="F263" s="3">
        <v>558156815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3">
        <v>77.180000000000007</v>
      </c>
      <c r="M263" s="3">
        <v>77.760000000000005</v>
      </c>
      <c r="N263" s="3">
        <v>76.73</v>
      </c>
      <c r="O263" s="3">
        <v>77.260000000000005</v>
      </c>
      <c r="P263" s="3">
        <v>11329345</v>
      </c>
      <c r="Q263" s="3">
        <v>52.24</v>
      </c>
      <c r="R263" s="3">
        <v>52.4</v>
      </c>
      <c r="S263" s="3">
        <v>51.72</v>
      </c>
      <c r="T263" s="3">
        <v>51.92</v>
      </c>
      <c r="U263" s="3">
        <v>20132506</v>
      </c>
      <c r="V263" s="3">
        <v>66.39</v>
      </c>
      <c r="W263" s="3">
        <v>66.61</v>
      </c>
      <c r="X263" s="3">
        <v>65.34</v>
      </c>
      <c r="Y263" s="3">
        <v>65.760000000000005</v>
      </c>
      <c r="Z263" s="3">
        <v>22951773</v>
      </c>
      <c r="AA263" s="3">
        <v>18.510000000000002</v>
      </c>
      <c r="AB263" s="3">
        <v>18.91</v>
      </c>
      <c r="AC263" s="3">
        <v>18.510000000000002</v>
      </c>
      <c r="AD263" s="3">
        <v>18.899999999999999</v>
      </c>
      <c r="AE263" s="3">
        <v>81431448</v>
      </c>
      <c r="AF263" s="3">
        <v>69.239999999999995</v>
      </c>
      <c r="AG263" s="3">
        <v>69.989999999999995</v>
      </c>
      <c r="AH263" s="3">
        <v>69.17</v>
      </c>
      <c r="AI263" s="3">
        <v>69.64</v>
      </c>
      <c r="AJ263" s="3">
        <v>11524253</v>
      </c>
      <c r="AK263" s="3">
        <v>55.31</v>
      </c>
      <c r="AL263" s="3">
        <v>55.76</v>
      </c>
      <c r="AM263" s="3">
        <v>54.96</v>
      </c>
      <c r="AN263" s="3">
        <v>55.27</v>
      </c>
      <c r="AO263" s="3">
        <v>13609444</v>
      </c>
      <c r="AP263" s="3">
        <v>46.24</v>
      </c>
      <c r="AQ263" s="3">
        <v>46.58</v>
      </c>
      <c r="AR263" s="3">
        <v>45.58</v>
      </c>
      <c r="AS263" s="3">
        <v>45.79</v>
      </c>
      <c r="AT263" s="3">
        <v>9594756</v>
      </c>
      <c r="AU263" s="3">
        <v>42.26</v>
      </c>
      <c r="AV263" s="3">
        <v>42.78</v>
      </c>
      <c r="AW263" s="3">
        <v>42.2</v>
      </c>
      <c r="AX263" s="3">
        <v>42.45</v>
      </c>
      <c r="AY263" s="3">
        <v>10903724</v>
      </c>
      <c r="AZ263" s="3">
        <v>48.33</v>
      </c>
      <c r="BA263" s="3">
        <v>48.71</v>
      </c>
      <c r="BB263" s="3">
        <v>47.54</v>
      </c>
      <c r="BC263" s="3">
        <v>47.7</v>
      </c>
      <c r="BD263" s="3">
        <v>27257599</v>
      </c>
      <c r="BE263" s="3">
        <v>31.94</v>
      </c>
      <c r="BF263" s="3">
        <v>31.94</v>
      </c>
      <c r="BG263" s="3">
        <v>31.13</v>
      </c>
      <c r="BH263" s="3">
        <v>31.13</v>
      </c>
      <c r="BI263" s="3">
        <v>5739</v>
      </c>
    </row>
    <row r="264" spans="1:61" ht="13" x14ac:dyDescent="0.15">
      <c r="A264" s="3">
        <v>42509</v>
      </c>
      <c r="B264" s="3">
        <v>2044.21</v>
      </c>
      <c r="C264" s="3">
        <v>2044.21</v>
      </c>
      <c r="D264" s="3">
        <v>2025.91</v>
      </c>
      <c r="E264" s="3">
        <v>2040.04</v>
      </c>
      <c r="F264" s="3">
        <v>589913028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3">
        <v>76.92</v>
      </c>
      <c r="M264" s="3">
        <v>77.31</v>
      </c>
      <c r="N264" s="3">
        <v>76.650000000000006</v>
      </c>
      <c r="O264" s="3">
        <v>77.19</v>
      </c>
      <c r="P264" s="3">
        <v>7833646</v>
      </c>
      <c r="Q264" s="3">
        <v>52.08</v>
      </c>
      <c r="R264" s="3">
        <v>52.45</v>
      </c>
      <c r="S264" s="3">
        <v>51.95</v>
      </c>
      <c r="T264" s="3">
        <v>52.43</v>
      </c>
      <c r="U264" s="3">
        <v>13237265</v>
      </c>
      <c r="V264" s="3">
        <v>65.099999999999994</v>
      </c>
      <c r="W264" s="3">
        <v>65.92</v>
      </c>
      <c r="X264" s="3">
        <v>64.489999999999995</v>
      </c>
      <c r="Y264" s="3">
        <v>65.77</v>
      </c>
      <c r="Z264" s="3">
        <v>16854850</v>
      </c>
      <c r="AA264" s="3">
        <v>18.809999999999999</v>
      </c>
      <c r="AB264" s="3">
        <v>18.899999999999999</v>
      </c>
      <c r="AC264" s="3">
        <v>18.600000000000001</v>
      </c>
      <c r="AD264" s="3">
        <v>18.72</v>
      </c>
      <c r="AE264" s="3">
        <v>53780085</v>
      </c>
      <c r="AF264" s="3">
        <v>69.239999999999995</v>
      </c>
      <c r="AG264" s="3">
        <v>69.56</v>
      </c>
      <c r="AH264" s="3">
        <v>68.61</v>
      </c>
      <c r="AI264" s="3">
        <v>69.05</v>
      </c>
      <c r="AJ264" s="3">
        <v>8765724</v>
      </c>
      <c r="AK264" s="3">
        <v>54.83</v>
      </c>
      <c r="AL264" s="3">
        <v>55.03</v>
      </c>
      <c r="AM264" s="3">
        <v>54.39</v>
      </c>
      <c r="AN264" s="3">
        <v>54.75</v>
      </c>
      <c r="AO264" s="3">
        <v>15143060</v>
      </c>
      <c r="AP264" s="3">
        <v>45.7</v>
      </c>
      <c r="AQ264" s="3">
        <v>46.01</v>
      </c>
      <c r="AR264" s="3">
        <v>45.42</v>
      </c>
      <c r="AS264" s="3">
        <v>45.95</v>
      </c>
      <c r="AT264" s="3">
        <v>6264884</v>
      </c>
      <c r="AU264" s="3">
        <v>42.35</v>
      </c>
      <c r="AV264" s="3">
        <v>42.4</v>
      </c>
      <c r="AW264" s="3">
        <v>41.97</v>
      </c>
      <c r="AX264" s="3">
        <v>42.22</v>
      </c>
      <c r="AY264" s="3">
        <v>8634847</v>
      </c>
      <c r="AZ264" s="3">
        <v>47.52</v>
      </c>
      <c r="BA264" s="3">
        <v>48.19</v>
      </c>
      <c r="BB264" s="3">
        <v>47.25</v>
      </c>
      <c r="BC264" s="3">
        <v>48.18</v>
      </c>
      <c r="BD264" s="3">
        <v>19582762</v>
      </c>
      <c r="BE264" s="3">
        <v>31.04</v>
      </c>
      <c r="BF264" s="3">
        <v>31.16</v>
      </c>
      <c r="BG264" s="3">
        <v>30.99</v>
      </c>
      <c r="BH264" s="3">
        <v>31.07</v>
      </c>
      <c r="BI264" s="3">
        <v>2971</v>
      </c>
    </row>
    <row r="265" spans="1:61" ht="13" x14ac:dyDescent="0.15">
      <c r="A265" s="3">
        <v>42510</v>
      </c>
      <c r="B265" s="3">
        <v>2041.88</v>
      </c>
      <c r="C265" s="3">
        <v>2058.35</v>
      </c>
      <c r="D265" s="3">
        <v>2041.88</v>
      </c>
      <c r="E265" s="3">
        <v>2052.3200000000002</v>
      </c>
      <c r="F265" s="3">
        <v>697842193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3">
        <v>77.28</v>
      </c>
      <c r="M265" s="3">
        <v>77.95</v>
      </c>
      <c r="N265" s="3">
        <v>77.22</v>
      </c>
      <c r="O265" s="3">
        <v>77.7</v>
      </c>
      <c r="P265" s="3">
        <v>3908089</v>
      </c>
      <c r="Q265" s="3">
        <v>52.57</v>
      </c>
      <c r="R265" s="3">
        <v>52.6</v>
      </c>
      <c r="S265" s="3">
        <v>52.1</v>
      </c>
      <c r="T265" s="3">
        <v>52.16</v>
      </c>
      <c r="U265" s="3">
        <v>7050783</v>
      </c>
      <c r="V265" s="3">
        <v>65.97</v>
      </c>
      <c r="W265" s="3">
        <v>66.3</v>
      </c>
      <c r="X265" s="3">
        <v>65.569999999999993</v>
      </c>
      <c r="Y265" s="3">
        <v>66.16</v>
      </c>
      <c r="Z265" s="3">
        <v>9833512</v>
      </c>
      <c r="AA265" s="3">
        <v>18.82</v>
      </c>
      <c r="AB265" s="3">
        <v>18.95</v>
      </c>
      <c r="AC265" s="3">
        <v>18.79</v>
      </c>
      <c r="AD265" s="3">
        <v>18.850000000000001</v>
      </c>
      <c r="AE265" s="3">
        <v>29053929</v>
      </c>
      <c r="AF265" s="3">
        <v>69.31</v>
      </c>
      <c r="AG265" s="3">
        <v>69.930000000000007</v>
      </c>
      <c r="AH265" s="3">
        <v>69.28</v>
      </c>
      <c r="AI265" s="3">
        <v>69.69</v>
      </c>
      <c r="AJ265" s="3">
        <v>7926080</v>
      </c>
      <c r="AK265" s="3">
        <v>54.97</v>
      </c>
      <c r="AL265" s="3">
        <v>55.32</v>
      </c>
      <c r="AM265" s="3">
        <v>54.96</v>
      </c>
      <c r="AN265" s="3">
        <v>55.03</v>
      </c>
      <c r="AO265" s="3">
        <v>9397852</v>
      </c>
      <c r="AP265" s="3">
        <v>46.14</v>
      </c>
      <c r="AQ265" s="3">
        <v>46.47</v>
      </c>
      <c r="AR265" s="3">
        <v>46.11</v>
      </c>
      <c r="AS265" s="3">
        <v>46.28</v>
      </c>
      <c r="AT265" s="3">
        <v>4912622</v>
      </c>
      <c r="AU265" s="3">
        <v>42.45</v>
      </c>
      <c r="AV265" s="3">
        <v>42.83</v>
      </c>
      <c r="AW265" s="3">
        <v>42.42</v>
      </c>
      <c r="AX265" s="3">
        <v>42.73</v>
      </c>
      <c r="AY265" s="3">
        <v>5873037</v>
      </c>
      <c r="AZ265" s="3">
        <v>48.29</v>
      </c>
      <c r="BA265" s="3">
        <v>48.35</v>
      </c>
      <c r="BB265" s="3">
        <v>47.92</v>
      </c>
      <c r="BC265" s="3">
        <v>48.29</v>
      </c>
      <c r="BD265" s="3">
        <v>15185693</v>
      </c>
      <c r="BE265" s="3">
        <v>31.25</v>
      </c>
      <c r="BF265" s="3">
        <v>31.3</v>
      </c>
      <c r="BG265" s="3">
        <v>31.22</v>
      </c>
      <c r="BH265" s="3">
        <v>31.28</v>
      </c>
      <c r="BI265" s="3">
        <v>2660</v>
      </c>
    </row>
    <row r="266" spans="1:61" ht="13" x14ac:dyDescent="0.15">
      <c r="A266" s="3">
        <v>42513</v>
      </c>
      <c r="B266" s="3">
        <v>2052.23</v>
      </c>
      <c r="C266" s="3">
        <v>2055.58</v>
      </c>
      <c r="D266" s="3">
        <v>2047.26</v>
      </c>
      <c r="E266" s="3">
        <v>2048.04</v>
      </c>
      <c r="F266" s="3">
        <v>524841588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3">
        <v>77.59</v>
      </c>
      <c r="M266" s="3">
        <v>77.94</v>
      </c>
      <c r="N266" s="3">
        <v>77.349999999999994</v>
      </c>
      <c r="O266" s="3">
        <v>77.430000000000007</v>
      </c>
      <c r="P266" s="3">
        <v>4252544</v>
      </c>
      <c r="Q266" s="3">
        <v>52.25</v>
      </c>
      <c r="R266" s="3">
        <v>52.35</v>
      </c>
      <c r="S266" s="3">
        <v>52.11</v>
      </c>
      <c r="T266" s="3">
        <v>52.21</v>
      </c>
      <c r="U266" s="3">
        <v>8546688</v>
      </c>
      <c r="V266" s="3">
        <v>65.77</v>
      </c>
      <c r="W266" s="3">
        <v>66.28</v>
      </c>
      <c r="X266" s="3">
        <v>65.540000000000006</v>
      </c>
      <c r="Y266" s="3">
        <v>65.989999999999995</v>
      </c>
      <c r="Z266" s="3">
        <v>10272532</v>
      </c>
      <c r="AA266" s="3">
        <v>18.809999999999999</v>
      </c>
      <c r="AB266" s="3">
        <v>18.899999999999999</v>
      </c>
      <c r="AC266" s="3">
        <v>18.75</v>
      </c>
      <c r="AD266" s="3">
        <v>18.829999999999998</v>
      </c>
      <c r="AE266" s="3">
        <v>31336892</v>
      </c>
      <c r="AF266" s="3">
        <v>69.59</v>
      </c>
      <c r="AG266" s="3">
        <v>69.72</v>
      </c>
      <c r="AH266" s="3">
        <v>69.349999999999994</v>
      </c>
      <c r="AI266" s="3">
        <v>69.41</v>
      </c>
      <c r="AJ266" s="3">
        <v>5061439</v>
      </c>
      <c r="AK266" s="3">
        <v>54.96</v>
      </c>
      <c r="AL266" s="3">
        <v>55.15</v>
      </c>
      <c r="AM266" s="3">
        <v>54.74</v>
      </c>
      <c r="AN266" s="3">
        <v>54.93</v>
      </c>
      <c r="AO266" s="3">
        <v>7617219</v>
      </c>
      <c r="AP266" s="3">
        <v>46.5</v>
      </c>
      <c r="AQ266" s="3">
        <v>47.03</v>
      </c>
      <c r="AR266" s="3">
        <v>46.48</v>
      </c>
      <c r="AS266" s="3">
        <v>46.82</v>
      </c>
      <c r="AT266" s="3">
        <v>4284726</v>
      </c>
      <c r="AU266" s="3">
        <v>42.71</v>
      </c>
      <c r="AV266" s="3">
        <v>42.89</v>
      </c>
      <c r="AW266" s="3">
        <v>42.61</v>
      </c>
      <c r="AX266" s="3">
        <v>42.65</v>
      </c>
      <c r="AY266" s="3">
        <v>8427695</v>
      </c>
      <c r="AZ266" s="3">
        <v>48.28</v>
      </c>
      <c r="BA266" s="3">
        <v>48.4</v>
      </c>
      <c r="BB266" s="3">
        <v>47.8</v>
      </c>
      <c r="BC266" s="3">
        <v>47.86</v>
      </c>
      <c r="BD266" s="3">
        <v>12690241</v>
      </c>
      <c r="BE266" s="3">
        <v>31.41</v>
      </c>
      <c r="BF266" s="3">
        <v>31.42</v>
      </c>
      <c r="BG266" s="3">
        <v>31.35</v>
      </c>
      <c r="BH266" s="3">
        <v>31.38</v>
      </c>
      <c r="BI266" s="3">
        <v>4170</v>
      </c>
    </row>
    <row r="267" spans="1:61" ht="13" x14ac:dyDescent="0.15">
      <c r="A267" s="3">
        <v>42514</v>
      </c>
      <c r="B267" s="3">
        <v>2052.65</v>
      </c>
      <c r="C267" s="3">
        <v>2079.67</v>
      </c>
      <c r="D267" s="3">
        <v>2052.65</v>
      </c>
      <c r="E267" s="3">
        <v>2076.06</v>
      </c>
      <c r="F267" s="3">
        <v>557588563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3">
        <v>77.73</v>
      </c>
      <c r="M267" s="3">
        <v>78.58</v>
      </c>
      <c r="N267" s="3">
        <v>77.7</v>
      </c>
      <c r="O267" s="3">
        <v>78.36</v>
      </c>
      <c r="P267" s="3">
        <v>3991464</v>
      </c>
      <c r="Q267" s="3">
        <v>52.33</v>
      </c>
      <c r="R267" s="3">
        <v>52.77</v>
      </c>
      <c r="S267" s="3">
        <v>52.31</v>
      </c>
      <c r="T267" s="3">
        <v>52.65</v>
      </c>
      <c r="U267" s="3">
        <v>11258205</v>
      </c>
      <c r="V267" s="3">
        <v>66.33</v>
      </c>
      <c r="W267" s="3">
        <v>66.709999999999994</v>
      </c>
      <c r="X267" s="3">
        <v>65.91</v>
      </c>
      <c r="Y267" s="3">
        <v>66.319999999999993</v>
      </c>
      <c r="Z267" s="3">
        <v>11302905</v>
      </c>
      <c r="AA267" s="3">
        <v>18.96</v>
      </c>
      <c r="AB267" s="3">
        <v>19.16</v>
      </c>
      <c r="AC267" s="3">
        <v>18.940000000000001</v>
      </c>
      <c r="AD267" s="3">
        <v>19.12</v>
      </c>
      <c r="AE267" s="3">
        <v>38494347</v>
      </c>
      <c r="AF267" s="3">
        <v>69.760000000000005</v>
      </c>
      <c r="AG267" s="3">
        <v>70.52</v>
      </c>
      <c r="AH267" s="3">
        <v>69.67</v>
      </c>
      <c r="AI267" s="3">
        <v>70.41</v>
      </c>
      <c r="AJ267" s="3">
        <v>11936372</v>
      </c>
      <c r="AK267" s="3">
        <v>55.16</v>
      </c>
      <c r="AL267" s="3">
        <v>55.66</v>
      </c>
      <c r="AM267" s="3">
        <v>55.14</v>
      </c>
      <c r="AN267" s="3">
        <v>55.5</v>
      </c>
      <c r="AO267" s="3">
        <v>7274461</v>
      </c>
      <c r="AP267" s="3">
        <v>46.97</v>
      </c>
      <c r="AQ267" s="3">
        <v>47.24</v>
      </c>
      <c r="AR267" s="3">
        <v>46.89</v>
      </c>
      <c r="AS267" s="3">
        <v>47.13</v>
      </c>
      <c r="AT267" s="3">
        <v>4514671</v>
      </c>
      <c r="AU267" s="3">
        <v>42.82</v>
      </c>
      <c r="AV267" s="3">
        <v>43.52</v>
      </c>
      <c r="AW267" s="3">
        <v>42.82</v>
      </c>
      <c r="AX267" s="3">
        <v>43.45</v>
      </c>
      <c r="AY267" s="3">
        <v>9461493</v>
      </c>
      <c r="AZ267" s="3">
        <v>47.94</v>
      </c>
      <c r="BA267" s="3">
        <v>48.4</v>
      </c>
      <c r="BB267" s="3">
        <v>47.87</v>
      </c>
      <c r="BC267" s="3">
        <v>48.34</v>
      </c>
      <c r="BD267" s="3">
        <v>13383311</v>
      </c>
      <c r="BE267" s="3">
        <v>31.7</v>
      </c>
      <c r="BF267" s="3">
        <v>31.72</v>
      </c>
      <c r="BG267" s="3">
        <v>31.59</v>
      </c>
      <c r="BH267" s="3">
        <v>31.59</v>
      </c>
      <c r="BI267" s="3">
        <v>3454</v>
      </c>
    </row>
    <row r="268" spans="1:61" ht="13" x14ac:dyDescent="0.15">
      <c r="A268" s="3">
        <v>42515</v>
      </c>
      <c r="B268" s="3">
        <v>2078.9299999999998</v>
      </c>
      <c r="C268" s="3">
        <v>2094.73</v>
      </c>
      <c r="D268" s="3">
        <v>2078.9299999999998</v>
      </c>
      <c r="E268" s="3">
        <v>2090.54</v>
      </c>
      <c r="F268" s="3">
        <v>561669919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3">
        <v>78.42</v>
      </c>
      <c r="M268" s="3">
        <v>78.959999999999994</v>
      </c>
      <c r="N268" s="3">
        <v>78.42</v>
      </c>
      <c r="O268" s="3">
        <v>78.790000000000006</v>
      </c>
      <c r="P268" s="3">
        <v>4353909</v>
      </c>
      <c r="Q268" s="3">
        <v>52.75</v>
      </c>
      <c r="R268" s="3">
        <v>52.95</v>
      </c>
      <c r="S268" s="3">
        <v>52.63</v>
      </c>
      <c r="T268" s="3">
        <v>52.73</v>
      </c>
      <c r="U268" s="3">
        <v>9815277</v>
      </c>
      <c r="V268" s="3">
        <v>66.72</v>
      </c>
      <c r="W268" s="3">
        <v>67.47</v>
      </c>
      <c r="X268" s="3">
        <v>66.66</v>
      </c>
      <c r="Y268" s="3">
        <v>67.37</v>
      </c>
      <c r="Z268" s="3">
        <v>14268102</v>
      </c>
      <c r="AA268" s="3">
        <v>19.2</v>
      </c>
      <c r="AB268" s="3">
        <v>19.41</v>
      </c>
      <c r="AC268" s="3">
        <v>19.190000000000001</v>
      </c>
      <c r="AD268" s="3">
        <v>19.32</v>
      </c>
      <c r="AE268" s="3">
        <v>41976207</v>
      </c>
      <c r="AF268" s="3">
        <v>70.599999999999994</v>
      </c>
      <c r="AG268" s="3">
        <v>70.989999999999995</v>
      </c>
      <c r="AH268" s="3">
        <v>70.59</v>
      </c>
      <c r="AI268" s="3">
        <v>70.849999999999994</v>
      </c>
      <c r="AJ268" s="3">
        <v>8953615</v>
      </c>
      <c r="AK268" s="3">
        <v>55.6</v>
      </c>
      <c r="AL268" s="3">
        <v>56.03</v>
      </c>
      <c r="AM268" s="3">
        <v>55.6</v>
      </c>
      <c r="AN268" s="3">
        <v>55.88</v>
      </c>
      <c r="AO268" s="3">
        <v>11183819</v>
      </c>
      <c r="AP268" s="3">
        <v>48.02</v>
      </c>
      <c r="AQ268" s="3">
        <v>48.02</v>
      </c>
      <c r="AR268" s="3">
        <v>47.4</v>
      </c>
      <c r="AS268" s="3">
        <v>47.71</v>
      </c>
      <c r="AT268" s="3">
        <v>5624039</v>
      </c>
      <c r="AU268" s="3">
        <v>43.63</v>
      </c>
      <c r="AV268" s="3">
        <v>43.89</v>
      </c>
      <c r="AW268" s="3">
        <v>43.57</v>
      </c>
      <c r="AX268" s="3">
        <v>43.75</v>
      </c>
      <c r="AY268" s="3">
        <v>9841925</v>
      </c>
      <c r="AZ268" s="3">
        <v>48.08</v>
      </c>
      <c r="BA268" s="3">
        <v>48.35</v>
      </c>
      <c r="BB268" s="3">
        <v>47.86</v>
      </c>
      <c r="BC268" s="3">
        <v>48.2</v>
      </c>
      <c r="BD268" s="3">
        <v>14350595</v>
      </c>
      <c r="BE268" s="3">
        <v>31.9</v>
      </c>
      <c r="BF268" s="3">
        <v>31.9</v>
      </c>
      <c r="BG268" s="3">
        <v>31.47</v>
      </c>
      <c r="BH268" s="3">
        <v>31.8</v>
      </c>
      <c r="BI268" s="3">
        <v>5621</v>
      </c>
    </row>
    <row r="269" spans="1:61" ht="13" x14ac:dyDescent="0.15">
      <c r="A269" s="3">
        <v>42516</v>
      </c>
      <c r="B269" s="3">
        <v>2091.44</v>
      </c>
      <c r="C269" s="3">
        <v>2094.3000000000002</v>
      </c>
      <c r="D269" s="3">
        <v>2087.08</v>
      </c>
      <c r="E269" s="3">
        <v>2090.1</v>
      </c>
      <c r="F269" s="3">
        <v>474138505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3">
        <v>79.010000000000005</v>
      </c>
      <c r="M269" s="3">
        <v>79.290000000000006</v>
      </c>
      <c r="N269" s="3">
        <v>78.83</v>
      </c>
      <c r="O269" s="3">
        <v>78.95</v>
      </c>
      <c r="P269" s="3">
        <v>3503953</v>
      </c>
      <c r="Q269" s="3">
        <v>52.79</v>
      </c>
      <c r="R269" s="3">
        <v>53.06</v>
      </c>
      <c r="S269" s="3">
        <v>52.79</v>
      </c>
      <c r="T269" s="3">
        <v>52.94</v>
      </c>
      <c r="U269" s="3">
        <v>7956961</v>
      </c>
      <c r="V269" s="3">
        <v>67.63</v>
      </c>
      <c r="W269" s="3">
        <v>67.92</v>
      </c>
      <c r="X269" s="3">
        <v>66.88</v>
      </c>
      <c r="Y269" s="3">
        <v>67.09</v>
      </c>
      <c r="Z269" s="3">
        <v>10716801</v>
      </c>
      <c r="AA269" s="3">
        <v>19.329999999999998</v>
      </c>
      <c r="AB269" s="3">
        <v>19.350000000000001</v>
      </c>
      <c r="AC269" s="3">
        <v>19.18</v>
      </c>
      <c r="AD269" s="3">
        <v>19.21</v>
      </c>
      <c r="AE269" s="3">
        <v>29405661</v>
      </c>
      <c r="AF269" s="3">
        <v>70.88</v>
      </c>
      <c r="AG269" s="3">
        <v>71</v>
      </c>
      <c r="AH269" s="3">
        <v>70.63</v>
      </c>
      <c r="AI269" s="3">
        <v>70.86</v>
      </c>
      <c r="AJ269" s="3">
        <v>5257683</v>
      </c>
      <c r="AK269" s="3">
        <v>55.91</v>
      </c>
      <c r="AL269" s="3">
        <v>56.11</v>
      </c>
      <c r="AM269" s="3">
        <v>55.72</v>
      </c>
      <c r="AN269" s="3">
        <v>55.72</v>
      </c>
      <c r="AO269" s="3">
        <v>6108372</v>
      </c>
      <c r="AP269" s="3">
        <v>47.86</v>
      </c>
      <c r="AQ269" s="3">
        <v>48.18</v>
      </c>
      <c r="AR269" s="3">
        <v>47.17</v>
      </c>
      <c r="AS269" s="3">
        <v>47.2</v>
      </c>
      <c r="AT269" s="3">
        <v>3333631</v>
      </c>
      <c r="AU269" s="3">
        <v>43.75</v>
      </c>
      <c r="AV269" s="3">
        <v>43.96</v>
      </c>
      <c r="AW269" s="3">
        <v>43.66</v>
      </c>
      <c r="AX269" s="3">
        <v>43.89</v>
      </c>
      <c r="AY269" s="3">
        <v>6517143</v>
      </c>
      <c r="AZ269" s="3">
        <v>48.14</v>
      </c>
      <c r="BA269" s="3">
        <v>48.81</v>
      </c>
      <c r="BB269" s="3">
        <v>48.14</v>
      </c>
      <c r="BC269" s="3">
        <v>48.75</v>
      </c>
      <c r="BD269" s="3">
        <v>13154450</v>
      </c>
      <c r="BE269" s="3">
        <v>31.68</v>
      </c>
      <c r="BF269" s="3">
        <v>31.79</v>
      </c>
      <c r="BG269" s="3">
        <v>31.68</v>
      </c>
      <c r="BH269" s="3">
        <v>31.78</v>
      </c>
      <c r="BI269" s="3">
        <v>1045</v>
      </c>
    </row>
    <row r="270" spans="1:61" ht="13" x14ac:dyDescent="0.15">
      <c r="A270" s="3">
        <v>42517</v>
      </c>
      <c r="B270" s="3">
        <v>2090.06</v>
      </c>
      <c r="C270" s="3">
        <v>2099.06</v>
      </c>
      <c r="D270" s="3">
        <v>2090.06</v>
      </c>
      <c r="E270" s="3">
        <v>2099.06</v>
      </c>
      <c r="F270" s="3">
        <v>508493212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3">
        <v>79.069999999999993</v>
      </c>
      <c r="M270" s="3">
        <v>79.44</v>
      </c>
      <c r="N270" s="3">
        <v>79.069999999999993</v>
      </c>
      <c r="O270" s="3">
        <v>79.319999999999993</v>
      </c>
      <c r="P270" s="3">
        <v>3212112</v>
      </c>
      <c r="Q270" s="3">
        <v>53</v>
      </c>
      <c r="R270" s="3">
        <v>53.09</v>
      </c>
      <c r="S270" s="3">
        <v>52.83</v>
      </c>
      <c r="T270" s="3">
        <v>53</v>
      </c>
      <c r="U270" s="3">
        <v>7873341</v>
      </c>
      <c r="V270" s="3">
        <v>66.849999999999994</v>
      </c>
      <c r="W270" s="3">
        <v>67.180000000000007</v>
      </c>
      <c r="X270" s="3">
        <v>66.48</v>
      </c>
      <c r="Y270" s="3">
        <v>67.13</v>
      </c>
      <c r="Z270" s="3">
        <v>9258701</v>
      </c>
      <c r="AA270" s="3">
        <v>19.239999999999998</v>
      </c>
      <c r="AB270" s="3">
        <v>19.34</v>
      </c>
      <c r="AC270" s="3">
        <v>19.21</v>
      </c>
      <c r="AD270" s="3">
        <v>19.329999999999998</v>
      </c>
      <c r="AE270" s="3">
        <v>30078244</v>
      </c>
      <c r="AF270" s="3">
        <v>70.81</v>
      </c>
      <c r="AG270" s="3">
        <v>71.34</v>
      </c>
      <c r="AH270" s="3">
        <v>70.81</v>
      </c>
      <c r="AI270" s="3">
        <v>71.180000000000007</v>
      </c>
      <c r="AJ270" s="3">
        <v>9641321</v>
      </c>
      <c r="AK270" s="3">
        <v>55.84</v>
      </c>
      <c r="AL270" s="3">
        <v>55.95</v>
      </c>
      <c r="AM270" s="3">
        <v>55.78</v>
      </c>
      <c r="AN270" s="3">
        <v>55.93</v>
      </c>
      <c r="AO270" s="3">
        <v>6250015</v>
      </c>
      <c r="AP270" s="3">
        <v>47</v>
      </c>
      <c r="AQ270" s="3">
        <v>47.35</v>
      </c>
      <c r="AR270" s="3">
        <v>47</v>
      </c>
      <c r="AS270" s="3">
        <v>47.18</v>
      </c>
      <c r="AT270" s="3">
        <v>4312805</v>
      </c>
      <c r="AU270" s="3">
        <v>43.88</v>
      </c>
      <c r="AV270" s="3">
        <v>44.16</v>
      </c>
      <c r="AW270" s="3">
        <v>43.83</v>
      </c>
      <c r="AX270" s="3">
        <v>44.1</v>
      </c>
      <c r="AY270" s="3">
        <v>7788018</v>
      </c>
      <c r="AZ270" s="3">
        <v>48.74</v>
      </c>
      <c r="BA270" s="3">
        <v>48.92</v>
      </c>
      <c r="BB270" s="3">
        <v>48.58</v>
      </c>
      <c r="BC270" s="3">
        <v>48.83</v>
      </c>
      <c r="BD270" s="3">
        <v>15105465</v>
      </c>
      <c r="BE270" s="3">
        <v>31.99</v>
      </c>
      <c r="BF270" s="3">
        <v>32.020000000000003</v>
      </c>
      <c r="BG270" s="3">
        <v>31.86</v>
      </c>
      <c r="BH270" s="3">
        <v>31.91</v>
      </c>
      <c r="BI270" s="3">
        <v>1464</v>
      </c>
    </row>
    <row r="271" spans="1:61" ht="13" x14ac:dyDescent="0.15">
      <c r="A271" s="3">
        <v>42521</v>
      </c>
      <c r="B271" s="3">
        <v>2100.13</v>
      </c>
      <c r="C271" s="3">
        <v>2103.48</v>
      </c>
      <c r="D271" s="3">
        <v>2088.66</v>
      </c>
      <c r="E271" s="3">
        <v>2096.96</v>
      </c>
      <c r="F271" s="3">
        <v>904459880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3">
        <v>79.44</v>
      </c>
      <c r="M271" s="3">
        <v>79.489999999999995</v>
      </c>
      <c r="N271" s="3">
        <v>78.930000000000007</v>
      </c>
      <c r="O271" s="3">
        <v>79.239999999999995</v>
      </c>
      <c r="P271" s="3">
        <v>4162968</v>
      </c>
      <c r="Q271" s="3">
        <v>53.08</v>
      </c>
      <c r="R271" s="3">
        <v>53.16</v>
      </c>
      <c r="S271" s="3">
        <v>52.54</v>
      </c>
      <c r="T271" s="3">
        <v>52.66</v>
      </c>
      <c r="U271" s="3">
        <v>8766367</v>
      </c>
      <c r="V271" s="3">
        <v>67.290000000000006</v>
      </c>
      <c r="W271" s="3">
        <v>67.819999999999993</v>
      </c>
      <c r="X271" s="3">
        <v>66.569999999999993</v>
      </c>
      <c r="Y271" s="3">
        <v>66.87</v>
      </c>
      <c r="Z271" s="3">
        <v>15406124</v>
      </c>
      <c r="AA271" s="3">
        <v>19.43</v>
      </c>
      <c r="AB271" s="3">
        <v>19.43</v>
      </c>
      <c r="AC271" s="3">
        <v>19.22</v>
      </c>
      <c r="AD271" s="3">
        <v>19.29</v>
      </c>
      <c r="AE271" s="3">
        <v>33212742</v>
      </c>
      <c r="AF271" s="3">
        <v>71.400000000000006</v>
      </c>
      <c r="AG271" s="3">
        <v>71.52</v>
      </c>
      <c r="AH271" s="3">
        <v>71.040000000000006</v>
      </c>
      <c r="AI271" s="3">
        <v>71.349999999999994</v>
      </c>
      <c r="AJ271" s="3">
        <v>7669813</v>
      </c>
      <c r="AK271" s="3">
        <v>56</v>
      </c>
      <c r="AL271" s="3">
        <v>56.16</v>
      </c>
      <c r="AM271" s="3">
        <v>55.71</v>
      </c>
      <c r="AN271" s="3">
        <v>55.92</v>
      </c>
      <c r="AO271" s="3">
        <v>11290310</v>
      </c>
      <c r="AP271" s="3">
        <v>47.4</v>
      </c>
      <c r="AQ271" s="3">
        <v>47.4</v>
      </c>
      <c r="AR271" s="3">
        <v>46.87</v>
      </c>
      <c r="AS271" s="3">
        <v>46.94</v>
      </c>
      <c r="AT271" s="3">
        <v>4451886</v>
      </c>
      <c r="AU271" s="3">
        <v>44.14</v>
      </c>
      <c r="AV271" s="3">
        <v>44.25</v>
      </c>
      <c r="AW271" s="3">
        <v>43.93</v>
      </c>
      <c r="AX271" s="3">
        <v>44.19</v>
      </c>
      <c r="AY271" s="3">
        <v>12371423</v>
      </c>
      <c r="AZ271" s="3">
        <v>48.75</v>
      </c>
      <c r="BA271" s="3">
        <v>49.19</v>
      </c>
      <c r="BB271" s="3">
        <v>48.74</v>
      </c>
      <c r="BC271" s="3">
        <v>49.15</v>
      </c>
      <c r="BD271" s="3">
        <v>15586188</v>
      </c>
      <c r="BE271" s="3">
        <v>32.01</v>
      </c>
      <c r="BF271" s="3">
        <v>32.01</v>
      </c>
      <c r="BG271" s="3">
        <v>31.72</v>
      </c>
      <c r="BH271" s="3">
        <v>31.92</v>
      </c>
      <c r="BI271" s="3">
        <v>2523</v>
      </c>
    </row>
    <row r="272" spans="1:61" ht="13" x14ac:dyDescent="0.15">
      <c r="A272" s="3">
        <v>42522</v>
      </c>
      <c r="B272" s="3">
        <v>2093.94</v>
      </c>
      <c r="C272" s="3">
        <v>2100.9699999999998</v>
      </c>
      <c r="D272" s="3">
        <v>2085.1</v>
      </c>
      <c r="E272" s="3">
        <v>2099.33</v>
      </c>
      <c r="F272" s="3">
        <v>556851611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3">
        <v>78.87</v>
      </c>
      <c r="M272" s="3">
        <v>79.239999999999995</v>
      </c>
      <c r="N272" s="3">
        <v>78.69</v>
      </c>
      <c r="O272" s="3">
        <v>79.19</v>
      </c>
      <c r="P272" s="3">
        <v>3767765</v>
      </c>
      <c r="Q272" s="3">
        <v>52.7</v>
      </c>
      <c r="R272" s="3">
        <v>53.2</v>
      </c>
      <c r="S272" s="3">
        <v>52.7</v>
      </c>
      <c r="T272" s="3">
        <v>53.2</v>
      </c>
      <c r="U272" s="3">
        <v>10175759</v>
      </c>
      <c r="V272" s="3">
        <v>66.22</v>
      </c>
      <c r="W272" s="3">
        <v>67.09</v>
      </c>
      <c r="X272" s="3">
        <v>66.05</v>
      </c>
      <c r="Y272" s="3">
        <v>66.89</v>
      </c>
      <c r="Z272" s="3">
        <v>16695658</v>
      </c>
      <c r="AA272" s="3">
        <v>19.149999999999999</v>
      </c>
      <c r="AB272" s="3">
        <v>19.350000000000001</v>
      </c>
      <c r="AC272" s="3">
        <v>19.07</v>
      </c>
      <c r="AD272" s="3">
        <v>19.329999999999998</v>
      </c>
      <c r="AE272" s="3">
        <v>31236729</v>
      </c>
      <c r="AF272" s="3">
        <v>71.13</v>
      </c>
      <c r="AG272" s="3">
        <v>71.77</v>
      </c>
      <c r="AH272" s="3">
        <v>71.069999999999993</v>
      </c>
      <c r="AI272" s="3">
        <v>71.61</v>
      </c>
      <c r="AJ272" s="3">
        <v>9301692</v>
      </c>
      <c r="AK272" s="3">
        <v>55.63</v>
      </c>
      <c r="AL272" s="3">
        <v>56</v>
      </c>
      <c r="AM272" s="3">
        <v>55.41</v>
      </c>
      <c r="AN272" s="3">
        <v>55.97</v>
      </c>
      <c r="AO272" s="3">
        <v>11013018</v>
      </c>
      <c r="AP272" s="3">
        <v>46.85</v>
      </c>
      <c r="AQ272" s="3">
        <v>47.09</v>
      </c>
      <c r="AR272" s="3">
        <v>46.37</v>
      </c>
      <c r="AS272" s="3">
        <v>47</v>
      </c>
      <c r="AT272" s="3">
        <v>4911813</v>
      </c>
      <c r="AU272" s="3">
        <v>44.04</v>
      </c>
      <c r="AV272" s="3">
        <v>44.2</v>
      </c>
      <c r="AW272" s="3">
        <v>43.97</v>
      </c>
      <c r="AX272" s="3">
        <v>44.08</v>
      </c>
      <c r="AY272" s="3">
        <v>6885457</v>
      </c>
      <c r="AZ272" s="3">
        <v>49.14</v>
      </c>
      <c r="BA272" s="3">
        <v>49.34</v>
      </c>
      <c r="BB272" s="3">
        <v>49.04</v>
      </c>
      <c r="BC272" s="3">
        <v>49.28</v>
      </c>
      <c r="BD272" s="3">
        <v>11283102</v>
      </c>
      <c r="BE272" s="3">
        <v>31.75</v>
      </c>
      <c r="BF272" s="3">
        <v>31.81</v>
      </c>
      <c r="BG272" s="3">
        <v>31.63</v>
      </c>
      <c r="BH272" s="3">
        <v>31.8</v>
      </c>
      <c r="BI272" s="3">
        <v>2506</v>
      </c>
    </row>
    <row r="273" spans="1:61" ht="13" x14ac:dyDescent="0.15">
      <c r="A273" s="3">
        <v>42523</v>
      </c>
      <c r="B273" s="3">
        <v>2097.71</v>
      </c>
      <c r="C273" s="3">
        <v>2105.2600000000002</v>
      </c>
      <c r="D273" s="3">
        <v>2088.59</v>
      </c>
      <c r="E273" s="3">
        <v>2105.2600000000002</v>
      </c>
      <c r="F273" s="3">
        <v>628062808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3">
        <v>78.97</v>
      </c>
      <c r="M273" s="3">
        <v>79.650000000000006</v>
      </c>
      <c r="N273" s="3">
        <v>78.95</v>
      </c>
      <c r="O273" s="3">
        <v>79.63</v>
      </c>
      <c r="P273" s="3">
        <v>4057889</v>
      </c>
      <c r="Q273" s="3">
        <v>53.09</v>
      </c>
      <c r="R273" s="3">
        <v>53.22</v>
      </c>
      <c r="S273" s="3">
        <v>52.91</v>
      </c>
      <c r="T273" s="3">
        <v>53.22</v>
      </c>
      <c r="U273" s="3">
        <v>6309847</v>
      </c>
      <c r="V273" s="3">
        <v>66.38</v>
      </c>
      <c r="W273" s="3">
        <v>66.84</v>
      </c>
      <c r="X273" s="3">
        <v>66.13</v>
      </c>
      <c r="Y273" s="3">
        <v>66.8</v>
      </c>
      <c r="Z273" s="3">
        <v>12849991</v>
      </c>
      <c r="AA273" s="3">
        <v>19.28</v>
      </c>
      <c r="AB273" s="3">
        <v>19.37</v>
      </c>
      <c r="AC273" s="3">
        <v>19.21</v>
      </c>
      <c r="AD273" s="3">
        <v>19.37</v>
      </c>
      <c r="AE273" s="3">
        <v>22930157</v>
      </c>
      <c r="AF273" s="3">
        <v>71.55</v>
      </c>
      <c r="AG273" s="3">
        <v>72.53</v>
      </c>
      <c r="AH273" s="3">
        <v>71.459999999999994</v>
      </c>
      <c r="AI273" s="3">
        <v>72.53</v>
      </c>
      <c r="AJ273" s="3">
        <v>12473090</v>
      </c>
      <c r="AK273" s="3">
        <v>55.85</v>
      </c>
      <c r="AL273" s="3">
        <v>56.07</v>
      </c>
      <c r="AM273" s="3">
        <v>55.72</v>
      </c>
      <c r="AN273" s="3">
        <v>56.04</v>
      </c>
      <c r="AO273" s="3">
        <v>6113502</v>
      </c>
      <c r="AP273" s="3">
        <v>46.95</v>
      </c>
      <c r="AQ273" s="3">
        <v>47.29</v>
      </c>
      <c r="AR273" s="3">
        <v>46.74</v>
      </c>
      <c r="AS273" s="3">
        <v>47.26</v>
      </c>
      <c r="AT273" s="3">
        <v>3382047</v>
      </c>
      <c r="AU273" s="3">
        <v>43.9</v>
      </c>
      <c r="AV273" s="3">
        <v>44.04</v>
      </c>
      <c r="AW273" s="3">
        <v>43.68</v>
      </c>
      <c r="AX273" s="3">
        <v>44.04</v>
      </c>
      <c r="AY273" s="3">
        <v>7764500</v>
      </c>
      <c r="AZ273" s="3">
        <v>49.24</v>
      </c>
      <c r="BA273" s="3">
        <v>49.3</v>
      </c>
      <c r="BB273" s="3">
        <v>48.81</v>
      </c>
      <c r="BC273" s="3">
        <v>49.3</v>
      </c>
      <c r="BD273" s="3">
        <v>7703686</v>
      </c>
      <c r="BE273" s="3">
        <v>31.83</v>
      </c>
      <c r="BF273" s="3">
        <v>31.9</v>
      </c>
      <c r="BG273" s="3">
        <v>31.83</v>
      </c>
      <c r="BH273" s="3">
        <v>31.9</v>
      </c>
      <c r="BI273" s="3">
        <v>790</v>
      </c>
    </row>
    <row r="274" spans="1:61" ht="13" x14ac:dyDescent="0.15">
      <c r="A274" s="3">
        <v>42524</v>
      </c>
      <c r="B274" s="3">
        <v>2104.0700000000002</v>
      </c>
      <c r="C274" s="3">
        <v>2104.0700000000002</v>
      </c>
      <c r="D274" s="3">
        <v>2085.36</v>
      </c>
      <c r="E274" s="3">
        <v>2099.13</v>
      </c>
      <c r="F274" s="3">
        <v>568033907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3">
        <v>79.34</v>
      </c>
      <c r="M274" s="3">
        <v>79.42</v>
      </c>
      <c r="N274" s="3">
        <v>78.569999999999993</v>
      </c>
      <c r="O274" s="3">
        <v>79.11</v>
      </c>
      <c r="P274" s="3">
        <v>5655451</v>
      </c>
      <c r="Q274" s="3">
        <v>53.32</v>
      </c>
      <c r="R274" s="3">
        <v>53.58</v>
      </c>
      <c r="S274" s="3">
        <v>53.11</v>
      </c>
      <c r="T274" s="3">
        <v>53.56</v>
      </c>
      <c r="U274" s="3">
        <v>13362517</v>
      </c>
      <c r="V274" s="3">
        <v>66.8</v>
      </c>
      <c r="W274" s="3">
        <v>67.150000000000006</v>
      </c>
      <c r="X274" s="3">
        <v>66.150000000000006</v>
      </c>
      <c r="Y274" s="3">
        <v>66.540000000000006</v>
      </c>
      <c r="Z274" s="3">
        <v>12157730</v>
      </c>
      <c r="AA274" s="3">
        <v>19.13</v>
      </c>
      <c r="AB274" s="3">
        <v>19.14</v>
      </c>
      <c r="AC274" s="3">
        <v>18.89</v>
      </c>
      <c r="AD274" s="3">
        <v>19.09</v>
      </c>
      <c r="AE274" s="3">
        <v>69929525</v>
      </c>
      <c r="AF274" s="3">
        <v>72.31</v>
      </c>
      <c r="AG274" s="3">
        <v>72.55</v>
      </c>
      <c r="AH274" s="3">
        <v>71.709999999999994</v>
      </c>
      <c r="AI274" s="3">
        <v>72.290000000000006</v>
      </c>
      <c r="AJ274" s="3">
        <v>13895958</v>
      </c>
      <c r="AK274" s="3">
        <v>55.92</v>
      </c>
      <c r="AL274" s="3">
        <v>56.13</v>
      </c>
      <c r="AM274" s="3">
        <v>55.55</v>
      </c>
      <c r="AN274" s="3">
        <v>55.99</v>
      </c>
      <c r="AO274" s="3">
        <v>11948796</v>
      </c>
      <c r="AP274" s="3">
        <v>47.47</v>
      </c>
      <c r="AQ274" s="3">
        <v>47.77</v>
      </c>
      <c r="AR274" s="3">
        <v>47.17</v>
      </c>
      <c r="AS274" s="3">
        <v>47.66</v>
      </c>
      <c r="AT274" s="3">
        <v>4974177</v>
      </c>
      <c r="AU274" s="3">
        <v>43.98</v>
      </c>
      <c r="AV274" s="3">
        <v>44.04</v>
      </c>
      <c r="AW274" s="3">
        <v>43.7</v>
      </c>
      <c r="AX274" s="3">
        <v>43.94</v>
      </c>
      <c r="AY274" s="3">
        <v>8304713</v>
      </c>
      <c r="AZ274" s="3">
        <v>49.95</v>
      </c>
      <c r="BA274" s="3">
        <v>50.35</v>
      </c>
      <c r="BB274" s="3">
        <v>49.71</v>
      </c>
      <c r="BC274" s="3">
        <v>50.08</v>
      </c>
      <c r="BD274" s="3">
        <v>18718896</v>
      </c>
      <c r="BE274" s="3">
        <v>31.91</v>
      </c>
      <c r="BF274" s="3">
        <v>32.159999999999997</v>
      </c>
      <c r="BG274" s="3">
        <v>31.91</v>
      </c>
      <c r="BH274" s="3">
        <v>32.04</v>
      </c>
      <c r="BI274" s="3">
        <v>2421</v>
      </c>
    </row>
    <row r="275" spans="1:61" ht="13" x14ac:dyDescent="0.15">
      <c r="A275" s="3">
        <v>42527</v>
      </c>
      <c r="B275" s="3">
        <v>2100.83</v>
      </c>
      <c r="C275" s="3">
        <v>2113.36</v>
      </c>
      <c r="D275" s="3">
        <v>2100.83</v>
      </c>
      <c r="E275" s="3">
        <v>2109.41</v>
      </c>
      <c r="F275" s="3">
        <v>532939655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3">
        <v>79.2</v>
      </c>
      <c r="M275" s="3">
        <v>79.459999999999994</v>
      </c>
      <c r="N275" s="3">
        <v>78.91</v>
      </c>
      <c r="O275" s="3">
        <v>79.31</v>
      </c>
      <c r="P275" s="3">
        <v>4099973</v>
      </c>
      <c r="Q275" s="3">
        <v>53.65</v>
      </c>
      <c r="R275" s="3">
        <v>53.76</v>
      </c>
      <c r="S275" s="3">
        <v>53.36</v>
      </c>
      <c r="T275" s="3">
        <v>53.62</v>
      </c>
      <c r="U275" s="3">
        <v>10778063</v>
      </c>
      <c r="V275" s="3">
        <v>67.19</v>
      </c>
      <c r="W275" s="3">
        <v>68.069999999999993</v>
      </c>
      <c r="X275" s="3">
        <v>67.069999999999993</v>
      </c>
      <c r="Y275" s="3">
        <v>68.010000000000005</v>
      </c>
      <c r="Z275" s="3">
        <v>18223802</v>
      </c>
      <c r="AA275" s="3">
        <v>19.100000000000001</v>
      </c>
      <c r="AB275" s="3">
        <v>19.29</v>
      </c>
      <c r="AC275" s="3">
        <v>19.079999999999998</v>
      </c>
      <c r="AD275" s="3">
        <v>19.21</v>
      </c>
      <c r="AE275" s="3">
        <v>38119809</v>
      </c>
      <c r="AF275" s="3">
        <v>72.3</v>
      </c>
      <c r="AG275" s="3">
        <v>72.81</v>
      </c>
      <c r="AH275" s="3">
        <v>72.12</v>
      </c>
      <c r="AI275" s="3">
        <v>72.680000000000007</v>
      </c>
      <c r="AJ275" s="3">
        <v>9117597</v>
      </c>
      <c r="AK275" s="3">
        <v>56.12</v>
      </c>
      <c r="AL275" s="3">
        <v>56.57</v>
      </c>
      <c r="AM275" s="3">
        <v>56.08</v>
      </c>
      <c r="AN275" s="3">
        <v>56.52</v>
      </c>
      <c r="AO275" s="3">
        <v>8888057</v>
      </c>
      <c r="AP275" s="3">
        <v>47.87</v>
      </c>
      <c r="AQ275" s="3">
        <v>48.2</v>
      </c>
      <c r="AR275" s="3">
        <v>47.79</v>
      </c>
      <c r="AS275" s="3">
        <v>48.15</v>
      </c>
      <c r="AT275" s="3">
        <v>6934737</v>
      </c>
      <c r="AU275" s="3">
        <v>43.97</v>
      </c>
      <c r="AV275" s="3">
        <v>44.18</v>
      </c>
      <c r="AW275" s="3">
        <v>43.93</v>
      </c>
      <c r="AX275" s="3">
        <v>44.02</v>
      </c>
      <c r="AY275" s="3">
        <v>8635585</v>
      </c>
      <c r="AZ275" s="3">
        <v>50.1</v>
      </c>
      <c r="BA275" s="3">
        <v>50.27</v>
      </c>
      <c r="BB275" s="3">
        <v>49.8</v>
      </c>
      <c r="BC275" s="3">
        <v>50.01</v>
      </c>
      <c r="BD275" s="3">
        <v>10842755</v>
      </c>
      <c r="BE275" s="3">
        <v>32.090000000000003</v>
      </c>
      <c r="BF275" s="3">
        <v>32.090000000000003</v>
      </c>
      <c r="BG275" s="3">
        <v>31.9</v>
      </c>
      <c r="BH275" s="3">
        <v>32.06</v>
      </c>
      <c r="BI275" s="3">
        <v>3111</v>
      </c>
    </row>
    <row r="276" spans="1:61" ht="13" x14ac:dyDescent="0.15">
      <c r="A276" s="3">
        <v>42528</v>
      </c>
      <c r="B276" s="3">
        <v>2110.1799999999998</v>
      </c>
      <c r="C276" s="3">
        <v>2119.2199999999998</v>
      </c>
      <c r="D276" s="3">
        <v>2110.1799999999998</v>
      </c>
      <c r="E276" s="3">
        <v>2112.13</v>
      </c>
      <c r="F276" s="3">
        <v>536131780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3">
        <v>79.31</v>
      </c>
      <c r="M276" s="3">
        <v>79.75</v>
      </c>
      <c r="N276" s="3">
        <v>79.3</v>
      </c>
      <c r="O276" s="3">
        <v>79.41</v>
      </c>
      <c r="P276" s="3">
        <v>4325668</v>
      </c>
      <c r="Q276" s="3">
        <v>53.66</v>
      </c>
      <c r="R276" s="3">
        <v>53.77</v>
      </c>
      <c r="S276" s="3">
        <v>53.47</v>
      </c>
      <c r="T276" s="3">
        <v>53.56</v>
      </c>
      <c r="U276" s="3">
        <v>5572792</v>
      </c>
      <c r="V276" s="3">
        <v>68.23</v>
      </c>
      <c r="W276" s="3">
        <v>69.73</v>
      </c>
      <c r="X276" s="3">
        <v>68.209999999999994</v>
      </c>
      <c r="Y276" s="3">
        <v>69.55</v>
      </c>
      <c r="Z276" s="3">
        <v>15618287</v>
      </c>
      <c r="AA276" s="3">
        <v>19.22</v>
      </c>
      <c r="AB276" s="3">
        <v>19.28</v>
      </c>
      <c r="AC276" s="3">
        <v>19.149999999999999</v>
      </c>
      <c r="AD276" s="3">
        <v>19.16</v>
      </c>
      <c r="AE276" s="3">
        <v>21530316</v>
      </c>
      <c r="AF276" s="3">
        <v>72.38</v>
      </c>
      <c r="AG276" s="3">
        <v>72.45</v>
      </c>
      <c r="AH276" s="3">
        <v>72.05</v>
      </c>
      <c r="AI276" s="3">
        <v>72.23</v>
      </c>
      <c r="AJ276" s="3">
        <v>6439115</v>
      </c>
      <c r="AK276" s="3">
        <v>56.63</v>
      </c>
      <c r="AL276" s="3">
        <v>56.96</v>
      </c>
      <c r="AM276" s="3">
        <v>56.53</v>
      </c>
      <c r="AN276" s="3">
        <v>56.79</v>
      </c>
      <c r="AO276" s="3">
        <v>8372740</v>
      </c>
      <c r="AP276" s="3">
        <v>48.19</v>
      </c>
      <c r="AQ276" s="3">
        <v>48.33</v>
      </c>
      <c r="AR276" s="3">
        <v>47.96</v>
      </c>
      <c r="AS276" s="3">
        <v>48.17</v>
      </c>
      <c r="AT276" s="3">
        <v>3640672</v>
      </c>
      <c r="AU276" s="3">
        <v>44.16</v>
      </c>
      <c r="AV276" s="3">
        <v>44.3</v>
      </c>
      <c r="AW276" s="3">
        <v>44.15</v>
      </c>
      <c r="AX276" s="3">
        <v>44.2</v>
      </c>
      <c r="AY276" s="3">
        <v>4409439</v>
      </c>
      <c r="AZ276" s="3">
        <v>50.05</v>
      </c>
      <c r="BA276" s="3">
        <v>50.31</v>
      </c>
      <c r="BB276" s="3">
        <v>49.87</v>
      </c>
      <c r="BC276" s="3">
        <v>49.97</v>
      </c>
      <c r="BD276" s="3">
        <v>7904117</v>
      </c>
      <c r="BE276" s="3">
        <v>32.06</v>
      </c>
      <c r="BF276" s="3">
        <v>32.24</v>
      </c>
      <c r="BG276" s="3">
        <v>32</v>
      </c>
      <c r="BH276" s="3">
        <v>32.090000000000003</v>
      </c>
      <c r="BI276" s="3">
        <v>2454</v>
      </c>
    </row>
    <row r="277" spans="1:61" ht="13" x14ac:dyDescent="0.15">
      <c r="A277" s="3">
        <v>42529</v>
      </c>
      <c r="B277" s="3">
        <v>2112.71</v>
      </c>
      <c r="C277" s="3">
        <v>2120.5500000000002</v>
      </c>
      <c r="D277" s="3">
        <v>2112.71</v>
      </c>
      <c r="E277" s="3">
        <v>2119.12</v>
      </c>
      <c r="F277" s="3">
        <v>496867839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3">
        <v>79.44</v>
      </c>
      <c r="M277" s="3">
        <v>79.63</v>
      </c>
      <c r="N277" s="3">
        <v>79.19</v>
      </c>
      <c r="O277" s="3">
        <v>79.5</v>
      </c>
      <c r="P277" s="3">
        <v>3951598</v>
      </c>
      <c r="Q277" s="3">
        <v>53.55</v>
      </c>
      <c r="R277" s="3">
        <v>53.9</v>
      </c>
      <c r="S277" s="3">
        <v>53.44</v>
      </c>
      <c r="T277" s="3">
        <v>53.88</v>
      </c>
      <c r="U277" s="3">
        <v>6024492</v>
      </c>
      <c r="V277" s="3">
        <v>69.97</v>
      </c>
      <c r="W277" s="3">
        <v>70.260000000000005</v>
      </c>
      <c r="X277" s="3">
        <v>69.2</v>
      </c>
      <c r="Y277" s="3">
        <v>69.39</v>
      </c>
      <c r="Z277" s="3">
        <v>18129711</v>
      </c>
      <c r="AA277" s="3">
        <v>19.13</v>
      </c>
      <c r="AB277" s="3">
        <v>19.23</v>
      </c>
      <c r="AC277" s="3">
        <v>19.13</v>
      </c>
      <c r="AD277" s="3">
        <v>19.18</v>
      </c>
      <c r="AE277" s="3">
        <v>24752189</v>
      </c>
      <c r="AF277" s="3">
        <v>72.17</v>
      </c>
      <c r="AG277" s="3">
        <v>72.61</v>
      </c>
      <c r="AH277" s="3">
        <v>72.010000000000005</v>
      </c>
      <c r="AI277" s="3">
        <v>72.48</v>
      </c>
      <c r="AJ277" s="3">
        <v>4621255</v>
      </c>
      <c r="AK277" s="3">
        <v>56.97</v>
      </c>
      <c r="AL277" s="3">
        <v>57.22</v>
      </c>
      <c r="AM277" s="3">
        <v>56.86</v>
      </c>
      <c r="AN277" s="3">
        <v>57.15</v>
      </c>
      <c r="AO277" s="3">
        <v>9201770</v>
      </c>
      <c r="AP277" s="3">
        <v>48.48</v>
      </c>
      <c r="AQ277" s="3">
        <v>48.6</v>
      </c>
      <c r="AR277" s="3">
        <v>48.28</v>
      </c>
      <c r="AS277" s="3">
        <v>48.45</v>
      </c>
      <c r="AT277" s="3">
        <v>3942223</v>
      </c>
      <c r="AU277" s="3">
        <v>44.19</v>
      </c>
      <c r="AV277" s="3">
        <v>44.36</v>
      </c>
      <c r="AW277" s="3">
        <v>44.12</v>
      </c>
      <c r="AX277" s="3">
        <v>44.29</v>
      </c>
      <c r="AY277" s="3">
        <v>8158477</v>
      </c>
      <c r="AZ277" s="3">
        <v>49.96</v>
      </c>
      <c r="BA277" s="3">
        <v>50.31</v>
      </c>
      <c r="BB277" s="3">
        <v>49.89</v>
      </c>
      <c r="BC277" s="3">
        <v>50.27</v>
      </c>
      <c r="BD277" s="3">
        <v>6765142</v>
      </c>
      <c r="BE277" s="3">
        <v>32.07</v>
      </c>
      <c r="BF277" s="3">
        <v>32.25</v>
      </c>
      <c r="BG277" s="3">
        <v>32.049999999999997</v>
      </c>
      <c r="BH277" s="3">
        <v>32.24</v>
      </c>
      <c r="BI277" s="3">
        <v>2712</v>
      </c>
    </row>
    <row r="278" spans="1:61" ht="13" x14ac:dyDescent="0.15">
      <c r="A278" s="3">
        <v>42530</v>
      </c>
      <c r="B278" s="3">
        <v>2115.65</v>
      </c>
      <c r="C278" s="3">
        <v>2117.64</v>
      </c>
      <c r="D278" s="3">
        <v>2107.73</v>
      </c>
      <c r="E278" s="3">
        <v>2115.48</v>
      </c>
      <c r="F278" s="3">
        <v>482637627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3">
        <v>79.09</v>
      </c>
      <c r="M278" s="3">
        <v>79.41</v>
      </c>
      <c r="N278" s="3">
        <v>79.010000000000005</v>
      </c>
      <c r="O278" s="3">
        <v>79.319999999999993</v>
      </c>
      <c r="P278" s="3">
        <v>6581099</v>
      </c>
      <c r="Q278" s="3">
        <v>53.78</v>
      </c>
      <c r="R278" s="3">
        <v>54.12</v>
      </c>
      <c r="S278" s="3">
        <v>53.77</v>
      </c>
      <c r="T278" s="3">
        <v>54.09</v>
      </c>
      <c r="U278" s="3">
        <v>5946840</v>
      </c>
      <c r="V278" s="3">
        <v>68.59</v>
      </c>
      <c r="W278" s="3">
        <v>69.209999999999994</v>
      </c>
      <c r="X278" s="3">
        <v>68.52</v>
      </c>
      <c r="Y278" s="3">
        <v>68.86</v>
      </c>
      <c r="Z278" s="3">
        <v>12340597</v>
      </c>
      <c r="AA278" s="3">
        <v>19.07</v>
      </c>
      <c r="AB278" s="3">
        <v>19.100000000000001</v>
      </c>
      <c r="AC278" s="3">
        <v>18.95</v>
      </c>
      <c r="AD278" s="3">
        <v>19.04</v>
      </c>
      <c r="AE278" s="3">
        <v>32145569</v>
      </c>
      <c r="AF278" s="3">
        <v>72.319999999999993</v>
      </c>
      <c r="AG278" s="3">
        <v>72.83</v>
      </c>
      <c r="AH278" s="3">
        <v>72.150000000000006</v>
      </c>
      <c r="AI278" s="3">
        <v>72.36</v>
      </c>
      <c r="AJ278" s="3">
        <v>9608545</v>
      </c>
      <c r="AK278" s="3">
        <v>56.84</v>
      </c>
      <c r="AL278" s="3">
        <v>57.17</v>
      </c>
      <c r="AM278" s="3">
        <v>56.78</v>
      </c>
      <c r="AN278" s="3">
        <v>57.14</v>
      </c>
      <c r="AO278" s="3">
        <v>9984738</v>
      </c>
      <c r="AP278" s="3">
        <v>48.2</v>
      </c>
      <c r="AQ278" s="3">
        <v>48.22</v>
      </c>
      <c r="AR278" s="3">
        <v>47.88</v>
      </c>
      <c r="AS278" s="3">
        <v>48.1</v>
      </c>
      <c r="AT278" s="3">
        <v>3965573</v>
      </c>
      <c r="AU278" s="3">
        <v>44.11</v>
      </c>
      <c r="AV278" s="3">
        <v>44.35</v>
      </c>
      <c r="AW278" s="3">
        <v>44.08</v>
      </c>
      <c r="AX278" s="3">
        <v>44.3</v>
      </c>
      <c r="AY278" s="3">
        <v>12919521</v>
      </c>
      <c r="AZ278" s="3">
        <v>50.3</v>
      </c>
      <c r="BA278" s="3">
        <v>50.79</v>
      </c>
      <c r="BB278" s="3">
        <v>50.23</v>
      </c>
      <c r="BC278" s="3">
        <v>50.7</v>
      </c>
      <c r="BD278" s="3">
        <v>9702772</v>
      </c>
      <c r="BE278" s="3">
        <v>32.26</v>
      </c>
      <c r="BF278" s="3">
        <v>32.31</v>
      </c>
      <c r="BG278" s="3">
        <v>32.14</v>
      </c>
      <c r="BH278" s="3">
        <v>32.31</v>
      </c>
      <c r="BI278" s="3">
        <v>6067</v>
      </c>
    </row>
    <row r="279" spans="1:61" ht="13" x14ac:dyDescent="0.15">
      <c r="A279" s="3">
        <v>42531</v>
      </c>
      <c r="B279" s="3">
        <v>2109.5700000000002</v>
      </c>
      <c r="C279" s="3">
        <v>2109.5700000000002</v>
      </c>
      <c r="D279" s="3">
        <v>2089.96</v>
      </c>
      <c r="E279" s="3">
        <v>2096.0700000000002</v>
      </c>
      <c r="F279" s="3">
        <v>552199108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3">
        <v>78.69</v>
      </c>
      <c r="M279" s="3">
        <v>78.81</v>
      </c>
      <c r="N279" s="3">
        <v>78.27</v>
      </c>
      <c r="O279" s="3">
        <v>78.489999999999995</v>
      </c>
      <c r="P279" s="3">
        <v>4813543</v>
      </c>
      <c r="Q279" s="3">
        <v>53.82</v>
      </c>
      <c r="R279" s="3">
        <v>54.22</v>
      </c>
      <c r="S279" s="3">
        <v>53.76</v>
      </c>
      <c r="T279" s="3">
        <v>54.13</v>
      </c>
      <c r="U279" s="3">
        <v>10563935</v>
      </c>
      <c r="V279" s="3">
        <v>68.150000000000006</v>
      </c>
      <c r="W279" s="3">
        <v>68.59</v>
      </c>
      <c r="X279" s="3">
        <v>67.28</v>
      </c>
      <c r="Y279" s="3">
        <v>67.37</v>
      </c>
      <c r="Z279" s="3">
        <v>14490191</v>
      </c>
      <c r="AA279" s="3">
        <v>18.82</v>
      </c>
      <c r="AB279" s="3">
        <v>18.89</v>
      </c>
      <c r="AC279" s="3">
        <v>18.75</v>
      </c>
      <c r="AD279" s="3">
        <v>18.809999999999999</v>
      </c>
      <c r="AE279" s="3">
        <v>38464405</v>
      </c>
      <c r="AF279" s="3">
        <v>71.94</v>
      </c>
      <c r="AG279" s="3">
        <v>71.98</v>
      </c>
      <c r="AH279" s="3">
        <v>71.45</v>
      </c>
      <c r="AI279" s="3">
        <v>71.78</v>
      </c>
      <c r="AJ279" s="3">
        <v>10270936</v>
      </c>
      <c r="AK279" s="3">
        <v>56.68</v>
      </c>
      <c r="AL279" s="3">
        <v>56.81</v>
      </c>
      <c r="AM279" s="3">
        <v>56.32</v>
      </c>
      <c r="AN279" s="3">
        <v>56.47</v>
      </c>
      <c r="AO279" s="3">
        <v>13734253</v>
      </c>
      <c r="AP279" s="3">
        <v>47.8</v>
      </c>
      <c r="AQ279" s="3">
        <v>48.02</v>
      </c>
      <c r="AR279" s="3">
        <v>47.62</v>
      </c>
      <c r="AS279" s="3">
        <v>47.74</v>
      </c>
      <c r="AT279" s="3">
        <v>4808883</v>
      </c>
      <c r="AU279" s="3">
        <v>43.96</v>
      </c>
      <c r="AV279" s="3">
        <v>44.11</v>
      </c>
      <c r="AW279" s="3">
        <v>43.81</v>
      </c>
      <c r="AX279" s="3">
        <v>43.96</v>
      </c>
      <c r="AY279" s="3">
        <v>8282597</v>
      </c>
      <c r="AZ279" s="3">
        <v>50.65</v>
      </c>
      <c r="BA279" s="3">
        <v>50.91</v>
      </c>
      <c r="BB279" s="3">
        <v>50.37</v>
      </c>
      <c r="BC279" s="3">
        <v>50.57</v>
      </c>
      <c r="BD279" s="3">
        <v>12911292</v>
      </c>
      <c r="BE279" s="3">
        <v>32.119999999999997</v>
      </c>
      <c r="BF279" s="3">
        <v>32.200000000000003</v>
      </c>
      <c r="BG279" s="3">
        <v>32.119999999999997</v>
      </c>
      <c r="BH279" s="3">
        <v>32.15</v>
      </c>
      <c r="BI279" s="3">
        <v>1647</v>
      </c>
    </row>
    <row r="280" spans="1:61" ht="13" x14ac:dyDescent="0.15">
      <c r="A280" s="3">
        <v>42534</v>
      </c>
      <c r="B280" s="3">
        <v>2091.75</v>
      </c>
      <c r="C280" s="3">
        <v>2098.12</v>
      </c>
      <c r="D280" s="3">
        <v>2078.46</v>
      </c>
      <c r="E280" s="3">
        <v>2079.06</v>
      </c>
      <c r="F280" s="3">
        <v>564040789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3">
        <v>78.349999999999994</v>
      </c>
      <c r="M280" s="3">
        <v>78.92</v>
      </c>
      <c r="N280" s="3">
        <v>78</v>
      </c>
      <c r="O280" s="3">
        <v>78.06</v>
      </c>
      <c r="P280" s="3">
        <v>6033405</v>
      </c>
      <c r="Q280" s="3">
        <v>54.13</v>
      </c>
      <c r="R280" s="3">
        <v>54.22</v>
      </c>
      <c r="S280" s="3">
        <v>53.68</v>
      </c>
      <c r="T280" s="3">
        <v>53.68</v>
      </c>
      <c r="U280" s="3">
        <v>9118622</v>
      </c>
      <c r="V280" s="3">
        <v>67.040000000000006</v>
      </c>
      <c r="W280" s="3">
        <v>68.08</v>
      </c>
      <c r="X280" s="3">
        <v>66.97</v>
      </c>
      <c r="Y280" s="3">
        <v>67.17</v>
      </c>
      <c r="Z280" s="3">
        <v>11587863</v>
      </c>
      <c r="AA280" s="3">
        <v>18.7</v>
      </c>
      <c r="AB280" s="3">
        <v>18.920000000000002</v>
      </c>
      <c r="AC280" s="3">
        <v>18.670000000000002</v>
      </c>
      <c r="AD280" s="3">
        <v>18.68</v>
      </c>
      <c r="AE280" s="3">
        <v>45700963</v>
      </c>
      <c r="AF280" s="3">
        <v>71.52</v>
      </c>
      <c r="AG280" s="3">
        <v>72.06</v>
      </c>
      <c r="AH280" s="3">
        <v>71.19</v>
      </c>
      <c r="AI280" s="3">
        <v>71.209999999999994</v>
      </c>
      <c r="AJ280" s="3">
        <v>8724591</v>
      </c>
      <c r="AK280" s="3">
        <v>56.45</v>
      </c>
      <c r="AL280" s="3">
        <v>56.52</v>
      </c>
      <c r="AM280" s="3">
        <v>55.86</v>
      </c>
      <c r="AN280" s="3">
        <v>55.86</v>
      </c>
      <c r="AO280" s="3">
        <v>18830446</v>
      </c>
      <c r="AP280" s="3">
        <v>47.76</v>
      </c>
      <c r="AQ280" s="3">
        <v>47.93</v>
      </c>
      <c r="AR280" s="3">
        <v>47.2</v>
      </c>
      <c r="AS280" s="3">
        <v>47.21</v>
      </c>
      <c r="AT280" s="3">
        <v>5318868</v>
      </c>
      <c r="AU280" s="3">
        <v>43.57</v>
      </c>
      <c r="AV280" s="3">
        <v>43.83</v>
      </c>
      <c r="AW280" s="3">
        <v>43.46</v>
      </c>
      <c r="AX280" s="3">
        <v>43.47</v>
      </c>
      <c r="AY280" s="3">
        <v>11852077</v>
      </c>
      <c r="AZ280" s="3">
        <v>50.65</v>
      </c>
      <c r="BA280" s="3">
        <v>50.84</v>
      </c>
      <c r="BB280" s="3">
        <v>50.47</v>
      </c>
      <c r="BC280" s="3">
        <v>50.51</v>
      </c>
      <c r="BD280" s="3">
        <v>13149692</v>
      </c>
      <c r="BE280" s="3">
        <v>32.35</v>
      </c>
      <c r="BF280" s="3">
        <v>32.39</v>
      </c>
      <c r="BG280" s="3">
        <v>32.14</v>
      </c>
      <c r="BH280" s="3">
        <v>32.14</v>
      </c>
      <c r="BI280" s="3">
        <v>5787</v>
      </c>
    </row>
    <row r="281" spans="1:61" ht="13" x14ac:dyDescent="0.15">
      <c r="A281" s="3">
        <v>42535</v>
      </c>
      <c r="B281" s="3">
        <v>2076.65</v>
      </c>
      <c r="C281" s="3">
        <v>2081.3000000000002</v>
      </c>
      <c r="D281" s="3">
        <v>2064.1</v>
      </c>
      <c r="E281" s="3">
        <v>2075.3200000000002</v>
      </c>
      <c r="F281" s="3">
        <v>576788895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3">
        <v>77.87</v>
      </c>
      <c r="M281" s="3">
        <v>78.16</v>
      </c>
      <c r="N281" s="3">
        <v>77.36</v>
      </c>
      <c r="O281" s="3">
        <v>77.86</v>
      </c>
      <c r="P281" s="3">
        <v>8097665</v>
      </c>
      <c r="Q281" s="3">
        <v>53.66</v>
      </c>
      <c r="R281" s="3">
        <v>53.91</v>
      </c>
      <c r="S281" s="3">
        <v>53.34</v>
      </c>
      <c r="T281" s="3">
        <v>53.89</v>
      </c>
      <c r="U281" s="3">
        <v>9530933</v>
      </c>
      <c r="V281" s="3">
        <v>66.89</v>
      </c>
      <c r="W281" s="3">
        <v>67.47</v>
      </c>
      <c r="X281" s="3">
        <v>66.37</v>
      </c>
      <c r="Y281" s="3">
        <v>67.13</v>
      </c>
      <c r="Z281" s="3">
        <v>12202474</v>
      </c>
      <c r="AA281" s="3">
        <v>18.600000000000001</v>
      </c>
      <c r="AB281" s="3">
        <v>18.7</v>
      </c>
      <c r="AC281" s="3">
        <v>18.3</v>
      </c>
      <c r="AD281" s="3">
        <v>18.399999999999999</v>
      </c>
      <c r="AE281" s="3">
        <v>54336538</v>
      </c>
      <c r="AF281" s="3">
        <v>71.040000000000006</v>
      </c>
      <c r="AG281" s="3">
        <v>71.349999999999994</v>
      </c>
      <c r="AH281" s="3">
        <v>70.739999999999995</v>
      </c>
      <c r="AI281" s="3">
        <v>71.319999999999993</v>
      </c>
      <c r="AJ281" s="3">
        <v>8000477</v>
      </c>
      <c r="AK281" s="3">
        <v>55.79</v>
      </c>
      <c r="AL281" s="3">
        <v>56.04</v>
      </c>
      <c r="AM281" s="3">
        <v>55.54</v>
      </c>
      <c r="AN281" s="3">
        <v>55.87</v>
      </c>
      <c r="AO281" s="3">
        <v>12839024</v>
      </c>
      <c r="AP281" s="3">
        <v>47.07</v>
      </c>
      <c r="AQ281" s="3">
        <v>47.22</v>
      </c>
      <c r="AR281" s="3">
        <v>46.55</v>
      </c>
      <c r="AS281" s="3">
        <v>46.86</v>
      </c>
      <c r="AT281" s="3">
        <v>7562520</v>
      </c>
      <c r="AU281" s="3">
        <v>43.37</v>
      </c>
      <c r="AV281" s="3">
        <v>43.64</v>
      </c>
      <c r="AW281" s="3">
        <v>43.26</v>
      </c>
      <c r="AX281" s="3">
        <v>43.57</v>
      </c>
      <c r="AY281" s="3">
        <v>8420593</v>
      </c>
      <c r="AZ281" s="3">
        <v>50.53</v>
      </c>
      <c r="BA281" s="3">
        <v>50.81</v>
      </c>
      <c r="BB281" s="3">
        <v>50.26</v>
      </c>
      <c r="BC281" s="3">
        <v>50.78</v>
      </c>
      <c r="BD281" s="3">
        <v>11606446</v>
      </c>
      <c r="BE281" s="3">
        <v>32.03</v>
      </c>
      <c r="BF281" s="3">
        <v>32.1</v>
      </c>
      <c r="BG281" s="3">
        <v>31.95</v>
      </c>
      <c r="BH281" s="3">
        <v>31.99</v>
      </c>
      <c r="BI281" s="3">
        <v>4927</v>
      </c>
    </row>
    <row r="282" spans="1:61" ht="13" x14ac:dyDescent="0.15">
      <c r="A282" s="3">
        <v>42536</v>
      </c>
      <c r="B282" s="3">
        <v>2077.6</v>
      </c>
      <c r="C282" s="3">
        <v>2085.65</v>
      </c>
      <c r="D282" s="3">
        <v>2069.8000000000002</v>
      </c>
      <c r="E282" s="3">
        <v>2071.5</v>
      </c>
      <c r="F282" s="3">
        <v>575938354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3">
        <v>77.92</v>
      </c>
      <c r="M282" s="3">
        <v>78.72</v>
      </c>
      <c r="N282" s="3">
        <v>77.92</v>
      </c>
      <c r="O282" s="3">
        <v>78.08</v>
      </c>
      <c r="P282" s="3">
        <v>5635881</v>
      </c>
      <c r="Q282" s="3">
        <v>53.88</v>
      </c>
      <c r="R282" s="3">
        <v>54.03</v>
      </c>
      <c r="S282" s="3">
        <v>53.66</v>
      </c>
      <c r="T282" s="3">
        <v>53.73</v>
      </c>
      <c r="U282" s="3">
        <v>9347642</v>
      </c>
      <c r="V282" s="3">
        <v>66.88</v>
      </c>
      <c r="W282" s="3">
        <v>67.78</v>
      </c>
      <c r="X282" s="3">
        <v>66.5</v>
      </c>
      <c r="Y282" s="3">
        <v>66.97</v>
      </c>
      <c r="Z282" s="3">
        <v>16829530</v>
      </c>
      <c r="AA282" s="3">
        <v>18.45</v>
      </c>
      <c r="AB282" s="3">
        <v>18.63</v>
      </c>
      <c r="AC282" s="3">
        <v>18.41</v>
      </c>
      <c r="AD282" s="3">
        <v>18.43</v>
      </c>
      <c r="AE282" s="3">
        <v>47144329</v>
      </c>
      <c r="AF282" s="3">
        <v>71.510000000000005</v>
      </c>
      <c r="AG282" s="3">
        <v>71.66</v>
      </c>
      <c r="AH282" s="3">
        <v>70.77</v>
      </c>
      <c r="AI282" s="3">
        <v>70.83</v>
      </c>
      <c r="AJ282" s="3">
        <v>7861117</v>
      </c>
      <c r="AK282" s="3">
        <v>56.03</v>
      </c>
      <c r="AL282" s="3">
        <v>56.33</v>
      </c>
      <c r="AM282" s="3">
        <v>55.84</v>
      </c>
      <c r="AN282" s="3">
        <v>55.89</v>
      </c>
      <c r="AO282" s="3">
        <v>10429620</v>
      </c>
      <c r="AP282" s="3">
        <v>47.04</v>
      </c>
      <c r="AQ282" s="3">
        <v>47.4</v>
      </c>
      <c r="AR282" s="3">
        <v>46.96</v>
      </c>
      <c r="AS282" s="3">
        <v>47.07</v>
      </c>
      <c r="AT282" s="3">
        <v>4167893</v>
      </c>
      <c r="AU282" s="3">
        <v>43.64</v>
      </c>
      <c r="AV282" s="3">
        <v>43.73</v>
      </c>
      <c r="AW282" s="3">
        <v>43.41</v>
      </c>
      <c r="AX282" s="3">
        <v>43.46</v>
      </c>
      <c r="AY282" s="3">
        <v>7078108</v>
      </c>
      <c r="AZ282" s="3">
        <v>50.76</v>
      </c>
      <c r="BA282" s="3">
        <v>50.86</v>
      </c>
      <c r="BB282" s="3">
        <v>50.28</v>
      </c>
      <c r="BC282" s="3">
        <v>50.46</v>
      </c>
      <c r="BD282" s="3">
        <v>10891343</v>
      </c>
      <c r="BE282" s="3">
        <v>32.229999999999997</v>
      </c>
      <c r="BF282" s="3">
        <v>32.42</v>
      </c>
      <c r="BG282" s="3">
        <v>32.229999999999997</v>
      </c>
      <c r="BH282" s="3">
        <v>32.32</v>
      </c>
      <c r="BI282" s="3">
        <v>8624</v>
      </c>
    </row>
    <row r="283" spans="1:61" ht="13" x14ac:dyDescent="0.15">
      <c r="A283" s="3">
        <v>42537</v>
      </c>
      <c r="B283" s="3">
        <v>2066.36</v>
      </c>
      <c r="C283" s="3">
        <v>2079.62</v>
      </c>
      <c r="D283" s="3">
        <v>2050.37</v>
      </c>
      <c r="E283" s="3">
        <v>2077.9899999999998</v>
      </c>
      <c r="F283" s="3">
        <v>552019076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3">
        <v>77.709999999999994</v>
      </c>
      <c r="M283" s="3">
        <v>78.430000000000007</v>
      </c>
      <c r="N283" s="3">
        <v>77.239999999999995</v>
      </c>
      <c r="O283" s="3">
        <v>78.33</v>
      </c>
      <c r="P283" s="3">
        <v>6382312</v>
      </c>
      <c r="Q283" s="3">
        <v>53.56</v>
      </c>
      <c r="R283" s="3">
        <v>54.04</v>
      </c>
      <c r="S283" s="3">
        <v>53.48</v>
      </c>
      <c r="T283" s="3">
        <v>54.01</v>
      </c>
      <c r="U283" s="3">
        <v>12205722</v>
      </c>
      <c r="V283" s="3">
        <v>66.25</v>
      </c>
      <c r="W283" s="3">
        <v>66.75</v>
      </c>
      <c r="X283" s="3">
        <v>65.34</v>
      </c>
      <c r="Y283" s="3">
        <v>66.650000000000006</v>
      </c>
      <c r="Z283" s="3">
        <v>19993692</v>
      </c>
      <c r="AA283" s="3">
        <v>18.28</v>
      </c>
      <c r="AB283" s="3">
        <v>18.489999999999998</v>
      </c>
      <c r="AC283" s="3">
        <v>18.170000000000002</v>
      </c>
      <c r="AD283" s="3">
        <v>18.47</v>
      </c>
      <c r="AE283" s="3">
        <v>58073231</v>
      </c>
      <c r="AF283" s="3">
        <v>70.62</v>
      </c>
      <c r="AG283" s="3">
        <v>71.2</v>
      </c>
      <c r="AH283" s="3">
        <v>70.27</v>
      </c>
      <c r="AI283" s="3">
        <v>71.08</v>
      </c>
      <c r="AJ283" s="3">
        <v>9341198</v>
      </c>
      <c r="AK283" s="3">
        <v>55.63</v>
      </c>
      <c r="AL283" s="3">
        <v>56.13</v>
      </c>
      <c r="AM283" s="3">
        <v>55.21</v>
      </c>
      <c r="AN283" s="3">
        <v>55.99</v>
      </c>
      <c r="AO283" s="3">
        <v>15040356</v>
      </c>
      <c r="AP283" s="3">
        <v>46.87</v>
      </c>
      <c r="AQ283" s="3">
        <v>47.25</v>
      </c>
      <c r="AR283" s="3">
        <v>46.46</v>
      </c>
      <c r="AS283" s="3">
        <v>47.23</v>
      </c>
      <c r="AT283" s="3">
        <v>5872664</v>
      </c>
      <c r="AU283" s="3">
        <v>43.24</v>
      </c>
      <c r="AV283" s="3">
        <v>43.62</v>
      </c>
      <c r="AW283" s="3">
        <v>43</v>
      </c>
      <c r="AX283" s="3">
        <v>43.55</v>
      </c>
      <c r="AY283" s="3">
        <v>9596270</v>
      </c>
      <c r="AZ283" s="3">
        <v>50.4</v>
      </c>
      <c r="BA283" s="3">
        <v>50.89</v>
      </c>
      <c r="BB283" s="3">
        <v>50.36</v>
      </c>
      <c r="BC283" s="3">
        <v>50.78</v>
      </c>
      <c r="BD283" s="3">
        <v>10027115</v>
      </c>
      <c r="BE283" s="3">
        <v>32.18</v>
      </c>
      <c r="BF283" s="3">
        <v>32.520000000000003</v>
      </c>
      <c r="BG283" s="3">
        <v>32.18</v>
      </c>
      <c r="BH283" s="3">
        <v>32.49</v>
      </c>
      <c r="BI283" s="3">
        <v>7185</v>
      </c>
    </row>
    <row r="284" spans="1:61" ht="13" x14ac:dyDescent="0.15">
      <c r="A284" s="3">
        <v>42538</v>
      </c>
      <c r="B284" s="3">
        <v>2078.1999999999998</v>
      </c>
      <c r="C284" s="3">
        <v>2078.1999999999998</v>
      </c>
      <c r="D284" s="3">
        <v>2062.84</v>
      </c>
      <c r="E284" s="3">
        <v>2071.2199999999998</v>
      </c>
      <c r="F284" s="3">
        <v>227609273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3">
        <v>78.150000000000006</v>
      </c>
      <c r="M284" s="3">
        <v>78.209999999999994</v>
      </c>
      <c r="N284" s="3">
        <v>77.790000000000006</v>
      </c>
      <c r="O284" s="3">
        <v>77.930000000000007</v>
      </c>
      <c r="P284" s="3">
        <v>8559745</v>
      </c>
      <c r="Q284" s="3">
        <v>53.61</v>
      </c>
      <c r="R284" s="3">
        <v>53.69</v>
      </c>
      <c r="S284" s="3">
        <v>53.12</v>
      </c>
      <c r="T284" s="3">
        <v>53.47</v>
      </c>
      <c r="U284" s="3">
        <v>10077549</v>
      </c>
      <c r="V284" s="3">
        <v>66.900000000000006</v>
      </c>
      <c r="W284" s="3">
        <v>67.02</v>
      </c>
      <c r="X284" s="3">
        <v>66.5</v>
      </c>
      <c r="Y284" s="3">
        <v>66.89</v>
      </c>
      <c r="Z284" s="3">
        <v>17435936</v>
      </c>
      <c r="AA284" s="3">
        <v>18.399999999999999</v>
      </c>
      <c r="AB284" s="3">
        <v>18.45</v>
      </c>
      <c r="AC284" s="3">
        <v>18.28</v>
      </c>
      <c r="AD284" s="3">
        <v>18.36</v>
      </c>
      <c r="AE284" s="3">
        <v>37794080</v>
      </c>
      <c r="AF284" s="3">
        <v>70.900000000000006</v>
      </c>
      <c r="AG284" s="3">
        <v>70.930000000000007</v>
      </c>
      <c r="AH284" s="3">
        <v>69.8</v>
      </c>
      <c r="AI284" s="3">
        <v>70.06</v>
      </c>
      <c r="AJ284" s="3">
        <v>10799114</v>
      </c>
      <c r="AK284" s="3">
        <v>55.57</v>
      </c>
      <c r="AL284" s="3">
        <v>55.92</v>
      </c>
      <c r="AM284" s="3">
        <v>55.46</v>
      </c>
      <c r="AN284" s="3">
        <v>55.73</v>
      </c>
      <c r="AO284" s="3">
        <v>15947789</v>
      </c>
      <c r="AP284" s="3">
        <v>46.9</v>
      </c>
      <c r="AQ284" s="3">
        <v>47.3</v>
      </c>
      <c r="AR284" s="3">
        <v>46.79</v>
      </c>
      <c r="AS284" s="3">
        <v>47.2</v>
      </c>
      <c r="AT284" s="3">
        <v>5927089</v>
      </c>
      <c r="AU284" s="3">
        <v>43.25</v>
      </c>
      <c r="AV284" s="3">
        <v>43.35</v>
      </c>
      <c r="AW284" s="3">
        <v>42.86</v>
      </c>
      <c r="AX284" s="3">
        <v>43.05</v>
      </c>
      <c r="AY284" s="3">
        <v>11465214</v>
      </c>
      <c r="AZ284" s="3">
        <v>50.32</v>
      </c>
      <c r="BA284" s="3">
        <v>50.56</v>
      </c>
      <c r="BB284" s="3">
        <v>50.04</v>
      </c>
      <c r="BC284" s="3">
        <v>50.55</v>
      </c>
      <c r="BD284" s="3">
        <v>19211334</v>
      </c>
      <c r="BE284" s="3">
        <v>32.020000000000003</v>
      </c>
      <c r="BF284" s="3">
        <v>32.200000000000003</v>
      </c>
      <c r="BG284" s="3">
        <v>31.9</v>
      </c>
      <c r="BH284" s="3">
        <v>32.17</v>
      </c>
      <c r="BI284" s="3">
        <v>6835</v>
      </c>
    </row>
    <row r="285" spans="1:61" ht="13" x14ac:dyDescent="0.15">
      <c r="A285" s="3">
        <v>42541</v>
      </c>
      <c r="B285" s="3">
        <v>2075.58</v>
      </c>
      <c r="C285" s="3">
        <v>2100.66</v>
      </c>
      <c r="D285" s="3">
        <v>2075.58</v>
      </c>
      <c r="E285" s="3">
        <v>2083.25</v>
      </c>
      <c r="F285" s="3">
        <v>598150842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3">
        <v>78.53</v>
      </c>
      <c r="M285" s="3">
        <v>79.349999999999994</v>
      </c>
      <c r="N285" s="3">
        <v>78.53</v>
      </c>
      <c r="O285" s="3">
        <v>78.63</v>
      </c>
      <c r="P285" s="3">
        <v>3972196</v>
      </c>
      <c r="Q285" s="3">
        <v>53.81</v>
      </c>
      <c r="R285" s="3">
        <v>53.98</v>
      </c>
      <c r="S285" s="3">
        <v>53.57</v>
      </c>
      <c r="T285" s="3">
        <v>53.64</v>
      </c>
      <c r="U285" s="3">
        <v>6497515</v>
      </c>
      <c r="V285" s="3">
        <v>67.849999999999994</v>
      </c>
      <c r="W285" s="3">
        <v>68</v>
      </c>
      <c r="X285" s="3">
        <v>67.41</v>
      </c>
      <c r="Y285" s="3">
        <v>67.47</v>
      </c>
      <c r="Z285" s="3">
        <v>10913235</v>
      </c>
      <c r="AA285" s="3">
        <v>18.649999999999999</v>
      </c>
      <c r="AB285" s="3">
        <v>18.75</v>
      </c>
      <c r="AC285" s="3">
        <v>18.46</v>
      </c>
      <c r="AD285" s="3">
        <v>18.47</v>
      </c>
      <c r="AE285" s="3">
        <v>57324821</v>
      </c>
      <c r="AF285" s="3">
        <v>70.66</v>
      </c>
      <c r="AG285" s="3">
        <v>71</v>
      </c>
      <c r="AH285" s="3">
        <v>70.41</v>
      </c>
      <c r="AI285" s="3">
        <v>70.5</v>
      </c>
      <c r="AJ285" s="3">
        <v>7983661</v>
      </c>
      <c r="AK285" s="3">
        <v>56.15</v>
      </c>
      <c r="AL285" s="3">
        <v>56.76</v>
      </c>
      <c r="AM285" s="3">
        <v>56.15</v>
      </c>
      <c r="AN285" s="3">
        <v>56.24</v>
      </c>
      <c r="AO285" s="3">
        <v>11778736</v>
      </c>
      <c r="AP285" s="3">
        <v>47.65</v>
      </c>
      <c r="AQ285" s="3">
        <v>48.06</v>
      </c>
      <c r="AR285" s="3">
        <v>47.44</v>
      </c>
      <c r="AS285" s="3">
        <v>47.47</v>
      </c>
      <c r="AT285" s="3">
        <v>5965972</v>
      </c>
      <c r="AU285" s="3">
        <v>43.43</v>
      </c>
      <c r="AV285" s="3">
        <v>43.61</v>
      </c>
      <c r="AW285" s="3">
        <v>43.22</v>
      </c>
      <c r="AX285" s="3">
        <v>43.23</v>
      </c>
      <c r="AY285" s="3">
        <v>6855969</v>
      </c>
      <c r="AZ285" s="3">
        <v>50.47</v>
      </c>
      <c r="BA285" s="3">
        <v>50.62</v>
      </c>
      <c r="BB285" s="3">
        <v>49.98</v>
      </c>
      <c r="BC285" s="3">
        <v>50.36</v>
      </c>
      <c r="BD285" s="3">
        <v>15937898</v>
      </c>
      <c r="BE285" s="3">
        <v>32.49</v>
      </c>
      <c r="BF285" s="3">
        <v>32.49</v>
      </c>
      <c r="BG285" s="3">
        <v>32.200000000000003</v>
      </c>
      <c r="BH285" s="3">
        <v>32.200000000000003</v>
      </c>
      <c r="BI285" s="3">
        <v>4897</v>
      </c>
    </row>
    <row r="286" spans="1:61" ht="13" x14ac:dyDescent="0.15">
      <c r="A286" s="3">
        <v>42542</v>
      </c>
      <c r="B286" s="3">
        <v>2085.19</v>
      </c>
      <c r="C286" s="3">
        <v>2093.66</v>
      </c>
      <c r="D286" s="3">
        <v>2083.02</v>
      </c>
      <c r="E286" s="3">
        <v>2088.9</v>
      </c>
      <c r="F286" s="3">
        <v>537088649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3">
        <v>78.86</v>
      </c>
      <c r="M286" s="3">
        <v>78.86</v>
      </c>
      <c r="N286" s="3">
        <v>78.3</v>
      </c>
      <c r="O286" s="3">
        <v>78.45</v>
      </c>
      <c r="P286" s="3">
        <v>2899280</v>
      </c>
      <c r="Q286" s="3">
        <v>53.71</v>
      </c>
      <c r="R286" s="3">
        <v>53.92</v>
      </c>
      <c r="S286" s="3">
        <v>53.69</v>
      </c>
      <c r="T286" s="3">
        <v>53.78</v>
      </c>
      <c r="U286" s="3">
        <v>6879071</v>
      </c>
      <c r="V286" s="3">
        <v>67.319999999999993</v>
      </c>
      <c r="W286" s="3">
        <v>68.41</v>
      </c>
      <c r="X286" s="3">
        <v>67.12</v>
      </c>
      <c r="Y286" s="3">
        <v>68.27</v>
      </c>
      <c r="Z286" s="3">
        <v>11222301</v>
      </c>
      <c r="AA286" s="3">
        <v>18.54</v>
      </c>
      <c r="AB286" s="3">
        <v>18.61</v>
      </c>
      <c r="AC286" s="3">
        <v>18.46</v>
      </c>
      <c r="AD286" s="3">
        <v>18.57</v>
      </c>
      <c r="AE286" s="3">
        <v>32744213</v>
      </c>
      <c r="AF286" s="3">
        <v>70.739999999999995</v>
      </c>
      <c r="AG286" s="3">
        <v>70.81</v>
      </c>
      <c r="AH286" s="3">
        <v>70.099999999999994</v>
      </c>
      <c r="AI286" s="3">
        <v>70.260000000000005</v>
      </c>
      <c r="AJ286" s="3">
        <v>7014947</v>
      </c>
      <c r="AK286" s="3">
        <v>56.28</v>
      </c>
      <c r="AL286" s="3">
        <v>56.39</v>
      </c>
      <c r="AM286" s="3">
        <v>56.1</v>
      </c>
      <c r="AN286" s="3">
        <v>56.2</v>
      </c>
      <c r="AO286" s="3">
        <v>8451422</v>
      </c>
      <c r="AP286" s="3">
        <v>47.51</v>
      </c>
      <c r="AQ286" s="3">
        <v>47.58</v>
      </c>
      <c r="AR286" s="3">
        <v>47.17</v>
      </c>
      <c r="AS286" s="3">
        <v>47.34</v>
      </c>
      <c r="AT286" s="3">
        <v>3063382</v>
      </c>
      <c r="AU286" s="3">
        <v>43.36</v>
      </c>
      <c r="AV286" s="3">
        <v>43.63</v>
      </c>
      <c r="AW286" s="3">
        <v>43.32</v>
      </c>
      <c r="AX286" s="3">
        <v>43.53</v>
      </c>
      <c r="AY286" s="3">
        <v>5743865</v>
      </c>
      <c r="AZ286" s="3">
        <v>50.39</v>
      </c>
      <c r="BA286" s="3">
        <v>50.67</v>
      </c>
      <c r="BB286" s="3">
        <v>50.07</v>
      </c>
      <c r="BC286" s="3">
        <v>50.43</v>
      </c>
      <c r="BD286" s="3">
        <v>8669142</v>
      </c>
      <c r="BE286" s="3">
        <v>32.369999999999997</v>
      </c>
      <c r="BF286" s="3">
        <v>32.46</v>
      </c>
      <c r="BG286" s="3">
        <v>32.369999999999997</v>
      </c>
      <c r="BH286" s="3">
        <v>32.46</v>
      </c>
      <c r="BI286" s="3">
        <v>3150</v>
      </c>
    </row>
    <row r="287" spans="1:61" ht="13" x14ac:dyDescent="0.15">
      <c r="A287" s="3">
        <v>42543</v>
      </c>
      <c r="B287" s="3">
        <v>2089.75</v>
      </c>
      <c r="C287" s="3">
        <v>2099.71</v>
      </c>
      <c r="D287" s="3">
        <v>2084.36</v>
      </c>
      <c r="E287" s="3">
        <v>2085.4499999999998</v>
      </c>
      <c r="F287" s="3">
        <v>519438852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3">
        <v>78.510000000000005</v>
      </c>
      <c r="M287" s="3">
        <v>78.95</v>
      </c>
      <c r="N287" s="3">
        <v>78.28</v>
      </c>
      <c r="O287" s="3">
        <v>78.34</v>
      </c>
      <c r="P287" s="3">
        <v>4103718</v>
      </c>
      <c r="Q287" s="3">
        <v>53.85</v>
      </c>
      <c r="R287" s="3">
        <v>54</v>
      </c>
      <c r="S287" s="3">
        <v>53.75</v>
      </c>
      <c r="T287" s="3">
        <v>53.81</v>
      </c>
      <c r="U287" s="3">
        <v>5408273</v>
      </c>
      <c r="V287" s="3">
        <v>68.569999999999993</v>
      </c>
      <c r="W287" s="3">
        <v>68.569999999999993</v>
      </c>
      <c r="X287" s="3">
        <v>67.83</v>
      </c>
      <c r="Y287" s="3">
        <v>67.89</v>
      </c>
      <c r="Z287" s="3">
        <v>10258224</v>
      </c>
      <c r="AA287" s="3">
        <v>18.57</v>
      </c>
      <c r="AB287" s="3">
        <v>18.71</v>
      </c>
      <c r="AC287" s="3">
        <v>18.510000000000002</v>
      </c>
      <c r="AD287" s="3">
        <v>18.559999999999999</v>
      </c>
      <c r="AE287" s="3">
        <v>43871006</v>
      </c>
      <c r="AF287" s="3">
        <v>70.260000000000005</v>
      </c>
      <c r="AG287" s="3">
        <v>71.25</v>
      </c>
      <c r="AH287" s="3">
        <v>70.2</v>
      </c>
      <c r="AI287" s="3">
        <v>70.459999999999994</v>
      </c>
      <c r="AJ287" s="3">
        <v>11207552</v>
      </c>
      <c r="AK287" s="3">
        <v>56.18</v>
      </c>
      <c r="AL287" s="3">
        <v>56.41</v>
      </c>
      <c r="AM287" s="3">
        <v>56</v>
      </c>
      <c r="AN287" s="3">
        <v>56.04</v>
      </c>
      <c r="AO287" s="3">
        <v>10509050</v>
      </c>
      <c r="AP287" s="3">
        <v>47.38</v>
      </c>
      <c r="AQ287" s="3">
        <v>47.56</v>
      </c>
      <c r="AR287" s="3">
        <v>47.31</v>
      </c>
      <c r="AS287" s="3">
        <v>47.39</v>
      </c>
      <c r="AT287" s="3">
        <v>3041740</v>
      </c>
      <c r="AU287" s="3">
        <v>43.54</v>
      </c>
      <c r="AV287" s="3">
        <v>43.7</v>
      </c>
      <c r="AW287" s="3">
        <v>43.33</v>
      </c>
      <c r="AX287" s="3">
        <v>43.38</v>
      </c>
      <c r="AY287" s="3">
        <v>6495250</v>
      </c>
      <c r="AZ287" s="3">
        <v>50.43</v>
      </c>
      <c r="BA287" s="3">
        <v>50.51</v>
      </c>
      <c r="BB287" s="3">
        <v>50.14</v>
      </c>
      <c r="BC287" s="3">
        <v>50.19</v>
      </c>
      <c r="BD287" s="3">
        <v>7980292</v>
      </c>
      <c r="BE287" s="3">
        <v>32.39</v>
      </c>
      <c r="BF287" s="3">
        <v>32.47</v>
      </c>
      <c r="BG287" s="3">
        <v>32.33</v>
      </c>
      <c r="BH287" s="3">
        <v>32.43</v>
      </c>
      <c r="BI287" s="3">
        <v>2712</v>
      </c>
    </row>
    <row r="288" spans="1:61" ht="13" x14ac:dyDescent="0.15">
      <c r="A288" s="3">
        <v>42544</v>
      </c>
      <c r="B288" s="3">
        <v>2092.8000000000002</v>
      </c>
      <c r="C288" s="3">
        <v>2113.3200000000002</v>
      </c>
      <c r="D288" s="3">
        <v>2092.8000000000002</v>
      </c>
      <c r="E288" s="3">
        <v>2113.3200000000002</v>
      </c>
      <c r="F288" s="3">
        <v>525308203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3">
        <v>79.06</v>
      </c>
      <c r="M288" s="3">
        <v>79.12</v>
      </c>
      <c r="N288" s="3">
        <v>78.75</v>
      </c>
      <c r="O288" s="3">
        <v>79.11</v>
      </c>
      <c r="P288" s="3">
        <v>4441205</v>
      </c>
      <c r="Q288" s="3">
        <v>54.02</v>
      </c>
      <c r="R288" s="3">
        <v>54.14</v>
      </c>
      <c r="S288" s="3">
        <v>53.87</v>
      </c>
      <c r="T288" s="3">
        <v>54.14</v>
      </c>
      <c r="U288" s="3">
        <v>5642533</v>
      </c>
      <c r="V288" s="3">
        <v>68.599999999999994</v>
      </c>
      <c r="W288" s="3">
        <v>69.03</v>
      </c>
      <c r="X288" s="3">
        <v>68.34</v>
      </c>
      <c r="Y288" s="3">
        <v>69.010000000000005</v>
      </c>
      <c r="Z288" s="3">
        <v>9538468</v>
      </c>
      <c r="AA288" s="3">
        <v>18.77</v>
      </c>
      <c r="AB288" s="3">
        <v>18.95</v>
      </c>
      <c r="AC288" s="3">
        <v>18.77</v>
      </c>
      <c r="AD288" s="3">
        <v>18.95</v>
      </c>
      <c r="AE288" s="3">
        <v>59906962</v>
      </c>
      <c r="AF288" s="3">
        <v>71.08</v>
      </c>
      <c r="AG288" s="3">
        <v>71.39</v>
      </c>
      <c r="AH288" s="3">
        <v>70.75</v>
      </c>
      <c r="AI288" s="3">
        <v>71.38</v>
      </c>
      <c r="AJ288" s="3">
        <v>7626917</v>
      </c>
      <c r="AK288" s="3">
        <v>56.6</v>
      </c>
      <c r="AL288" s="3">
        <v>56.73</v>
      </c>
      <c r="AM288" s="3">
        <v>56.38</v>
      </c>
      <c r="AN288" s="3">
        <v>56.69</v>
      </c>
      <c r="AO288" s="3">
        <v>8840642</v>
      </c>
      <c r="AP288" s="3">
        <v>47.86</v>
      </c>
      <c r="AQ288" s="3">
        <v>48.14</v>
      </c>
      <c r="AR288" s="3">
        <v>47.8</v>
      </c>
      <c r="AS288" s="3">
        <v>48.12</v>
      </c>
      <c r="AT288" s="3">
        <v>3558230</v>
      </c>
      <c r="AU288" s="3">
        <v>43.66</v>
      </c>
      <c r="AV288" s="3">
        <v>44.01</v>
      </c>
      <c r="AW288" s="3">
        <v>43.5</v>
      </c>
      <c r="AX288" s="3">
        <v>43.97</v>
      </c>
      <c r="AY288" s="3">
        <v>9763425</v>
      </c>
      <c r="AZ288" s="3">
        <v>50.1</v>
      </c>
      <c r="BA288" s="3">
        <v>50.35</v>
      </c>
      <c r="BB288" s="3">
        <v>49.99</v>
      </c>
      <c r="BC288" s="3">
        <v>50.33</v>
      </c>
      <c r="BD288" s="3">
        <v>8425192</v>
      </c>
      <c r="BE288" s="3">
        <v>32.53</v>
      </c>
      <c r="BF288" s="3">
        <v>32.57</v>
      </c>
      <c r="BG288" s="3">
        <v>32.53</v>
      </c>
      <c r="BH288" s="3">
        <v>32.57</v>
      </c>
      <c r="BI288" s="3">
        <v>5305</v>
      </c>
    </row>
    <row r="289" spans="1:61" ht="13" x14ac:dyDescent="0.15">
      <c r="A289" s="3">
        <v>42545</v>
      </c>
      <c r="B289" s="3">
        <v>2103.81</v>
      </c>
      <c r="C289" s="3">
        <v>2103.81</v>
      </c>
      <c r="D289" s="3">
        <v>2032.57</v>
      </c>
      <c r="E289" s="3">
        <v>2037.41</v>
      </c>
      <c r="F289" s="3">
        <v>330155996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3">
        <v>76.33</v>
      </c>
      <c r="M289" s="3">
        <v>77.52</v>
      </c>
      <c r="N289" s="3">
        <v>75.98</v>
      </c>
      <c r="O289" s="3">
        <v>76.150000000000006</v>
      </c>
      <c r="P289" s="3">
        <v>15348156</v>
      </c>
      <c r="Q289" s="3">
        <v>53.15</v>
      </c>
      <c r="R289" s="3">
        <v>53.78</v>
      </c>
      <c r="S289" s="3">
        <v>52.88</v>
      </c>
      <c r="T289" s="3">
        <v>53.1</v>
      </c>
      <c r="U289" s="3">
        <v>23775904</v>
      </c>
      <c r="V289" s="3">
        <v>66.349999999999994</v>
      </c>
      <c r="W289" s="3">
        <v>67.55</v>
      </c>
      <c r="X289" s="3">
        <v>66.290000000000006</v>
      </c>
      <c r="Y289" s="3">
        <v>66.78</v>
      </c>
      <c r="Z289" s="3">
        <v>26879900</v>
      </c>
      <c r="AA289" s="3">
        <v>17.95</v>
      </c>
      <c r="AB289" s="3">
        <v>18.34</v>
      </c>
      <c r="AC289" s="3">
        <v>17.87</v>
      </c>
      <c r="AD289" s="3">
        <v>17.93</v>
      </c>
      <c r="AE289" s="3">
        <v>134780374</v>
      </c>
      <c r="AF289" s="3">
        <v>69.349999999999994</v>
      </c>
      <c r="AG289" s="3">
        <v>70.400000000000006</v>
      </c>
      <c r="AH289" s="3">
        <v>69.05</v>
      </c>
      <c r="AI289" s="3">
        <v>69.290000000000006</v>
      </c>
      <c r="AJ289" s="3">
        <v>22576537</v>
      </c>
      <c r="AK289" s="3">
        <v>54.72</v>
      </c>
      <c r="AL289" s="3">
        <v>55.48</v>
      </c>
      <c r="AM289" s="3">
        <v>54.23</v>
      </c>
      <c r="AN289" s="3">
        <v>54.38</v>
      </c>
      <c r="AO289" s="3">
        <v>34954049</v>
      </c>
      <c r="AP289" s="3">
        <v>46.48</v>
      </c>
      <c r="AQ289" s="3">
        <v>47.07</v>
      </c>
      <c r="AR289" s="3">
        <v>45.9</v>
      </c>
      <c r="AS289" s="3">
        <v>46.02</v>
      </c>
      <c r="AT289" s="3">
        <v>12447507</v>
      </c>
      <c r="AU289" s="3">
        <v>42.42</v>
      </c>
      <c r="AV289" s="3">
        <v>43.14</v>
      </c>
      <c r="AW289" s="3">
        <v>42.19</v>
      </c>
      <c r="AX289" s="3">
        <v>42.28</v>
      </c>
      <c r="AY289" s="3">
        <v>23623029</v>
      </c>
      <c r="AZ289" s="3">
        <v>50.22</v>
      </c>
      <c r="BA289" s="3">
        <v>50.86</v>
      </c>
      <c r="BB289" s="3">
        <v>49.79</v>
      </c>
      <c r="BC289" s="3">
        <v>50.61</v>
      </c>
      <c r="BD289" s="3">
        <v>24190968</v>
      </c>
      <c r="BE289" s="3">
        <v>32</v>
      </c>
      <c r="BF289" s="3">
        <v>32.25</v>
      </c>
      <c r="BG289" s="3">
        <v>31.85</v>
      </c>
      <c r="BH289" s="3">
        <v>32.159999999999997</v>
      </c>
      <c r="BI289" s="3">
        <v>5710</v>
      </c>
    </row>
    <row r="290" spans="1:61" ht="13" x14ac:dyDescent="0.15">
      <c r="A290" s="3">
        <v>42548</v>
      </c>
      <c r="B290" s="3">
        <v>2031.45</v>
      </c>
      <c r="C290" s="3">
        <v>2031.45</v>
      </c>
      <c r="D290" s="3">
        <v>1991.68</v>
      </c>
      <c r="E290" s="3">
        <v>2000.54</v>
      </c>
      <c r="F290" s="3">
        <v>882683687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3">
        <v>75.459999999999994</v>
      </c>
      <c r="M290" s="3">
        <v>75.58</v>
      </c>
      <c r="N290" s="3">
        <v>74.180000000000007</v>
      </c>
      <c r="O290" s="3">
        <v>74.77</v>
      </c>
      <c r="P290" s="3">
        <v>10861093</v>
      </c>
      <c r="Q290" s="3">
        <v>53.02</v>
      </c>
      <c r="R290" s="3">
        <v>53.11</v>
      </c>
      <c r="S290" s="3">
        <v>52.65</v>
      </c>
      <c r="T290" s="3">
        <v>52.99</v>
      </c>
      <c r="U290" s="3">
        <v>19371970</v>
      </c>
      <c r="V290" s="3">
        <v>65.87</v>
      </c>
      <c r="W290" s="3">
        <v>65.930000000000007</v>
      </c>
      <c r="X290" s="3">
        <v>64.11</v>
      </c>
      <c r="Y290" s="3">
        <v>64.64</v>
      </c>
      <c r="Z290" s="3">
        <v>21824749</v>
      </c>
      <c r="AA290" s="3">
        <v>17.66</v>
      </c>
      <c r="AB290" s="3">
        <v>17.690000000000001</v>
      </c>
      <c r="AC290" s="3">
        <v>17.309999999999999</v>
      </c>
      <c r="AD290" s="3">
        <v>17.420000000000002</v>
      </c>
      <c r="AE290" s="3">
        <v>118427883</v>
      </c>
      <c r="AF290" s="3">
        <v>68.84</v>
      </c>
      <c r="AG290" s="3">
        <v>69.08</v>
      </c>
      <c r="AH290" s="3">
        <v>68.09</v>
      </c>
      <c r="AI290" s="3">
        <v>68.38</v>
      </c>
      <c r="AJ290" s="3">
        <v>18634739</v>
      </c>
      <c r="AK290" s="3">
        <v>53.84</v>
      </c>
      <c r="AL290" s="3">
        <v>54.12</v>
      </c>
      <c r="AM290" s="3">
        <v>52.78</v>
      </c>
      <c r="AN290" s="3">
        <v>53.1</v>
      </c>
      <c r="AO290" s="3">
        <v>40314346</v>
      </c>
      <c r="AP290" s="3">
        <v>45.67</v>
      </c>
      <c r="AQ290" s="3">
        <v>45.67</v>
      </c>
      <c r="AR290" s="3">
        <v>44.22</v>
      </c>
      <c r="AS290" s="3">
        <v>44.47</v>
      </c>
      <c r="AT290" s="3">
        <v>9059325</v>
      </c>
      <c r="AU290" s="3">
        <v>41.97</v>
      </c>
      <c r="AV290" s="3">
        <v>41.97</v>
      </c>
      <c r="AW290" s="3">
        <v>41.26</v>
      </c>
      <c r="AX290" s="3">
        <v>41.43</v>
      </c>
      <c r="AY290" s="3">
        <v>18516994</v>
      </c>
      <c r="AZ290" s="3">
        <v>50.35</v>
      </c>
      <c r="BA290" s="3">
        <v>51.17</v>
      </c>
      <c r="BB290" s="3">
        <v>50.28</v>
      </c>
      <c r="BC290" s="3">
        <v>51.03</v>
      </c>
      <c r="BD290" s="3">
        <v>17095697</v>
      </c>
      <c r="BE290" s="3">
        <v>32</v>
      </c>
      <c r="BF290" s="3">
        <v>32.21</v>
      </c>
      <c r="BG290" s="3">
        <v>31.89</v>
      </c>
      <c r="BH290" s="3">
        <v>32.11</v>
      </c>
      <c r="BI290" s="3">
        <v>3438</v>
      </c>
    </row>
    <row r="291" spans="1:61" ht="13" x14ac:dyDescent="0.15">
      <c r="A291" s="3">
        <v>42549</v>
      </c>
      <c r="B291" s="3">
        <v>2006.67</v>
      </c>
      <c r="C291" s="3">
        <v>2036.09</v>
      </c>
      <c r="D291" s="3">
        <v>2006.67</v>
      </c>
      <c r="E291" s="3">
        <v>2036.09</v>
      </c>
      <c r="F291" s="3">
        <v>718967504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3">
        <v>75.64</v>
      </c>
      <c r="M291" s="3">
        <v>76.260000000000005</v>
      </c>
      <c r="N291" s="3">
        <v>75.42</v>
      </c>
      <c r="O291" s="3">
        <v>76.260000000000005</v>
      </c>
      <c r="P291" s="3">
        <v>7860635</v>
      </c>
      <c r="Q291" s="3">
        <v>53.44</v>
      </c>
      <c r="R291" s="3">
        <v>53.44</v>
      </c>
      <c r="S291" s="3">
        <v>52.84</v>
      </c>
      <c r="T291" s="3">
        <v>53.32</v>
      </c>
      <c r="U291" s="3">
        <v>11868598</v>
      </c>
      <c r="V291" s="3">
        <v>65.849999999999994</v>
      </c>
      <c r="W291" s="3">
        <v>66.45</v>
      </c>
      <c r="X291" s="3">
        <v>65.47</v>
      </c>
      <c r="Y291" s="3">
        <v>66.44</v>
      </c>
      <c r="Z291" s="3">
        <v>14550432</v>
      </c>
      <c r="AA291" s="3">
        <v>17.739999999999998</v>
      </c>
      <c r="AB291" s="3">
        <v>17.87</v>
      </c>
      <c r="AC291" s="3">
        <v>17.579999999999998</v>
      </c>
      <c r="AD291" s="3">
        <v>17.87</v>
      </c>
      <c r="AE291" s="3">
        <v>89132560</v>
      </c>
      <c r="AF291" s="3">
        <v>68.86</v>
      </c>
      <c r="AG291" s="3">
        <v>69.77</v>
      </c>
      <c r="AH291" s="3">
        <v>68.849999999999994</v>
      </c>
      <c r="AI291" s="3">
        <v>69.709999999999994</v>
      </c>
      <c r="AJ291" s="3">
        <v>13652372</v>
      </c>
      <c r="AK291" s="3">
        <v>53.77</v>
      </c>
      <c r="AL291" s="3">
        <v>54</v>
      </c>
      <c r="AM291" s="3">
        <v>53.39</v>
      </c>
      <c r="AN291" s="3">
        <v>54</v>
      </c>
      <c r="AO291" s="3">
        <v>18523896</v>
      </c>
      <c r="AP291" s="3">
        <v>44.83</v>
      </c>
      <c r="AQ291" s="3">
        <v>45.12</v>
      </c>
      <c r="AR291" s="3">
        <v>44.38</v>
      </c>
      <c r="AS291" s="3">
        <v>44.85</v>
      </c>
      <c r="AT291" s="3">
        <v>10370561</v>
      </c>
      <c r="AU291" s="3">
        <v>41.89</v>
      </c>
      <c r="AV291" s="3">
        <v>42.25</v>
      </c>
      <c r="AW291" s="3">
        <v>41.82</v>
      </c>
      <c r="AX291" s="3">
        <v>42.25</v>
      </c>
      <c r="AY291" s="3">
        <v>13244697</v>
      </c>
      <c r="AZ291" s="3">
        <v>51.05</v>
      </c>
      <c r="BA291" s="3">
        <v>51.25</v>
      </c>
      <c r="BB291" s="3">
        <v>50.63</v>
      </c>
      <c r="BC291" s="3">
        <v>51.22</v>
      </c>
      <c r="BD291" s="3">
        <v>13207265</v>
      </c>
      <c r="BE291" s="3">
        <v>32.58</v>
      </c>
      <c r="BF291" s="3">
        <v>32.700000000000003</v>
      </c>
      <c r="BG291" s="3">
        <v>32.49</v>
      </c>
      <c r="BH291" s="3">
        <v>32.700000000000003</v>
      </c>
      <c r="BI291" s="3">
        <v>8564</v>
      </c>
    </row>
    <row r="292" spans="1:61" ht="13" x14ac:dyDescent="0.15">
      <c r="A292" s="3">
        <v>42550</v>
      </c>
      <c r="B292" s="3">
        <v>2042.69</v>
      </c>
      <c r="C292" s="3">
        <v>2073.13</v>
      </c>
      <c r="D292" s="3">
        <v>2042.69</v>
      </c>
      <c r="E292" s="3">
        <v>2070.77</v>
      </c>
      <c r="F292" s="3">
        <v>691858050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3">
        <v>77.17</v>
      </c>
      <c r="M292" s="3">
        <v>77.62</v>
      </c>
      <c r="N292" s="3">
        <v>76.739999999999995</v>
      </c>
      <c r="O292" s="3">
        <v>77.489999999999995</v>
      </c>
      <c r="P292" s="3">
        <v>7053766</v>
      </c>
      <c r="Q292" s="3">
        <v>53.6</v>
      </c>
      <c r="R292" s="3">
        <v>53.97</v>
      </c>
      <c r="S292" s="3">
        <v>53.43</v>
      </c>
      <c r="T292" s="3">
        <v>53.94</v>
      </c>
      <c r="U292" s="3">
        <v>10820963</v>
      </c>
      <c r="V292" s="3">
        <v>66.849999999999994</v>
      </c>
      <c r="W292" s="3">
        <v>68.099999999999994</v>
      </c>
      <c r="X292" s="3">
        <v>66.849999999999994</v>
      </c>
      <c r="Y292" s="3">
        <v>67.7</v>
      </c>
      <c r="Z292" s="3">
        <v>16354428</v>
      </c>
      <c r="AA292" s="3">
        <v>18.02</v>
      </c>
      <c r="AB292" s="3">
        <v>18.27</v>
      </c>
      <c r="AC292" s="3">
        <v>17.98</v>
      </c>
      <c r="AD292" s="3">
        <v>18.27</v>
      </c>
      <c r="AE292" s="3">
        <v>81242054</v>
      </c>
      <c r="AF292" s="3">
        <v>70.2</v>
      </c>
      <c r="AG292" s="3">
        <v>71.239999999999995</v>
      </c>
      <c r="AH292" s="3">
        <v>70.2</v>
      </c>
      <c r="AI292" s="3">
        <v>71.040000000000006</v>
      </c>
      <c r="AJ292" s="3">
        <v>8968421</v>
      </c>
      <c r="AK292" s="3">
        <v>54.57</v>
      </c>
      <c r="AL292" s="3">
        <v>55.04</v>
      </c>
      <c r="AM292" s="3">
        <v>54.42</v>
      </c>
      <c r="AN292" s="3">
        <v>54.96</v>
      </c>
      <c r="AO292" s="3">
        <v>14316349</v>
      </c>
      <c r="AP292" s="3">
        <v>45.4</v>
      </c>
      <c r="AQ292" s="3">
        <v>45.76</v>
      </c>
      <c r="AR292" s="3">
        <v>45.29</v>
      </c>
      <c r="AS292" s="3">
        <v>45.61</v>
      </c>
      <c r="AT292" s="3">
        <v>6655461</v>
      </c>
      <c r="AU292" s="3">
        <v>42.54</v>
      </c>
      <c r="AV292" s="3">
        <v>42.97</v>
      </c>
      <c r="AW292" s="3">
        <v>42.53</v>
      </c>
      <c r="AX292" s="3">
        <v>42.9</v>
      </c>
      <c r="AY292" s="3">
        <v>10504239</v>
      </c>
      <c r="AZ292" s="3">
        <v>51.46</v>
      </c>
      <c r="BA292" s="3">
        <v>51.6</v>
      </c>
      <c r="BB292" s="3">
        <v>51.18</v>
      </c>
      <c r="BC292" s="3">
        <v>51.36</v>
      </c>
      <c r="BD292" s="3">
        <v>14013443</v>
      </c>
      <c r="BE292" s="3">
        <v>33.24</v>
      </c>
      <c r="BF292" s="3">
        <v>33.340000000000003</v>
      </c>
      <c r="BG292" s="3">
        <v>33.18</v>
      </c>
      <c r="BH292" s="3">
        <v>33.32</v>
      </c>
      <c r="BI292" s="3">
        <v>7580</v>
      </c>
    </row>
    <row r="293" spans="1:61" ht="13" x14ac:dyDescent="0.15">
      <c r="A293" s="3">
        <v>42551</v>
      </c>
      <c r="B293" s="3">
        <v>2073.17</v>
      </c>
      <c r="C293" s="3">
        <v>2098.94</v>
      </c>
      <c r="D293" s="3">
        <v>2070</v>
      </c>
      <c r="E293" s="3">
        <v>2098.86</v>
      </c>
      <c r="F293" s="3">
        <v>892556858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3">
        <v>77.73</v>
      </c>
      <c r="M293" s="3">
        <v>78.09</v>
      </c>
      <c r="N293" s="3">
        <v>77.23</v>
      </c>
      <c r="O293" s="3">
        <v>78.06</v>
      </c>
      <c r="P293" s="3">
        <v>6711840</v>
      </c>
      <c r="Q293" s="3">
        <v>54.01</v>
      </c>
      <c r="R293" s="3">
        <v>55.15</v>
      </c>
      <c r="S293" s="3">
        <v>54</v>
      </c>
      <c r="T293" s="3">
        <v>55.15</v>
      </c>
      <c r="U293" s="3">
        <v>20984760</v>
      </c>
      <c r="V293" s="3">
        <v>67.41</v>
      </c>
      <c r="W293" s="3">
        <v>68.28</v>
      </c>
      <c r="X293" s="3">
        <v>67.27</v>
      </c>
      <c r="Y293" s="3">
        <v>68.239999999999995</v>
      </c>
      <c r="Z293" s="3">
        <v>12132268</v>
      </c>
      <c r="AA293" s="3">
        <v>18.329999999999998</v>
      </c>
      <c r="AB293" s="3">
        <v>18.559999999999999</v>
      </c>
      <c r="AC293" s="3">
        <v>18.239999999999998</v>
      </c>
      <c r="AD293" s="3">
        <v>18.559999999999999</v>
      </c>
      <c r="AE293" s="3">
        <v>59063388</v>
      </c>
      <c r="AF293" s="3">
        <v>71.180000000000007</v>
      </c>
      <c r="AG293" s="3">
        <v>71.75</v>
      </c>
      <c r="AH293" s="3">
        <v>70.83</v>
      </c>
      <c r="AI293" s="3">
        <v>71.709999999999994</v>
      </c>
      <c r="AJ293" s="3">
        <v>9535175</v>
      </c>
      <c r="AK293" s="3">
        <v>54.87</v>
      </c>
      <c r="AL293" s="3">
        <v>56.03</v>
      </c>
      <c r="AM293" s="3">
        <v>54.86</v>
      </c>
      <c r="AN293" s="3">
        <v>56.01</v>
      </c>
      <c r="AO293" s="3">
        <v>19397757</v>
      </c>
      <c r="AP293" s="3">
        <v>45.74</v>
      </c>
      <c r="AQ293" s="3">
        <v>46.36</v>
      </c>
      <c r="AR293" s="3">
        <v>45.49</v>
      </c>
      <c r="AS293" s="3">
        <v>46.34</v>
      </c>
      <c r="AT293" s="3">
        <v>5977783</v>
      </c>
      <c r="AU293" s="3">
        <v>43</v>
      </c>
      <c r="AV293" s="3">
        <v>43.39</v>
      </c>
      <c r="AW293" s="3">
        <v>42.9</v>
      </c>
      <c r="AX293" s="3">
        <v>43.37</v>
      </c>
      <c r="AY293" s="3">
        <v>13355324</v>
      </c>
      <c r="AZ293" s="3">
        <v>51.59</v>
      </c>
      <c r="BA293" s="3">
        <v>52.53</v>
      </c>
      <c r="BB293" s="3">
        <v>51.36</v>
      </c>
      <c r="BC293" s="3">
        <v>52.47</v>
      </c>
      <c r="BD293" s="3">
        <v>17372378</v>
      </c>
      <c r="BE293" s="3">
        <v>33.54</v>
      </c>
      <c r="BF293" s="3">
        <v>33.6</v>
      </c>
      <c r="BG293" s="3">
        <v>33.229999999999997</v>
      </c>
      <c r="BH293" s="3">
        <v>33.590000000000003</v>
      </c>
      <c r="BI293" s="3">
        <v>11927</v>
      </c>
    </row>
    <row r="294" spans="1:61" ht="13" x14ac:dyDescent="0.15">
      <c r="A294" s="3">
        <v>42552</v>
      </c>
      <c r="B294" s="3">
        <v>2099.34</v>
      </c>
      <c r="C294" s="3">
        <v>2108.71</v>
      </c>
      <c r="D294" s="3">
        <v>2097.9</v>
      </c>
      <c r="E294" s="3">
        <v>2102.9499999999998</v>
      </c>
      <c r="F294" s="3">
        <v>551736343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3">
        <v>78.14</v>
      </c>
      <c r="M294" s="3">
        <v>79.05</v>
      </c>
      <c r="N294" s="3">
        <v>77.989999999999995</v>
      </c>
      <c r="O294" s="3">
        <v>78.87</v>
      </c>
      <c r="P294" s="3">
        <v>7130128</v>
      </c>
      <c r="Q294" s="3">
        <v>55.25</v>
      </c>
      <c r="R294" s="3">
        <v>55.27</v>
      </c>
      <c r="S294" s="3">
        <v>54.87</v>
      </c>
      <c r="T294" s="3">
        <v>54.89</v>
      </c>
      <c r="U294" s="3">
        <v>14933906</v>
      </c>
      <c r="V294" s="3">
        <v>68.16</v>
      </c>
      <c r="W294" s="3">
        <v>68.849999999999994</v>
      </c>
      <c r="X294" s="3">
        <v>68.11</v>
      </c>
      <c r="Y294" s="3">
        <v>68.599999999999994</v>
      </c>
      <c r="Z294" s="3">
        <v>12678827</v>
      </c>
      <c r="AA294" s="3">
        <v>18.489999999999998</v>
      </c>
      <c r="AB294" s="3">
        <v>18.600000000000001</v>
      </c>
      <c r="AC294" s="3">
        <v>18.43</v>
      </c>
      <c r="AD294" s="3">
        <v>18.47</v>
      </c>
      <c r="AE294" s="3">
        <v>36633114</v>
      </c>
      <c r="AF294" s="3">
        <v>71.87</v>
      </c>
      <c r="AG294" s="3">
        <v>72.33</v>
      </c>
      <c r="AH294" s="3">
        <v>71.64</v>
      </c>
      <c r="AI294" s="3">
        <v>72.16</v>
      </c>
      <c r="AJ294" s="3">
        <v>6793136</v>
      </c>
      <c r="AK294" s="3">
        <v>56.03</v>
      </c>
      <c r="AL294" s="3">
        <v>56.46</v>
      </c>
      <c r="AM294" s="3">
        <v>55.99</v>
      </c>
      <c r="AN294" s="3">
        <v>56.19</v>
      </c>
      <c r="AO294" s="3">
        <v>23322746</v>
      </c>
      <c r="AP294" s="3">
        <v>46.34</v>
      </c>
      <c r="AQ294" s="3">
        <v>46.66</v>
      </c>
      <c r="AR294" s="3">
        <v>46.21</v>
      </c>
      <c r="AS294" s="3">
        <v>46.36</v>
      </c>
      <c r="AT294" s="3">
        <v>4964119</v>
      </c>
      <c r="AU294" s="3">
        <v>43.4</v>
      </c>
      <c r="AV294" s="3">
        <v>43.6</v>
      </c>
      <c r="AW294" s="3">
        <v>43.34</v>
      </c>
      <c r="AX294" s="3">
        <v>43.47</v>
      </c>
      <c r="AY294" s="3">
        <v>7474705</v>
      </c>
      <c r="AZ294" s="3">
        <v>52.76</v>
      </c>
      <c r="BA294" s="3">
        <v>52.76</v>
      </c>
      <c r="BB294" s="3">
        <v>51.94</v>
      </c>
      <c r="BC294" s="3">
        <v>52.48</v>
      </c>
      <c r="BD294" s="3">
        <v>17480829</v>
      </c>
      <c r="BE294" s="3">
        <v>33.83</v>
      </c>
      <c r="BF294" s="3">
        <v>33.83</v>
      </c>
      <c r="BG294" s="3">
        <v>33.53</v>
      </c>
      <c r="BH294" s="3">
        <v>33.57</v>
      </c>
      <c r="BI294" s="3">
        <v>4917</v>
      </c>
    </row>
    <row r="295" spans="1:61" ht="13" x14ac:dyDescent="0.15">
      <c r="A295" s="3">
        <v>42556</v>
      </c>
      <c r="B295" s="3">
        <v>2095.0500000000002</v>
      </c>
      <c r="C295" s="3">
        <v>2095.0500000000002</v>
      </c>
      <c r="D295" s="3">
        <v>2080.86</v>
      </c>
      <c r="E295" s="3">
        <v>2088.5500000000002</v>
      </c>
      <c r="F295" s="3">
        <v>650706103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3">
        <v>78.38</v>
      </c>
      <c r="M295" s="3">
        <v>78.540000000000006</v>
      </c>
      <c r="N295" s="3">
        <v>77.739999999999995</v>
      </c>
      <c r="O295" s="3">
        <v>78.23</v>
      </c>
      <c r="P295" s="3">
        <v>7317558</v>
      </c>
      <c r="Q295" s="3">
        <v>54.82</v>
      </c>
      <c r="R295" s="3">
        <v>55.55</v>
      </c>
      <c r="S295" s="3">
        <v>54.82</v>
      </c>
      <c r="T295" s="3">
        <v>55.2</v>
      </c>
      <c r="U295" s="3">
        <v>19917077</v>
      </c>
      <c r="V295" s="3">
        <v>67.680000000000007</v>
      </c>
      <c r="W295" s="3">
        <v>67.92</v>
      </c>
      <c r="X295" s="3">
        <v>66.55</v>
      </c>
      <c r="Y295" s="3">
        <v>67.22</v>
      </c>
      <c r="Z295" s="3">
        <v>15069921</v>
      </c>
      <c r="AA295" s="3">
        <v>18.29</v>
      </c>
      <c r="AB295" s="3">
        <v>18.34</v>
      </c>
      <c r="AC295" s="3">
        <v>18.100000000000001</v>
      </c>
      <c r="AD295" s="3">
        <v>18.190000000000001</v>
      </c>
      <c r="AE295" s="3">
        <v>48380956</v>
      </c>
      <c r="AF295" s="3">
        <v>71.73</v>
      </c>
      <c r="AG295" s="3">
        <v>72.38</v>
      </c>
      <c r="AH295" s="3">
        <v>71.73</v>
      </c>
      <c r="AI295" s="3">
        <v>72.09</v>
      </c>
      <c r="AJ295" s="3">
        <v>8359777</v>
      </c>
      <c r="AK295" s="3">
        <v>55.88</v>
      </c>
      <c r="AL295" s="3">
        <v>56.27</v>
      </c>
      <c r="AM295" s="3">
        <v>55.42</v>
      </c>
      <c r="AN295" s="3">
        <v>55.68</v>
      </c>
      <c r="AO295" s="3">
        <v>14808577</v>
      </c>
      <c r="AP295" s="3">
        <v>46.12</v>
      </c>
      <c r="AQ295" s="3">
        <v>46.3</v>
      </c>
      <c r="AR295" s="3">
        <v>45.36</v>
      </c>
      <c r="AS295" s="3">
        <v>45.52</v>
      </c>
      <c r="AT295" s="3">
        <v>5570113</v>
      </c>
      <c r="AU295" s="3">
        <v>43.24</v>
      </c>
      <c r="AV295" s="3">
        <v>43.3</v>
      </c>
      <c r="AW295" s="3">
        <v>43.02</v>
      </c>
      <c r="AX295" s="3">
        <v>43.15</v>
      </c>
      <c r="AY295" s="3">
        <v>8680740</v>
      </c>
      <c r="AZ295" s="3">
        <v>52.64</v>
      </c>
      <c r="BA295" s="3">
        <v>52.95</v>
      </c>
      <c r="BB295" s="3">
        <v>52.48</v>
      </c>
      <c r="BC295" s="3">
        <v>52.87</v>
      </c>
      <c r="BD295" s="3">
        <v>12553428</v>
      </c>
      <c r="BE295" s="3">
        <v>33.61</v>
      </c>
      <c r="BF295" s="3">
        <v>33.840000000000003</v>
      </c>
      <c r="BG295" s="3">
        <v>33.61</v>
      </c>
      <c r="BH295" s="3">
        <v>33.82</v>
      </c>
      <c r="BI295" s="3">
        <v>2279</v>
      </c>
    </row>
    <row r="296" spans="1:61" ht="13" x14ac:dyDescent="0.15">
      <c r="A296" s="3">
        <v>42557</v>
      </c>
      <c r="B296" s="3">
        <v>2084.4299999999998</v>
      </c>
      <c r="C296" s="3">
        <v>2100.7199999999998</v>
      </c>
      <c r="D296" s="3">
        <v>2074.02</v>
      </c>
      <c r="E296" s="3">
        <v>2099.73</v>
      </c>
      <c r="F296" s="3">
        <v>649649070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3">
        <v>77.91</v>
      </c>
      <c r="M296" s="3">
        <v>78.900000000000006</v>
      </c>
      <c r="N296" s="3">
        <v>77.739999999999995</v>
      </c>
      <c r="O296" s="3">
        <v>78.900000000000006</v>
      </c>
      <c r="P296" s="3">
        <v>7780623</v>
      </c>
      <c r="Q296" s="3">
        <v>55.19</v>
      </c>
      <c r="R296" s="3">
        <v>55.34</v>
      </c>
      <c r="S296" s="3">
        <v>54.91</v>
      </c>
      <c r="T296" s="3">
        <v>55.25</v>
      </c>
      <c r="U296" s="3">
        <v>19540038</v>
      </c>
      <c r="V296" s="3">
        <v>66.83</v>
      </c>
      <c r="W296" s="3">
        <v>67.56</v>
      </c>
      <c r="X296" s="3">
        <v>66.37</v>
      </c>
      <c r="Y296" s="3">
        <v>67.510000000000005</v>
      </c>
      <c r="Z296" s="3">
        <v>15897473</v>
      </c>
      <c r="AA296" s="3">
        <v>18.04</v>
      </c>
      <c r="AB296" s="3">
        <v>18.260000000000002</v>
      </c>
      <c r="AC296" s="3">
        <v>18</v>
      </c>
      <c r="AD296" s="3">
        <v>18.239999999999998</v>
      </c>
      <c r="AE296" s="3">
        <v>47571990</v>
      </c>
      <c r="AF296" s="3">
        <v>71.98</v>
      </c>
      <c r="AG296" s="3">
        <v>73.05</v>
      </c>
      <c r="AH296" s="3">
        <v>71.900000000000006</v>
      </c>
      <c r="AI296" s="3">
        <v>72.900000000000006</v>
      </c>
      <c r="AJ296" s="3">
        <v>18791528</v>
      </c>
      <c r="AK296" s="3">
        <v>55.52</v>
      </c>
      <c r="AL296" s="3">
        <v>56</v>
      </c>
      <c r="AM296" s="3">
        <v>55.09</v>
      </c>
      <c r="AN296" s="3">
        <v>55.96</v>
      </c>
      <c r="AO296" s="3">
        <v>12776363</v>
      </c>
      <c r="AP296" s="3">
        <v>45.36</v>
      </c>
      <c r="AQ296" s="3">
        <v>45.76</v>
      </c>
      <c r="AR296" s="3">
        <v>45.01</v>
      </c>
      <c r="AS296" s="3">
        <v>45.7</v>
      </c>
      <c r="AT296" s="3">
        <v>5837925</v>
      </c>
      <c r="AU296" s="3">
        <v>43.01</v>
      </c>
      <c r="AV296" s="3">
        <v>43.46</v>
      </c>
      <c r="AW296" s="3">
        <v>42.86</v>
      </c>
      <c r="AX296" s="3">
        <v>43.45</v>
      </c>
      <c r="AY296" s="3">
        <v>7850842</v>
      </c>
      <c r="AZ296" s="3">
        <v>52.81</v>
      </c>
      <c r="BA296" s="3">
        <v>53.02</v>
      </c>
      <c r="BB296" s="3">
        <v>52.5</v>
      </c>
      <c r="BC296" s="3">
        <v>52.98</v>
      </c>
      <c r="BD296" s="3">
        <v>15102661</v>
      </c>
      <c r="BE296" s="3">
        <v>33.99</v>
      </c>
      <c r="BF296" s="3">
        <v>33.99</v>
      </c>
      <c r="BG296" s="3">
        <v>33.58</v>
      </c>
      <c r="BH296" s="3">
        <v>33.770000000000003</v>
      </c>
      <c r="BI296" s="3">
        <v>8300</v>
      </c>
    </row>
    <row r="297" spans="1:61" ht="13" x14ac:dyDescent="0.15">
      <c r="A297" s="3">
        <v>42558</v>
      </c>
      <c r="B297" s="3">
        <v>2100.42</v>
      </c>
      <c r="C297" s="3">
        <v>2109.08</v>
      </c>
      <c r="D297" s="3">
        <v>2089.39</v>
      </c>
      <c r="E297" s="3">
        <v>2097.9</v>
      </c>
      <c r="F297" s="3">
        <v>546432231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3">
        <v>78.78</v>
      </c>
      <c r="M297" s="3">
        <v>79.239999999999995</v>
      </c>
      <c r="N297" s="3">
        <v>78.709999999999994</v>
      </c>
      <c r="O297" s="3">
        <v>79.239999999999995</v>
      </c>
      <c r="P297" s="3">
        <v>9242827</v>
      </c>
      <c r="Q297" s="3">
        <v>55.39</v>
      </c>
      <c r="R297" s="3">
        <v>55.49</v>
      </c>
      <c r="S297" s="3">
        <v>55.03</v>
      </c>
      <c r="T297" s="3">
        <v>55.14</v>
      </c>
      <c r="U297" s="3">
        <v>15618144</v>
      </c>
      <c r="V297" s="3">
        <v>67.91</v>
      </c>
      <c r="W297" s="3">
        <v>68.34</v>
      </c>
      <c r="X297" s="3">
        <v>66.349999999999994</v>
      </c>
      <c r="Y297" s="3">
        <v>66.819999999999993</v>
      </c>
      <c r="Z297" s="3">
        <v>14097789</v>
      </c>
      <c r="AA297" s="3">
        <v>18.3</v>
      </c>
      <c r="AB297" s="3">
        <v>18.41</v>
      </c>
      <c r="AC297" s="3">
        <v>18.170000000000002</v>
      </c>
      <c r="AD297" s="3">
        <v>18.260000000000002</v>
      </c>
      <c r="AE297" s="3">
        <v>53396833</v>
      </c>
      <c r="AF297" s="3">
        <v>73.34</v>
      </c>
      <c r="AG297" s="3">
        <v>73.349999999999994</v>
      </c>
      <c r="AH297" s="3">
        <v>72.459999999999994</v>
      </c>
      <c r="AI297" s="3">
        <v>72.790000000000006</v>
      </c>
      <c r="AJ297" s="3">
        <v>8022362</v>
      </c>
      <c r="AK297" s="3">
        <v>56.05</v>
      </c>
      <c r="AL297" s="3">
        <v>56.38</v>
      </c>
      <c r="AM297" s="3">
        <v>55.87</v>
      </c>
      <c r="AN297" s="3">
        <v>56.11</v>
      </c>
      <c r="AO297" s="3">
        <v>8697860</v>
      </c>
      <c r="AP297" s="3">
        <v>45.54</v>
      </c>
      <c r="AQ297" s="3">
        <v>46.19</v>
      </c>
      <c r="AR297" s="3">
        <v>45.54</v>
      </c>
      <c r="AS297" s="3">
        <v>45.82</v>
      </c>
      <c r="AT297" s="3">
        <v>4258624</v>
      </c>
      <c r="AU297" s="3">
        <v>43.41</v>
      </c>
      <c r="AV297" s="3">
        <v>43.65</v>
      </c>
      <c r="AW297" s="3">
        <v>43.29</v>
      </c>
      <c r="AX297" s="3">
        <v>43.45</v>
      </c>
      <c r="AY297" s="3">
        <v>6166060</v>
      </c>
      <c r="AZ297" s="3">
        <v>52.8</v>
      </c>
      <c r="BA297" s="3">
        <v>52.83</v>
      </c>
      <c r="BB297" s="3">
        <v>51.9</v>
      </c>
      <c r="BC297" s="3">
        <v>52</v>
      </c>
      <c r="BD297" s="3">
        <v>22718617</v>
      </c>
      <c r="BE297" s="3">
        <v>33.9</v>
      </c>
      <c r="BF297" s="3">
        <v>33.9</v>
      </c>
      <c r="BG297" s="3">
        <v>33.33</v>
      </c>
      <c r="BH297" s="3">
        <v>33.35</v>
      </c>
      <c r="BI297" s="3">
        <v>3427</v>
      </c>
    </row>
    <row r="298" spans="1:61" ht="13" x14ac:dyDescent="0.15">
      <c r="A298" s="3">
        <v>42559</v>
      </c>
      <c r="B298" s="3">
        <v>2106.9699999999998</v>
      </c>
      <c r="C298" s="3">
        <v>2131.71</v>
      </c>
      <c r="D298" s="3">
        <v>2106.9699999999998</v>
      </c>
      <c r="E298" s="3">
        <v>2129.9</v>
      </c>
      <c r="F298" s="3">
        <v>597242128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3">
        <v>79.75</v>
      </c>
      <c r="M298" s="3">
        <v>80.680000000000007</v>
      </c>
      <c r="N298" s="3">
        <v>79.75</v>
      </c>
      <c r="O298" s="3">
        <v>80.62</v>
      </c>
      <c r="P298" s="3">
        <v>7411381</v>
      </c>
      <c r="Q298" s="3">
        <v>55.35</v>
      </c>
      <c r="R298" s="3">
        <v>55.74</v>
      </c>
      <c r="S298" s="3">
        <v>55.18</v>
      </c>
      <c r="T298" s="3">
        <v>55.69</v>
      </c>
      <c r="U298" s="3">
        <v>10227475</v>
      </c>
      <c r="V298" s="3">
        <v>67.42</v>
      </c>
      <c r="W298" s="3">
        <v>67.95</v>
      </c>
      <c r="X298" s="3">
        <v>67.05</v>
      </c>
      <c r="Y298" s="3">
        <v>67.709999999999994</v>
      </c>
      <c r="Z298" s="3">
        <v>11567902</v>
      </c>
      <c r="AA298" s="3">
        <v>18.510000000000002</v>
      </c>
      <c r="AB298" s="3">
        <v>18.64</v>
      </c>
      <c r="AC298" s="3">
        <v>18.489999999999998</v>
      </c>
      <c r="AD298" s="3">
        <v>18.61</v>
      </c>
      <c r="AE298" s="3">
        <v>44945051</v>
      </c>
      <c r="AF298" s="3">
        <v>73.150000000000006</v>
      </c>
      <c r="AG298" s="3">
        <v>73.709999999999994</v>
      </c>
      <c r="AH298" s="3">
        <v>72.760000000000005</v>
      </c>
      <c r="AI298" s="3">
        <v>73.69</v>
      </c>
      <c r="AJ298" s="3">
        <v>11013236</v>
      </c>
      <c r="AK298" s="3">
        <v>56.6</v>
      </c>
      <c r="AL298" s="3">
        <v>57.33</v>
      </c>
      <c r="AM298" s="3">
        <v>56.14</v>
      </c>
      <c r="AN298" s="3">
        <v>57.23</v>
      </c>
      <c r="AO298" s="3">
        <v>16226352</v>
      </c>
      <c r="AP298" s="3">
        <v>46.14</v>
      </c>
      <c r="AQ298" s="3">
        <v>47.05</v>
      </c>
      <c r="AR298" s="3">
        <v>46.14</v>
      </c>
      <c r="AS298" s="3">
        <v>46.96</v>
      </c>
      <c r="AT298" s="3">
        <v>5241479</v>
      </c>
      <c r="AU298" s="3">
        <v>43.66</v>
      </c>
      <c r="AV298" s="3">
        <v>44.16</v>
      </c>
      <c r="AW298" s="3">
        <v>43.61</v>
      </c>
      <c r="AX298" s="3">
        <v>44.13</v>
      </c>
      <c r="AY298" s="3">
        <v>12748165</v>
      </c>
      <c r="AZ298" s="3">
        <v>51.55</v>
      </c>
      <c r="BA298" s="3">
        <v>52.57</v>
      </c>
      <c r="BB298" s="3">
        <v>51.44</v>
      </c>
      <c r="BC298" s="3">
        <v>52.54</v>
      </c>
      <c r="BD298" s="3">
        <v>16092381</v>
      </c>
      <c r="BE298" s="3">
        <v>33.729999999999997</v>
      </c>
      <c r="BF298" s="3">
        <v>34</v>
      </c>
      <c r="BG298" s="3">
        <v>33.6</v>
      </c>
      <c r="BH298" s="3">
        <v>33.93</v>
      </c>
      <c r="BI298" s="3">
        <v>17851</v>
      </c>
    </row>
    <row r="299" spans="1:61" ht="13" x14ac:dyDescent="0.15">
      <c r="A299" s="3">
        <v>42562</v>
      </c>
      <c r="B299" s="3">
        <v>2131.7199999999998</v>
      </c>
      <c r="C299" s="3">
        <v>2143.16</v>
      </c>
      <c r="D299" s="3">
        <v>2131.7199999999998</v>
      </c>
      <c r="E299" s="3">
        <v>2137.16</v>
      </c>
      <c r="F299" s="3">
        <v>514370297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3">
        <v>81.06</v>
      </c>
      <c r="M299" s="3">
        <v>81.290000000000006</v>
      </c>
      <c r="N299" s="3">
        <v>80.83</v>
      </c>
      <c r="O299" s="3">
        <v>81.09</v>
      </c>
      <c r="P299" s="3">
        <v>4431021</v>
      </c>
      <c r="Q299" s="3">
        <v>55.7</v>
      </c>
      <c r="R299" s="3">
        <v>55.87</v>
      </c>
      <c r="S299" s="3">
        <v>55.42</v>
      </c>
      <c r="T299" s="3">
        <v>55.7</v>
      </c>
      <c r="U299" s="3">
        <v>8213936</v>
      </c>
      <c r="V299" s="3">
        <v>68.069999999999993</v>
      </c>
      <c r="W299" s="3">
        <v>68.39</v>
      </c>
      <c r="X299" s="3">
        <v>67.78</v>
      </c>
      <c r="Y299" s="3">
        <v>67.84</v>
      </c>
      <c r="Z299" s="3">
        <v>9750386</v>
      </c>
      <c r="AA299" s="3">
        <v>18.71</v>
      </c>
      <c r="AB299" s="3">
        <v>18.77</v>
      </c>
      <c r="AC299" s="3">
        <v>18.649999999999999</v>
      </c>
      <c r="AD299" s="3">
        <v>18.72</v>
      </c>
      <c r="AE299" s="3">
        <v>34571467</v>
      </c>
      <c r="AF299" s="3">
        <v>73.91</v>
      </c>
      <c r="AG299" s="3">
        <v>74.099999999999994</v>
      </c>
      <c r="AH299" s="3">
        <v>73.42</v>
      </c>
      <c r="AI299" s="3">
        <v>73.489999999999995</v>
      </c>
      <c r="AJ299" s="3">
        <v>7375092</v>
      </c>
      <c r="AK299" s="3">
        <v>57.35</v>
      </c>
      <c r="AL299" s="3">
        <v>57.72</v>
      </c>
      <c r="AM299" s="3">
        <v>57.27</v>
      </c>
      <c r="AN299" s="3">
        <v>57.59</v>
      </c>
      <c r="AO299" s="3">
        <v>15259741</v>
      </c>
      <c r="AP299" s="3">
        <v>47.12</v>
      </c>
      <c r="AQ299" s="3">
        <v>47.32</v>
      </c>
      <c r="AR299" s="3">
        <v>47</v>
      </c>
      <c r="AS299" s="3">
        <v>47.19</v>
      </c>
      <c r="AT299" s="3">
        <v>4622254</v>
      </c>
      <c r="AU299" s="3">
        <v>44.27</v>
      </c>
      <c r="AV299" s="3">
        <v>44.49</v>
      </c>
      <c r="AW299" s="3">
        <v>44.23</v>
      </c>
      <c r="AX299" s="3">
        <v>44.39</v>
      </c>
      <c r="AY299" s="3">
        <v>5831795</v>
      </c>
      <c r="AZ299" s="3">
        <v>52.38</v>
      </c>
      <c r="BA299" s="3">
        <v>52.54</v>
      </c>
      <c r="BB299" s="3">
        <v>51.89</v>
      </c>
      <c r="BC299" s="3">
        <v>52.5</v>
      </c>
      <c r="BD299" s="3">
        <v>14506048</v>
      </c>
      <c r="BE299" s="3">
        <v>34.22</v>
      </c>
      <c r="BF299" s="3">
        <v>34.22</v>
      </c>
      <c r="BG299" s="3">
        <v>33.86</v>
      </c>
      <c r="BH299" s="3">
        <v>34.19</v>
      </c>
      <c r="BI299" s="3">
        <v>6137</v>
      </c>
    </row>
    <row r="300" spans="1:61" ht="13" x14ac:dyDescent="0.15">
      <c r="A300" s="3">
        <v>42563</v>
      </c>
      <c r="B300" s="3">
        <v>2139.5</v>
      </c>
      <c r="C300" s="3">
        <v>2155.4</v>
      </c>
      <c r="D300" s="3">
        <v>2139.5</v>
      </c>
      <c r="E300" s="3">
        <v>2152.14</v>
      </c>
      <c r="F300" s="3">
        <v>599252738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3">
        <v>81.349999999999994</v>
      </c>
      <c r="M300" s="3">
        <v>81.62</v>
      </c>
      <c r="N300" s="3">
        <v>81.28</v>
      </c>
      <c r="O300" s="3">
        <v>81.41</v>
      </c>
      <c r="P300" s="3">
        <v>4886042</v>
      </c>
      <c r="Q300" s="3">
        <v>55.61</v>
      </c>
      <c r="R300" s="3">
        <v>55.69</v>
      </c>
      <c r="S300" s="3">
        <v>55.38</v>
      </c>
      <c r="T300" s="3">
        <v>55.4</v>
      </c>
      <c r="U300" s="3">
        <v>15270849</v>
      </c>
      <c r="V300" s="3">
        <v>68.86</v>
      </c>
      <c r="W300" s="3">
        <v>69.819999999999993</v>
      </c>
      <c r="X300" s="3">
        <v>68.72</v>
      </c>
      <c r="Y300" s="3">
        <v>69.52</v>
      </c>
      <c r="Z300" s="3">
        <v>15524539</v>
      </c>
      <c r="AA300" s="3">
        <v>18.86</v>
      </c>
      <c r="AB300" s="3">
        <v>18.98</v>
      </c>
      <c r="AC300" s="3">
        <v>18.829999999999998</v>
      </c>
      <c r="AD300" s="3">
        <v>18.95</v>
      </c>
      <c r="AE300" s="3">
        <v>44727278</v>
      </c>
      <c r="AF300" s="3">
        <v>73.650000000000006</v>
      </c>
      <c r="AG300" s="3">
        <v>73.959999999999994</v>
      </c>
      <c r="AH300" s="3">
        <v>73.59</v>
      </c>
      <c r="AI300" s="3">
        <v>73.849999999999994</v>
      </c>
      <c r="AJ300" s="3">
        <v>10237174</v>
      </c>
      <c r="AK300" s="3">
        <v>57.89</v>
      </c>
      <c r="AL300" s="3">
        <v>58.21</v>
      </c>
      <c r="AM300" s="3">
        <v>57.78</v>
      </c>
      <c r="AN300" s="3">
        <v>58.12</v>
      </c>
      <c r="AO300" s="3">
        <v>13635142</v>
      </c>
      <c r="AP300" s="3">
        <v>47.55</v>
      </c>
      <c r="AQ300" s="3">
        <v>48.31</v>
      </c>
      <c r="AR300" s="3">
        <v>47.52</v>
      </c>
      <c r="AS300" s="3">
        <v>48.05</v>
      </c>
      <c r="AT300" s="3">
        <v>6754242</v>
      </c>
      <c r="AU300" s="3">
        <v>44.69</v>
      </c>
      <c r="AV300" s="3">
        <v>44.81</v>
      </c>
      <c r="AW300" s="3">
        <v>44.55</v>
      </c>
      <c r="AX300" s="3">
        <v>44.75</v>
      </c>
      <c r="AY300" s="3">
        <v>16042816</v>
      </c>
      <c r="AZ300" s="3">
        <v>52.15</v>
      </c>
      <c r="BA300" s="3">
        <v>52.36</v>
      </c>
      <c r="BB300" s="3">
        <v>51.75</v>
      </c>
      <c r="BC300" s="3">
        <v>51.78</v>
      </c>
      <c r="BD300" s="3">
        <v>18002289</v>
      </c>
      <c r="BE300" s="3">
        <v>34.26</v>
      </c>
      <c r="BF300" s="3">
        <v>34.26</v>
      </c>
      <c r="BG300" s="3">
        <v>33.97</v>
      </c>
      <c r="BH300" s="3">
        <v>34.26</v>
      </c>
      <c r="BI300" s="3">
        <v>918950</v>
      </c>
    </row>
    <row r="301" spans="1:61" ht="13" x14ac:dyDescent="0.15">
      <c r="A301" s="3">
        <v>42564</v>
      </c>
      <c r="B301" s="3">
        <v>2153.81</v>
      </c>
      <c r="C301" s="3">
        <v>2156.4499999999998</v>
      </c>
      <c r="D301" s="3">
        <v>2146.21</v>
      </c>
      <c r="E301" s="3">
        <v>2152.4299999999998</v>
      </c>
      <c r="F301" s="3">
        <v>514541411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3">
        <v>81.52</v>
      </c>
      <c r="M301" s="3">
        <v>81.59</v>
      </c>
      <c r="N301" s="3">
        <v>80.83</v>
      </c>
      <c r="O301" s="3">
        <v>81.010000000000005</v>
      </c>
      <c r="P301" s="3">
        <v>3655401</v>
      </c>
      <c r="Q301" s="3">
        <v>55.47</v>
      </c>
      <c r="R301" s="3">
        <v>55.78</v>
      </c>
      <c r="S301" s="3">
        <v>55.36</v>
      </c>
      <c r="T301" s="3">
        <v>55.71</v>
      </c>
      <c r="U301" s="3">
        <v>9398867</v>
      </c>
      <c r="V301" s="3">
        <v>69.319999999999993</v>
      </c>
      <c r="W301" s="3">
        <v>69.7</v>
      </c>
      <c r="X301" s="3">
        <v>68.28</v>
      </c>
      <c r="Y301" s="3">
        <v>68.92</v>
      </c>
      <c r="Z301" s="3">
        <v>12546247</v>
      </c>
      <c r="AA301" s="3">
        <v>18.940000000000001</v>
      </c>
      <c r="AB301" s="3">
        <v>18.989999999999998</v>
      </c>
      <c r="AC301" s="3">
        <v>18.850000000000001</v>
      </c>
      <c r="AD301" s="3">
        <v>18.95</v>
      </c>
      <c r="AE301" s="3">
        <v>46610159</v>
      </c>
      <c r="AF301" s="3">
        <v>74.08</v>
      </c>
      <c r="AG301" s="3">
        <v>74.180000000000007</v>
      </c>
      <c r="AH301" s="3">
        <v>73.75</v>
      </c>
      <c r="AI301" s="3">
        <v>73.819999999999993</v>
      </c>
      <c r="AJ301" s="3">
        <v>6401925</v>
      </c>
      <c r="AK301" s="3">
        <v>58.27</v>
      </c>
      <c r="AL301" s="3">
        <v>58.31</v>
      </c>
      <c r="AM301" s="3">
        <v>57.9</v>
      </c>
      <c r="AN301" s="3">
        <v>58.26</v>
      </c>
      <c r="AO301" s="3">
        <v>13119818</v>
      </c>
      <c r="AP301" s="3">
        <v>48.13</v>
      </c>
      <c r="AQ301" s="3">
        <v>48.25</v>
      </c>
      <c r="AR301" s="3">
        <v>47.89</v>
      </c>
      <c r="AS301" s="3">
        <v>48.18</v>
      </c>
      <c r="AT301" s="3">
        <v>3930419</v>
      </c>
      <c r="AU301" s="3">
        <v>44.88</v>
      </c>
      <c r="AV301" s="3">
        <v>44.91</v>
      </c>
      <c r="AW301" s="3">
        <v>44.73</v>
      </c>
      <c r="AX301" s="3">
        <v>44.76</v>
      </c>
      <c r="AY301" s="3">
        <v>10609441</v>
      </c>
      <c r="AZ301" s="3">
        <v>52</v>
      </c>
      <c r="BA301" s="3">
        <v>52.19</v>
      </c>
      <c r="BB301" s="3">
        <v>51.88</v>
      </c>
      <c r="BC301" s="3">
        <v>52.19</v>
      </c>
      <c r="BD301" s="3">
        <v>14604721</v>
      </c>
      <c r="BE301" s="3">
        <v>34.32</v>
      </c>
      <c r="BF301" s="3">
        <v>34.42</v>
      </c>
      <c r="BG301" s="3">
        <v>34.21</v>
      </c>
      <c r="BH301" s="3">
        <v>34.42</v>
      </c>
      <c r="BI301" s="3">
        <v>27767</v>
      </c>
    </row>
    <row r="302" spans="1:61" ht="13" x14ac:dyDescent="0.15">
      <c r="A302" s="3">
        <v>42565</v>
      </c>
      <c r="B302" s="3">
        <v>2157.88</v>
      </c>
      <c r="C302" s="3">
        <v>2168.9899999999998</v>
      </c>
      <c r="D302" s="3">
        <v>2157.88</v>
      </c>
      <c r="E302" s="3">
        <v>2163.75</v>
      </c>
      <c r="F302" s="3">
        <v>530310298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3">
        <v>81.61</v>
      </c>
      <c r="M302" s="3">
        <v>81.81</v>
      </c>
      <c r="N302" s="3">
        <v>81.239999999999995</v>
      </c>
      <c r="O302" s="3">
        <v>81.34</v>
      </c>
      <c r="P302" s="3">
        <v>3406049</v>
      </c>
      <c r="Q302" s="3">
        <v>55.68</v>
      </c>
      <c r="R302" s="3">
        <v>56.02</v>
      </c>
      <c r="S302" s="3">
        <v>55.6</v>
      </c>
      <c r="T302" s="3">
        <v>55.7</v>
      </c>
      <c r="U302" s="3">
        <v>15486751</v>
      </c>
      <c r="V302" s="3">
        <v>69.459999999999994</v>
      </c>
      <c r="W302" s="3">
        <v>69.63</v>
      </c>
      <c r="X302" s="3">
        <v>69.069999999999993</v>
      </c>
      <c r="Y302" s="3">
        <v>69.27</v>
      </c>
      <c r="Z302" s="3">
        <v>10898600</v>
      </c>
      <c r="AA302" s="3">
        <v>19.329999999999998</v>
      </c>
      <c r="AB302" s="3">
        <v>19.329999999999998</v>
      </c>
      <c r="AC302" s="3">
        <v>19.079999999999998</v>
      </c>
      <c r="AD302" s="3">
        <v>19.13</v>
      </c>
      <c r="AE302" s="3">
        <v>54459375</v>
      </c>
      <c r="AF302" s="3">
        <v>74.31</v>
      </c>
      <c r="AG302" s="3">
        <v>74.66</v>
      </c>
      <c r="AH302" s="3">
        <v>73.87</v>
      </c>
      <c r="AI302" s="3">
        <v>74.14</v>
      </c>
      <c r="AJ302" s="3">
        <v>4813169</v>
      </c>
      <c r="AK302" s="3">
        <v>58.64</v>
      </c>
      <c r="AL302" s="3">
        <v>58.87</v>
      </c>
      <c r="AM302" s="3">
        <v>58.46</v>
      </c>
      <c r="AN302" s="3">
        <v>58.7</v>
      </c>
      <c r="AO302" s="3">
        <v>11795390</v>
      </c>
      <c r="AP302" s="3">
        <v>48.37</v>
      </c>
      <c r="AQ302" s="3">
        <v>48.7</v>
      </c>
      <c r="AR302" s="3">
        <v>48.32</v>
      </c>
      <c r="AS302" s="3">
        <v>48.61</v>
      </c>
      <c r="AT302" s="3">
        <v>4975527</v>
      </c>
      <c r="AU302" s="3">
        <v>45.01</v>
      </c>
      <c r="AV302" s="3">
        <v>45.15</v>
      </c>
      <c r="AW302" s="3">
        <v>44.91</v>
      </c>
      <c r="AX302" s="3">
        <v>45.05</v>
      </c>
      <c r="AY302" s="3">
        <v>15488264</v>
      </c>
      <c r="AZ302" s="3">
        <v>51.67</v>
      </c>
      <c r="BA302" s="3">
        <v>52.09</v>
      </c>
      <c r="BB302" s="3">
        <v>51.61</v>
      </c>
      <c r="BC302" s="3">
        <v>51.85</v>
      </c>
      <c r="BD302" s="3">
        <v>17361300</v>
      </c>
      <c r="BE302" s="3">
        <v>34.479999999999997</v>
      </c>
      <c r="BF302" s="3">
        <v>34.479999999999997</v>
      </c>
      <c r="BG302" s="3">
        <v>34.090000000000003</v>
      </c>
      <c r="BH302" s="3">
        <v>34.229999999999997</v>
      </c>
      <c r="BI302" s="3">
        <v>8375</v>
      </c>
    </row>
    <row r="303" spans="1:61" ht="13" x14ac:dyDescent="0.15">
      <c r="A303" s="3">
        <v>42566</v>
      </c>
      <c r="B303" s="3">
        <v>2165.13</v>
      </c>
      <c r="C303" s="3">
        <v>2169.0500000000002</v>
      </c>
      <c r="D303" s="3">
        <v>2155.79</v>
      </c>
      <c r="E303" s="3">
        <v>2161.7399999999998</v>
      </c>
      <c r="F303" s="3">
        <v>643101106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3">
        <v>81.73</v>
      </c>
      <c r="M303" s="3">
        <v>81.75</v>
      </c>
      <c r="N303" s="3">
        <v>80.92</v>
      </c>
      <c r="O303" s="3">
        <v>80.98</v>
      </c>
      <c r="P303" s="3">
        <v>3483683</v>
      </c>
      <c r="Q303" s="3">
        <v>55.74</v>
      </c>
      <c r="R303" s="3">
        <v>55.96</v>
      </c>
      <c r="S303" s="3">
        <v>55.59</v>
      </c>
      <c r="T303" s="3">
        <v>55.7</v>
      </c>
      <c r="U303" s="3">
        <v>10722169</v>
      </c>
      <c r="V303" s="3">
        <v>69.52</v>
      </c>
      <c r="W303" s="3">
        <v>69.680000000000007</v>
      </c>
      <c r="X303" s="3">
        <v>68.97</v>
      </c>
      <c r="Y303" s="3">
        <v>69.23</v>
      </c>
      <c r="Z303" s="3">
        <v>9129529</v>
      </c>
      <c r="AA303" s="3">
        <v>19.21</v>
      </c>
      <c r="AB303" s="3">
        <v>19.22</v>
      </c>
      <c r="AC303" s="3">
        <v>18.98</v>
      </c>
      <c r="AD303" s="3">
        <v>19.100000000000001</v>
      </c>
      <c r="AE303" s="3">
        <v>50943055</v>
      </c>
      <c r="AF303" s="3">
        <v>74.42</v>
      </c>
      <c r="AG303" s="3">
        <v>74.63</v>
      </c>
      <c r="AH303" s="3">
        <v>73.989999999999995</v>
      </c>
      <c r="AI303" s="3">
        <v>74.08</v>
      </c>
      <c r="AJ303" s="3">
        <v>7131321</v>
      </c>
      <c r="AK303" s="3">
        <v>58.89</v>
      </c>
      <c r="AL303" s="3">
        <v>58.92</v>
      </c>
      <c r="AM303" s="3">
        <v>58.55</v>
      </c>
      <c r="AN303" s="3">
        <v>58.69</v>
      </c>
      <c r="AO303" s="3">
        <v>6238040</v>
      </c>
      <c r="AP303" s="3">
        <v>48.78</v>
      </c>
      <c r="AQ303" s="3">
        <v>48.92</v>
      </c>
      <c r="AR303" s="3">
        <v>48.65</v>
      </c>
      <c r="AS303" s="3">
        <v>48.78</v>
      </c>
      <c r="AT303" s="3">
        <v>3631142</v>
      </c>
      <c r="AU303" s="3">
        <v>45.2</v>
      </c>
      <c r="AV303" s="3">
        <v>45.2</v>
      </c>
      <c r="AW303" s="3">
        <v>44.88</v>
      </c>
      <c r="AX303" s="3">
        <v>45.01</v>
      </c>
      <c r="AY303" s="3">
        <v>4864805</v>
      </c>
      <c r="AZ303" s="3">
        <v>51.79</v>
      </c>
      <c r="BA303" s="3">
        <v>52.13</v>
      </c>
      <c r="BB303" s="3">
        <v>51.75</v>
      </c>
      <c r="BC303" s="3">
        <v>52</v>
      </c>
      <c r="BD303" s="3">
        <v>12951718</v>
      </c>
      <c r="BE303" s="3">
        <v>34.04</v>
      </c>
      <c r="BF303" s="3">
        <v>34.18</v>
      </c>
      <c r="BG303" s="3">
        <v>33.97</v>
      </c>
      <c r="BH303" s="3">
        <v>34.18</v>
      </c>
      <c r="BI303" s="3">
        <v>304434</v>
      </c>
    </row>
    <row r="304" spans="1:61" ht="13" x14ac:dyDescent="0.15">
      <c r="A304" s="3">
        <v>42569</v>
      </c>
      <c r="B304" s="3">
        <v>2162.04</v>
      </c>
      <c r="C304" s="3">
        <v>2168.35</v>
      </c>
      <c r="D304" s="3">
        <v>2159.63</v>
      </c>
      <c r="E304" s="3">
        <v>2166.89</v>
      </c>
      <c r="F304" s="3">
        <v>478404253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3">
        <v>81.17</v>
      </c>
      <c r="M304" s="3">
        <v>81.52</v>
      </c>
      <c r="N304" s="3">
        <v>80.95</v>
      </c>
      <c r="O304" s="3">
        <v>81.290000000000006</v>
      </c>
      <c r="P304" s="3">
        <v>2775041</v>
      </c>
      <c r="Q304" s="3">
        <v>55.7</v>
      </c>
      <c r="R304" s="3">
        <v>55.74</v>
      </c>
      <c r="S304" s="3">
        <v>55.55</v>
      </c>
      <c r="T304" s="3">
        <v>55.64</v>
      </c>
      <c r="U304" s="3">
        <v>9656863</v>
      </c>
      <c r="V304" s="3">
        <v>69.03</v>
      </c>
      <c r="W304" s="3">
        <v>69.31</v>
      </c>
      <c r="X304" s="3">
        <v>68.59</v>
      </c>
      <c r="Y304" s="3">
        <v>69.28</v>
      </c>
      <c r="Z304" s="3">
        <v>9401131</v>
      </c>
      <c r="AA304" s="3">
        <v>19.11</v>
      </c>
      <c r="AB304" s="3">
        <v>19.190000000000001</v>
      </c>
      <c r="AC304" s="3">
        <v>19.09</v>
      </c>
      <c r="AD304" s="3">
        <v>19.16</v>
      </c>
      <c r="AE304" s="3">
        <v>31643545</v>
      </c>
      <c r="AF304" s="3">
        <v>74.099999999999994</v>
      </c>
      <c r="AG304" s="3">
        <v>74.25</v>
      </c>
      <c r="AH304" s="3">
        <v>73.84</v>
      </c>
      <c r="AI304" s="3">
        <v>74.11</v>
      </c>
      <c r="AJ304" s="3">
        <v>3954259</v>
      </c>
      <c r="AK304" s="3">
        <v>58.61</v>
      </c>
      <c r="AL304" s="3">
        <v>58.75</v>
      </c>
      <c r="AM304" s="3">
        <v>58.45</v>
      </c>
      <c r="AN304" s="3">
        <v>58.64</v>
      </c>
      <c r="AO304" s="3">
        <v>5983637</v>
      </c>
      <c r="AP304" s="3">
        <v>48.78</v>
      </c>
      <c r="AQ304" s="3">
        <v>49.15</v>
      </c>
      <c r="AR304" s="3">
        <v>48.47</v>
      </c>
      <c r="AS304" s="3">
        <v>49.1</v>
      </c>
      <c r="AT304" s="3">
        <v>2955493</v>
      </c>
      <c r="AU304" s="3">
        <v>45.08</v>
      </c>
      <c r="AV304" s="3">
        <v>45.36</v>
      </c>
      <c r="AW304" s="3">
        <v>45</v>
      </c>
      <c r="AX304" s="3">
        <v>45.31</v>
      </c>
      <c r="AY304" s="3">
        <v>4107249</v>
      </c>
      <c r="AZ304" s="3">
        <v>52.06</v>
      </c>
      <c r="BA304" s="3">
        <v>52.31</v>
      </c>
      <c r="BB304" s="3">
        <v>52.05</v>
      </c>
      <c r="BC304" s="3">
        <v>52.15</v>
      </c>
      <c r="BD304" s="3">
        <v>11168128</v>
      </c>
      <c r="BE304" s="3">
        <v>34.22</v>
      </c>
      <c r="BF304" s="3">
        <v>34.22</v>
      </c>
      <c r="BG304" s="3">
        <v>34.07</v>
      </c>
      <c r="BH304" s="3">
        <v>34.19</v>
      </c>
      <c r="BI304" s="3">
        <v>6692</v>
      </c>
    </row>
    <row r="305" spans="1:61" ht="13" x14ac:dyDescent="0.15">
      <c r="A305" s="3">
        <v>42570</v>
      </c>
      <c r="B305" s="3">
        <v>2163.79</v>
      </c>
      <c r="C305" s="3">
        <v>2164.63</v>
      </c>
      <c r="D305" s="3">
        <v>2159.0100000000002</v>
      </c>
      <c r="E305" s="3">
        <v>2163.7800000000002</v>
      </c>
      <c r="F305" s="3">
        <v>516605607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3">
        <v>80.849999999999994</v>
      </c>
      <c r="M305" s="3">
        <v>81.17</v>
      </c>
      <c r="N305" s="3">
        <v>80.680000000000007</v>
      </c>
      <c r="O305" s="3">
        <v>81.14</v>
      </c>
      <c r="P305" s="3">
        <v>2636780</v>
      </c>
      <c r="Q305" s="3">
        <v>55.48</v>
      </c>
      <c r="R305" s="3">
        <v>55.6</v>
      </c>
      <c r="S305" s="3">
        <v>55.33</v>
      </c>
      <c r="T305" s="3">
        <v>55.6</v>
      </c>
      <c r="U305" s="3">
        <v>5295589</v>
      </c>
      <c r="V305" s="3">
        <v>69.11</v>
      </c>
      <c r="W305" s="3">
        <v>69.22</v>
      </c>
      <c r="X305" s="3">
        <v>68.63</v>
      </c>
      <c r="Y305" s="3">
        <v>68.89</v>
      </c>
      <c r="Z305" s="3">
        <v>6991909</v>
      </c>
      <c r="AA305" s="3">
        <v>19.079999999999998</v>
      </c>
      <c r="AB305" s="3">
        <v>19.18</v>
      </c>
      <c r="AC305" s="3">
        <v>19.05</v>
      </c>
      <c r="AD305" s="3">
        <v>19.170000000000002</v>
      </c>
      <c r="AE305" s="3">
        <v>25002071</v>
      </c>
      <c r="AF305" s="3">
        <v>74.2</v>
      </c>
      <c r="AG305" s="3">
        <v>74.38</v>
      </c>
      <c r="AH305" s="3">
        <v>73.73</v>
      </c>
      <c r="AI305" s="3">
        <v>73.95</v>
      </c>
      <c r="AJ305" s="3">
        <v>6634712</v>
      </c>
      <c r="AK305" s="3">
        <v>58.45</v>
      </c>
      <c r="AL305" s="3">
        <v>58.75</v>
      </c>
      <c r="AM305" s="3">
        <v>58.35</v>
      </c>
      <c r="AN305" s="3">
        <v>58.67</v>
      </c>
      <c r="AO305" s="3">
        <v>7393898</v>
      </c>
      <c r="AP305" s="3">
        <v>48.84</v>
      </c>
      <c r="AQ305" s="3">
        <v>49.02</v>
      </c>
      <c r="AR305" s="3">
        <v>48.61</v>
      </c>
      <c r="AS305" s="3">
        <v>48.81</v>
      </c>
      <c r="AT305" s="3">
        <v>3514757</v>
      </c>
      <c r="AU305" s="3">
        <v>45.23</v>
      </c>
      <c r="AV305" s="3">
        <v>45.32</v>
      </c>
      <c r="AW305" s="3">
        <v>45.14</v>
      </c>
      <c r="AX305" s="3">
        <v>45.21</v>
      </c>
      <c r="AY305" s="3">
        <v>4457922</v>
      </c>
      <c r="AZ305" s="3">
        <v>52.1</v>
      </c>
      <c r="BA305" s="3">
        <v>52.21</v>
      </c>
      <c r="BB305" s="3">
        <v>51.82</v>
      </c>
      <c r="BC305" s="3">
        <v>52.06</v>
      </c>
      <c r="BD305" s="3">
        <v>10682045</v>
      </c>
      <c r="BE305" s="3">
        <v>34.1</v>
      </c>
      <c r="BF305" s="3">
        <v>34.29</v>
      </c>
      <c r="BG305" s="3">
        <v>34.1</v>
      </c>
      <c r="BH305" s="3">
        <v>34.29</v>
      </c>
      <c r="BI305" s="3">
        <v>7246</v>
      </c>
    </row>
    <row r="306" spans="1:61" ht="13" x14ac:dyDescent="0.15">
      <c r="A306" s="3">
        <v>42571</v>
      </c>
      <c r="B306" s="3">
        <v>2166.1</v>
      </c>
      <c r="C306" s="3">
        <v>2175.63</v>
      </c>
      <c r="D306" s="3">
        <v>2164.89</v>
      </c>
      <c r="E306" s="3">
        <v>2173.02</v>
      </c>
      <c r="F306" s="3">
        <v>500205767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3">
        <v>81.36</v>
      </c>
      <c r="M306" s="3">
        <v>81.52</v>
      </c>
      <c r="N306" s="3">
        <v>80.98</v>
      </c>
      <c r="O306" s="3">
        <v>81.48</v>
      </c>
      <c r="P306" s="3">
        <v>2451007</v>
      </c>
      <c r="Q306" s="3">
        <v>55.59</v>
      </c>
      <c r="R306" s="3">
        <v>55.66</v>
      </c>
      <c r="S306" s="3">
        <v>55.37</v>
      </c>
      <c r="T306" s="3">
        <v>55.4</v>
      </c>
      <c r="U306" s="3">
        <v>6073198</v>
      </c>
      <c r="V306" s="3">
        <v>68.61</v>
      </c>
      <c r="W306" s="3">
        <v>69.13</v>
      </c>
      <c r="X306" s="3">
        <v>68.040000000000006</v>
      </c>
      <c r="Y306" s="3">
        <v>68.790000000000006</v>
      </c>
      <c r="Z306" s="3">
        <v>11554953</v>
      </c>
      <c r="AA306" s="3">
        <v>19.25</v>
      </c>
      <c r="AB306" s="3">
        <v>19.25</v>
      </c>
      <c r="AC306" s="3">
        <v>19.12</v>
      </c>
      <c r="AD306" s="3">
        <v>19.21</v>
      </c>
      <c r="AE306" s="3">
        <v>25846995</v>
      </c>
      <c r="AF306" s="3">
        <v>74.290000000000006</v>
      </c>
      <c r="AG306" s="3">
        <v>74.75</v>
      </c>
      <c r="AH306" s="3">
        <v>74.19</v>
      </c>
      <c r="AI306" s="3">
        <v>74.62</v>
      </c>
      <c r="AJ306" s="3">
        <v>6855045</v>
      </c>
      <c r="AK306" s="3">
        <v>58.65</v>
      </c>
      <c r="AL306" s="3">
        <v>58.99</v>
      </c>
      <c r="AM306" s="3">
        <v>58.6</v>
      </c>
      <c r="AN306" s="3">
        <v>58.78</v>
      </c>
      <c r="AO306" s="3">
        <v>5491553</v>
      </c>
      <c r="AP306" s="3">
        <v>48.69</v>
      </c>
      <c r="AQ306" s="3">
        <v>48.96</v>
      </c>
      <c r="AR306" s="3">
        <v>48.47</v>
      </c>
      <c r="AS306" s="3">
        <v>48.83</v>
      </c>
      <c r="AT306" s="3">
        <v>4012225</v>
      </c>
      <c r="AU306" s="3">
        <v>45.56</v>
      </c>
      <c r="AV306" s="3">
        <v>45.88</v>
      </c>
      <c r="AW306" s="3">
        <v>45.5</v>
      </c>
      <c r="AX306" s="3">
        <v>45.8</v>
      </c>
      <c r="AY306" s="3">
        <v>5384911</v>
      </c>
      <c r="AZ306" s="3">
        <v>51.99</v>
      </c>
      <c r="BA306" s="3">
        <v>52.11</v>
      </c>
      <c r="BB306" s="3">
        <v>51.68</v>
      </c>
      <c r="BC306" s="3">
        <v>51.76</v>
      </c>
      <c r="BD306" s="3">
        <v>11599633</v>
      </c>
      <c r="BE306" s="3">
        <v>34.33</v>
      </c>
      <c r="BF306" s="3">
        <v>34.33</v>
      </c>
      <c r="BG306" s="3">
        <v>34.17</v>
      </c>
      <c r="BH306" s="3">
        <v>34.24</v>
      </c>
      <c r="BI306" s="3">
        <v>9433</v>
      </c>
    </row>
    <row r="307" spans="1:61" ht="13" x14ac:dyDescent="0.15">
      <c r="A307" s="3">
        <v>42572</v>
      </c>
      <c r="B307" s="3">
        <v>2172.91</v>
      </c>
      <c r="C307" s="3">
        <v>2174.56</v>
      </c>
      <c r="D307" s="3">
        <v>2159.75</v>
      </c>
      <c r="E307" s="3">
        <v>2165.17</v>
      </c>
      <c r="F307" s="3">
        <v>559292869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3">
        <v>81.47</v>
      </c>
      <c r="M307" s="3">
        <v>81.62</v>
      </c>
      <c r="N307" s="3">
        <v>81.010000000000005</v>
      </c>
      <c r="O307" s="3">
        <v>81.260000000000005</v>
      </c>
      <c r="P307" s="3">
        <v>2434747</v>
      </c>
      <c r="Q307" s="3">
        <v>55.32</v>
      </c>
      <c r="R307" s="3">
        <v>55.35</v>
      </c>
      <c r="S307" s="3">
        <v>55.03</v>
      </c>
      <c r="T307" s="3">
        <v>55.24</v>
      </c>
      <c r="U307" s="3">
        <v>6682377</v>
      </c>
      <c r="V307" s="3">
        <v>68.599999999999994</v>
      </c>
      <c r="W307" s="3">
        <v>69.23</v>
      </c>
      <c r="X307" s="3">
        <v>67.94</v>
      </c>
      <c r="Y307" s="3">
        <v>68.11</v>
      </c>
      <c r="Z307" s="3">
        <v>9256914</v>
      </c>
      <c r="AA307" s="3">
        <v>19.18</v>
      </c>
      <c r="AB307" s="3">
        <v>19.21</v>
      </c>
      <c r="AC307" s="3">
        <v>19.079999999999998</v>
      </c>
      <c r="AD307" s="3">
        <v>19.11</v>
      </c>
      <c r="AE307" s="3">
        <v>29670648</v>
      </c>
      <c r="AF307" s="3">
        <v>74.62</v>
      </c>
      <c r="AG307" s="3">
        <v>74.989999999999995</v>
      </c>
      <c r="AH307" s="3">
        <v>74.55</v>
      </c>
      <c r="AI307" s="3">
        <v>74.84</v>
      </c>
      <c r="AJ307" s="3">
        <v>9230809</v>
      </c>
      <c r="AK307" s="3">
        <v>58.55</v>
      </c>
      <c r="AL307" s="3">
        <v>58.69</v>
      </c>
      <c r="AM307" s="3">
        <v>58.07</v>
      </c>
      <c r="AN307" s="3">
        <v>58.18</v>
      </c>
      <c r="AO307" s="3">
        <v>7583267</v>
      </c>
      <c r="AP307" s="3">
        <v>48.86</v>
      </c>
      <c r="AQ307" s="3">
        <v>48.87</v>
      </c>
      <c r="AR307" s="3">
        <v>48.35</v>
      </c>
      <c r="AS307" s="3">
        <v>48.53</v>
      </c>
      <c r="AT307" s="3">
        <v>3625277</v>
      </c>
      <c r="AU307" s="3">
        <v>45.81</v>
      </c>
      <c r="AV307" s="3">
        <v>45.87</v>
      </c>
      <c r="AW307" s="3">
        <v>45.45</v>
      </c>
      <c r="AX307" s="3">
        <v>45.56</v>
      </c>
      <c r="AY307" s="3">
        <v>5473385</v>
      </c>
      <c r="AZ307" s="3">
        <v>51.53</v>
      </c>
      <c r="BA307" s="3">
        <v>52.11</v>
      </c>
      <c r="BB307" s="3">
        <v>51.47</v>
      </c>
      <c r="BC307" s="3">
        <v>52.07</v>
      </c>
      <c r="BD307" s="3">
        <v>13259155</v>
      </c>
      <c r="BE307" s="3">
        <v>34.26</v>
      </c>
      <c r="BF307" s="3">
        <v>34.36</v>
      </c>
      <c r="BG307" s="3">
        <v>34.11</v>
      </c>
      <c r="BH307" s="3">
        <v>34.340000000000003</v>
      </c>
      <c r="BI307" s="3">
        <v>8293</v>
      </c>
    </row>
    <row r="308" spans="1:61" ht="13" x14ac:dyDescent="0.15">
      <c r="A308" s="3">
        <v>42573</v>
      </c>
      <c r="B308" s="3">
        <v>2166.4699999999998</v>
      </c>
      <c r="C308" s="3">
        <v>2175.11</v>
      </c>
      <c r="D308" s="3">
        <v>2163.2399999999998</v>
      </c>
      <c r="E308" s="3">
        <v>2175.0300000000002</v>
      </c>
      <c r="F308" s="3">
        <v>525935607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3">
        <v>81.34</v>
      </c>
      <c r="M308" s="3">
        <v>81.7</v>
      </c>
      <c r="N308" s="3">
        <v>81.16</v>
      </c>
      <c r="O308" s="3">
        <v>81.599999999999994</v>
      </c>
      <c r="P308" s="3">
        <v>2529634</v>
      </c>
      <c r="Q308" s="3">
        <v>55.35</v>
      </c>
      <c r="R308" s="3">
        <v>55.53</v>
      </c>
      <c r="S308" s="3">
        <v>55.28</v>
      </c>
      <c r="T308" s="3">
        <v>55.5</v>
      </c>
      <c r="U308" s="3">
        <v>10602378</v>
      </c>
      <c r="V308" s="3">
        <v>68.260000000000005</v>
      </c>
      <c r="W308" s="3">
        <v>68.430000000000007</v>
      </c>
      <c r="X308" s="3">
        <v>67.88</v>
      </c>
      <c r="Y308" s="3">
        <v>68.319999999999993</v>
      </c>
      <c r="Z308" s="3">
        <v>7990615</v>
      </c>
      <c r="AA308" s="3">
        <v>19.13</v>
      </c>
      <c r="AB308" s="3">
        <v>19.239999999999998</v>
      </c>
      <c r="AC308" s="3">
        <v>19.100000000000001</v>
      </c>
      <c r="AD308" s="3">
        <v>19.23</v>
      </c>
      <c r="AE308" s="3">
        <v>19077829</v>
      </c>
      <c r="AF308" s="3">
        <v>74.83</v>
      </c>
      <c r="AG308" s="3">
        <v>75.08</v>
      </c>
      <c r="AH308" s="3">
        <v>74.61</v>
      </c>
      <c r="AI308" s="3">
        <v>74.989999999999995</v>
      </c>
      <c r="AJ308" s="3">
        <v>5446479</v>
      </c>
      <c r="AK308" s="3">
        <v>57.92</v>
      </c>
      <c r="AL308" s="3">
        <v>58.3</v>
      </c>
      <c r="AM308" s="3">
        <v>57.7</v>
      </c>
      <c r="AN308" s="3">
        <v>58.29</v>
      </c>
      <c r="AO308" s="3">
        <v>8747793</v>
      </c>
      <c r="AP308" s="3">
        <v>48.58</v>
      </c>
      <c r="AQ308" s="3">
        <v>48.77</v>
      </c>
      <c r="AR308" s="3">
        <v>48.45</v>
      </c>
      <c r="AS308" s="3">
        <v>48.66</v>
      </c>
      <c r="AT308" s="3">
        <v>3889387</v>
      </c>
      <c r="AU308" s="3">
        <v>45.53</v>
      </c>
      <c r="AV308" s="3">
        <v>45.83</v>
      </c>
      <c r="AW308" s="3">
        <v>45.43</v>
      </c>
      <c r="AX308" s="3">
        <v>45.83</v>
      </c>
      <c r="AY308" s="3">
        <v>4707250</v>
      </c>
      <c r="AZ308" s="3">
        <v>51.94</v>
      </c>
      <c r="BA308" s="3">
        <v>52.81</v>
      </c>
      <c r="BB308" s="3">
        <v>51.89</v>
      </c>
      <c r="BC308" s="3">
        <v>52.76</v>
      </c>
      <c r="BD308" s="3">
        <v>13220716</v>
      </c>
      <c r="BE308" s="3">
        <v>34.5</v>
      </c>
      <c r="BF308" s="3">
        <v>34.72</v>
      </c>
      <c r="BG308" s="3">
        <v>34.46</v>
      </c>
      <c r="BH308" s="3">
        <v>34.6</v>
      </c>
      <c r="BI308" s="3">
        <v>10860</v>
      </c>
    </row>
    <row r="309" spans="1:61" ht="13" x14ac:dyDescent="0.15">
      <c r="A309" s="3">
        <v>42576</v>
      </c>
      <c r="B309" s="3">
        <v>2173.71</v>
      </c>
      <c r="C309" s="3">
        <v>2173.71</v>
      </c>
      <c r="D309" s="3">
        <v>2161.9499999999998</v>
      </c>
      <c r="E309" s="3">
        <v>2168.48</v>
      </c>
      <c r="F309" s="3">
        <v>511374042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3">
        <v>81.83</v>
      </c>
      <c r="M309" s="3">
        <v>81.83</v>
      </c>
      <c r="N309" s="3">
        <v>81.48</v>
      </c>
      <c r="O309" s="3">
        <v>81.73</v>
      </c>
      <c r="P309" s="3">
        <v>3130219</v>
      </c>
      <c r="Q309" s="3">
        <v>55.45</v>
      </c>
      <c r="R309" s="3">
        <v>55.49</v>
      </c>
      <c r="S309" s="3">
        <v>55.19</v>
      </c>
      <c r="T309" s="3">
        <v>55.44</v>
      </c>
      <c r="U309" s="3">
        <v>4033429</v>
      </c>
      <c r="V309" s="3">
        <v>67.87</v>
      </c>
      <c r="W309" s="3">
        <v>68.02</v>
      </c>
      <c r="X309" s="3">
        <v>66.709999999999994</v>
      </c>
      <c r="Y309" s="3">
        <v>66.959999999999994</v>
      </c>
      <c r="Z309" s="3">
        <v>12771664</v>
      </c>
      <c r="AA309" s="3">
        <v>19.2</v>
      </c>
      <c r="AB309" s="3">
        <v>19.239999999999998</v>
      </c>
      <c r="AC309" s="3">
        <v>19.13</v>
      </c>
      <c r="AD309" s="3">
        <v>19.190000000000001</v>
      </c>
      <c r="AE309" s="3">
        <v>30135099</v>
      </c>
      <c r="AF309" s="3">
        <v>75.010000000000005</v>
      </c>
      <c r="AG309" s="3">
        <v>75.069999999999993</v>
      </c>
      <c r="AH309" s="3">
        <v>74.45</v>
      </c>
      <c r="AI309" s="3">
        <v>74.91</v>
      </c>
      <c r="AJ309" s="3">
        <v>5868392</v>
      </c>
      <c r="AK309" s="3">
        <v>58.15</v>
      </c>
      <c r="AL309" s="3">
        <v>58.16</v>
      </c>
      <c r="AM309" s="3">
        <v>57.8</v>
      </c>
      <c r="AN309" s="3">
        <v>57.98</v>
      </c>
      <c r="AO309" s="3">
        <v>11063247</v>
      </c>
      <c r="AP309" s="3">
        <v>48.61</v>
      </c>
      <c r="AQ309" s="3">
        <v>48.61</v>
      </c>
      <c r="AR309" s="3">
        <v>48.25</v>
      </c>
      <c r="AS309" s="3">
        <v>48.58</v>
      </c>
      <c r="AT309" s="3">
        <v>4839166</v>
      </c>
      <c r="AU309" s="3">
        <v>45.75</v>
      </c>
      <c r="AV309" s="3">
        <v>45.86</v>
      </c>
      <c r="AW309" s="3">
        <v>45.63</v>
      </c>
      <c r="AX309" s="3">
        <v>45.77</v>
      </c>
      <c r="AY309" s="3">
        <v>4244901</v>
      </c>
      <c r="AZ309" s="3">
        <v>52.69</v>
      </c>
      <c r="BA309" s="3">
        <v>52.74</v>
      </c>
      <c r="BB309" s="3">
        <v>52.35</v>
      </c>
      <c r="BC309" s="3">
        <v>52.67</v>
      </c>
      <c r="BD309" s="3">
        <v>7155298</v>
      </c>
      <c r="BE309" s="3">
        <v>34.65</v>
      </c>
      <c r="BF309" s="3">
        <v>34.65</v>
      </c>
      <c r="BG309" s="3">
        <v>34.4</v>
      </c>
      <c r="BH309" s="3">
        <v>34.549999999999997</v>
      </c>
      <c r="BI309" s="3">
        <v>22813</v>
      </c>
    </row>
    <row r="310" spans="1:61" ht="13" x14ac:dyDescent="0.15">
      <c r="A310" s="3">
        <v>42577</v>
      </c>
      <c r="B310" s="3">
        <v>2168.9699999999998</v>
      </c>
      <c r="C310" s="3">
        <v>2173.54</v>
      </c>
      <c r="D310" s="3">
        <v>2160.1799999999998</v>
      </c>
      <c r="E310" s="3">
        <v>2169.1799999999998</v>
      </c>
      <c r="F310" s="3">
        <v>537572545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3">
        <v>81.66</v>
      </c>
      <c r="M310" s="3">
        <v>82.03</v>
      </c>
      <c r="N310" s="3">
        <v>81.34</v>
      </c>
      <c r="O310" s="3">
        <v>81.63</v>
      </c>
      <c r="P310" s="3">
        <v>4987724</v>
      </c>
      <c r="Q310" s="3">
        <v>55.37</v>
      </c>
      <c r="R310" s="3">
        <v>55.54</v>
      </c>
      <c r="S310" s="3">
        <v>54.97</v>
      </c>
      <c r="T310" s="3">
        <v>55.01</v>
      </c>
      <c r="U310" s="3">
        <v>11737796</v>
      </c>
      <c r="V310" s="3">
        <v>66.569999999999993</v>
      </c>
      <c r="W310" s="3">
        <v>67.41</v>
      </c>
      <c r="X310" s="3">
        <v>66.53</v>
      </c>
      <c r="Y310" s="3">
        <v>67.349999999999994</v>
      </c>
      <c r="Z310" s="3">
        <v>12393898</v>
      </c>
      <c r="AA310" s="3">
        <v>19.14</v>
      </c>
      <c r="AB310" s="3">
        <v>19.23</v>
      </c>
      <c r="AC310" s="3">
        <v>19.13</v>
      </c>
      <c r="AD310" s="3">
        <v>19.21</v>
      </c>
      <c r="AE310" s="3">
        <v>28013143</v>
      </c>
      <c r="AF310" s="3">
        <v>74.62</v>
      </c>
      <c r="AG310" s="3">
        <v>74.89</v>
      </c>
      <c r="AH310" s="3">
        <v>74.48</v>
      </c>
      <c r="AI310" s="3">
        <v>74.78</v>
      </c>
      <c r="AJ310" s="3">
        <v>6904219</v>
      </c>
      <c r="AK310" s="3">
        <v>58.06</v>
      </c>
      <c r="AL310" s="3">
        <v>58.55</v>
      </c>
      <c r="AM310" s="3">
        <v>57.98</v>
      </c>
      <c r="AN310" s="3">
        <v>58.46</v>
      </c>
      <c r="AO310" s="3">
        <v>9375992</v>
      </c>
      <c r="AP310" s="3">
        <v>48.57</v>
      </c>
      <c r="AQ310" s="3">
        <v>48.98</v>
      </c>
      <c r="AR310" s="3">
        <v>48.53</v>
      </c>
      <c r="AS310" s="3">
        <v>48.95</v>
      </c>
      <c r="AT310" s="3">
        <v>4172125</v>
      </c>
      <c r="AU310" s="3">
        <v>45.82</v>
      </c>
      <c r="AV310" s="3">
        <v>46.01</v>
      </c>
      <c r="AW310" s="3">
        <v>45.65</v>
      </c>
      <c r="AX310" s="3">
        <v>45.87</v>
      </c>
      <c r="AY310" s="3">
        <v>9057685</v>
      </c>
      <c r="AZ310" s="3">
        <v>52.69</v>
      </c>
      <c r="BA310" s="3">
        <v>52.73</v>
      </c>
      <c r="BB310" s="3">
        <v>52.06</v>
      </c>
      <c r="BC310" s="3">
        <v>52.21</v>
      </c>
      <c r="BD310" s="3">
        <v>12509095</v>
      </c>
      <c r="BE310" s="3">
        <v>34.65</v>
      </c>
      <c r="BF310" s="3">
        <v>34.65</v>
      </c>
      <c r="BG310" s="3">
        <v>34.32</v>
      </c>
      <c r="BH310" s="3">
        <v>34.36</v>
      </c>
      <c r="BI310" s="3">
        <v>8534</v>
      </c>
    </row>
    <row r="311" spans="1:61" ht="13" x14ac:dyDescent="0.15">
      <c r="A311" s="3">
        <v>42578</v>
      </c>
      <c r="B311" s="3">
        <v>2169.81</v>
      </c>
      <c r="C311" s="3">
        <v>2174.98</v>
      </c>
      <c r="D311" s="3">
        <v>2159.0700000000002</v>
      </c>
      <c r="E311" s="3">
        <v>2166.58</v>
      </c>
      <c r="F311" s="3">
        <v>661630367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3">
        <v>81.87</v>
      </c>
      <c r="M311" s="3">
        <v>81.900000000000006</v>
      </c>
      <c r="N311" s="3">
        <v>81.069999999999993</v>
      </c>
      <c r="O311" s="3">
        <v>81.38</v>
      </c>
      <c r="P311" s="3">
        <v>4295122</v>
      </c>
      <c r="Q311" s="3">
        <v>54.94</v>
      </c>
      <c r="R311" s="3">
        <v>54.94</v>
      </c>
      <c r="S311" s="3">
        <v>54.04</v>
      </c>
      <c r="T311" s="3">
        <v>54.19</v>
      </c>
      <c r="U311" s="3">
        <v>21562376</v>
      </c>
      <c r="V311" s="3">
        <v>67.44</v>
      </c>
      <c r="W311" s="3">
        <v>67.930000000000007</v>
      </c>
      <c r="X311" s="3">
        <v>66.400000000000006</v>
      </c>
      <c r="Y311" s="3">
        <v>66.69</v>
      </c>
      <c r="Z311" s="3">
        <v>16177902</v>
      </c>
      <c r="AA311" s="3">
        <v>19.170000000000002</v>
      </c>
      <c r="AB311" s="3">
        <v>19.25</v>
      </c>
      <c r="AC311" s="3">
        <v>19.13</v>
      </c>
      <c r="AD311" s="3">
        <v>19.2</v>
      </c>
      <c r="AE311" s="3">
        <v>41194145</v>
      </c>
      <c r="AF311" s="3">
        <v>74.63</v>
      </c>
      <c r="AG311" s="3">
        <v>75.239999999999995</v>
      </c>
      <c r="AH311" s="3">
        <v>74.489999999999995</v>
      </c>
      <c r="AI311" s="3">
        <v>75.12</v>
      </c>
      <c r="AJ311" s="3">
        <v>7983149</v>
      </c>
      <c r="AK311" s="3">
        <v>58.46</v>
      </c>
      <c r="AL311" s="3">
        <v>58.64</v>
      </c>
      <c r="AM311" s="3">
        <v>58.01</v>
      </c>
      <c r="AN311" s="3">
        <v>58.23</v>
      </c>
      <c r="AO311" s="3">
        <v>10760694</v>
      </c>
      <c r="AP311" s="3">
        <v>48.99</v>
      </c>
      <c r="AQ311" s="3">
        <v>49.18</v>
      </c>
      <c r="AR311" s="3">
        <v>48.65</v>
      </c>
      <c r="AS311" s="3">
        <v>49.01</v>
      </c>
      <c r="AT311" s="3">
        <v>4257071</v>
      </c>
      <c r="AU311" s="3">
        <v>46.37</v>
      </c>
      <c r="AV311" s="3">
        <v>46.37</v>
      </c>
      <c r="AW311" s="3">
        <v>46.03</v>
      </c>
      <c r="AX311" s="3">
        <v>46.25</v>
      </c>
      <c r="AY311" s="3">
        <v>10910076</v>
      </c>
      <c r="AZ311" s="3">
        <v>52.09</v>
      </c>
      <c r="BA311" s="3">
        <v>52.15</v>
      </c>
      <c r="BB311" s="3">
        <v>51.16</v>
      </c>
      <c r="BC311" s="3">
        <v>51.61</v>
      </c>
      <c r="BD311" s="3">
        <v>22559750</v>
      </c>
      <c r="BE311" s="3">
        <v>34.57</v>
      </c>
      <c r="BF311" s="3">
        <v>34.57</v>
      </c>
      <c r="BG311" s="3">
        <v>33.979999999999997</v>
      </c>
      <c r="BH311" s="3">
        <v>34.1</v>
      </c>
      <c r="BI311" s="3">
        <v>8401</v>
      </c>
    </row>
    <row r="312" spans="1:61" ht="13" x14ac:dyDescent="0.15">
      <c r="A312" s="3">
        <v>42579</v>
      </c>
      <c r="B312" s="3">
        <v>2166.0500000000002</v>
      </c>
      <c r="C312" s="3">
        <v>2172.85</v>
      </c>
      <c r="D312" s="3">
        <v>2159.7399999999998</v>
      </c>
      <c r="E312" s="3">
        <v>2170.06</v>
      </c>
      <c r="F312" s="3">
        <v>564543919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3">
        <v>81.16</v>
      </c>
      <c r="M312" s="3">
        <v>81.63</v>
      </c>
      <c r="N312" s="3">
        <v>80.86</v>
      </c>
      <c r="O312" s="3">
        <v>81.53</v>
      </c>
      <c r="P312" s="3">
        <v>3158914</v>
      </c>
      <c r="Q312" s="3">
        <v>54.51</v>
      </c>
      <c r="R312" s="3">
        <v>54.53</v>
      </c>
      <c r="S312" s="3">
        <v>54.03</v>
      </c>
      <c r="T312" s="3">
        <v>54.43</v>
      </c>
      <c r="U312" s="3">
        <v>10873813</v>
      </c>
      <c r="V312" s="3">
        <v>66.61</v>
      </c>
      <c r="W312" s="3">
        <v>67.02</v>
      </c>
      <c r="X312" s="3">
        <v>66.23</v>
      </c>
      <c r="Y312" s="3">
        <v>66.7</v>
      </c>
      <c r="Z312" s="3">
        <v>10863457</v>
      </c>
      <c r="AA312" s="3">
        <v>19.149999999999999</v>
      </c>
      <c r="AB312" s="3">
        <v>19.28</v>
      </c>
      <c r="AC312" s="3">
        <v>19.079999999999998</v>
      </c>
      <c r="AD312" s="3">
        <v>19.239999999999998</v>
      </c>
      <c r="AE312" s="3">
        <v>26808592</v>
      </c>
      <c r="AF312" s="3">
        <v>75</v>
      </c>
      <c r="AG312" s="3">
        <v>75.239999999999995</v>
      </c>
      <c r="AH312" s="3">
        <v>74.680000000000007</v>
      </c>
      <c r="AI312" s="3">
        <v>75.05</v>
      </c>
      <c r="AJ312" s="3">
        <v>5470050</v>
      </c>
      <c r="AK312" s="3">
        <v>58</v>
      </c>
      <c r="AL312" s="3">
        <v>58.34</v>
      </c>
      <c r="AM312" s="3">
        <v>57.82</v>
      </c>
      <c r="AN312" s="3">
        <v>58.21</v>
      </c>
      <c r="AO312" s="3">
        <v>6505645</v>
      </c>
      <c r="AP312" s="3">
        <v>48.9</v>
      </c>
      <c r="AQ312" s="3">
        <v>49.1</v>
      </c>
      <c r="AR312" s="3">
        <v>48.66</v>
      </c>
      <c r="AS312" s="3">
        <v>48.94</v>
      </c>
      <c r="AT312" s="3">
        <v>3665648</v>
      </c>
      <c r="AU312" s="3">
        <v>46.31</v>
      </c>
      <c r="AV312" s="3">
        <v>46.42</v>
      </c>
      <c r="AW312" s="3">
        <v>46.1</v>
      </c>
      <c r="AX312" s="3">
        <v>46.28</v>
      </c>
      <c r="AY312" s="3">
        <v>6329670</v>
      </c>
      <c r="AZ312" s="3">
        <v>51.58</v>
      </c>
      <c r="BA312" s="3">
        <v>51.9</v>
      </c>
      <c r="BB312" s="3">
        <v>51.46</v>
      </c>
      <c r="BC312" s="3">
        <v>51.81</v>
      </c>
      <c r="BD312" s="3">
        <v>9115780</v>
      </c>
      <c r="BE312" s="3">
        <v>34.159999999999997</v>
      </c>
      <c r="BF312" s="3">
        <v>34.42</v>
      </c>
      <c r="BG312" s="3">
        <v>33.99</v>
      </c>
      <c r="BH312" s="3">
        <v>34.31</v>
      </c>
      <c r="BI312" s="3">
        <v>10622</v>
      </c>
    </row>
    <row r="313" spans="1:61" ht="13" x14ac:dyDescent="0.15">
      <c r="A313" s="3">
        <v>42580</v>
      </c>
      <c r="B313" s="3">
        <v>2168.83</v>
      </c>
      <c r="C313" s="3">
        <v>2177.09</v>
      </c>
      <c r="D313" s="3">
        <v>2163.4899999999998</v>
      </c>
      <c r="E313" s="3">
        <v>2173.6</v>
      </c>
      <c r="F313" s="3">
        <v>787086996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3">
        <v>81.42</v>
      </c>
      <c r="M313" s="3">
        <v>81.739999999999995</v>
      </c>
      <c r="N313" s="3">
        <v>81.28</v>
      </c>
      <c r="O313" s="3">
        <v>81.62</v>
      </c>
      <c r="P313" s="3">
        <v>3996267</v>
      </c>
      <c r="Q313" s="3">
        <v>54.5</v>
      </c>
      <c r="R313" s="3">
        <v>54.78</v>
      </c>
      <c r="S313" s="3">
        <v>54.39</v>
      </c>
      <c r="T313" s="3">
        <v>54.7</v>
      </c>
      <c r="U313" s="3">
        <v>9262256</v>
      </c>
      <c r="V313" s="3">
        <v>65.75</v>
      </c>
      <c r="W313" s="3">
        <v>67.459999999999994</v>
      </c>
      <c r="X313" s="3">
        <v>65.69</v>
      </c>
      <c r="Y313" s="3">
        <v>67.38</v>
      </c>
      <c r="Z313" s="3">
        <v>16501788</v>
      </c>
      <c r="AA313" s="3">
        <v>19.16</v>
      </c>
      <c r="AB313" s="3">
        <v>19.29</v>
      </c>
      <c r="AC313" s="3">
        <v>19.16</v>
      </c>
      <c r="AD313" s="3">
        <v>19.21</v>
      </c>
      <c r="AE313" s="3">
        <v>44224672</v>
      </c>
      <c r="AF313" s="3">
        <v>74.91</v>
      </c>
      <c r="AG313" s="3">
        <v>75.34</v>
      </c>
      <c r="AH313" s="3">
        <v>74.73</v>
      </c>
      <c r="AI313" s="3">
        <v>75.2</v>
      </c>
      <c r="AJ313" s="3">
        <v>4889200</v>
      </c>
      <c r="AK313" s="3">
        <v>58.03</v>
      </c>
      <c r="AL313" s="3">
        <v>58.24</v>
      </c>
      <c r="AM313" s="3">
        <v>57.83</v>
      </c>
      <c r="AN313" s="3">
        <v>58.04</v>
      </c>
      <c r="AO313" s="3">
        <v>10712399</v>
      </c>
      <c r="AP313" s="3">
        <v>48.8</v>
      </c>
      <c r="AQ313" s="3">
        <v>48.84</v>
      </c>
      <c r="AR313" s="3">
        <v>48.35</v>
      </c>
      <c r="AS313" s="3">
        <v>48.69</v>
      </c>
      <c r="AT313" s="3">
        <v>4272812</v>
      </c>
      <c r="AU313" s="3">
        <v>46.48</v>
      </c>
      <c r="AV313" s="3">
        <v>46.56</v>
      </c>
      <c r="AW313" s="3">
        <v>46.31</v>
      </c>
      <c r="AX313" s="3">
        <v>46.45</v>
      </c>
      <c r="AY313" s="3">
        <v>10589749</v>
      </c>
      <c r="AZ313" s="3">
        <v>51.82</v>
      </c>
      <c r="BA313" s="3">
        <v>52.29</v>
      </c>
      <c r="BB313" s="3">
        <v>51.73</v>
      </c>
      <c r="BC313" s="3">
        <v>52.12</v>
      </c>
      <c r="BD313" s="3">
        <v>15474671</v>
      </c>
      <c r="BE313" s="3">
        <v>34.36</v>
      </c>
      <c r="BF313" s="3">
        <v>34.770000000000003</v>
      </c>
      <c r="BG313" s="3">
        <v>34.36</v>
      </c>
      <c r="BH313" s="3">
        <v>34.68</v>
      </c>
      <c r="BI313" s="3">
        <v>17521</v>
      </c>
    </row>
    <row r="314" spans="1:61" ht="13" x14ac:dyDescent="0.15">
      <c r="A314" s="3">
        <v>42583</v>
      </c>
      <c r="B314" s="3">
        <v>2173.15</v>
      </c>
      <c r="C314" s="3">
        <v>2178.29</v>
      </c>
      <c r="D314" s="3">
        <v>2166.21</v>
      </c>
      <c r="E314" s="3">
        <v>2170.84</v>
      </c>
      <c r="F314" s="3">
        <v>543777140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3">
        <v>81.62</v>
      </c>
      <c r="M314" s="3">
        <v>81.96</v>
      </c>
      <c r="N314" s="3">
        <v>81.31</v>
      </c>
      <c r="O314" s="3">
        <v>81.75</v>
      </c>
      <c r="P314" s="3">
        <v>2750209</v>
      </c>
      <c r="Q314" s="3">
        <v>54.66</v>
      </c>
      <c r="R314" s="3">
        <v>54.87</v>
      </c>
      <c r="S314" s="3">
        <v>54.5</v>
      </c>
      <c r="T314" s="3">
        <v>54.76</v>
      </c>
      <c r="U314" s="3">
        <v>14918234</v>
      </c>
      <c r="V314" s="3">
        <v>66.790000000000006</v>
      </c>
      <c r="W314" s="3">
        <v>66.84</v>
      </c>
      <c r="X314" s="3">
        <v>64.930000000000007</v>
      </c>
      <c r="Y314" s="3">
        <v>65.16</v>
      </c>
      <c r="Z314" s="3">
        <v>30648522</v>
      </c>
      <c r="AA314" s="3">
        <v>19.22</v>
      </c>
      <c r="AB314" s="3">
        <v>19.3</v>
      </c>
      <c r="AC314" s="3">
        <v>19.12</v>
      </c>
      <c r="AD314" s="3">
        <v>19.16</v>
      </c>
      <c r="AE314" s="3">
        <v>32014441</v>
      </c>
      <c r="AF314" s="3">
        <v>75.27</v>
      </c>
      <c r="AG314" s="3">
        <v>76</v>
      </c>
      <c r="AH314" s="3">
        <v>75.27</v>
      </c>
      <c r="AI314" s="3">
        <v>75.680000000000007</v>
      </c>
      <c r="AJ314" s="3">
        <v>9255078</v>
      </c>
      <c r="AK314" s="3">
        <v>57.93</v>
      </c>
      <c r="AL314" s="3">
        <v>58.18</v>
      </c>
      <c r="AM314" s="3">
        <v>57.75</v>
      </c>
      <c r="AN314" s="3">
        <v>57.97</v>
      </c>
      <c r="AO314" s="3">
        <v>7949577</v>
      </c>
      <c r="AP314" s="3">
        <v>48.7</v>
      </c>
      <c r="AQ314" s="3">
        <v>48.7</v>
      </c>
      <c r="AR314" s="3">
        <v>48.22</v>
      </c>
      <c r="AS314" s="3">
        <v>48.42</v>
      </c>
      <c r="AT314" s="3">
        <v>3565837</v>
      </c>
      <c r="AU314" s="3">
        <v>46.45</v>
      </c>
      <c r="AV314" s="3">
        <v>46.63</v>
      </c>
      <c r="AW314" s="3">
        <v>46.37</v>
      </c>
      <c r="AX314" s="3">
        <v>46.54</v>
      </c>
      <c r="AY314" s="3">
        <v>7841696</v>
      </c>
      <c r="AZ314" s="3">
        <v>51.99</v>
      </c>
      <c r="BA314" s="3">
        <v>52.27</v>
      </c>
      <c r="BB314" s="3">
        <v>51.96</v>
      </c>
      <c r="BC314" s="3">
        <v>52.15</v>
      </c>
      <c r="BD314" s="3">
        <v>11658477</v>
      </c>
      <c r="BE314" s="3">
        <v>34.71</v>
      </c>
      <c r="BF314" s="3">
        <v>34.82</v>
      </c>
      <c r="BG314" s="3">
        <v>34.6</v>
      </c>
      <c r="BH314" s="3">
        <v>34.79</v>
      </c>
      <c r="BI314" s="3">
        <v>30670</v>
      </c>
    </row>
    <row r="315" spans="1:61" ht="13" x14ac:dyDescent="0.15">
      <c r="A315" s="3">
        <v>42584</v>
      </c>
      <c r="B315" s="3">
        <v>2169.94</v>
      </c>
      <c r="C315" s="3">
        <v>2170.1999999999998</v>
      </c>
      <c r="D315" s="3">
        <v>2147.58</v>
      </c>
      <c r="E315" s="3">
        <v>2157.0300000000002</v>
      </c>
      <c r="F315" s="3">
        <v>619382235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3">
        <v>81.81</v>
      </c>
      <c r="M315" s="3">
        <v>81.81</v>
      </c>
      <c r="N315" s="3">
        <v>80.37</v>
      </c>
      <c r="O315" s="3">
        <v>80.53</v>
      </c>
      <c r="P315" s="3">
        <v>4246682</v>
      </c>
      <c r="Q315" s="3">
        <v>54.78</v>
      </c>
      <c r="R315" s="3">
        <v>54.89</v>
      </c>
      <c r="S315" s="3">
        <v>54.45</v>
      </c>
      <c r="T315" s="3">
        <v>54.68</v>
      </c>
      <c r="U315" s="3">
        <v>11733514</v>
      </c>
      <c r="V315" s="3">
        <v>65.62</v>
      </c>
      <c r="W315" s="3">
        <v>66.069999999999993</v>
      </c>
      <c r="X315" s="3">
        <v>64.569999999999993</v>
      </c>
      <c r="Y315" s="3">
        <v>65.75</v>
      </c>
      <c r="Z315" s="3">
        <v>25600076</v>
      </c>
      <c r="AA315" s="3">
        <v>19.100000000000001</v>
      </c>
      <c r="AB315" s="3">
        <v>19.170000000000002</v>
      </c>
      <c r="AC315" s="3">
        <v>18.95</v>
      </c>
      <c r="AD315" s="3">
        <v>18.989999999999998</v>
      </c>
      <c r="AE315" s="3">
        <v>32257914</v>
      </c>
      <c r="AF315" s="3">
        <v>75.739999999999995</v>
      </c>
      <c r="AG315" s="3">
        <v>75.739999999999995</v>
      </c>
      <c r="AH315" s="3">
        <v>74.930000000000007</v>
      </c>
      <c r="AI315" s="3">
        <v>75.39</v>
      </c>
      <c r="AJ315" s="3">
        <v>12149329</v>
      </c>
      <c r="AK315" s="3">
        <v>57.84</v>
      </c>
      <c r="AL315" s="3">
        <v>57.96</v>
      </c>
      <c r="AM315" s="3">
        <v>57.27</v>
      </c>
      <c r="AN315" s="3">
        <v>57.43</v>
      </c>
      <c r="AO315" s="3">
        <v>13473845</v>
      </c>
      <c r="AP315" s="3">
        <v>48.38</v>
      </c>
      <c r="AQ315" s="3">
        <v>48.52</v>
      </c>
      <c r="AR315" s="3">
        <v>47.97</v>
      </c>
      <c r="AS315" s="3">
        <v>48.29</v>
      </c>
      <c r="AT315" s="3">
        <v>6051599</v>
      </c>
      <c r="AU315" s="3">
        <v>46.45</v>
      </c>
      <c r="AV315" s="3">
        <v>46.55</v>
      </c>
      <c r="AW315" s="3">
        <v>45.97</v>
      </c>
      <c r="AX315" s="3">
        <v>46.19</v>
      </c>
      <c r="AY315" s="3">
        <v>11112406</v>
      </c>
      <c r="AZ315" s="3">
        <v>51.88</v>
      </c>
      <c r="BA315" s="3">
        <v>52.01</v>
      </c>
      <c r="BB315" s="3">
        <v>51.57</v>
      </c>
      <c r="BC315" s="3">
        <v>51.81</v>
      </c>
      <c r="BD315" s="3">
        <v>13705516</v>
      </c>
      <c r="BE315" s="3">
        <v>34.75</v>
      </c>
      <c r="BF315" s="3">
        <v>34.75</v>
      </c>
      <c r="BG315" s="3">
        <v>34.19</v>
      </c>
      <c r="BH315" s="3">
        <v>34.26</v>
      </c>
      <c r="BI315" s="3">
        <v>90128</v>
      </c>
    </row>
    <row r="316" spans="1:61" ht="13" x14ac:dyDescent="0.15">
      <c r="A316" s="3">
        <v>42585</v>
      </c>
      <c r="B316" s="3">
        <v>2156.81</v>
      </c>
      <c r="C316" s="3">
        <v>2163.79</v>
      </c>
      <c r="D316" s="3">
        <v>2152.56</v>
      </c>
      <c r="E316" s="3">
        <v>2163.79</v>
      </c>
      <c r="F316" s="3">
        <v>542285389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3">
        <v>80.260000000000005</v>
      </c>
      <c r="M316" s="3">
        <v>80.760000000000005</v>
      </c>
      <c r="N316" s="3">
        <v>80.09</v>
      </c>
      <c r="O316" s="3">
        <v>80.760000000000005</v>
      </c>
      <c r="P316" s="3">
        <v>3872012</v>
      </c>
      <c r="Q316" s="3">
        <v>54.77</v>
      </c>
      <c r="R316" s="3">
        <v>54.77</v>
      </c>
      <c r="S316" s="3">
        <v>54.23</v>
      </c>
      <c r="T316" s="3">
        <v>54.38</v>
      </c>
      <c r="U316" s="3">
        <v>13290826</v>
      </c>
      <c r="V316" s="3">
        <v>65.760000000000005</v>
      </c>
      <c r="W316" s="3">
        <v>67.05</v>
      </c>
      <c r="X316" s="3">
        <v>65.5</v>
      </c>
      <c r="Y316" s="3">
        <v>67.02</v>
      </c>
      <c r="Z316" s="3">
        <v>23905616</v>
      </c>
      <c r="AA316" s="3">
        <v>18.989999999999998</v>
      </c>
      <c r="AB316" s="3">
        <v>19.2</v>
      </c>
      <c r="AC316" s="3">
        <v>18.989999999999998</v>
      </c>
      <c r="AD316" s="3">
        <v>19.190000000000001</v>
      </c>
      <c r="AE316" s="3">
        <v>27222962</v>
      </c>
      <c r="AF316" s="3">
        <v>75.34</v>
      </c>
      <c r="AG316" s="3">
        <v>75.39</v>
      </c>
      <c r="AH316" s="3">
        <v>75.03</v>
      </c>
      <c r="AI316" s="3">
        <v>75.180000000000007</v>
      </c>
      <c r="AJ316" s="3">
        <v>9761216</v>
      </c>
      <c r="AK316" s="3">
        <v>57.43</v>
      </c>
      <c r="AL316" s="3">
        <v>57.73</v>
      </c>
      <c r="AM316" s="3">
        <v>57.4</v>
      </c>
      <c r="AN316" s="3">
        <v>57.71</v>
      </c>
      <c r="AO316" s="3">
        <v>6087911</v>
      </c>
      <c r="AP316" s="3">
        <v>48.37</v>
      </c>
      <c r="AQ316" s="3">
        <v>48.6</v>
      </c>
      <c r="AR316" s="3">
        <v>48.06</v>
      </c>
      <c r="AS316" s="3">
        <v>48.41</v>
      </c>
      <c r="AT316" s="3">
        <v>3475372</v>
      </c>
      <c r="AU316" s="3">
        <v>46.15</v>
      </c>
      <c r="AV316" s="3">
        <v>46.35</v>
      </c>
      <c r="AW316" s="3">
        <v>46.14</v>
      </c>
      <c r="AX316" s="3">
        <v>46.35</v>
      </c>
      <c r="AY316" s="3">
        <v>7980940</v>
      </c>
      <c r="AZ316" s="3">
        <v>51.81</v>
      </c>
      <c r="BA316" s="3">
        <v>51.9</v>
      </c>
      <c r="BB316" s="3">
        <v>51.34</v>
      </c>
      <c r="BC316" s="3">
        <v>51.5</v>
      </c>
      <c r="BD316" s="3">
        <v>11405346</v>
      </c>
      <c r="BE316" s="3">
        <v>34.28</v>
      </c>
      <c r="BF316" s="3">
        <v>34.28</v>
      </c>
      <c r="BG316" s="3">
        <v>33.909999999999997</v>
      </c>
      <c r="BH316" s="3">
        <v>34</v>
      </c>
      <c r="BI316" s="3">
        <v>21960</v>
      </c>
    </row>
    <row r="317" spans="1:61" ht="13" x14ac:dyDescent="0.15">
      <c r="A317" s="3">
        <v>42586</v>
      </c>
      <c r="B317" s="3">
        <v>2163.5100000000002</v>
      </c>
      <c r="C317" s="3">
        <v>2168.19</v>
      </c>
      <c r="D317" s="3">
        <v>2159.0700000000002</v>
      </c>
      <c r="E317" s="3">
        <v>2164.25</v>
      </c>
      <c r="F317" s="3">
        <v>492388664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3">
        <v>80.61</v>
      </c>
      <c r="M317" s="3">
        <v>80.89</v>
      </c>
      <c r="N317" s="3">
        <v>80.400000000000006</v>
      </c>
      <c r="O317" s="3">
        <v>80.72</v>
      </c>
      <c r="P317" s="3">
        <v>2240348</v>
      </c>
      <c r="Q317" s="3">
        <v>54.47</v>
      </c>
      <c r="R317" s="3">
        <v>54.72</v>
      </c>
      <c r="S317" s="3">
        <v>54.33</v>
      </c>
      <c r="T317" s="3">
        <v>54.5</v>
      </c>
      <c r="U317" s="3">
        <v>8943229</v>
      </c>
      <c r="V317" s="3">
        <v>66.77</v>
      </c>
      <c r="W317" s="3">
        <v>67.38</v>
      </c>
      <c r="X317" s="3">
        <v>66.540000000000006</v>
      </c>
      <c r="Y317" s="3">
        <v>66.92</v>
      </c>
      <c r="Z317" s="3">
        <v>16790222</v>
      </c>
      <c r="AA317" s="3">
        <v>19.170000000000002</v>
      </c>
      <c r="AB317" s="3">
        <v>19.21</v>
      </c>
      <c r="AC317" s="3">
        <v>19.100000000000001</v>
      </c>
      <c r="AD317" s="3">
        <v>19.14</v>
      </c>
      <c r="AE317" s="3">
        <v>25477863</v>
      </c>
      <c r="AF317" s="3">
        <v>75.23</v>
      </c>
      <c r="AG317" s="3">
        <v>75.349999999999994</v>
      </c>
      <c r="AH317" s="3">
        <v>74.97</v>
      </c>
      <c r="AI317" s="3">
        <v>75.069999999999993</v>
      </c>
      <c r="AJ317" s="3">
        <v>8415450</v>
      </c>
      <c r="AK317" s="3">
        <v>57.75</v>
      </c>
      <c r="AL317" s="3">
        <v>57.96</v>
      </c>
      <c r="AM317" s="3">
        <v>57.64</v>
      </c>
      <c r="AN317" s="3">
        <v>57.73</v>
      </c>
      <c r="AO317" s="3">
        <v>8028720</v>
      </c>
      <c r="AP317" s="3">
        <v>48.41</v>
      </c>
      <c r="AQ317" s="3">
        <v>48.74</v>
      </c>
      <c r="AR317" s="3">
        <v>48.31</v>
      </c>
      <c r="AS317" s="3">
        <v>48.61</v>
      </c>
      <c r="AT317" s="3">
        <v>3552513</v>
      </c>
      <c r="AU317" s="3">
        <v>46.36</v>
      </c>
      <c r="AV317" s="3">
        <v>46.62</v>
      </c>
      <c r="AW317" s="3">
        <v>46.32</v>
      </c>
      <c r="AX317" s="3">
        <v>46.6</v>
      </c>
      <c r="AY317" s="3">
        <v>8376364</v>
      </c>
      <c r="AZ317" s="3">
        <v>51.56</v>
      </c>
      <c r="BA317" s="3">
        <v>51.86</v>
      </c>
      <c r="BB317" s="3">
        <v>51.33</v>
      </c>
      <c r="BC317" s="3">
        <v>51.47</v>
      </c>
      <c r="BD317" s="3">
        <v>12272015</v>
      </c>
      <c r="BE317" s="3">
        <v>34.159999999999997</v>
      </c>
      <c r="BF317" s="3">
        <v>34.159999999999997</v>
      </c>
      <c r="BG317" s="3">
        <v>33.82</v>
      </c>
      <c r="BH317" s="3">
        <v>33.94</v>
      </c>
      <c r="BI317" s="3">
        <v>234053</v>
      </c>
    </row>
    <row r="318" spans="1:61" ht="13" x14ac:dyDescent="0.15">
      <c r="A318" s="3">
        <v>42587</v>
      </c>
      <c r="B318" s="3">
        <v>2168.79</v>
      </c>
      <c r="C318" s="3">
        <v>2182.87</v>
      </c>
      <c r="D318" s="3">
        <v>2168.79</v>
      </c>
      <c r="E318" s="3">
        <v>2182.87</v>
      </c>
      <c r="F318" s="3">
        <v>569849800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3">
        <v>81.2</v>
      </c>
      <c r="M318" s="3">
        <v>81.69</v>
      </c>
      <c r="N318" s="3">
        <v>80.88</v>
      </c>
      <c r="O318" s="3">
        <v>81.569999999999993</v>
      </c>
      <c r="P318" s="3">
        <v>3518591</v>
      </c>
      <c r="Q318" s="3">
        <v>54.72</v>
      </c>
      <c r="R318" s="3">
        <v>54.87</v>
      </c>
      <c r="S318" s="3">
        <v>54.48</v>
      </c>
      <c r="T318" s="3">
        <v>54.59</v>
      </c>
      <c r="U318" s="3">
        <v>12028548</v>
      </c>
      <c r="V318" s="3">
        <v>66.959999999999994</v>
      </c>
      <c r="W318" s="3">
        <v>67.62</v>
      </c>
      <c r="X318" s="3">
        <v>66.84</v>
      </c>
      <c r="Y318" s="3">
        <v>67.53</v>
      </c>
      <c r="Z318" s="3">
        <v>11426779</v>
      </c>
      <c r="AA318" s="3">
        <v>19.34</v>
      </c>
      <c r="AB318" s="3">
        <v>19.510000000000002</v>
      </c>
      <c r="AC318" s="3">
        <v>19.29</v>
      </c>
      <c r="AD318" s="3">
        <v>19.510000000000002</v>
      </c>
      <c r="AE318" s="3">
        <v>41870305</v>
      </c>
      <c r="AF318" s="3">
        <v>75.400000000000006</v>
      </c>
      <c r="AG318" s="3">
        <v>75.400000000000006</v>
      </c>
      <c r="AH318" s="3">
        <v>74.83</v>
      </c>
      <c r="AI318" s="3">
        <v>75.25</v>
      </c>
      <c r="AJ318" s="3">
        <v>8244367</v>
      </c>
      <c r="AK318" s="3">
        <v>58.06</v>
      </c>
      <c r="AL318" s="3">
        <v>58.37</v>
      </c>
      <c r="AM318" s="3">
        <v>57.98</v>
      </c>
      <c r="AN318" s="3">
        <v>58.31</v>
      </c>
      <c r="AO318" s="3">
        <v>7380052</v>
      </c>
      <c r="AP318" s="3">
        <v>48.68</v>
      </c>
      <c r="AQ318" s="3">
        <v>48.87</v>
      </c>
      <c r="AR318" s="3">
        <v>48.6</v>
      </c>
      <c r="AS318" s="3">
        <v>48.77</v>
      </c>
      <c r="AT318" s="3">
        <v>3156008</v>
      </c>
      <c r="AU318" s="3">
        <v>46.75</v>
      </c>
      <c r="AV318" s="3">
        <v>47.07</v>
      </c>
      <c r="AW318" s="3">
        <v>46.7</v>
      </c>
      <c r="AX318" s="3">
        <v>47.05</v>
      </c>
      <c r="AY318" s="3">
        <v>6063052</v>
      </c>
      <c r="AZ318" s="3">
        <v>51.18</v>
      </c>
      <c r="BA318" s="3">
        <v>51.29</v>
      </c>
      <c r="BB318" s="3">
        <v>50.7</v>
      </c>
      <c r="BC318" s="3">
        <v>50.73</v>
      </c>
      <c r="BD318" s="3">
        <v>26952063</v>
      </c>
      <c r="BE318" s="3">
        <v>33.979999999999997</v>
      </c>
      <c r="BF318" s="3">
        <v>34.03</v>
      </c>
      <c r="BG318" s="3">
        <v>33.880000000000003</v>
      </c>
      <c r="BH318" s="3">
        <v>33.94</v>
      </c>
      <c r="BI318" s="3">
        <v>21511</v>
      </c>
    </row>
    <row r="319" spans="1:61" ht="13" x14ac:dyDescent="0.15">
      <c r="A319" s="3">
        <v>42590</v>
      </c>
      <c r="B319" s="3">
        <v>2183.7600000000002</v>
      </c>
      <c r="C319" s="3">
        <v>2185.44</v>
      </c>
      <c r="D319" s="3">
        <v>2177.85</v>
      </c>
      <c r="E319" s="3">
        <v>2180.89</v>
      </c>
      <c r="F319" s="3">
        <v>486958977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3">
        <v>81.63</v>
      </c>
      <c r="M319" s="3">
        <v>81.77</v>
      </c>
      <c r="N319" s="3">
        <v>81.23</v>
      </c>
      <c r="O319" s="3">
        <v>81.3</v>
      </c>
      <c r="P319" s="3">
        <v>3148390</v>
      </c>
      <c r="Q319" s="3">
        <v>54.82</v>
      </c>
      <c r="R319" s="3">
        <v>54.86</v>
      </c>
      <c r="S319" s="3">
        <v>54.36</v>
      </c>
      <c r="T319" s="3">
        <v>54.53</v>
      </c>
      <c r="U319" s="3">
        <v>8057686</v>
      </c>
      <c r="V319" s="3">
        <v>68</v>
      </c>
      <c r="W319" s="3">
        <v>68.89</v>
      </c>
      <c r="X319" s="3">
        <v>67.98</v>
      </c>
      <c r="Y319" s="3">
        <v>68.430000000000007</v>
      </c>
      <c r="Z319" s="3">
        <v>21663404</v>
      </c>
      <c r="AA319" s="3">
        <v>19.559999999999999</v>
      </c>
      <c r="AB319" s="3">
        <v>19.59</v>
      </c>
      <c r="AC319" s="3">
        <v>19.47</v>
      </c>
      <c r="AD319" s="3">
        <v>19.53</v>
      </c>
      <c r="AE319" s="3">
        <v>36571752</v>
      </c>
      <c r="AF319" s="3">
        <v>75.19</v>
      </c>
      <c r="AG319" s="3">
        <v>75.19</v>
      </c>
      <c r="AH319" s="3">
        <v>74.349999999999994</v>
      </c>
      <c r="AI319" s="3">
        <v>74.61</v>
      </c>
      <c r="AJ319" s="3">
        <v>6655527</v>
      </c>
      <c r="AK319" s="3">
        <v>58.42</v>
      </c>
      <c r="AL319" s="3">
        <v>58.63</v>
      </c>
      <c r="AM319" s="3">
        <v>58.27</v>
      </c>
      <c r="AN319" s="3">
        <v>58.39</v>
      </c>
      <c r="AO319" s="3">
        <v>6052662</v>
      </c>
      <c r="AP319" s="3">
        <v>48.82</v>
      </c>
      <c r="AQ319" s="3">
        <v>49.01</v>
      </c>
      <c r="AR319" s="3">
        <v>48.75</v>
      </c>
      <c r="AS319" s="3">
        <v>48.87</v>
      </c>
      <c r="AT319" s="3">
        <v>4731765</v>
      </c>
      <c r="AU319" s="3">
        <v>47.1</v>
      </c>
      <c r="AV319" s="3">
        <v>47.22</v>
      </c>
      <c r="AW319" s="3">
        <v>46.94</v>
      </c>
      <c r="AX319" s="3">
        <v>47.04</v>
      </c>
      <c r="AY319" s="3">
        <v>5219585</v>
      </c>
      <c r="AZ319" s="3">
        <v>50.71</v>
      </c>
      <c r="BA319" s="3">
        <v>51.17</v>
      </c>
      <c r="BB319" s="3">
        <v>50.58</v>
      </c>
      <c r="BC319" s="3">
        <v>50.71</v>
      </c>
      <c r="BD319" s="3">
        <v>13526678</v>
      </c>
      <c r="BE319" s="3">
        <v>33.94</v>
      </c>
      <c r="BF319" s="3">
        <v>34.07</v>
      </c>
      <c r="BG319" s="3">
        <v>33.93</v>
      </c>
      <c r="BH319" s="3">
        <v>33.93</v>
      </c>
      <c r="BI319" s="3">
        <v>45060</v>
      </c>
    </row>
    <row r="320" spans="1:61" ht="13" x14ac:dyDescent="0.15">
      <c r="A320" s="3">
        <v>42591</v>
      </c>
      <c r="B320" s="3">
        <v>2182.2399999999998</v>
      </c>
      <c r="C320" s="3">
        <v>2187.66</v>
      </c>
      <c r="D320" s="3">
        <v>2178.61</v>
      </c>
      <c r="E320" s="3">
        <v>2181.7399999999998</v>
      </c>
      <c r="F320" s="3">
        <v>427986401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3">
        <v>81.14</v>
      </c>
      <c r="M320" s="3">
        <v>81.459999999999994</v>
      </c>
      <c r="N320" s="3">
        <v>80.900000000000006</v>
      </c>
      <c r="O320" s="3">
        <v>81.06</v>
      </c>
      <c r="P320" s="3">
        <v>7364076</v>
      </c>
      <c r="Q320" s="3">
        <v>54.53</v>
      </c>
      <c r="R320" s="3">
        <v>54.9</v>
      </c>
      <c r="S320" s="3">
        <v>54.53</v>
      </c>
      <c r="T320" s="3">
        <v>54.7</v>
      </c>
      <c r="U320" s="3">
        <v>7840923</v>
      </c>
      <c r="V320" s="3">
        <v>68.62</v>
      </c>
      <c r="W320" s="3">
        <v>68.73</v>
      </c>
      <c r="X320" s="3">
        <v>67.8</v>
      </c>
      <c r="Y320" s="3">
        <v>68.069999999999993</v>
      </c>
      <c r="Z320" s="3">
        <v>11128358</v>
      </c>
      <c r="AA320" s="3">
        <v>19.52</v>
      </c>
      <c r="AB320" s="3">
        <v>19.579999999999998</v>
      </c>
      <c r="AC320" s="3">
        <v>19.5</v>
      </c>
      <c r="AD320" s="3">
        <v>19.55</v>
      </c>
      <c r="AE320" s="3">
        <v>26190113</v>
      </c>
      <c r="AF320" s="3">
        <v>75.010000000000005</v>
      </c>
      <c r="AG320" s="3">
        <v>75.05</v>
      </c>
      <c r="AH320" s="3">
        <v>74.58</v>
      </c>
      <c r="AI320" s="3">
        <v>74.790000000000006</v>
      </c>
      <c r="AJ320" s="3">
        <v>11261259</v>
      </c>
      <c r="AK320" s="3">
        <v>58.35</v>
      </c>
      <c r="AL320" s="3">
        <v>58.54</v>
      </c>
      <c r="AM320" s="3">
        <v>58.27</v>
      </c>
      <c r="AN320" s="3">
        <v>58.37</v>
      </c>
      <c r="AO320" s="3">
        <v>4579816</v>
      </c>
      <c r="AP320" s="3">
        <v>48.89</v>
      </c>
      <c r="AQ320" s="3">
        <v>49.06</v>
      </c>
      <c r="AR320" s="3">
        <v>48.62</v>
      </c>
      <c r="AS320" s="3">
        <v>48.72</v>
      </c>
      <c r="AT320" s="3">
        <v>3991880</v>
      </c>
      <c r="AU320" s="3">
        <v>47.04</v>
      </c>
      <c r="AV320" s="3">
        <v>47.26</v>
      </c>
      <c r="AW320" s="3">
        <v>47.04</v>
      </c>
      <c r="AX320" s="3">
        <v>47.14</v>
      </c>
      <c r="AY320" s="3">
        <v>14918477</v>
      </c>
      <c r="AZ320" s="3">
        <v>50.78</v>
      </c>
      <c r="BA320" s="3">
        <v>50.97</v>
      </c>
      <c r="BB320" s="3">
        <v>50.57</v>
      </c>
      <c r="BC320" s="3">
        <v>50.7</v>
      </c>
      <c r="BD320" s="3">
        <v>10094190</v>
      </c>
      <c r="BE320" s="3">
        <v>34.1</v>
      </c>
      <c r="BF320" s="3">
        <v>34.159999999999997</v>
      </c>
      <c r="BG320" s="3">
        <v>33.83</v>
      </c>
      <c r="BH320" s="3">
        <v>34.159999999999997</v>
      </c>
      <c r="BI320" s="3">
        <v>204328</v>
      </c>
    </row>
    <row r="321" spans="1:61" ht="13" x14ac:dyDescent="0.15">
      <c r="A321" s="3">
        <v>42592</v>
      </c>
      <c r="B321" s="3">
        <v>2182.81</v>
      </c>
      <c r="C321" s="3">
        <v>2183.41</v>
      </c>
      <c r="D321" s="3">
        <v>2172</v>
      </c>
      <c r="E321" s="3">
        <v>2175.4899999999998</v>
      </c>
      <c r="F321" s="3">
        <v>439573433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3">
        <v>81.09</v>
      </c>
      <c r="M321" s="3">
        <v>81.47</v>
      </c>
      <c r="N321" s="3">
        <v>81.06</v>
      </c>
      <c r="O321" s="3">
        <v>81.23</v>
      </c>
      <c r="P321" s="3">
        <v>3389445</v>
      </c>
      <c r="Q321" s="3">
        <v>54.85</v>
      </c>
      <c r="R321" s="3">
        <v>55.01</v>
      </c>
      <c r="S321" s="3">
        <v>54.79</v>
      </c>
      <c r="T321" s="3">
        <v>54.9</v>
      </c>
      <c r="U321" s="3">
        <v>7303642</v>
      </c>
      <c r="V321" s="3">
        <v>68.209999999999994</v>
      </c>
      <c r="W321" s="3">
        <v>68.36</v>
      </c>
      <c r="X321" s="3">
        <v>67.19</v>
      </c>
      <c r="Y321" s="3">
        <v>67.33</v>
      </c>
      <c r="Z321" s="3">
        <v>18036793</v>
      </c>
      <c r="AA321" s="3">
        <v>19.53</v>
      </c>
      <c r="AB321" s="3">
        <v>19.559999999999999</v>
      </c>
      <c r="AC321" s="3">
        <v>19.36</v>
      </c>
      <c r="AD321" s="3">
        <v>19.39</v>
      </c>
      <c r="AE321" s="3">
        <v>27250393</v>
      </c>
      <c r="AF321" s="3">
        <v>74.760000000000005</v>
      </c>
      <c r="AG321" s="3">
        <v>74.760000000000005</v>
      </c>
      <c r="AH321" s="3">
        <v>74.34</v>
      </c>
      <c r="AI321" s="3">
        <v>74.540000000000006</v>
      </c>
      <c r="AJ321" s="3">
        <v>7031564</v>
      </c>
      <c r="AK321" s="3">
        <v>58.39</v>
      </c>
      <c r="AL321" s="3">
        <v>58.53</v>
      </c>
      <c r="AM321" s="3">
        <v>58.18</v>
      </c>
      <c r="AN321" s="3">
        <v>58.34</v>
      </c>
      <c r="AO321" s="3">
        <v>5293289</v>
      </c>
      <c r="AP321" s="3">
        <v>48.81</v>
      </c>
      <c r="AQ321" s="3">
        <v>48.95</v>
      </c>
      <c r="AR321" s="3">
        <v>48.66</v>
      </c>
      <c r="AS321" s="3">
        <v>48.73</v>
      </c>
      <c r="AT321" s="3">
        <v>2255744</v>
      </c>
      <c r="AU321" s="3">
        <v>47.16</v>
      </c>
      <c r="AV321" s="3">
        <v>47.18</v>
      </c>
      <c r="AW321" s="3">
        <v>46.93</v>
      </c>
      <c r="AX321" s="3">
        <v>46.99</v>
      </c>
      <c r="AY321" s="3">
        <v>3556299</v>
      </c>
      <c r="AZ321" s="3">
        <v>50.82</v>
      </c>
      <c r="BA321" s="3">
        <v>50.94</v>
      </c>
      <c r="BB321" s="3">
        <v>50.58</v>
      </c>
      <c r="BC321" s="3">
        <v>50.71</v>
      </c>
      <c r="BD321" s="3">
        <v>8490838</v>
      </c>
      <c r="BE321" s="3">
        <v>34.24</v>
      </c>
      <c r="BF321" s="3">
        <v>34.24</v>
      </c>
      <c r="BG321" s="3">
        <v>34.020000000000003</v>
      </c>
      <c r="BH321" s="3">
        <v>34.090000000000003</v>
      </c>
      <c r="BI321" s="3">
        <v>12323</v>
      </c>
    </row>
    <row r="322" spans="1:61" ht="13" x14ac:dyDescent="0.15">
      <c r="A322" s="3">
        <v>42593</v>
      </c>
      <c r="B322" s="3">
        <v>2177.9699999999998</v>
      </c>
      <c r="C322" s="3">
        <v>2188.4499999999998</v>
      </c>
      <c r="D322" s="3">
        <v>2177.9699999999998</v>
      </c>
      <c r="E322" s="3">
        <v>2185.79</v>
      </c>
      <c r="F322" s="3">
        <v>464458711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3">
        <v>81.67</v>
      </c>
      <c r="M322" s="3">
        <v>82.14</v>
      </c>
      <c r="N322" s="3">
        <v>81.63</v>
      </c>
      <c r="O322" s="3">
        <v>82.04</v>
      </c>
      <c r="P322" s="3">
        <v>3694771</v>
      </c>
      <c r="Q322" s="3">
        <v>55.18</v>
      </c>
      <c r="R322" s="3">
        <v>55.18</v>
      </c>
      <c r="S322" s="3">
        <v>54.88</v>
      </c>
      <c r="T322" s="3">
        <v>54.9</v>
      </c>
      <c r="U322" s="3">
        <v>8082993</v>
      </c>
      <c r="V322" s="3">
        <v>67.62</v>
      </c>
      <c r="W322" s="3">
        <v>68.61</v>
      </c>
      <c r="X322" s="3">
        <v>67.47</v>
      </c>
      <c r="Y322" s="3">
        <v>68.319999999999993</v>
      </c>
      <c r="Z322" s="3">
        <v>17429739</v>
      </c>
      <c r="AA322" s="3">
        <v>19.43</v>
      </c>
      <c r="AB322" s="3">
        <v>19.48</v>
      </c>
      <c r="AC322" s="3">
        <v>19.36</v>
      </c>
      <c r="AD322" s="3">
        <v>19.43</v>
      </c>
      <c r="AE322" s="3">
        <v>20422059</v>
      </c>
      <c r="AF322" s="3">
        <v>74.739999999999995</v>
      </c>
      <c r="AG322" s="3">
        <v>75.05</v>
      </c>
      <c r="AH322" s="3">
        <v>74.599999999999994</v>
      </c>
      <c r="AI322" s="3">
        <v>74.97</v>
      </c>
      <c r="AJ322" s="3">
        <v>6599846</v>
      </c>
      <c r="AK322" s="3">
        <v>58.5</v>
      </c>
      <c r="AL322" s="3">
        <v>58.82</v>
      </c>
      <c r="AM322" s="3">
        <v>58.48</v>
      </c>
      <c r="AN322" s="3">
        <v>58.72</v>
      </c>
      <c r="AO322" s="3">
        <v>8172109</v>
      </c>
      <c r="AP322" s="3">
        <v>48.97</v>
      </c>
      <c r="AQ322" s="3">
        <v>49.03</v>
      </c>
      <c r="AR322" s="3">
        <v>48.68</v>
      </c>
      <c r="AS322" s="3">
        <v>48.94</v>
      </c>
      <c r="AT322" s="3">
        <v>2695719</v>
      </c>
      <c r="AU322" s="3">
        <v>47.14</v>
      </c>
      <c r="AV322" s="3">
        <v>47.29</v>
      </c>
      <c r="AW322" s="3">
        <v>47.09</v>
      </c>
      <c r="AX322" s="3">
        <v>47.16</v>
      </c>
      <c r="AY322" s="3">
        <v>5259325</v>
      </c>
      <c r="AZ322" s="3">
        <v>50.7</v>
      </c>
      <c r="BA322" s="3">
        <v>50.86</v>
      </c>
      <c r="BB322" s="3">
        <v>50.55</v>
      </c>
      <c r="BC322" s="3">
        <v>50.83</v>
      </c>
      <c r="BD322" s="3">
        <v>9481474</v>
      </c>
      <c r="BE322" s="3">
        <v>34.22</v>
      </c>
      <c r="BF322" s="3">
        <v>34.22</v>
      </c>
      <c r="BG322" s="3">
        <v>33.619999999999997</v>
      </c>
      <c r="BH322" s="3">
        <v>33.770000000000003</v>
      </c>
      <c r="BI322" s="3">
        <v>19380</v>
      </c>
    </row>
    <row r="323" spans="1:61" ht="13" x14ac:dyDescent="0.15">
      <c r="A323" s="3">
        <v>42594</v>
      </c>
      <c r="B323" s="3">
        <v>2183.7399999999998</v>
      </c>
      <c r="C323" s="3">
        <v>2186.2800000000002</v>
      </c>
      <c r="D323" s="3">
        <v>2179.42</v>
      </c>
      <c r="E323" s="3">
        <v>2184.0500000000002</v>
      </c>
      <c r="F323" s="3">
        <v>432156303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3">
        <v>81.87</v>
      </c>
      <c r="M323" s="3">
        <v>82.2</v>
      </c>
      <c r="N323" s="3">
        <v>81.42</v>
      </c>
      <c r="O323" s="3">
        <v>82</v>
      </c>
      <c r="P323" s="3">
        <v>2456627</v>
      </c>
      <c r="Q323" s="3">
        <v>55</v>
      </c>
      <c r="R323" s="3">
        <v>55.15</v>
      </c>
      <c r="S323" s="3">
        <v>54.96</v>
      </c>
      <c r="T323" s="3">
        <v>55.09</v>
      </c>
      <c r="U323" s="3">
        <v>8783845</v>
      </c>
      <c r="V323" s="3">
        <v>68.5</v>
      </c>
      <c r="W323" s="3">
        <v>68.91</v>
      </c>
      <c r="X323" s="3">
        <v>68.319999999999993</v>
      </c>
      <c r="Y323" s="3">
        <v>68.7</v>
      </c>
      <c r="Z323" s="3">
        <v>10189672</v>
      </c>
      <c r="AA323" s="3">
        <v>19.3</v>
      </c>
      <c r="AB323" s="3">
        <v>19.41</v>
      </c>
      <c r="AC323" s="3">
        <v>19.29</v>
      </c>
      <c r="AD323" s="3">
        <v>19.38</v>
      </c>
      <c r="AE323" s="3">
        <v>23445558</v>
      </c>
      <c r="AF323" s="3">
        <v>74.83</v>
      </c>
      <c r="AG323" s="3">
        <v>74.86</v>
      </c>
      <c r="AH323" s="3">
        <v>74.510000000000005</v>
      </c>
      <c r="AI323" s="3">
        <v>74.78</v>
      </c>
      <c r="AJ323" s="3">
        <v>6211941</v>
      </c>
      <c r="AK323" s="3">
        <v>58.62</v>
      </c>
      <c r="AL323" s="3">
        <v>58.68</v>
      </c>
      <c r="AM323" s="3">
        <v>58.46</v>
      </c>
      <c r="AN323" s="3">
        <v>58.56</v>
      </c>
      <c r="AO323" s="3">
        <v>4357395</v>
      </c>
      <c r="AP323" s="3">
        <v>48.94</v>
      </c>
      <c r="AQ323" s="3">
        <v>48.99</v>
      </c>
      <c r="AR323" s="3">
        <v>48.32</v>
      </c>
      <c r="AS323" s="3">
        <v>48.42</v>
      </c>
      <c r="AT323" s="3">
        <v>3382188</v>
      </c>
      <c r="AU323" s="3">
        <v>47.15</v>
      </c>
      <c r="AV323" s="3">
        <v>47.15</v>
      </c>
      <c r="AW323" s="3">
        <v>47.01</v>
      </c>
      <c r="AX323" s="3">
        <v>47.11</v>
      </c>
      <c r="AY323" s="3">
        <v>3468714</v>
      </c>
      <c r="AZ323" s="3">
        <v>51.01</v>
      </c>
      <c r="BA323" s="3">
        <v>51.27</v>
      </c>
      <c r="BB323" s="3">
        <v>50.89</v>
      </c>
      <c r="BC323" s="3">
        <v>50.9</v>
      </c>
      <c r="BD323" s="3">
        <v>12161445</v>
      </c>
      <c r="BE323" s="3">
        <v>34.11</v>
      </c>
      <c r="BF323" s="3">
        <v>34.11</v>
      </c>
      <c r="BG323" s="3">
        <v>33.79</v>
      </c>
      <c r="BH323" s="3">
        <v>33.880000000000003</v>
      </c>
      <c r="BI323" s="3">
        <v>11588</v>
      </c>
    </row>
    <row r="324" spans="1:61" ht="13" x14ac:dyDescent="0.15">
      <c r="A324" s="3">
        <v>42597</v>
      </c>
      <c r="B324" s="3">
        <v>2186.08</v>
      </c>
      <c r="C324" s="3">
        <v>2193.81</v>
      </c>
      <c r="D324" s="3">
        <v>2186.08</v>
      </c>
      <c r="E324" s="3">
        <v>2190.15</v>
      </c>
      <c r="F324" s="3">
        <v>441305055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3">
        <v>82.22</v>
      </c>
      <c r="M324" s="3">
        <v>82.38</v>
      </c>
      <c r="N324" s="3">
        <v>82.11</v>
      </c>
      <c r="O324" s="3">
        <v>82.16</v>
      </c>
      <c r="P324" s="3">
        <v>3070450</v>
      </c>
      <c r="Q324" s="3">
        <v>55.16</v>
      </c>
      <c r="R324" s="3">
        <v>55.25</v>
      </c>
      <c r="S324" s="3">
        <v>54.95</v>
      </c>
      <c r="T324" s="3">
        <v>54.95</v>
      </c>
      <c r="U324" s="3">
        <v>8568188</v>
      </c>
      <c r="V324" s="3">
        <v>69.09</v>
      </c>
      <c r="W324" s="3">
        <v>69.39</v>
      </c>
      <c r="X324" s="3">
        <v>68.89</v>
      </c>
      <c r="Y324" s="3">
        <v>69.25</v>
      </c>
      <c r="Z324" s="3">
        <v>10703381</v>
      </c>
      <c r="AA324" s="3">
        <v>19.45</v>
      </c>
      <c r="AB324" s="3">
        <v>19.52</v>
      </c>
      <c r="AC324" s="3">
        <v>19.43</v>
      </c>
      <c r="AD324" s="3">
        <v>19.510000000000002</v>
      </c>
      <c r="AE324" s="3">
        <v>21345203</v>
      </c>
      <c r="AF324" s="3">
        <v>74.78</v>
      </c>
      <c r="AG324" s="3">
        <v>75.08</v>
      </c>
      <c r="AH324" s="3">
        <v>74.78</v>
      </c>
      <c r="AI324" s="3">
        <v>74.91</v>
      </c>
      <c r="AJ324" s="3">
        <v>4122513</v>
      </c>
      <c r="AK324" s="3">
        <v>58.73</v>
      </c>
      <c r="AL324" s="3">
        <v>59.02</v>
      </c>
      <c r="AM324" s="3">
        <v>58.69</v>
      </c>
      <c r="AN324" s="3">
        <v>58.95</v>
      </c>
      <c r="AO324" s="3">
        <v>8643489</v>
      </c>
      <c r="AP324" s="3">
        <v>48.59</v>
      </c>
      <c r="AQ324" s="3">
        <v>49.03</v>
      </c>
      <c r="AR324" s="3">
        <v>48.56</v>
      </c>
      <c r="AS324" s="3">
        <v>48.91</v>
      </c>
      <c r="AT324" s="3">
        <v>2317074</v>
      </c>
      <c r="AU324" s="3">
        <v>47.17</v>
      </c>
      <c r="AV324" s="3">
        <v>47.43</v>
      </c>
      <c r="AW324" s="3">
        <v>47.14</v>
      </c>
      <c r="AX324" s="3">
        <v>47.34</v>
      </c>
      <c r="AY324" s="3">
        <v>8280742</v>
      </c>
      <c r="AZ324" s="3">
        <v>50.9</v>
      </c>
      <c r="BA324" s="3">
        <v>51.08</v>
      </c>
      <c r="BB324" s="3">
        <v>50.12</v>
      </c>
      <c r="BC324" s="3">
        <v>50.12</v>
      </c>
      <c r="BD324" s="3">
        <v>12634445</v>
      </c>
      <c r="BE324" s="3">
        <v>34.090000000000003</v>
      </c>
      <c r="BF324" s="3">
        <v>34.090000000000003</v>
      </c>
      <c r="BG324" s="3">
        <v>33.83</v>
      </c>
      <c r="BH324" s="3">
        <v>33.840000000000003</v>
      </c>
      <c r="BI324" s="3">
        <v>14936</v>
      </c>
    </row>
    <row r="325" spans="1:61" ht="13" x14ac:dyDescent="0.15">
      <c r="A325" s="3">
        <v>42598</v>
      </c>
      <c r="B325" s="3">
        <v>2186.2399999999998</v>
      </c>
      <c r="C325" s="3">
        <v>2186.2399999999998</v>
      </c>
      <c r="D325" s="3">
        <v>2178.14</v>
      </c>
      <c r="E325" s="3">
        <v>2178.15</v>
      </c>
      <c r="F325" s="3">
        <v>484439239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3">
        <v>81.96</v>
      </c>
      <c r="M325" s="3">
        <v>82.06</v>
      </c>
      <c r="N325" s="3">
        <v>81.63</v>
      </c>
      <c r="O325" s="3">
        <v>81.69</v>
      </c>
      <c r="P325" s="3">
        <v>2307926</v>
      </c>
      <c r="Q325" s="3">
        <v>54.87</v>
      </c>
      <c r="R325" s="3">
        <v>54.88</v>
      </c>
      <c r="S325" s="3">
        <v>54.7</v>
      </c>
      <c r="T325" s="3">
        <v>54.71</v>
      </c>
      <c r="U325" s="3">
        <v>6712120</v>
      </c>
      <c r="V325" s="3">
        <v>69.13</v>
      </c>
      <c r="W325" s="3">
        <v>69.58</v>
      </c>
      <c r="X325" s="3">
        <v>68.709999999999994</v>
      </c>
      <c r="Y325" s="3">
        <v>69.36</v>
      </c>
      <c r="Z325" s="3">
        <v>10242759</v>
      </c>
      <c r="AA325" s="3">
        <v>19.47</v>
      </c>
      <c r="AB325" s="3">
        <v>19.5</v>
      </c>
      <c r="AC325" s="3">
        <v>19.41</v>
      </c>
      <c r="AD325" s="3">
        <v>19.46</v>
      </c>
      <c r="AE325" s="3">
        <v>22451168</v>
      </c>
      <c r="AF325" s="3">
        <v>74.8</v>
      </c>
      <c r="AG325" s="3">
        <v>74.81</v>
      </c>
      <c r="AH325" s="3">
        <v>74.239999999999995</v>
      </c>
      <c r="AI325" s="3">
        <v>74.239999999999995</v>
      </c>
      <c r="AJ325" s="3">
        <v>6042305</v>
      </c>
      <c r="AK325" s="3">
        <v>58.87</v>
      </c>
      <c r="AL325" s="3">
        <v>58.9</v>
      </c>
      <c r="AM325" s="3">
        <v>58.64</v>
      </c>
      <c r="AN325" s="3">
        <v>58.69</v>
      </c>
      <c r="AO325" s="3">
        <v>4725200</v>
      </c>
      <c r="AP325" s="3">
        <v>48.99</v>
      </c>
      <c r="AQ325" s="3">
        <v>49.18</v>
      </c>
      <c r="AR325" s="3">
        <v>48.63</v>
      </c>
      <c r="AS325" s="3">
        <v>48.65</v>
      </c>
      <c r="AT325" s="3">
        <v>3384643</v>
      </c>
      <c r="AU325" s="3">
        <v>47.26</v>
      </c>
      <c r="AV325" s="3">
        <v>47.26</v>
      </c>
      <c r="AW325" s="3">
        <v>46.99</v>
      </c>
      <c r="AX325" s="3">
        <v>46.99</v>
      </c>
      <c r="AY325" s="3">
        <v>4538978</v>
      </c>
      <c r="AZ325" s="3">
        <v>50</v>
      </c>
      <c r="BA325" s="3">
        <v>50.03</v>
      </c>
      <c r="BB325" s="3">
        <v>49.53</v>
      </c>
      <c r="BC325" s="3">
        <v>49.53</v>
      </c>
      <c r="BD325" s="3">
        <v>20181642</v>
      </c>
      <c r="BE325" s="3">
        <v>33.630000000000003</v>
      </c>
      <c r="BF325" s="3">
        <v>33.630000000000003</v>
      </c>
      <c r="BG325" s="3">
        <v>33.43</v>
      </c>
      <c r="BH325" s="3">
        <v>33.43</v>
      </c>
      <c r="BI325" s="3">
        <v>18638</v>
      </c>
    </row>
    <row r="326" spans="1:61" ht="13" x14ac:dyDescent="0.15">
      <c r="A326" s="3">
        <v>42599</v>
      </c>
      <c r="B326" s="3">
        <v>2177.84</v>
      </c>
      <c r="C326" s="3">
        <v>2183.08</v>
      </c>
      <c r="D326" s="3">
        <v>2168.5</v>
      </c>
      <c r="E326" s="3">
        <v>2182.2199999999998</v>
      </c>
      <c r="F326" s="3">
        <v>499856353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3">
        <v>81.400000000000006</v>
      </c>
      <c r="M326" s="3">
        <v>81.56</v>
      </c>
      <c r="N326" s="3">
        <v>81.010000000000005</v>
      </c>
      <c r="O326" s="3">
        <v>81.5</v>
      </c>
      <c r="P326" s="3">
        <v>3424270</v>
      </c>
      <c r="Q326" s="3">
        <v>54.69</v>
      </c>
      <c r="R326" s="3">
        <v>54.94</v>
      </c>
      <c r="S326" s="3">
        <v>54.49</v>
      </c>
      <c r="T326" s="3">
        <v>54.86</v>
      </c>
      <c r="U326" s="3">
        <v>12551992</v>
      </c>
      <c r="V326" s="3">
        <v>69.02</v>
      </c>
      <c r="W326" s="3">
        <v>69.61</v>
      </c>
      <c r="X326" s="3">
        <v>68.95</v>
      </c>
      <c r="Y326" s="3">
        <v>69.569999999999993</v>
      </c>
      <c r="Z326" s="3">
        <v>14719471</v>
      </c>
      <c r="AA326" s="3">
        <v>19.46</v>
      </c>
      <c r="AB326" s="3">
        <v>19.53</v>
      </c>
      <c r="AC326" s="3">
        <v>19.41</v>
      </c>
      <c r="AD326" s="3">
        <v>19.52</v>
      </c>
      <c r="AE326" s="3">
        <v>20858308</v>
      </c>
      <c r="AF326" s="3">
        <v>74.08</v>
      </c>
      <c r="AG326" s="3">
        <v>74.45</v>
      </c>
      <c r="AH326" s="3">
        <v>73.930000000000007</v>
      </c>
      <c r="AI326" s="3">
        <v>74.39</v>
      </c>
      <c r="AJ326" s="3">
        <v>7296304</v>
      </c>
      <c r="AK326" s="3">
        <v>58.57</v>
      </c>
      <c r="AL326" s="3">
        <v>58.92</v>
      </c>
      <c r="AM326" s="3">
        <v>58.55</v>
      </c>
      <c r="AN326" s="3">
        <v>58.86</v>
      </c>
      <c r="AO326" s="3">
        <v>8260516</v>
      </c>
      <c r="AP326" s="3">
        <v>48.61</v>
      </c>
      <c r="AQ326" s="3">
        <v>48.72</v>
      </c>
      <c r="AR326" s="3">
        <v>48.21</v>
      </c>
      <c r="AS326" s="3">
        <v>48.61</v>
      </c>
      <c r="AT326" s="3">
        <v>3076380</v>
      </c>
      <c r="AU326" s="3">
        <v>47.01</v>
      </c>
      <c r="AV326" s="3">
        <v>47.03</v>
      </c>
      <c r="AW326" s="3">
        <v>46.7</v>
      </c>
      <c r="AX326" s="3">
        <v>46.97</v>
      </c>
      <c r="AY326" s="3">
        <v>5287546</v>
      </c>
      <c r="AZ326" s="3">
        <v>49.47</v>
      </c>
      <c r="BA326" s="3">
        <v>50.37</v>
      </c>
      <c r="BB326" s="3">
        <v>49.09</v>
      </c>
      <c r="BC326" s="3">
        <v>50.27</v>
      </c>
      <c r="BD326" s="3">
        <v>28456588</v>
      </c>
      <c r="BE326" s="3">
        <v>33.6</v>
      </c>
      <c r="BF326" s="3">
        <v>33.6</v>
      </c>
      <c r="BG326" s="3">
        <v>33.26</v>
      </c>
      <c r="BH326" s="3">
        <v>33.57</v>
      </c>
      <c r="BI326" s="3">
        <v>18267</v>
      </c>
    </row>
    <row r="327" spans="1:61" ht="13" x14ac:dyDescent="0.15">
      <c r="A327" s="3">
        <v>42600</v>
      </c>
      <c r="B327" s="3">
        <v>2181.9</v>
      </c>
      <c r="C327" s="3">
        <v>2187.0300000000002</v>
      </c>
      <c r="D327" s="3">
        <v>2180.46</v>
      </c>
      <c r="E327" s="3">
        <v>2187.02</v>
      </c>
      <c r="F327" s="3">
        <v>510514826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3">
        <v>81.55</v>
      </c>
      <c r="M327" s="3">
        <v>81.64</v>
      </c>
      <c r="N327" s="3">
        <v>81.3</v>
      </c>
      <c r="O327" s="3">
        <v>81.45</v>
      </c>
      <c r="P327" s="3">
        <v>4733027</v>
      </c>
      <c r="Q327" s="3">
        <v>54.95</v>
      </c>
      <c r="R327" s="3">
        <v>55.11</v>
      </c>
      <c r="S327" s="3">
        <v>54.95</v>
      </c>
      <c r="T327" s="3">
        <v>55.05</v>
      </c>
      <c r="U327" s="3">
        <v>6683841</v>
      </c>
      <c r="V327" s="3">
        <v>69.81</v>
      </c>
      <c r="W327" s="3">
        <v>71</v>
      </c>
      <c r="X327" s="3">
        <v>69.739999999999995</v>
      </c>
      <c r="Y327" s="3">
        <v>71</v>
      </c>
      <c r="Z327" s="3">
        <v>24148544</v>
      </c>
      <c r="AA327" s="3">
        <v>19.489999999999998</v>
      </c>
      <c r="AB327" s="3">
        <v>19.55</v>
      </c>
      <c r="AC327" s="3">
        <v>19.45</v>
      </c>
      <c r="AD327" s="3">
        <v>19.510000000000002</v>
      </c>
      <c r="AE327" s="3">
        <v>21604389</v>
      </c>
      <c r="AF327" s="3">
        <v>74.38</v>
      </c>
      <c r="AG327" s="3">
        <v>74.58</v>
      </c>
      <c r="AH327" s="3">
        <v>74.19</v>
      </c>
      <c r="AI327" s="3">
        <v>74.42</v>
      </c>
      <c r="AJ327" s="3">
        <v>4180054</v>
      </c>
      <c r="AK327" s="3">
        <v>58.77</v>
      </c>
      <c r="AL327" s="3">
        <v>59.04</v>
      </c>
      <c r="AM327" s="3">
        <v>58.73</v>
      </c>
      <c r="AN327" s="3">
        <v>59.04</v>
      </c>
      <c r="AO327" s="3">
        <v>9830163</v>
      </c>
      <c r="AP327" s="3">
        <v>48.63</v>
      </c>
      <c r="AQ327" s="3">
        <v>48.92</v>
      </c>
      <c r="AR327" s="3">
        <v>48.61</v>
      </c>
      <c r="AS327" s="3">
        <v>48.92</v>
      </c>
      <c r="AT327" s="3">
        <v>3377924</v>
      </c>
      <c r="AU327" s="3">
        <v>46.96</v>
      </c>
      <c r="AV327" s="3">
        <v>47.04</v>
      </c>
      <c r="AW327" s="3">
        <v>46.82</v>
      </c>
      <c r="AX327" s="3">
        <v>46.99</v>
      </c>
      <c r="AY327" s="3">
        <v>3543209</v>
      </c>
      <c r="AZ327" s="3">
        <v>50.26</v>
      </c>
      <c r="BA327" s="3">
        <v>50.89</v>
      </c>
      <c r="BB327" s="3">
        <v>50.17</v>
      </c>
      <c r="BC327" s="3">
        <v>50.89</v>
      </c>
      <c r="BD327" s="3">
        <v>13944452</v>
      </c>
      <c r="BE327" s="3">
        <v>33.590000000000003</v>
      </c>
      <c r="BF327" s="3">
        <v>33.590000000000003</v>
      </c>
      <c r="BG327" s="3">
        <v>33.4</v>
      </c>
      <c r="BH327" s="3">
        <v>33.5</v>
      </c>
      <c r="BI327" s="3">
        <v>11678</v>
      </c>
    </row>
    <row r="328" spans="1:61" ht="13" x14ac:dyDescent="0.15">
      <c r="A328" s="3">
        <v>42601</v>
      </c>
      <c r="B328" s="3">
        <v>2184.2399999999998</v>
      </c>
      <c r="C328" s="3">
        <v>2185</v>
      </c>
      <c r="D328" s="3">
        <v>2175.13</v>
      </c>
      <c r="E328" s="3">
        <v>2183.87</v>
      </c>
      <c r="F328" s="3">
        <v>580186480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3">
        <v>81.349999999999994</v>
      </c>
      <c r="M328" s="3">
        <v>81.67</v>
      </c>
      <c r="N328" s="3">
        <v>81.19</v>
      </c>
      <c r="O328" s="3">
        <v>81.5</v>
      </c>
      <c r="P328" s="3">
        <v>3723871</v>
      </c>
      <c r="Q328" s="3">
        <v>54.98</v>
      </c>
      <c r="R328" s="3">
        <v>54.99</v>
      </c>
      <c r="S328" s="3">
        <v>54.81</v>
      </c>
      <c r="T328" s="3">
        <v>54.92</v>
      </c>
      <c r="U328" s="3">
        <v>5846500</v>
      </c>
      <c r="V328" s="3">
        <v>70.77</v>
      </c>
      <c r="W328" s="3">
        <v>70.77</v>
      </c>
      <c r="X328" s="3">
        <v>70.150000000000006</v>
      </c>
      <c r="Y328" s="3">
        <v>70.41</v>
      </c>
      <c r="Z328" s="3">
        <v>11045741</v>
      </c>
      <c r="AA328" s="3">
        <v>19.45</v>
      </c>
      <c r="AB328" s="3">
        <v>19.510000000000002</v>
      </c>
      <c r="AC328" s="3">
        <v>19.38</v>
      </c>
      <c r="AD328" s="3">
        <v>19.5</v>
      </c>
      <c r="AE328" s="3">
        <v>25597171</v>
      </c>
      <c r="AF328" s="3">
        <v>74.27</v>
      </c>
      <c r="AG328" s="3">
        <v>74.41</v>
      </c>
      <c r="AH328" s="3">
        <v>74.040000000000006</v>
      </c>
      <c r="AI328" s="3">
        <v>74.36</v>
      </c>
      <c r="AJ328" s="3">
        <v>4323457</v>
      </c>
      <c r="AK328" s="3">
        <v>58.7</v>
      </c>
      <c r="AL328" s="3">
        <v>59.1</v>
      </c>
      <c r="AM328" s="3">
        <v>58.67</v>
      </c>
      <c r="AN328" s="3">
        <v>59.02</v>
      </c>
      <c r="AO328" s="3">
        <v>8334304</v>
      </c>
      <c r="AP328" s="3">
        <v>48.8</v>
      </c>
      <c r="AQ328" s="3">
        <v>49.06</v>
      </c>
      <c r="AR328" s="3">
        <v>48.51</v>
      </c>
      <c r="AS328" s="3">
        <v>48.99</v>
      </c>
      <c r="AT328" s="3">
        <v>4906103</v>
      </c>
      <c r="AU328" s="3">
        <v>46.86</v>
      </c>
      <c r="AV328" s="3">
        <v>47.06</v>
      </c>
      <c r="AW328" s="3">
        <v>46.75</v>
      </c>
      <c r="AX328" s="3">
        <v>47.02</v>
      </c>
      <c r="AY328" s="3">
        <v>4788309</v>
      </c>
      <c r="AZ328" s="3">
        <v>50.54</v>
      </c>
      <c r="BA328" s="3">
        <v>50.75</v>
      </c>
      <c r="BB328" s="3">
        <v>50</v>
      </c>
      <c r="BC328" s="3">
        <v>50.27</v>
      </c>
      <c r="BD328" s="3">
        <v>14698042</v>
      </c>
      <c r="BE328" s="3">
        <v>33.44</v>
      </c>
      <c r="BF328" s="3">
        <v>33.44</v>
      </c>
      <c r="BG328" s="3">
        <v>33.130000000000003</v>
      </c>
      <c r="BH328" s="3">
        <v>33.24</v>
      </c>
      <c r="BI328" s="3">
        <v>20856</v>
      </c>
    </row>
    <row r="329" spans="1:61" ht="13" x14ac:dyDescent="0.15">
      <c r="A329" s="3">
        <v>42604</v>
      </c>
      <c r="B329" s="3">
        <v>2181.58</v>
      </c>
      <c r="C329" s="3">
        <v>2185.15</v>
      </c>
      <c r="D329" s="3">
        <v>2175.96</v>
      </c>
      <c r="E329" s="3">
        <v>2182.64</v>
      </c>
      <c r="F329" s="3">
        <v>463033593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3">
        <v>81.42</v>
      </c>
      <c r="M329" s="3">
        <v>81.540000000000006</v>
      </c>
      <c r="N329" s="3">
        <v>81.180000000000007</v>
      </c>
      <c r="O329" s="3">
        <v>81.42</v>
      </c>
      <c r="P329" s="3">
        <v>2888580</v>
      </c>
      <c r="Q329" s="3">
        <v>54.92</v>
      </c>
      <c r="R329" s="3">
        <v>55.06</v>
      </c>
      <c r="S329" s="3">
        <v>54.82</v>
      </c>
      <c r="T329" s="3">
        <v>55</v>
      </c>
      <c r="U329" s="3">
        <v>9938559</v>
      </c>
      <c r="V329" s="3">
        <v>69.8</v>
      </c>
      <c r="W329" s="3">
        <v>69.930000000000007</v>
      </c>
      <c r="X329" s="3">
        <v>69.28</v>
      </c>
      <c r="Y329" s="3">
        <v>69.599999999999994</v>
      </c>
      <c r="Z329" s="3">
        <v>14136701</v>
      </c>
      <c r="AA329" s="3">
        <v>19.46</v>
      </c>
      <c r="AB329" s="3">
        <v>19.510000000000002</v>
      </c>
      <c r="AC329" s="3">
        <v>19.420000000000002</v>
      </c>
      <c r="AD329" s="3">
        <v>19.5</v>
      </c>
      <c r="AE329" s="3">
        <v>26415478</v>
      </c>
      <c r="AF329" s="3">
        <v>74.39</v>
      </c>
      <c r="AG329" s="3">
        <v>74.790000000000006</v>
      </c>
      <c r="AH329" s="3">
        <v>74.31</v>
      </c>
      <c r="AI329" s="3">
        <v>74.510000000000005</v>
      </c>
      <c r="AJ329" s="3">
        <v>4090216</v>
      </c>
      <c r="AK329" s="3">
        <v>58.96</v>
      </c>
      <c r="AL329" s="3">
        <v>59.1</v>
      </c>
      <c r="AM329" s="3">
        <v>58.77</v>
      </c>
      <c r="AN329" s="3">
        <v>58.97</v>
      </c>
      <c r="AO329" s="3">
        <v>6624650</v>
      </c>
      <c r="AP329" s="3">
        <v>48.81</v>
      </c>
      <c r="AQ329" s="3">
        <v>48.99</v>
      </c>
      <c r="AR329" s="3">
        <v>48.55</v>
      </c>
      <c r="AS329" s="3">
        <v>48.92</v>
      </c>
      <c r="AT329" s="3">
        <v>3049985</v>
      </c>
      <c r="AU329" s="3">
        <v>46.89</v>
      </c>
      <c r="AV329" s="3">
        <v>47.07</v>
      </c>
      <c r="AW329" s="3">
        <v>46.81</v>
      </c>
      <c r="AX329" s="3">
        <v>47.02</v>
      </c>
      <c r="AY329" s="3">
        <v>4628665</v>
      </c>
      <c r="AZ329" s="3">
        <v>50.35</v>
      </c>
      <c r="BA329" s="3">
        <v>50.62</v>
      </c>
      <c r="BB329" s="3">
        <v>50.25</v>
      </c>
      <c r="BC329" s="3">
        <v>50.4</v>
      </c>
      <c r="BD329" s="3">
        <v>9101763</v>
      </c>
      <c r="BE329" s="3">
        <v>33.119999999999997</v>
      </c>
      <c r="BF329" s="3">
        <v>33.4</v>
      </c>
      <c r="BG329" s="3">
        <v>33.119999999999997</v>
      </c>
      <c r="BH329" s="3">
        <v>33.4</v>
      </c>
      <c r="BI329" s="3">
        <v>56283</v>
      </c>
    </row>
    <row r="330" spans="1:61" ht="13" x14ac:dyDescent="0.15">
      <c r="A330" s="3">
        <v>42605</v>
      </c>
      <c r="B330" s="3">
        <v>2187.81</v>
      </c>
      <c r="C330" s="3">
        <v>2193.42</v>
      </c>
      <c r="D330" s="3">
        <v>2186.8000000000002</v>
      </c>
      <c r="E330" s="3">
        <v>2186.9</v>
      </c>
      <c r="F330" s="3">
        <v>466736625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3">
        <v>81.8</v>
      </c>
      <c r="M330" s="3">
        <v>81.93</v>
      </c>
      <c r="N330" s="3">
        <v>81.69</v>
      </c>
      <c r="O330" s="3">
        <v>81.83</v>
      </c>
      <c r="P330" s="3">
        <v>5350824</v>
      </c>
      <c r="Q330" s="3">
        <v>55.03</v>
      </c>
      <c r="R330" s="3">
        <v>55.13</v>
      </c>
      <c r="S330" s="3">
        <v>54.87</v>
      </c>
      <c r="T330" s="3">
        <v>54.89</v>
      </c>
      <c r="U330" s="3">
        <v>5687354</v>
      </c>
      <c r="V330" s="3">
        <v>69.599999999999994</v>
      </c>
      <c r="W330" s="3">
        <v>70.27</v>
      </c>
      <c r="X330" s="3">
        <v>69.599999999999994</v>
      </c>
      <c r="Y330" s="3">
        <v>70.09</v>
      </c>
      <c r="Z330" s="3">
        <v>12456241</v>
      </c>
      <c r="AA330" s="3">
        <v>19.57</v>
      </c>
      <c r="AB330" s="3">
        <v>19.62</v>
      </c>
      <c r="AC330" s="3">
        <v>19.52</v>
      </c>
      <c r="AD330" s="3">
        <v>19.52</v>
      </c>
      <c r="AE330" s="3">
        <v>24253026</v>
      </c>
      <c r="AF330" s="3">
        <v>74.77</v>
      </c>
      <c r="AG330" s="3">
        <v>75</v>
      </c>
      <c r="AH330" s="3">
        <v>74.540000000000006</v>
      </c>
      <c r="AI330" s="3">
        <v>74.58</v>
      </c>
      <c r="AJ330" s="3">
        <v>8557869</v>
      </c>
      <c r="AK330" s="3">
        <v>59.15</v>
      </c>
      <c r="AL330" s="3">
        <v>59.34</v>
      </c>
      <c r="AM330" s="3">
        <v>59.02</v>
      </c>
      <c r="AN330" s="3">
        <v>59.02</v>
      </c>
      <c r="AO330" s="3">
        <v>8327265</v>
      </c>
      <c r="AP330" s="3">
        <v>49.35</v>
      </c>
      <c r="AQ330" s="3">
        <v>49.57</v>
      </c>
      <c r="AR330" s="3">
        <v>49.23</v>
      </c>
      <c r="AS330" s="3">
        <v>49.34</v>
      </c>
      <c r="AT330" s="3">
        <v>4129724</v>
      </c>
      <c r="AU330" s="3">
        <v>47.16</v>
      </c>
      <c r="AV330" s="3">
        <v>47.3</v>
      </c>
      <c r="AW330" s="3">
        <v>47.15</v>
      </c>
      <c r="AX330" s="3">
        <v>47.19</v>
      </c>
      <c r="AY330" s="3">
        <v>8315308</v>
      </c>
      <c r="AZ330" s="3">
        <v>50.48</v>
      </c>
      <c r="BA330" s="3">
        <v>50.72</v>
      </c>
      <c r="BB330" s="3">
        <v>50.15</v>
      </c>
      <c r="BC330" s="3">
        <v>50.18</v>
      </c>
      <c r="BD330" s="3">
        <v>9578718</v>
      </c>
      <c r="BE330" s="3">
        <v>33.54</v>
      </c>
      <c r="BF330" s="3">
        <v>33.54</v>
      </c>
      <c r="BG330" s="3">
        <v>33.380000000000003</v>
      </c>
      <c r="BH330" s="3">
        <v>33.380000000000003</v>
      </c>
      <c r="BI330" s="3">
        <v>60598</v>
      </c>
    </row>
    <row r="331" spans="1:61" ht="13" x14ac:dyDescent="0.15">
      <c r="A331" s="3">
        <v>42606</v>
      </c>
      <c r="B331" s="3">
        <v>2185.09</v>
      </c>
      <c r="C331" s="3">
        <v>2186.66</v>
      </c>
      <c r="D331" s="3">
        <v>2171.25</v>
      </c>
      <c r="E331" s="3">
        <v>2175.44</v>
      </c>
      <c r="F331" s="3">
        <v>472264903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3">
        <v>81.75</v>
      </c>
      <c r="M331" s="3">
        <v>81.95</v>
      </c>
      <c r="N331" s="3">
        <v>81.28</v>
      </c>
      <c r="O331" s="3">
        <v>81.44</v>
      </c>
      <c r="P331" s="3">
        <v>3233111</v>
      </c>
      <c r="Q331" s="3">
        <v>54.87</v>
      </c>
      <c r="R331" s="3">
        <v>54.98</v>
      </c>
      <c r="S331" s="3">
        <v>54.58</v>
      </c>
      <c r="T331" s="3">
        <v>54.8</v>
      </c>
      <c r="U331" s="3">
        <v>7793780</v>
      </c>
      <c r="V331" s="3">
        <v>69.7</v>
      </c>
      <c r="W331" s="3">
        <v>70.16</v>
      </c>
      <c r="X331" s="3">
        <v>69.63</v>
      </c>
      <c r="Y331" s="3">
        <v>69.81</v>
      </c>
      <c r="Z331" s="3">
        <v>16452642</v>
      </c>
      <c r="AA331" s="3">
        <v>19.53</v>
      </c>
      <c r="AB331" s="3">
        <v>19.579999999999998</v>
      </c>
      <c r="AC331" s="3">
        <v>19.46</v>
      </c>
      <c r="AD331" s="3">
        <v>19.510000000000002</v>
      </c>
      <c r="AE331" s="3">
        <v>19739414</v>
      </c>
      <c r="AF331" s="3">
        <v>74.55</v>
      </c>
      <c r="AG331" s="3">
        <v>74.709999999999994</v>
      </c>
      <c r="AH331" s="3">
        <v>73.23</v>
      </c>
      <c r="AI331" s="3">
        <v>73.41</v>
      </c>
      <c r="AJ331" s="3">
        <v>8670361</v>
      </c>
      <c r="AK331" s="3">
        <v>58.94</v>
      </c>
      <c r="AL331" s="3">
        <v>59.01</v>
      </c>
      <c r="AM331" s="3">
        <v>58.74</v>
      </c>
      <c r="AN331" s="3">
        <v>58.84</v>
      </c>
      <c r="AO331" s="3">
        <v>8569679</v>
      </c>
      <c r="AP331" s="3">
        <v>49.27</v>
      </c>
      <c r="AQ331" s="3">
        <v>49.27</v>
      </c>
      <c r="AR331" s="3">
        <v>48.71</v>
      </c>
      <c r="AS331" s="3">
        <v>48.77</v>
      </c>
      <c r="AT331" s="3">
        <v>3903916</v>
      </c>
      <c r="AU331" s="3">
        <v>47.17</v>
      </c>
      <c r="AV331" s="3">
        <v>47.19</v>
      </c>
      <c r="AW331" s="3">
        <v>46.82</v>
      </c>
      <c r="AX331" s="3">
        <v>46.93</v>
      </c>
      <c r="AY331" s="3">
        <v>6824434</v>
      </c>
      <c r="AZ331" s="3">
        <v>50.1</v>
      </c>
      <c r="BA331" s="3">
        <v>50.24</v>
      </c>
      <c r="BB331" s="3">
        <v>49.77</v>
      </c>
      <c r="BC331" s="3">
        <v>50.16</v>
      </c>
      <c r="BD331" s="3">
        <v>8048328</v>
      </c>
      <c r="BE331" s="3">
        <v>33.549999999999997</v>
      </c>
      <c r="BF331" s="3">
        <v>33.549999999999997</v>
      </c>
      <c r="BG331" s="3">
        <v>33.14</v>
      </c>
      <c r="BH331" s="3">
        <v>33.29</v>
      </c>
      <c r="BI331" s="3">
        <v>58657</v>
      </c>
    </row>
    <row r="332" spans="1:61" ht="13" x14ac:dyDescent="0.15">
      <c r="A332" s="3">
        <v>42607</v>
      </c>
      <c r="B332" s="3">
        <v>2173.29</v>
      </c>
      <c r="C332" s="3">
        <v>2179</v>
      </c>
      <c r="D332" s="3">
        <v>2169.7399999999998</v>
      </c>
      <c r="E332" s="3">
        <v>2172.4699999999998</v>
      </c>
      <c r="F332" s="3">
        <v>459398340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3">
        <v>81.14</v>
      </c>
      <c r="M332" s="3">
        <v>81.44</v>
      </c>
      <c r="N332" s="3">
        <v>81.02</v>
      </c>
      <c r="O332" s="3">
        <v>81.17</v>
      </c>
      <c r="P332" s="3">
        <v>3030748</v>
      </c>
      <c r="Q332" s="3">
        <v>54.83</v>
      </c>
      <c r="R332" s="3">
        <v>54.83</v>
      </c>
      <c r="S332" s="3">
        <v>54.48</v>
      </c>
      <c r="T332" s="3">
        <v>54.59</v>
      </c>
      <c r="U332" s="3">
        <v>7359658</v>
      </c>
      <c r="V332" s="3">
        <v>69.7</v>
      </c>
      <c r="W332" s="3">
        <v>69.91</v>
      </c>
      <c r="X332" s="3">
        <v>69.39</v>
      </c>
      <c r="Y332" s="3">
        <v>69.62</v>
      </c>
      <c r="Z332" s="3">
        <v>11895847</v>
      </c>
      <c r="AA332" s="3">
        <v>19.489999999999998</v>
      </c>
      <c r="AB332" s="3">
        <v>19.59</v>
      </c>
      <c r="AC332" s="3">
        <v>19.46</v>
      </c>
      <c r="AD332" s="3">
        <v>19.55</v>
      </c>
      <c r="AE332" s="3">
        <v>22136176</v>
      </c>
      <c r="AF332" s="3">
        <v>73.209999999999994</v>
      </c>
      <c r="AG332" s="3">
        <v>73.510000000000005</v>
      </c>
      <c r="AH332" s="3">
        <v>72.47</v>
      </c>
      <c r="AI332" s="3">
        <v>72.790000000000006</v>
      </c>
      <c r="AJ332" s="3">
        <v>8766486</v>
      </c>
      <c r="AK332" s="3">
        <v>58.83</v>
      </c>
      <c r="AL332" s="3">
        <v>58.98</v>
      </c>
      <c r="AM332" s="3">
        <v>58.65</v>
      </c>
      <c r="AN332" s="3">
        <v>58.83</v>
      </c>
      <c r="AO332" s="3">
        <v>8623173</v>
      </c>
      <c r="AP332" s="3">
        <v>48.72</v>
      </c>
      <c r="AQ332" s="3">
        <v>49.07</v>
      </c>
      <c r="AR332" s="3">
        <v>48.71</v>
      </c>
      <c r="AS332" s="3">
        <v>49.01</v>
      </c>
      <c r="AT332" s="3">
        <v>3388152</v>
      </c>
      <c r="AU332" s="3">
        <v>46.85</v>
      </c>
      <c r="AV332" s="3">
        <v>47.09</v>
      </c>
      <c r="AW332" s="3">
        <v>46.77</v>
      </c>
      <c r="AX332" s="3">
        <v>47.03</v>
      </c>
      <c r="AY332" s="3">
        <v>5912652</v>
      </c>
      <c r="AZ332" s="3">
        <v>50.11</v>
      </c>
      <c r="BA332" s="3">
        <v>50.36</v>
      </c>
      <c r="BB332" s="3">
        <v>50.1</v>
      </c>
      <c r="BC332" s="3">
        <v>50.19</v>
      </c>
      <c r="BD332" s="3">
        <v>7222778</v>
      </c>
      <c r="BE332" s="3">
        <v>33.130000000000003</v>
      </c>
      <c r="BF332" s="3">
        <v>33.64</v>
      </c>
      <c r="BG332" s="3">
        <v>33.130000000000003</v>
      </c>
      <c r="BH332" s="3">
        <v>33.43</v>
      </c>
      <c r="BI332" s="3">
        <v>24408</v>
      </c>
    </row>
    <row r="333" spans="1:61" ht="13" x14ac:dyDescent="0.15">
      <c r="A333" s="3">
        <v>42608</v>
      </c>
      <c r="B333" s="3">
        <v>2175.1</v>
      </c>
      <c r="C333" s="3">
        <v>2187.94</v>
      </c>
      <c r="D333" s="3">
        <v>2160.39</v>
      </c>
      <c r="E333" s="3">
        <v>2169.04</v>
      </c>
      <c r="F333" s="3">
        <v>494425690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3">
        <v>81.290000000000006</v>
      </c>
      <c r="M333" s="3">
        <v>81.61</v>
      </c>
      <c r="N333" s="3">
        <v>80.58</v>
      </c>
      <c r="O333" s="3">
        <v>80.94</v>
      </c>
      <c r="P333" s="3">
        <v>6289208</v>
      </c>
      <c r="Q333" s="3">
        <v>54.64</v>
      </c>
      <c r="R333" s="3">
        <v>54.86</v>
      </c>
      <c r="S333" s="3">
        <v>54.16</v>
      </c>
      <c r="T333" s="3">
        <v>54.31</v>
      </c>
      <c r="U333" s="3">
        <v>13499833</v>
      </c>
      <c r="V333" s="3">
        <v>69.739999999999995</v>
      </c>
      <c r="W333" s="3">
        <v>70.28</v>
      </c>
      <c r="X333" s="3">
        <v>69.05</v>
      </c>
      <c r="Y333" s="3">
        <v>69.38</v>
      </c>
      <c r="Z333" s="3">
        <v>14575065</v>
      </c>
      <c r="AA333" s="3">
        <v>19.61</v>
      </c>
      <c r="AB333" s="3">
        <v>19.72</v>
      </c>
      <c r="AC333" s="3">
        <v>19.46</v>
      </c>
      <c r="AD333" s="3">
        <v>19.579999999999998</v>
      </c>
      <c r="AE333" s="3">
        <v>52764703</v>
      </c>
      <c r="AF333" s="3">
        <v>72.87</v>
      </c>
      <c r="AG333" s="3">
        <v>73.45</v>
      </c>
      <c r="AH333" s="3">
        <v>72.63</v>
      </c>
      <c r="AI333" s="3">
        <v>73.069999999999993</v>
      </c>
      <c r="AJ333" s="3">
        <v>9974260</v>
      </c>
      <c r="AK333" s="3">
        <v>58.94</v>
      </c>
      <c r="AL333" s="3">
        <v>59.25</v>
      </c>
      <c r="AM333" s="3">
        <v>58.48</v>
      </c>
      <c r="AN333" s="3">
        <v>58.66</v>
      </c>
      <c r="AO333" s="3">
        <v>15676881</v>
      </c>
      <c r="AP333" s="3">
        <v>49.2</v>
      </c>
      <c r="AQ333" s="3">
        <v>49.52</v>
      </c>
      <c r="AR333" s="3">
        <v>48.53</v>
      </c>
      <c r="AS333" s="3">
        <v>48.73</v>
      </c>
      <c r="AT333" s="3">
        <v>5984825</v>
      </c>
      <c r="AU333" s="3">
        <v>47</v>
      </c>
      <c r="AV333" s="3">
        <v>47.39</v>
      </c>
      <c r="AW333" s="3">
        <v>46.8</v>
      </c>
      <c r="AX333" s="3">
        <v>47.05</v>
      </c>
      <c r="AY333" s="3">
        <v>12113571</v>
      </c>
      <c r="AZ333" s="3">
        <v>50.22</v>
      </c>
      <c r="BA333" s="3">
        <v>50.56</v>
      </c>
      <c r="BB333" s="3">
        <v>49.11</v>
      </c>
      <c r="BC333" s="3">
        <v>49.15</v>
      </c>
      <c r="BD333" s="3">
        <v>20911235</v>
      </c>
      <c r="BE333" s="3">
        <v>33.54</v>
      </c>
      <c r="BF333" s="3">
        <v>33.58</v>
      </c>
      <c r="BG333" s="3">
        <v>32.9</v>
      </c>
      <c r="BH333" s="3">
        <v>33.1</v>
      </c>
      <c r="BI333" s="3">
        <v>33688</v>
      </c>
    </row>
    <row r="334" spans="1:61" ht="13" x14ac:dyDescent="0.15">
      <c r="A334" s="3">
        <v>42611</v>
      </c>
      <c r="B334" s="3">
        <v>2170.19</v>
      </c>
      <c r="C334" s="3">
        <v>2183.48</v>
      </c>
      <c r="D334" s="3">
        <v>2170.19</v>
      </c>
      <c r="E334" s="3">
        <v>2180.38</v>
      </c>
      <c r="F334" s="3">
        <v>434407871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3">
        <v>80.94</v>
      </c>
      <c r="M334" s="3">
        <v>81.33</v>
      </c>
      <c r="N334" s="3">
        <v>80.94</v>
      </c>
      <c r="O334" s="3">
        <v>81.22</v>
      </c>
      <c r="P334" s="3">
        <v>3996282</v>
      </c>
      <c r="Q334" s="3">
        <v>54.41</v>
      </c>
      <c r="R334" s="3">
        <v>54.63</v>
      </c>
      <c r="S334" s="3">
        <v>54.36</v>
      </c>
      <c r="T334" s="3">
        <v>54.63</v>
      </c>
      <c r="U334" s="3">
        <v>8202816</v>
      </c>
      <c r="V334" s="3">
        <v>69.180000000000007</v>
      </c>
      <c r="W334" s="3">
        <v>69.91</v>
      </c>
      <c r="X334" s="3">
        <v>69.099999999999994</v>
      </c>
      <c r="Y334" s="3">
        <v>69.849999999999994</v>
      </c>
      <c r="Z334" s="3">
        <v>7393983</v>
      </c>
      <c r="AA334" s="3">
        <v>19.63</v>
      </c>
      <c r="AB334" s="3">
        <v>19.82</v>
      </c>
      <c r="AC334" s="3">
        <v>19.600000000000001</v>
      </c>
      <c r="AD334" s="3">
        <v>19.75</v>
      </c>
      <c r="AE334" s="3">
        <v>32860681</v>
      </c>
      <c r="AF334" s="3">
        <v>73.099999999999994</v>
      </c>
      <c r="AG334" s="3">
        <v>73.41</v>
      </c>
      <c r="AH334" s="3">
        <v>72.92</v>
      </c>
      <c r="AI334" s="3">
        <v>73.23</v>
      </c>
      <c r="AJ334" s="3">
        <v>7372084</v>
      </c>
      <c r="AK334" s="3">
        <v>58.67</v>
      </c>
      <c r="AL334" s="3">
        <v>59.09</v>
      </c>
      <c r="AM334" s="3">
        <v>58.67</v>
      </c>
      <c r="AN334" s="3">
        <v>59.08</v>
      </c>
      <c r="AO334" s="3">
        <v>7628192</v>
      </c>
      <c r="AP334" s="3">
        <v>48.66</v>
      </c>
      <c r="AQ334" s="3">
        <v>49.28</v>
      </c>
      <c r="AR334" s="3">
        <v>48.65</v>
      </c>
      <c r="AS334" s="3">
        <v>49.17</v>
      </c>
      <c r="AT334" s="3">
        <v>2983773</v>
      </c>
      <c r="AU334" s="3">
        <v>47.03</v>
      </c>
      <c r="AV334" s="3">
        <v>47.3</v>
      </c>
      <c r="AW334" s="3">
        <v>47.03</v>
      </c>
      <c r="AX334" s="3">
        <v>47.23</v>
      </c>
      <c r="AY334" s="3">
        <v>6982772</v>
      </c>
      <c r="AZ334" s="3">
        <v>49.3</v>
      </c>
      <c r="BA334" s="3">
        <v>49.67</v>
      </c>
      <c r="BB334" s="3">
        <v>49.25</v>
      </c>
      <c r="BC334" s="3">
        <v>49.55</v>
      </c>
      <c r="BD334" s="3">
        <v>13015722</v>
      </c>
      <c r="BE334" s="3">
        <v>33.130000000000003</v>
      </c>
      <c r="BF334" s="3">
        <v>33.479999999999997</v>
      </c>
      <c r="BG334" s="3">
        <v>33.07</v>
      </c>
      <c r="BH334" s="3">
        <v>33.43</v>
      </c>
      <c r="BI334" s="3">
        <v>22878</v>
      </c>
    </row>
    <row r="335" spans="1:61" ht="13" x14ac:dyDescent="0.15">
      <c r="A335" s="3">
        <v>42612</v>
      </c>
      <c r="B335" s="3">
        <v>2179.4499999999998</v>
      </c>
      <c r="C335" s="3">
        <v>2182.27</v>
      </c>
      <c r="D335" s="3">
        <v>2170.41</v>
      </c>
      <c r="E335" s="3">
        <v>2176.12</v>
      </c>
      <c r="F335" s="3">
        <v>470170318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3">
        <v>81.14</v>
      </c>
      <c r="M335" s="3">
        <v>81.239999999999995</v>
      </c>
      <c r="N335" s="3">
        <v>80.64</v>
      </c>
      <c r="O335" s="3">
        <v>80.77</v>
      </c>
      <c r="P335" s="3">
        <v>2452905</v>
      </c>
      <c r="Q335" s="3">
        <v>54.53</v>
      </c>
      <c r="R335" s="3">
        <v>54.61</v>
      </c>
      <c r="S335" s="3">
        <v>54.23</v>
      </c>
      <c r="T335" s="3">
        <v>54.31</v>
      </c>
      <c r="U335" s="3">
        <v>7950912</v>
      </c>
      <c r="V335" s="3">
        <v>70.010000000000005</v>
      </c>
      <c r="W335" s="3">
        <v>70.28</v>
      </c>
      <c r="X335" s="3">
        <v>69.349999999999994</v>
      </c>
      <c r="Y335" s="3">
        <v>69.61</v>
      </c>
      <c r="Z335" s="3">
        <v>7132867</v>
      </c>
      <c r="AA335" s="3">
        <v>19.78</v>
      </c>
      <c r="AB335" s="3">
        <v>19.93</v>
      </c>
      <c r="AC335" s="3">
        <v>19.760000000000002</v>
      </c>
      <c r="AD335" s="3">
        <v>19.93</v>
      </c>
      <c r="AE335" s="3">
        <v>31973297</v>
      </c>
      <c r="AF335" s="3">
        <v>73.319999999999993</v>
      </c>
      <c r="AG335" s="3">
        <v>73.319999999999993</v>
      </c>
      <c r="AH335" s="3">
        <v>72.8</v>
      </c>
      <c r="AI335" s="3">
        <v>72.98</v>
      </c>
      <c r="AJ335" s="3">
        <v>5497785</v>
      </c>
      <c r="AK335" s="3">
        <v>59.04</v>
      </c>
      <c r="AL335" s="3">
        <v>59.08</v>
      </c>
      <c r="AM335" s="3">
        <v>58.77</v>
      </c>
      <c r="AN335" s="3">
        <v>58.92</v>
      </c>
      <c r="AO335" s="3">
        <v>5953765</v>
      </c>
      <c r="AP335" s="3">
        <v>49.15</v>
      </c>
      <c r="AQ335" s="3">
        <v>49.41</v>
      </c>
      <c r="AR335" s="3">
        <v>48.96</v>
      </c>
      <c r="AS335" s="3">
        <v>49.05</v>
      </c>
      <c r="AT335" s="3">
        <v>3765845</v>
      </c>
      <c r="AU335" s="3">
        <v>47.14</v>
      </c>
      <c r="AV335" s="3">
        <v>47.24</v>
      </c>
      <c r="AW335" s="3">
        <v>46.91</v>
      </c>
      <c r="AX335" s="3">
        <v>47.07</v>
      </c>
      <c r="AY335" s="3">
        <v>5718155</v>
      </c>
      <c r="AZ335" s="3">
        <v>49.51</v>
      </c>
      <c r="BA335" s="3">
        <v>49.75</v>
      </c>
      <c r="BB335" s="3">
        <v>48.97</v>
      </c>
      <c r="BC335" s="3">
        <v>49.03</v>
      </c>
      <c r="BD335" s="3">
        <v>12261517</v>
      </c>
      <c r="BE335" s="3">
        <v>33.49</v>
      </c>
      <c r="BF335" s="3">
        <v>33.49</v>
      </c>
      <c r="BG335" s="3">
        <v>33.159999999999997</v>
      </c>
      <c r="BH335" s="3">
        <v>33.33</v>
      </c>
      <c r="BI335" s="3">
        <v>38604</v>
      </c>
    </row>
    <row r="336" spans="1:61" ht="13" x14ac:dyDescent="0.15">
      <c r="A336" s="3">
        <v>42613</v>
      </c>
      <c r="B336" s="3">
        <v>2173.56</v>
      </c>
      <c r="C336" s="3">
        <v>2173.79</v>
      </c>
      <c r="D336" s="3">
        <v>2161.35</v>
      </c>
      <c r="E336" s="3">
        <v>2170.9499999999998</v>
      </c>
      <c r="F336" s="3">
        <v>659162199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3">
        <v>80.709999999999994</v>
      </c>
      <c r="M336" s="3">
        <v>80.84</v>
      </c>
      <c r="N336" s="3">
        <v>80.260000000000005</v>
      </c>
      <c r="O336" s="3">
        <v>80.56</v>
      </c>
      <c r="P336" s="3">
        <v>3500937</v>
      </c>
      <c r="Q336" s="3">
        <v>54.26</v>
      </c>
      <c r="R336" s="3">
        <v>54.44</v>
      </c>
      <c r="S336" s="3">
        <v>54.19</v>
      </c>
      <c r="T336" s="3">
        <v>54.38</v>
      </c>
      <c r="U336" s="3">
        <v>8154863</v>
      </c>
      <c r="V336" s="3">
        <v>69.22</v>
      </c>
      <c r="W336" s="3">
        <v>69.319999999999993</v>
      </c>
      <c r="X336" s="3">
        <v>68.13</v>
      </c>
      <c r="Y336" s="3">
        <v>68.510000000000005</v>
      </c>
      <c r="Z336" s="3">
        <v>13232792</v>
      </c>
      <c r="AA336" s="3">
        <v>19.940000000000001</v>
      </c>
      <c r="AB336" s="3">
        <v>19.96</v>
      </c>
      <c r="AC336" s="3">
        <v>19.78</v>
      </c>
      <c r="AD336" s="3">
        <v>19.940000000000001</v>
      </c>
      <c r="AE336" s="3">
        <v>45805079</v>
      </c>
      <c r="AF336" s="3">
        <v>72.88</v>
      </c>
      <c r="AG336" s="3">
        <v>72.97</v>
      </c>
      <c r="AH336" s="3">
        <v>72.48</v>
      </c>
      <c r="AI336" s="3">
        <v>72.760000000000005</v>
      </c>
      <c r="AJ336" s="3">
        <v>4756812</v>
      </c>
      <c r="AK336" s="3">
        <v>58.77</v>
      </c>
      <c r="AL336" s="3">
        <v>58.82</v>
      </c>
      <c r="AM336" s="3">
        <v>58.37</v>
      </c>
      <c r="AN336" s="3">
        <v>58.59</v>
      </c>
      <c r="AO336" s="3">
        <v>9592234</v>
      </c>
      <c r="AP336" s="3">
        <v>48.8</v>
      </c>
      <c r="AQ336" s="3">
        <v>48.88</v>
      </c>
      <c r="AR336" s="3">
        <v>48.45</v>
      </c>
      <c r="AS336" s="3">
        <v>48.56</v>
      </c>
      <c r="AT336" s="3">
        <v>4190169</v>
      </c>
      <c r="AU336" s="3">
        <v>47.01</v>
      </c>
      <c r="AV336" s="3">
        <v>47.06</v>
      </c>
      <c r="AW336" s="3">
        <v>46.84</v>
      </c>
      <c r="AX336" s="3">
        <v>46.99</v>
      </c>
      <c r="AY336" s="3">
        <v>11161161</v>
      </c>
      <c r="AZ336" s="3">
        <v>48.98</v>
      </c>
      <c r="BA336" s="3">
        <v>49.25</v>
      </c>
      <c r="BB336" s="3">
        <v>48.87</v>
      </c>
      <c r="BC336" s="3">
        <v>49.23</v>
      </c>
      <c r="BD336" s="3">
        <v>11502087</v>
      </c>
      <c r="BE336" s="3">
        <v>33.43</v>
      </c>
      <c r="BF336" s="3">
        <v>33.46</v>
      </c>
      <c r="BG336" s="3">
        <v>33.19</v>
      </c>
      <c r="BH336" s="3">
        <v>33.380000000000003</v>
      </c>
      <c r="BI336" s="3">
        <v>143354</v>
      </c>
    </row>
    <row r="337" spans="1:61" ht="13" x14ac:dyDescent="0.15">
      <c r="A337" s="3">
        <v>42614</v>
      </c>
      <c r="B337" s="3">
        <v>2171.33</v>
      </c>
      <c r="C337" s="3">
        <v>2173.56</v>
      </c>
      <c r="D337" s="3">
        <v>2157.09</v>
      </c>
      <c r="E337" s="3">
        <v>2170.86</v>
      </c>
      <c r="F337" s="3">
        <v>507264056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3">
        <v>80.650000000000006</v>
      </c>
      <c r="M337" s="3">
        <v>80.900000000000006</v>
      </c>
      <c r="N337" s="3">
        <v>80.28</v>
      </c>
      <c r="O337" s="3">
        <v>80.72</v>
      </c>
      <c r="P337" s="3">
        <v>5416837</v>
      </c>
      <c r="Q337" s="3">
        <v>54.16</v>
      </c>
      <c r="R337" s="3">
        <v>54.45</v>
      </c>
      <c r="S337" s="3">
        <v>54.11</v>
      </c>
      <c r="T337" s="3">
        <v>54.4</v>
      </c>
      <c r="U337" s="3">
        <v>16677600</v>
      </c>
      <c r="V337" s="3">
        <v>68.22</v>
      </c>
      <c r="W337" s="3">
        <v>68.47</v>
      </c>
      <c r="X337" s="3">
        <v>67.77</v>
      </c>
      <c r="Y337" s="3">
        <v>68.31</v>
      </c>
      <c r="Z337" s="3">
        <v>16668518</v>
      </c>
      <c r="AA337" s="3">
        <v>19.989999999999998</v>
      </c>
      <c r="AB337" s="3">
        <v>20.010000000000002</v>
      </c>
      <c r="AC337" s="3">
        <v>19.71</v>
      </c>
      <c r="AD337" s="3">
        <v>19.86</v>
      </c>
      <c r="AE337" s="3">
        <v>51145757</v>
      </c>
      <c r="AF337" s="3">
        <v>72.760000000000005</v>
      </c>
      <c r="AG337" s="3">
        <v>72.849999999999994</v>
      </c>
      <c r="AH337" s="3">
        <v>72.239999999999995</v>
      </c>
      <c r="AI337" s="3">
        <v>72.569999999999993</v>
      </c>
      <c r="AJ337" s="3">
        <v>9501445</v>
      </c>
      <c r="AK337" s="3">
        <v>58.69</v>
      </c>
      <c r="AL337" s="3">
        <v>58.81</v>
      </c>
      <c r="AM337" s="3">
        <v>58.19</v>
      </c>
      <c r="AN337" s="3">
        <v>58.64</v>
      </c>
      <c r="AO337" s="3">
        <v>9397627</v>
      </c>
      <c r="AP337" s="3">
        <v>48.71</v>
      </c>
      <c r="AQ337" s="3">
        <v>48.82</v>
      </c>
      <c r="AR337" s="3">
        <v>48.4</v>
      </c>
      <c r="AS337" s="3">
        <v>48.76</v>
      </c>
      <c r="AT337" s="3">
        <v>4731848</v>
      </c>
      <c r="AU337" s="3">
        <v>46.98</v>
      </c>
      <c r="AV337" s="3">
        <v>47.18</v>
      </c>
      <c r="AW337" s="3">
        <v>46.77</v>
      </c>
      <c r="AX337" s="3">
        <v>47.14</v>
      </c>
      <c r="AY337" s="3">
        <v>9239600</v>
      </c>
      <c r="AZ337" s="3">
        <v>49.1</v>
      </c>
      <c r="BA337" s="3">
        <v>49.27</v>
      </c>
      <c r="BB337" s="3">
        <v>48.92</v>
      </c>
      <c r="BC337" s="3">
        <v>48.98</v>
      </c>
      <c r="BD337" s="3">
        <v>15981961</v>
      </c>
      <c r="BE337" s="3">
        <v>33.51</v>
      </c>
      <c r="BF337" s="3">
        <v>33.51</v>
      </c>
      <c r="BG337" s="3">
        <v>33.159999999999997</v>
      </c>
      <c r="BH337" s="3">
        <v>33.369999999999997</v>
      </c>
      <c r="BI337" s="3">
        <v>69541</v>
      </c>
    </row>
    <row r="338" spans="1:61" ht="13" x14ac:dyDescent="0.15">
      <c r="A338" s="3">
        <v>42615</v>
      </c>
      <c r="B338" s="3">
        <v>2177.4899999999998</v>
      </c>
      <c r="C338" s="3">
        <v>2184.87</v>
      </c>
      <c r="D338" s="3">
        <v>2173.59</v>
      </c>
      <c r="E338" s="3">
        <v>2179.98</v>
      </c>
      <c r="F338" s="3">
        <v>491982133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3">
        <v>81.11</v>
      </c>
      <c r="M338" s="3">
        <v>81.19</v>
      </c>
      <c r="N338" s="3">
        <v>80.69</v>
      </c>
      <c r="O338" s="3">
        <v>80.88</v>
      </c>
      <c r="P338" s="3">
        <v>3352425</v>
      </c>
      <c r="Q338" s="3">
        <v>54.6</v>
      </c>
      <c r="R338" s="3">
        <v>54.95</v>
      </c>
      <c r="S338" s="3">
        <v>54.56</v>
      </c>
      <c r="T338" s="3">
        <v>54.82</v>
      </c>
      <c r="U338" s="3">
        <v>10966741</v>
      </c>
      <c r="V338" s="3">
        <v>68.98</v>
      </c>
      <c r="W338" s="3">
        <v>69.25</v>
      </c>
      <c r="X338" s="3">
        <v>68.650000000000006</v>
      </c>
      <c r="Y338" s="3">
        <v>69.08</v>
      </c>
      <c r="Z338" s="3">
        <v>10794394</v>
      </c>
      <c r="AA338" s="3">
        <v>19.89</v>
      </c>
      <c r="AB338" s="3">
        <v>20.010000000000002</v>
      </c>
      <c r="AC338" s="3">
        <v>19.86</v>
      </c>
      <c r="AD338" s="3">
        <v>19.95</v>
      </c>
      <c r="AE338" s="3">
        <v>54360950</v>
      </c>
      <c r="AF338" s="3">
        <v>72.72</v>
      </c>
      <c r="AG338" s="3">
        <v>72.87</v>
      </c>
      <c r="AH338" s="3">
        <v>72.45</v>
      </c>
      <c r="AI338" s="3">
        <v>72.650000000000006</v>
      </c>
      <c r="AJ338" s="3">
        <v>8052275</v>
      </c>
      <c r="AK338" s="3">
        <v>58.91</v>
      </c>
      <c r="AL338" s="3">
        <v>59.13</v>
      </c>
      <c r="AM338" s="3">
        <v>58.74</v>
      </c>
      <c r="AN338" s="3">
        <v>58.93</v>
      </c>
      <c r="AO338" s="3">
        <v>11405371</v>
      </c>
      <c r="AP338" s="3">
        <v>49.13</v>
      </c>
      <c r="AQ338" s="3">
        <v>49.25</v>
      </c>
      <c r="AR338" s="3">
        <v>48.98</v>
      </c>
      <c r="AS338" s="3">
        <v>49.25</v>
      </c>
      <c r="AT338" s="3">
        <v>3304483</v>
      </c>
      <c r="AU338" s="3">
        <v>47.37</v>
      </c>
      <c r="AV338" s="3">
        <v>47.48</v>
      </c>
      <c r="AW338" s="3">
        <v>47.14</v>
      </c>
      <c r="AX338" s="3">
        <v>47.35</v>
      </c>
      <c r="AY338" s="3">
        <v>6907176</v>
      </c>
      <c r="AZ338" s="3">
        <v>49.16</v>
      </c>
      <c r="BA338" s="3">
        <v>49.68</v>
      </c>
      <c r="BB338" s="3">
        <v>49.06</v>
      </c>
      <c r="BC338" s="3">
        <v>49.63</v>
      </c>
      <c r="BD338" s="3">
        <v>16270965</v>
      </c>
      <c r="BE338" s="3">
        <v>33.4</v>
      </c>
      <c r="BF338" s="3">
        <v>33.89</v>
      </c>
      <c r="BG338" s="3">
        <v>33.4</v>
      </c>
      <c r="BH338" s="3">
        <v>33.590000000000003</v>
      </c>
      <c r="BI338" s="3">
        <v>48854</v>
      </c>
    </row>
    <row r="339" spans="1:61" ht="13" x14ac:dyDescent="0.15">
      <c r="A339" s="3">
        <v>42619</v>
      </c>
      <c r="B339" s="3">
        <v>2181.61</v>
      </c>
      <c r="C339" s="3">
        <v>2186.5700000000002</v>
      </c>
      <c r="D339" s="3">
        <v>2175.1</v>
      </c>
      <c r="E339" s="3">
        <v>2186.48</v>
      </c>
      <c r="F339" s="3">
        <v>569188047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3">
        <v>80.88</v>
      </c>
      <c r="M339" s="3">
        <v>81.03</v>
      </c>
      <c r="N339" s="3">
        <v>80.48</v>
      </c>
      <c r="O339" s="3">
        <v>81.03</v>
      </c>
      <c r="P339" s="3">
        <v>6177982</v>
      </c>
      <c r="Q339" s="3">
        <v>54.83</v>
      </c>
      <c r="R339" s="3">
        <v>54.96</v>
      </c>
      <c r="S339" s="3">
        <v>54.56</v>
      </c>
      <c r="T339" s="3">
        <v>54.94</v>
      </c>
      <c r="U339" s="3">
        <v>9273315</v>
      </c>
      <c r="V339" s="3">
        <v>69.260000000000005</v>
      </c>
      <c r="W339" s="3">
        <v>70.180000000000007</v>
      </c>
      <c r="X339" s="3">
        <v>69.2</v>
      </c>
      <c r="Y339" s="3">
        <v>70.12</v>
      </c>
      <c r="Z339" s="3">
        <v>12844055</v>
      </c>
      <c r="AA339" s="3">
        <v>19.940000000000001</v>
      </c>
      <c r="AB339" s="3">
        <v>19.97</v>
      </c>
      <c r="AC339" s="3">
        <v>19.77</v>
      </c>
      <c r="AD339" s="3">
        <v>19.920000000000002</v>
      </c>
      <c r="AE339" s="3">
        <v>48984520</v>
      </c>
      <c r="AF339" s="3">
        <v>72.77</v>
      </c>
      <c r="AG339" s="3">
        <v>73.069999999999993</v>
      </c>
      <c r="AH339" s="3">
        <v>72.66</v>
      </c>
      <c r="AI339" s="3">
        <v>72.91</v>
      </c>
      <c r="AJ339" s="3">
        <v>8735819</v>
      </c>
      <c r="AK339" s="3">
        <v>58.84</v>
      </c>
      <c r="AL339" s="3">
        <v>58.99</v>
      </c>
      <c r="AM339" s="3">
        <v>58.48</v>
      </c>
      <c r="AN339" s="3">
        <v>58.76</v>
      </c>
      <c r="AO339" s="3">
        <v>11028371</v>
      </c>
      <c r="AP339" s="3">
        <v>49.3</v>
      </c>
      <c r="AQ339" s="3">
        <v>49.43</v>
      </c>
      <c r="AR339" s="3">
        <v>48.93</v>
      </c>
      <c r="AS339" s="3">
        <v>49.14</v>
      </c>
      <c r="AT339" s="3">
        <v>3204293</v>
      </c>
      <c r="AU339" s="3">
        <v>47.38</v>
      </c>
      <c r="AV339" s="3">
        <v>47.59</v>
      </c>
      <c r="AW339" s="3">
        <v>47.32</v>
      </c>
      <c r="AX339" s="3">
        <v>47.59</v>
      </c>
      <c r="AY339" s="3">
        <v>15107377</v>
      </c>
      <c r="AZ339" s="3">
        <v>49.89</v>
      </c>
      <c r="BA339" s="3">
        <v>50.23</v>
      </c>
      <c r="BB339" s="3">
        <v>49.75</v>
      </c>
      <c r="BC339" s="3">
        <v>50.17</v>
      </c>
      <c r="BD339" s="3">
        <v>15259141</v>
      </c>
      <c r="BE339" s="3">
        <v>33.76</v>
      </c>
      <c r="BF339" s="3">
        <v>33.89</v>
      </c>
      <c r="BG339" s="3">
        <v>33.5</v>
      </c>
      <c r="BH339" s="3">
        <v>33.869999999999997</v>
      </c>
      <c r="BI339" s="3">
        <v>169454</v>
      </c>
    </row>
    <row r="340" spans="1:61" ht="13" x14ac:dyDescent="0.15">
      <c r="A340" s="3">
        <v>42620</v>
      </c>
      <c r="B340" s="3">
        <v>2185.17</v>
      </c>
      <c r="C340" s="3">
        <v>2187.87</v>
      </c>
      <c r="D340" s="3">
        <v>2179.0700000000002</v>
      </c>
      <c r="E340" s="3">
        <v>2186.16</v>
      </c>
      <c r="F340" s="3">
        <v>511720244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3">
        <v>80.87</v>
      </c>
      <c r="M340" s="3">
        <v>81.08</v>
      </c>
      <c r="N340" s="3">
        <v>80.72</v>
      </c>
      <c r="O340" s="3">
        <v>81.069999999999993</v>
      </c>
      <c r="P340" s="3">
        <v>5364303</v>
      </c>
      <c r="Q340" s="3">
        <v>54.84</v>
      </c>
      <c r="R340" s="3">
        <v>54.94</v>
      </c>
      <c r="S340" s="3">
        <v>54.35</v>
      </c>
      <c r="T340" s="3">
        <v>54.46</v>
      </c>
      <c r="U340" s="3">
        <v>13418458</v>
      </c>
      <c r="V340" s="3">
        <v>70.44</v>
      </c>
      <c r="W340" s="3">
        <v>70.67</v>
      </c>
      <c r="X340" s="3">
        <v>70.13</v>
      </c>
      <c r="Y340" s="3">
        <v>70.52</v>
      </c>
      <c r="Z340" s="3">
        <v>15094546</v>
      </c>
      <c r="AA340" s="3">
        <v>19.850000000000001</v>
      </c>
      <c r="AB340" s="3">
        <v>19.940000000000001</v>
      </c>
      <c r="AC340" s="3">
        <v>19.809999999999999</v>
      </c>
      <c r="AD340" s="3">
        <v>19.91</v>
      </c>
      <c r="AE340" s="3">
        <v>31414344</v>
      </c>
      <c r="AF340" s="3">
        <v>72.849999999999994</v>
      </c>
      <c r="AG340" s="3">
        <v>73.17</v>
      </c>
      <c r="AH340" s="3">
        <v>72.7</v>
      </c>
      <c r="AI340" s="3">
        <v>72.91</v>
      </c>
      <c r="AJ340" s="3">
        <v>7561580</v>
      </c>
      <c r="AK340" s="3">
        <v>58.56</v>
      </c>
      <c r="AL340" s="3">
        <v>58.91</v>
      </c>
      <c r="AM340" s="3">
        <v>58.56</v>
      </c>
      <c r="AN340" s="3">
        <v>58.83</v>
      </c>
      <c r="AO340" s="3">
        <v>6686796</v>
      </c>
      <c r="AP340" s="3">
        <v>49.03</v>
      </c>
      <c r="AQ340" s="3">
        <v>49.21</v>
      </c>
      <c r="AR340" s="3">
        <v>48.76</v>
      </c>
      <c r="AS340" s="3">
        <v>49.07</v>
      </c>
      <c r="AT340" s="3">
        <v>5742053</v>
      </c>
      <c r="AU340" s="3">
        <v>47.59</v>
      </c>
      <c r="AV340" s="3">
        <v>47.72</v>
      </c>
      <c r="AW340" s="3">
        <v>47.46</v>
      </c>
      <c r="AX340" s="3">
        <v>47.71</v>
      </c>
      <c r="AY340" s="3">
        <v>11584977</v>
      </c>
      <c r="AZ340" s="3">
        <v>50.2</v>
      </c>
      <c r="BA340" s="3">
        <v>50.29</v>
      </c>
      <c r="BB340" s="3">
        <v>49.89</v>
      </c>
      <c r="BC340" s="3">
        <v>50.18</v>
      </c>
      <c r="BD340" s="3">
        <v>11490670</v>
      </c>
      <c r="BE340" s="3">
        <v>33.799999999999997</v>
      </c>
      <c r="BF340" s="3">
        <v>33.86</v>
      </c>
      <c r="BG340" s="3">
        <v>33.57</v>
      </c>
      <c r="BH340" s="3">
        <v>33.86</v>
      </c>
      <c r="BI340" s="3">
        <v>555945</v>
      </c>
    </row>
    <row r="341" spans="1:61" ht="13" x14ac:dyDescent="0.15">
      <c r="A341" s="3">
        <v>42621</v>
      </c>
      <c r="B341" s="3">
        <v>2182.7600000000002</v>
      </c>
      <c r="C341" s="3">
        <v>2184.94</v>
      </c>
      <c r="D341" s="3">
        <v>2177.4899999999998</v>
      </c>
      <c r="E341" s="3">
        <v>2181.3000000000002</v>
      </c>
      <c r="F341" s="3">
        <v>530082582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3">
        <v>80.650000000000006</v>
      </c>
      <c r="M341" s="3">
        <v>80.81</v>
      </c>
      <c r="N341" s="3">
        <v>80.27</v>
      </c>
      <c r="O341" s="3">
        <v>80.37</v>
      </c>
      <c r="P341" s="3">
        <v>4459104</v>
      </c>
      <c r="Q341" s="3">
        <v>54.25</v>
      </c>
      <c r="R341" s="3">
        <v>54.41</v>
      </c>
      <c r="S341" s="3">
        <v>54.06</v>
      </c>
      <c r="T341" s="3">
        <v>54.16</v>
      </c>
      <c r="U341" s="3">
        <v>13344386</v>
      </c>
      <c r="V341" s="3">
        <v>70.97</v>
      </c>
      <c r="W341" s="3">
        <v>71.94</v>
      </c>
      <c r="X341" s="3">
        <v>70.63</v>
      </c>
      <c r="Y341" s="3">
        <v>71.84</v>
      </c>
      <c r="Z341" s="3">
        <v>18005348</v>
      </c>
      <c r="AA341" s="3">
        <v>19.91</v>
      </c>
      <c r="AB341" s="3">
        <v>19.97</v>
      </c>
      <c r="AC341" s="3">
        <v>19.850000000000001</v>
      </c>
      <c r="AD341" s="3">
        <v>19.899999999999999</v>
      </c>
      <c r="AE341" s="3">
        <v>58542690</v>
      </c>
      <c r="AF341" s="3">
        <v>72.680000000000007</v>
      </c>
      <c r="AG341" s="3">
        <v>73.03</v>
      </c>
      <c r="AH341" s="3">
        <v>72.61</v>
      </c>
      <c r="AI341" s="3">
        <v>72.97</v>
      </c>
      <c r="AJ341" s="3">
        <v>4822216</v>
      </c>
      <c r="AK341" s="3">
        <v>58.73</v>
      </c>
      <c r="AL341" s="3">
        <v>58.81</v>
      </c>
      <c r="AM341" s="3">
        <v>58.6</v>
      </c>
      <c r="AN341" s="3">
        <v>58.78</v>
      </c>
      <c r="AO341" s="3">
        <v>8202826</v>
      </c>
      <c r="AP341" s="3">
        <v>48.98</v>
      </c>
      <c r="AQ341" s="3">
        <v>49.09</v>
      </c>
      <c r="AR341" s="3">
        <v>48.71</v>
      </c>
      <c r="AS341" s="3">
        <v>48.86</v>
      </c>
      <c r="AT341" s="3">
        <v>2865123</v>
      </c>
      <c r="AU341" s="3">
        <v>47.54</v>
      </c>
      <c r="AV341" s="3">
        <v>47.55</v>
      </c>
      <c r="AW341" s="3">
        <v>47.2</v>
      </c>
      <c r="AX341" s="3">
        <v>47.32</v>
      </c>
      <c r="AY341" s="3">
        <v>8302600</v>
      </c>
      <c r="AZ341" s="3">
        <v>49.84</v>
      </c>
      <c r="BA341" s="3">
        <v>50.41</v>
      </c>
      <c r="BB341" s="3">
        <v>49.84</v>
      </c>
      <c r="BC341" s="3">
        <v>50.35</v>
      </c>
      <c r="BD341" s="3">
        <v>12841630</v>
      </c>
      <c r="BE341" s="3">
        <v>33.82</v>
      </c>
      <c r="BF341" s="3">
        <v>33.9</v>
      </c>
      <c r="BG341" s="3">
        <v>33.43</v>
      </c>
      <c r="BH341" s="3">
        <v>33.43</v>
      </c>
      <c r="BI341" s="3">
        <v>322533</v>
      </c>
    </row>
    <row r="342" spans="1:61" ht="13" x14ac:dyDescent="0.15">
      <c r="A342" s="3">
        <v>42622</v>
      </c>
      <c r="B342" s="3">
        <v>2169.08</v>
      </c>
      <c r="C342" s="3">
        <v>2169.08</v>
      </c>
      <c r="D342" s="3">
        <v>2127.81</v>
      </c>
      <c r="E342" s="3">
        <v>2127.81</v>
      </c>
      <c r="F342" s="3">
        <v>733227083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3">
        <v>79.8</v>
      </c>
      <c r="M342" s="3">
        <v>79.959999999999994</v>
      </c>
      <c r="N342" s="3">
        <v>78.430000000000007</v>
      </c>
      <c r="O342" s="3">
        <v>78.430000000000007</v>
      </c>
      <c r="P342" s="3">
        <v>9562492</v>
      </c>
      <c r="Q342" s="3">
        <v>53.69</v>
      </c>
      <c r="R342" s="3">
        <v>53.79</v>
      </c>
      <c r="S342" s="3">
        <v>52.69</v>
      </c>
      <c r="T342" s="3">
        <v>52.69</v>
      </c>
      <c r="U342" s="3">
        <v>24921562</v>
      </c>
      <c r="V342" s="3">
        <v>71.17</v>
      </c>
      <c r="W342" s="3">
        <v>71.39</v>
      </c>
      <c r="X342" s="3">
        <v>69.7</v>
      </c>
      <c r="Y342" s="3">
        <v>69.7</v>
      </c>
      <c r="Z342" s="3">
        <v>21771832</v>
      </c>
      <c r="AA342" s="3">
        <v>19.78</v>
      </c>
      <c r="AB342" s="3">
        <v>19.850000000000001</v>
      </c>
      <c r="AC342" s="3">
        <v>19.52</v>
      </c>
      <c r="AD342" s="3">
        <v>19.52</v>
      </c>
      <c r="AE342" s="3">
        <v>54002281</v>
      </c>
      <c r="AF342" s="3">
        <v>72.56</v>
      </c>
      <c r="AG342" s="3">
        <v>72.56</v>
      </c>
      <c r="AH342" s="3">
        <v>71.489999999999995</v>
      </c>
      <c r="AI342" s="3">
        <v>71.510000000000005</v>
      </c>
      <c r="AJ342" s="3">
        <v>14135544</v>
      </c>
      <c r="AK342" s="3">
        <v>58.25</v>
      </c>
      <c r="AL342" s="3">
        <v>58.37</v>
      </c>
      <c r="AM342" s="3">
        <v>57.12</v>
      </c>
      <c r="AN342" s="3">
        <v>57.12</v>
      </c>
      <c r="AO342" s="3">
        <v>19609082</v>
      </c>
      <c r="AP342" s="3">
        <v>48.5</v>
      </c>
      <c r="AQ342" s="3">
        <v>48.53</v>
      </c>
      <c r="AR342" s="3">
        <v>47.39</v>
      </c>
      <c r="AS342" s="3">
        <v>47.44</v>
      </c>
      <c r="AT342" s="3">
        <v>8673660</v>
      </c>
      <c r="AU342" s="3">
        <v>46.89</v>
      </c>
      <c r="AV342" s="3">
        <v>47.06</v>
      </c>
      <c r="AW342" s="3">
        <v>46.16</v>
      </c>
      <c r="AX342" s="3">
        <v>46.16</v>
      </c>
      <c r="AY342" s="3">
        <v>16809191</v>
      </c>
      <c r="AZ342" s="3">
        <v>49.85</v>
      </c>
      <c r="BA342" s="3">
        <v>49.91</v>
      </c>
      <c r="BB342" s="3">
        <v>48.44</v>
      </c>
      <c r="BC342" s="3">
        <v>48.46</v>
      </c>
      <c r="BD342" s="3">
        <v>25759114</v>
      </c>
      <c r="BE342" s="3">
        <v>33.22</v>
      </c>
      <c r="BF342" s="3">
        <v>33.22</v>
      </c>
      <c r="BG342" s="3">
        <v>32.119999999999997</v>
      </c>
      <c r="BH342" s="3">
        <v>32.159999999999997</v>
      </c>
      <c r="BI342" s="3">
        <v>906748</v>
      </c>
    </row>
    <row r="343" spans="1:61" ht="13" x14ac:dyDescent="0.15">
      <c r="A343" s="3">
        <v>42625</v>
      </c>
      <c r="B343" s="3">
        <v>2120.86</v>
      </c>
      <c r="C343" s="3">
        <v>2163.3000000000002</v>
      </c>
      <c r="D343" s="3">
        <v>2119.12</v>
      </c>
      <c r="E343" s="3">
        <v>2159.04</v>
      </c>
      <c r="F343" s="3">
        <v>678673914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3">
        <v>78.12</v>
      </c>
      <c r="M343" s="3">
        <v>79.73</v>
      </c>
      <c r="N343" s="3">
        <v>78.010000000000005</v>
      </c>
      <c r="O343" s="3">
        <v>79.53</v>
      </c>
      <c r="P343" s="3">
        <v>10876558</v>
      </c>
      <c r="Q343" s="3">
        <v>52.63</v>
      </c>
      <c r="R343" s="3">
        <v>53.76</v>
      </c>
      <c r="S343" s="3">
        <v>52.63</v>
      </c>
      <c r="T343" s="3">
        <v>53.68</v>
      </c>
      <c r="U343" s="3">
        <v>23542651</v>
      </c>
      <c r="V343" s="3">
        <v>69.209999999999994</v>
      </c>
      <c r="W343" s="3">
        <v>70.75</v>
      </c>
      <c r="X343" s="3">
        <v>69.08</v>
      </c>
      <c r="Y343" s="3">
        <v>70.39</v>
      </c>
      <c r="Z343" s="3">
        <v>21972895</v>
      </c>
      <c r="AA343" s="3">
        <v>19.43</v>
      </c>
      <c r="AB343" s="3">
        <v>19.809999999999999</v>
      </c>
      <c r="AC343" s="3">
        <v>19.34</v>
      </c>
      <c r="AD343" s="3">
        <v>19.739999999999998</v>
      </c>
      <c r="AE343" s="3">
        <v>70798636</v>
      </c>
      <c r="AF343" s="3">
        <v>71.11</v>
      </c>
      <c r="AG343" s="3">
        <v>72.760000000000005</v>
      </c>
      <c r="AH343" s="3">
        <v>71.09</v>
      </c>
      <c r="AI343" s="3">
        <v>72.569999999999993</v>
      </c>
      <c r="AJ343" s="3">
        <v>13023429</v>
      </c>
      <c r="AK343" s="3">
        <v>56.81</v>
      </c>
      <c r="AL343" s="3">
        <v>58.03</v>
      </c>
      <c r="AM343" s="3">
        <v>56.71</v>
      </c>
      <c r="AN343" s="3">
        <v>57.85</v>
      </c>
      <c r="AO343" s="3">
        <v>18644858</v>
      </c>
      <c r="AP343" s="3">
        <v>47.16</v>
      </c>
      <c r="AQ343" s="3">
        <v>48.02</v>
      </c>
      <c r="AR343" s="3">
        <v>47.07</v>
      </c>
      <c r="AS343" s="3">
        <v>47.89</v>
      </c>
      <c r="AT343" s="3">
        <v>6512770</v>
      </c>
      <c r="AU343" s="3">
        <v>45.93</v>
      </c>
      <c r="AV343" s="3">
        <v>47.03</v>
      </c>
      <c r="AW343" s="3">
        <v>45.86</v>
      </c>
      <c r="AX343" s="3">
        <v>46.93</v>
      </c>
      <c r="AY343" s="3">
        <v>19010477</v>
      </c>
      <c r="AZ343" s="3">
        <v>48.38</v>
      </c>
      <c r="BA343" s="3">
        <v>49.42</v>
      </c>
      <c r="BB343" s="3">
        <v>48.38</v>
      </c>
      <c r="BC343" s="3">
        <v>49.32</v>
      </c>
      <c r="BD343" s="3">
        <v>25532258</v>
      </c>
      <c r="BE343" s="3">
        <v>32.15</v>
      </c>
      <c r="BF343" s="3">
        <v>32.68</v>
      </c>
      <c r="BG343" s="3">
        <v>32</v>
      </c>
      <c r="BH343" s="3">
        <v>32.29</v>
      </c>
      <c r="BI343" s="3">
        <v>5085946</v>
      </c>
    </row>
    <row r="344" spans="1:61" ht="13" x14ac:dyDescent="0.15">
      <c r="A344" s="3">
        <v>42626</v>
      </c>
      <c r="B344" s="3">
        <v>2150.4699999999998</v>
      </c>
      <c r="C344" s="3">
        <v>2150.4699999999998</v>
      </c>
      <c r="D344" s="3">
        <v>2120.27</v>
      </c>
      <c r="E344" s="3">
        <v>2127.02</v>
      </c>
      <c r="F344" s="3">
        <v>671922252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3">
        <v>78.95</v>
      </c>
      <c r="M344" s="3">
        <v>79.180000000000007</v>
      </c>
      <c r="N344" s="3">
        <v>78.150000000000006</v>
      </c>
      <c r="O344" s="3">
        <v>78.400000000000006</v>
      </c>
      <c r="P344" s="3">
        <v>9237180</v>
      </c>
      <c r="Q344" s="3">
        <v>53.4</v>
      </c>
      <c r="R344" s="3">
        <v>53.46</v>
      </c>
      <c r="S344" s="3">
        <v>52.91</v>
      </c>
      <c r="T344" s="3">
        <v>53.02</v>
      </c>
      <c r="U344" s="3">
        <v>21780467</v>
      </c>
      <c r="V344" s="3">
        <v>69.62</v>
      </c>
      <c r="W344" s="3">
        <v>69.650000000000006</v>
      </c>
      <c r="X344" s="3">
        <v>68.180000000000007</v>
      </c>
      <c r="Y344" s="3">
        <v>68.38</v>
      </c>
      <c r="Z344" s="3">
        <v>24580364</v>
      </c>
      <c r="AA344" s="3">
        <v>19.510000000000002</v>
      </c>
      <c r="AB344" s="3">
        <v>19.559999999999999</v>
      </c>
      <c r="AC344" s="3">
        <v>19.32</v>
      </c>
      <c r="AD344" s="3">
        <v>19.39</v>
      </c>
      <c r="AE344" s="3">
        <v>67612411</v>
      </c>
      <c r="AF344" s="3">
        <v>72.12</v>
      </c>
      <c r="AG344" s="3">
        <v>72.12</v>
      </c>
      <c r="AH344" s="3">
        <v>71.22</v>
      </c>
      <c r="AI344" s="3">
        <v>71.599999999999994</v>
      </c>
      <c r="AJ344" s="3">
        <v>12194203</v>
      </c>
      <c r="AK344" s="3">
        <v>57.41</v>
      </c>
      <c r="AL344" s="3">
        <v>57.61</v>
      </c>
      <c r="AM344" s="3">
        <v>56.88</v>
      </c>
      <c r="AN344" s="3">
        <v>57</v>
      </c>
      <c r="AO344" s="3">
        <v>21760619</v>
      </c>
      <c r="AP344" s="3">
        <v>47.4</v>
      </c>
      <c r="AQ344" s="3">
        <v>47.59</v>
      </c>
      <c r="AR344" s="3">
        <v>46.69</v>
      </c>
      <c r="AS344" s="3">
        <v>47</v>
      </c>
      <c r="AT344" s="3">
        <v>10473968</v>
      </c>
      <c r="AU344" s="3">
        <v>46.75</v>
      </c>
      <c r="AV344" s="3">
        <v>46.92</v>
      </c>
      <c r="AW344" s="3">
        <v>46.4</v>
      </c>
      <c r="AX344" s="3">
        <v>46.59</v>
      </c>
      <c r="AY344" s="3">
        <v>17358765</v>
      </c>
      <c r="AZ344" s="3">
        <v>49.16</v>
      </c>
      <c r="BA344" s="3">
        <v>49.22</v>
      </c>
      <c r="BB344" s="3">
        <v>48.42</v>
      </c>
      <c r="BC344" s="3">
        <v>48.64</v>
      </c>
      <c r="BD344" s="3">
        <v>22296877</v>
      </c>
      <c r="BE344" s="3">
        <v>32.21</v>
      </c>
      <c r="BF344" s="3">
        <v>32.340000000000003</v>
      </c>
      <c r="BG344" s="3">
        <v>31.66</v>
      </c>
      <c r="BH344" s="3">
        <v>31.72</v>
      </c>
      <c r="BI344" s="3">
        <v>926654</v>
      </c>
    </row>
    <row r="345" spans="1:61" ht="13" x14ac:dyDescent="0.15">
      <c r="A345" s="3">
        <v>42627</v>
      </c>
      <c r="B345" s="3">
        <v>2127.86</v>
      </c>
      <c r="C345" s="3">
        <v>2141.33</v>
      </c>
      <c r="D345" s="3">
        <v>2119.9</v>
      </c>
      <c r="E345" s="3">
        <v>2125.77</v>
      </c>
      <c r="F345" s="3">
        <v>613057415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3">
        <v>78.42</v>
      </c>
      <c r="M345" s="3">
        <v>78.87</v>
      </c>
      <c r="N345" s="3">
        <v>78.180000000000007</v>
      </c>
      <c r="O345" s="3">
        <v>78.41</v>
      </c>
      <c r="P345" s="3">
        <v>7355708</v>
      </c>
      <c r="Q345" s="3">
        <v>53.05</v>
      </c>
      <c r="R345" s="3">
        <v>53.24</v>
      </c>
      <c r="S345" s="3">
        <v>52.71</v>
      </c>
      <c r="T345" s="3">
        <v>52.86</v>
      </c>
      <c r="U345" s="3">
        <v>19396233</v>
      </c>
      <c r="V345" s="3">
        <v>68.3</v>
      </c>
      <c r="W345" s="3">
        <v>69.12</v>
      </c>
      <c r="X345" s="3">
        <v>67.400000000000006</v>
      </c>
      <c r="Y345" s="3">
        <v>67.569999999999993</v>
      </c>
      <c r="Z345" s="3">
        <v>26470159</v>
      </c>
      <c r="AA345" s="3">
        <v>19.39</v>
      </c>
      <c r="AB345" s="3">
        <v>19.52</v>
      </c>
      <c r="AC345" s="3">
        <v>19.29</v>
      </c>
      <c r="AD345" s="3">
        <v>19.34</v>
      </c>
      <c r="AE345" s="3">
        <v>67324760</v>
      </c>
      <c r="AF345" s="3">
        <v>71.569999999999993</v>
      </c>
      <c r="AG345" s="3">
        <v>72.069999999999993</v>
      </c>
      <c r="AH345" s="3">
        <v>71.31</v>
      </c>
      <c r="AI345" s="3">
        <v>71.599999999999994</v>
      </c>
      <c r="AJ345" s="3">
        <v>13108529</v>
      </c>
      <c r="AK345" s="3">
        <v>56.99</v>
      </c>
      <c r="AL345" s="3">
        <v>57.37</v>
      </c>
      <c r="AM345" s="3">
        <v>56.78</v>
      </c>
      <c r="AN345" s="3">
        <v>56.95</v>
      </c>
      <c r="AO345" s="3">
        <v>13591690</v>
      </c>
      <c r="AP345" s="3">
        <v>47</v>
      </c>
      <c r="AQ345" s="3">
        <v>47.18</v>
      </c>
      <c r="AR345" s="3">
        <v>46.75</v>
      </c>
      <c r="AS345" s="3">
        <v>46.89</v>
      </c>
      <c r="AT345" s="3">
        <v>7789753</v>
      </c>
      <c r="AU345" s="3">
        <v>46.6</v>
      </c>
      <c r="AV345" s="3">
        <v>47.1</v>
      </c>
      <c r="AW345" s="3">
        <v>46.59</v>
      </c>
      <c r="AX345" s="3">
        <v>46.81</v>
      </c>
      <c r="AY345" s="3">
        <v>17108742</v>
      </c>
      <c r="AZ345" s="3">
        <v>48.82</v>
      </c>
      <c r="BA345" s="3">
        <v>49.22</v>
      </c>
      <c r="BB345" s="3">
        <v>48.61</v>
      </c>
      <c r="BC345" s="3">
        <v>48.83</v>
      </c>
      <c r="BD345" s="3">
        <v>15229846</v>
      </c>
      <c r="BE345" s="3">
        <v>32.21</v>
      </c>
      <c r="BF345" s="3">
        <v>32.21</v>
      </c>
      <c r="BG345" s="3">
        <v>31.65</v>
      </c>
      <c r="BH345" s="3">
        <v>31.78</v>
      </c>
      <c r="BI345" s="3">
        <v>532081</v>
      </c>
    </row>
    <row r="346" spans="1:61" ht="13" x14ac:dyDescent="0.15">
      <c r="A346" s="3">
        <v>42628</v>
      </c>
      <c r="B346" s="3">
        <v>2125.36</v>
      </c>
      <c r="C346" s="3">
        <v>2151.31</v>
      </c>
      <c r="D346" s="3">
        <v>2122.36</v>
      </c>
      <c r="E346" s="3">
        <v>2147.2600000000002</v>
      </c>
      <c r="F346" s="3">
        <v>582039878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3">
        <v>78.17</v>
      </c>
      <c r="M346" s="3">
        <v>79.03</v>
      </c>
      <c r="N346" s="3">
        <v>78.05</v>
      </c>
      <c r="O346" s="3">
        <v>78.98</v>
      </c>
      <c r="P346" s="3">
        <v>5772560</v>
      </c>
      <c r="Q346" s="3">
        <v>52.74</v>
      </c>
      <c r="R346" s="3">
        <v>53.35</v>
      </c>
      <c r="S346" s="3">
        <v>52.69</v>
      </c>
      <c r="T346" s="3">
        <v>53.29</v>
      </c>
      <c r="U346" s="3">
        <v>10903004</v>
      </c>
      <c r="V346" s="3">
        <v>67.84</v>
      </c>
      <c r="W346" s="3">
        <v>68.91</v>
      </c>
      <c r="X346" s="3">
        <v>67.73</v>
      </c>
      <c r="Y346" s="3">
        <v>68.41</v>
      </c>
      <c r="Z346" s="3">
        <v>17233999</v>
      </c>
      <c r="AA346" s="3">
        <v>19.3</v>
      </c>
      <c r="AB346" s="3">
        <v>19.510000000000002</v>
      </c>
      <c r="AC346" s="3">
        <v>19.260000000000002</v>
      </c>
      <c r="AD346" s="3">
        <v>19.46</v>
      </c>
      <c r="AE346" s="3">
        <v>62132889</v>
      </c>
      <c r="AF346" s="3">
        <v>71.47</v>
      </c>
      <c r="AG346" s="3">
        <v>72.540000000000006</v>
      </c>
      <c r="AH346" s="3">
        <v>71.3</v>
      </c>
      <c r="AI346" s="3">
        <v>72.34</v>
      </c>
      <c r="AJ346" s="3">
        <v>9636862</v>
      </c>
      <c r="AK346" s="3">
        <v>56.84</v>
      </c>
      <c r="AL346" s="3">
        <v>57.51</v>
      </c>
      <c r="AM346" s="3">
        <v>56.75</v>
      </c>
      <c r="AN346" s="3">
        <v>57.4</v>
      </c>
      <c r="AO346" s="3">
        <v>15587525</v>
      </c>
      <c r="AP346" s="3">
        <v>46.82</v>
      </c>
      <c r="AQ346" s="3">
        <v>47.29</v>
      </c>
      <c r="AR346" s="3">
        <v>46.71</v>
      </c>
      <c r="AS346" s="3">
        <v>47.19</v>
      </c>
      <c r="AT346" s="3">
        <v>6125024</v>
      </c>
      <c r="AU346" s="3">
        <v>46.91</v>
      </c>
      <c r="AV346" s="3">
        <v>47.67</v>
      </c>
      <c r="AW346" s="3">
        <v>46.81</v>
      </c>
      <c r="AX346" s="3">
        <v>47.58</v>
      </c>
      <c r="AY346" s="3">
        <v>16319148</v>
      </c>
      <c r="AZ346" s="3">
        <v>48.78</v>
      </c>
      <c r="BA346" s="3">
        <v>49.29</v>
      </c>
      <c r="BB346" s="3">
        <v>48.66</v>
      </c>
      <c r="BC346" s="3">
        <v>49.2</v>
      </c>
      <c r="BD346" s="3">
        <v>30969756</v>
      </c>
      <c r="BE346" s="3">
        <v>31.83</v>
      </c>
      <c r="BF346" s="3">
        <v>32.049999999999997</v>
      </c>
      <c r="BG346" s="3">
        <v>31.67</v>
      </c>
      <c r="BH346" s="3">
        <v>32.020000000000003</v>
      </c>
      <c r="BI346" s="3">
        <v>1512794</v>
      </c>
    </row>
    <row r="347" spans="1:61" ht="13" x14ac:dyDescent="0.15">
      <c r="A347" s="3">
        <v>42629</v>
      </c>
      <c r="B347" s="3">
        <v>2146.48</v>
      </c>
      <c r="C347" s="3">
        <v>2146.48</v>
      </c>
      <c r="D347" s="3">
        <v>2131.1999999999998</v>
      </c>
      <c r="E347" s="3">
        <v>2139.16</v>
      </c>
      <c r="F347" s="3">
        <v>400617912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3">
        <v>78.41</v>
      </c>
      <c r="M347" s="3">
        <v>78.58</v>
      </c>
      <c r="N347" s="3">
        <v>78.17</v>
      </c>
      <c r="O347" s="3">
        <v>78.510000000000005</v>
      </c>
      <c r="P347" s="3">
        <v>5351536</v>
      </c>
      <c r="Q347" s="3">
        <v>52.9</v>
      </c>
      <c r="R347" s="3">
        <v>52.95</v>
      </c>
      <c r="S347" s="3">
        <v>52.48</v>
      </c>
      <c r="T347" s="3">
        <v>52.79</v>
      </c>
      <c r="U347" s="3">
        <v>14475119</v>
      </c>
      <c r="V347" s="3">
        <v>67.010000000000005</v>
      </c>
      <c r="W347" s="3">
        <v>67.7</v>
      </c>
      <c r="X347" s="3">
        <v>67.010000000000005</v>
      </c>
      <c r="Y347" s="3">
        <v>67.45</v>
      </c>
      <c r="Z347" s="3">
        <v>17394405</v>
      </c>
      <c r="AA347" s="3">
        <v>19.29</v>
      </c>
      <c r="AB347" s="3">
        <v>19.29</v>
      </c>
      <c r="AC347" s="3">
        <v>19.12</v>
      </c>
      <c r="AD347" s="3">
        <v>19.18</v>
      </c>
      <c r="AE347" s="3">
        <v>61117567</v>
      </c>
      <c r="AF347" s="3">
        <v>71.989999999999995</v>
      </c>
      <c r="AG347" s="3">
        <v>72.209999999999994</v>
      </c>
      <c r="AH347" s="3">
        <v>71.83</v>
      </c>
      <c r="AI347" s="3">
        <v>72.11</v>
      </c>
      <c r="AJ347" s="3">
        <v>8690989</v>
      </c>
      <c r="AK347" s="3">
        <v>56.83</v>
      </c>
      <c r="AL347" s="3">
        <v>57.05</v>
      </c>
      <c r="AM347" s="3">
        <v>56.5</v>
      </c>
      <c r="AN347" s="3">
        <v>56.61</v>
      </c>
      <c r="AO347" s="3">
        <v>15706422</v>
      </c>
      <c r="AP347" s="3">
        <v>46.63</v>
      </c>
      <c r="AQ347" s="3">
        <v>46.84</v>
      </c>
      <c r="AR347" s="3">
        <v>46.55</v>
      </c>
      <c r="AS347" s="3">
        <v>46.76</v>
      </c>
      <c r="AT347" s="3">
        <v>8579002</v>
      </c>
      <c r="AU347" s="3">
        <v>47.4</v>
      </c>
      <c r="AV347" s="3">
        <v>47.4</v>
      </c>
      <c r="AW347" s="3">
        <v>47</v>
      </c>
      <c r="AX347" s="3">
        <v>47.21</v>
      </c>
      <c r="AY347" s="3">
        <v>15883059</v>
      </c>
      <c r="AZ347" s="3">
        <v>48.85</v>
      </c>
      <c r="BA347" s="3">
        <v>49.33</v>
      </c>
      <c r="BB347" s="3">
        <v>48.49</v>
      </c>
      <c r="BC347" s="3">
        <v>49.26</v>
      </c>
      <c r="BD347" s="3">
        <v>21724181</v>
      </c>
      <c r="BE347" s="3">
        <v>32.049999999999997</v>
      </c>
      <c r="BF347" s="3">
        <v>32.049999999999997</v>
      </c>
      <c r="BG347" s="3">
        <v>31.72</v>
      </c>
      <c r="BH347" s="3">
        <v>31.91</v>
      </c>
      <c r="BI347" s="3">
        <v>2119519</v>
      </c>
    </row>
    <row r="348" spans="1:61" ht="13" x14ac:dyDescent="0.15">
      <c r="A348" s="3">
        <v>42632</v>
      </c>
      <c r="B348" s="3">
        <v>2143.9899999999998</v>
      </c>
      <c r="C348" s="3">
        <v>2153.61</v>
      </c>
      <c r="D348" s="3">
        <v>2135.91</v>
      </c>
      <c r="E348" s="3">
        <v>2139.12</v>
      </c>
      <c r="F348" s="3">
        <v>513135966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3">
        <v>78.64</v>
      </c>
      <c r="M348" s="3">
        <v>78.989999999999995</v>
      </c>
      <c r="N348" s="3">
        <v>78.27</v>
      </c>
      <c r="O348" s="3">
        <v>78.45</v>
      </c>
      <c r="P348" s="3">
        <v>3127433</v>
      </c>
      <c r="Q348" s="3">
        <v>52.8</v>
      </c>
      <c r="R348" s="3">
        <v>52.99</v>
      </c>
      <c r="S348" s="3">
        <v>52.68</v>
      </c>
      <c r="T348" s="3">
        <v>52.68</v>
      </c>
      <c r="U348" s="3">
        <v>9579434</v>
      </c>
      <c r="V348" s="3">
        <v>68</v>
      </c>
      <c r="W348" s="3">
        <v>68.19</v>
      </c>
      <c r="X348" s="3">
        <v>67.400000000000006</v>
      </c>
      <c r="Y348" s="3">
        <v>67.41</v>
      </c>
      <c r="Z348" s="3">
        <v>11797513</v>
      </c>
      <c r="AA348" s="3">
        <v>19.350000000000001</v>
      </c>
      <c r="AB348" s="3">
        <v>19.45</v>
      </c>
      <c r="AC348" s="3">
        <v>19.23</v>
      </c>
      <c r="AD348" s="3">
        <v>19.309999999999999</v>
      </c>
      <c r="AE348" s="3">
        <v>50396136</v>
      </c>
      <c r="AF348" s="3">
        <v>72.290000000000006</v>
      </c>
      <c r="AG348" s="3">
        <v>72.44</v>
      </c>
      <c r="AH348" s="3">
        <v>71.760000000000005</v>
      </c>
      <c r="AI348" s="3">
        <v>71.849999999999994</v>
      </c>
      <c r="AJ348" s="3">
        <v>9919663</v>
      </c>
      <c r="AK348" s="3">
        <v>56.87</v>
      </c>
      <c r="AL348" s="3">
        <v>57.24</v>
      </c>
      <c r="AM348" s="3">
        <v>56.74</v>
      </c>
      <c r="AN348" s="3">
        <v>56.86</v>
      </c>
      <c r="AO348" s="3">
        <v>8811033</v>
      </c>
      <c r="AP348" s="3">
        <v>46.97</v>
      </c>
      <c r="AQ348" s="3">
        <v>47.14</v>
      </c>
      <c r="AR348" s="3">
        <v>46.75</v>
      </c>
      <c r="AS348" s="3">
        <v>46.83</v>
      </c>
      <c r="AT348" s="3">
        <v>3676521</v>
      </c>
      <c r="AU348" s="3">
        <v>47.33</v>
      </c>
      <c r="AV348" s="3">
        <v>47.56</v>
      </c>
      <c r="AW348" s="3">
        <v>46.99</v>
      </c>
      <c r="AX348" s="3">
        <v>47.12</v>
      </c>
      <c r="AY348" s="3">
        <v>7121315</v>
      </c>
      <c r="AZ348" s="3">
        <v>49.42</v>
      </c>
      <c r="BA348" s="3">
        <v>49.77</v>
      </c>
      <c r="BB348" s="3">
        <v>49.3</v>
      </c>
      <c r="BC348" s="3">
        <v>49.75</v>
      </c>
      <c r="BD348" s="3">
        <v>12530771</v>
      </c>
      <c r="BE348" s="3">
        <v>31.99</v>
      </c>
      <c r="BF348" s="3">
        <v>32.270000000000003</v>
      </c>
      <c r="BG348" s="3">
        <v>31.95</v>
      </c>
      <c r="BH348" s="3">
        <v>32.24</v>
      </c>
      <c r="BI348" s="3">
        <v>4242426</v>
      </c>
    </row>
    <row r="349" spans="1:61" ht="13" x14ac:dyDescent="0.15">
      <c r="A349" s="3">
        <v>42633</v>
      </c>
      <c r="B349" s="3">
        <v>2145.94</v>
      </c>
      <c r="C349" s="3">
        <v>2150.8000000000002</v>
      </c>
      <c r="D349" s="3">
        <v>2139.17</v>
      </c>
      <c r="E349" s="3">
        <v>2139.7600000000002</v>
      </c>
      <c r="F349" s="3">
        <v>484990399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3">
        <v>78.77</v>
      </c>
      <c r="M349" s="3">
        <v>78.88</v>
      </c>
      <c r="N349" s="3">
        <v>78.31</v>
      </c>
      <c r="O349" s="3">
        <v>78.510000000000005</v>
      </c>
      <c r="P349" s="3">
        <v>3342216</v>
      </c>
      <c r="Q349" s="3">
        <v>52.93</v>
      </c>
      <c r="R349" s="3">
        <v>53.02</v>
      </c>
      <c r="S349" s="3">
        <v>52.81</v>
      </c>
      <c r="T349" s="3">
        <v>52.82</v>
      </c>
      <c r="U349" s="3">
        <v>9705899</v>
      </c>
      <c r="V349" s="3">
        <v>67.33</v>
      </c>
      <c r="W349" s="3">
        <v>67.790000000000006</v>
      </c>
      <c r="X349" s="3">
        <v>66.87</v>
      </c>
      <c r="Y349" s="3">
        <v>66.92</v>
      </c>
      <c r="Z349" s="3">
        <v>14132935</v>
      </c>
      <c r="AA349" s="3">
        <v>19.45</v>
      </c>
      <c r="AB349" s="3">
        <v>19.48</v>
      </c>
      <c r="AC349" s="3">
        <v>19.29</v>
      </c>
      <c r="AD349" s="3">
        <v>19.32</v>
      </c>
      <c r="AE349" s="3">
        <v>39903177</v>
      </c>
      <c r="AF349" s="3">
        <v>72.16</v>
      </c>
      <c r="AG349" s="3">
        <v>72.34</v>
      </c>
      <c r="AH349" s="3">
        <v>72.040000000000006</v>
      </c>
      <c r="AI349" s="3">
        <v>72.069999999999993</v>
      </c>
      <c r="AJ349" s="3">
        <v>5286599</v>
      </c>
      <c r="AK349" s="3">
        <v>57.16</v>
      </c>
      <c r="AL349" s="3">
        <v>57.33</v>
      </c>
      <c r="AM349" s="3">
        <v>56.9</v>
      </c>
      <c r="AN349" s="3">
        <v>56.91</v>
      </c>
      <c r="AO349" s="3">
        <v>8007515</v>
      </c>
      <c r="AP349" s="3">
        <v>47.18</v>
      </c>
      <c r="AQ349" s="3">
        <v>47.24</v>
      </c>
      <c r="AR349" s="3">
        <v>46.68</v>
      </c>
      <c r="AS349" s="3">
        <v>46.69</v>
      </c>
      <c r="AT349" s="3">
        <v>3999387</v>
      </c>
      <c r="AU349" s="3">
        <v>47.28</v>
      </c>
      <c r="AV349" s="3">
        <v>47.37</v>
      </c>
      <c r="AW349" s="3">
        <v>47.03</v>
      </c>
      <c r="AX349" s="3">
        <v>47.09</v>
      </c>
      <c r="AY349" s="3">
        <v>5001096</v>
      </c>
      <c r="AZ349" s="3">
        <v>49.95</v>
      </c>
      <c r="BA349" s="3">
        <v>50.03</v>
      </c>
      <c r="BB349" s="3">
        <v>49.63</v>
      </c>
      <c r="BC349" s="3">
        <v>49.66</v>
      </c>
      <c r="BD349" s="3">
        <v>12857900</v>
      </c>
      <c r="BE349" s="3">
        <v>32.47</v>
      </c>
      <c r="BF349" s="3">
        <v>32.47</v>
      </c>
      <c r="BG349" s="3">
        <v>32.18</v>
      </c>
      <c r="BH349" s="3">
        <v>32.18</v>
      </c>
      <c r="BI349" s="3">
        <v>3387204</v>
      </c>
    </row>
    <row r="350" spans="1:61" ht="13" x14ac:dyDescent="0.15">
      <c r="A350" s="3">
        <v>42634</v>
      </c>
      <c r="B350" s="3">
        <v>2144.58</v>
      </c>
      <c r="C350" s="3">
        <v>2165.11</v>
      </c>
      <c r="D350" s="3">
        <v>2139.5700000000002</v>
      </c>
      <c r="E350" s="3">
        <v>2163.12</v>
      </c>
      <c r="F350" s="3">
        <v>584045429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3">
        <v>78.63</v>
      </c>
      <c r="M350" s="3">
        <v>79.31</v>
      </c>
      <c r="N350" s="3">
        <v>78.400000000000006</v>
      </c>
      <c r="O350" s="3">
        <v>79.27</v>
      </c>
      <c r="P350" s="3">
        <v>6015908</v>
      </c>
      <c r="Q350" s="3">
        <v>52.83</v>
      </c>
      <c r="R350" s="3">
        <v>53.24</v>
      </c>
      <c r="S350" s="3">
        <v>52.55</v>
      </c>
      <c r="T350" s="3">
        <v>53.11</v>
      </c>
      <c r="U350" s="3">
        <v>24882717</v>
      </c>
      <c r="V350" s="3">
        <v>67.5</v>
      </c>
      <c r="W350" s="3">
        <v>68.5</v>
      </c>
      <c r="X350" s="3">
        <v>67.42</v>
      </c>
      <c r="Y350" s="3">
        <v>68.47</v>
      </c>
      <c r="Z350" s="3">
        <v>20260887</v>
      </c>
      <c r="AA350" s="3">
        <v>19.41</v>
      </c>
      <c r="AB350" s="3">
        <v>19.46</v>
      </c>
      <c r="AC350" s="3">
        <v>19.25</v>
      </c>
      <c r="AD350" s="3">
        <v>19.440000000000001</v>
      </c>
      <c r="AE350" s="3">
        <v>64029726</v>
      </c>
      <c r="AF350" s="3">
        <v>72.31</v>
      </c>
      <c r="AG350" s="3">
        <v>72.930000000000007</v>
      </c>
      <c r="AH350" s="3">
        <v>71.87</v>
      </c>
      <c r="AI350" s="3">
        <v>72.790000000000006</v>
      </c>
      <c r="AJ350" s="3">
        <v>8485850</v>
      </c>
      <c r="AK350" s="3">
        <v>57.14</v>
      </c>
      <c r="AL350" s="3">
        <v>57.73</v>
      </c>
      <c r="AM350" s="3">
        <v>56.98</v>
      </c>
      <c r="AN350" s="3">
        <v>57.65</v>
      </c>
      <c r="AO350" s="3">
        <v>14979817</v>
      </c>
      <c r="AP350" s="3">
        <v>46.95</v>
      </c>
      <c r="AQ350" s="3">
        <v>47.46</v>
      </c>
      <c r="AR350" s="3">
        <v>46.86</v>
      </c>
      <c r="AS350" s="3">
        <v>47.4</v>
      </c>
      <c r="AT350" s="3">
        <v>5596234</v>
      </c>
      <c r="AU350" s="3">
        <v>47.27</v>
      </c>
      <c r="AV350" s="3">
        <v>47.65</v>
      </c>
      <c r="AW350" s="3">
        <v>47.09</v>
      </c>
      <c r="AX350" s="3">
        <v>47.62</v>
      </c>
      <c r="AY350" s="3">
        <v>12047883</v>
      </c>
      <c r="AZ350" s="3">
        <v>49.75</v>
      </c>
      <c r="BA350" s="3">
        <v>50.71</v>
      </c>
      <c r="BB350" s="3">
        <v>49.65</v>
      </c>
      <c r="BC350" s="3">
        <v>50.67</v>
      </c>
      <c r="BD350" s="3">
        <v>19405131</v>
      </c>
      <c r="BE350" s="3">
        <v>32.14</v>
      </c>
      <c r="BF350" s="3">
        <v>32.64</v>
      </c>
      <c r="BG350" s="3">
        <v>31.83</v>
      </c>
      <c r="BH350" s="3">
        <v>32.549999999999997</v>
      </c>
      <c r="BI350" s="3">
        <v>2247929</v>
      </c>
    </row>
    <row r="351" spans="1:61" ht="13" x14ac:dyDescent="0.15">
      <c r="A351" s="3">
        <v>42635</v>
      </c>
      <c r="B351" s="3">
        <v>2170.94</v>
      </c>
      <c r="C351" s="3">
        <v>2179.9899999999998</v>
      </c>
      <c r="D351" s="3">
        <v>2170.94</v>
      </c>
      <c r="E351" s="3">
        <v>2177.1799999999998</v>
      </c>
      <c r="F351" s="3">
        <v>521694980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3">
        <v>79.73</v>
      </c>
      <c r="M351" s="3">
        <v>80</v>
      </c>
      <c r="N351" s="3">
        <v>79.599999999999994</v>
      </c>
      <c r="O351" s="3">
        <v>79.849999999999994</v>
      </c>
      <c r="P351" s="3">
        <v>4821435</v>
      </c>
      <c r="Q351" s="3">
        <v>53.3</v>
      </c>
      <c r="R351" s="3">
        <v>53.68</v>
      </c>
      <c r="S351" s="3">
        <v>53.3</v>
      </c>
      <c r="T351" s="3">
        <v>53.58</v>
      </c>
      <c r="U351" s="3">
        <v>17315981</v>
      </c>
      <c r="V351" s="3">
        <v>69.209999999999994</v>
      </c>
      <c r="W351" s="3">
        <v>69.459999999999994</v>
      </c>
      <c r="X351" s="3">
        <v>68.489999999999995</v>
      </c>
      <c r="Y351" s="3">
        <v>68.55</v>
      </c>
      <c r="Z351" s="3">
        <v>13315915</v>
      </c>
      <c r="AA351" s="3">
        <v>19.54</v>
      </c>
      <c r="AB351" s="3">
        <v>19.559999999999999</v>
      </c>
      <c r="AC351" s="3">
        <v>19.440000000000001</v>
      </c>
      <c r="AD351" s="3">
        <v>19.48</v>
      </c>
      <c r="AE351" s="3">
        <v>38355740</v>
      </c>
      <c r="AF351" s="3">
        <v>73.09</v>
      </c>
      <c r="AG351" s="3">
        <v>73.47</v>
      </c>
      <c r="AH351" s="3">
        <v>73.05</v>
      </c>
      <c r="AI351" s="3">
        <v>73.34</v>
      </c>
      <c r="AJ351" s="3">
        <v>6502150</v>
      </c>
      <c r="AK351" s="3">
        <v>58.03</v>
      </c>
      <c r="AL351" s="3">
        <v>58.26</v>
      </c>
      <c r="AM351" s="3">
        <v>57.95</v>
      </c>
      <c r="AN351" s="3">
        <v>58.06</v>
      </c>
      <c r="AO351" s="3">
        <v>9377155</v>
      </c>
      <c r="AP351" s="3">
        <v>47.74</v>
      </c>
      <c r="AQ351" s="3">
        <v>47.96</v>
      </c>
      <c r="AR351" s="3">
        <v>47.43</v>
      </c>
      <c r="AS351" s="3">
        <v>47.55</v>
      </c>
      <c r="AT351" s="3">
        <v>2995691</v>
      </c>
      <c r="AU351" s="3">
        <v>47.9</v>
      </c>
      <c r="AV351" s="3">
        <v>47.97</v>
      </c>
      <c r="AW351" s="3">
        <v>47.79</v>
      </c>
      <c r="AX351" s="3">
        <v>47.91</v>
      </c>
      <c r="AY351" s="3">
        <v>10498539</v>
      </c>
      <c r="AZ351" s="3">
        <v>51.08</v>
      </c>
      <c r="BA351" s="3">
        <v>51.09</v>
      </c>
      <c r="BB351" s="3">
        <v>50.61</v>
      </c>
      <c r="BC351" s="3">
        <v>50.98</v>
      </c>
      <c r="BD351" s="3">
        <v>12035330</v>
      </c>
      <c r="BE351" s="3">
        <v>32.770000000000003</v>
      </c>
      <c r="BF351" s="3">
        <v>33.25</v>
      </c>
      <c r="BG351" s="3">
        <v>32.770000000000003</v>
      </c>
      <c r="BH351" s="3">
        <v>33.19</v>
      </c>
      <c r="BI351" s="3">
        <v>1728163</v>
      </c>
    </row>
    <row r="352" spans="1:61" ht="13" x14ac:dyDescent="0.15">
      <c r="A352" s="3">
        <v>42636</v>
      </c>
      <c r="B352" s="3">
        <v>2173.29</v>
      </c>
      <c r="C352" s="3">
        <v>2173.75</v>
      </c>
      <c r="D352" s="3">
        <v>2163.9699999999998</v>
      </c>
      <c r="E352" s="3">
        <v>2164.69</v>
      </c>
      <c r="F352" s="3">
        <v>520708916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3">
        <v>79.63</v>
      </c>
      <c r="M352" s="3">
        <v>79.930000000000007</v>
      </c>
      <c r="N352" s="3">
        <v>79.63</v>
      </c>
      <c r="O352" s="3">
        <v>79.67</v>
      </c>
      <c r="P352" s="3">
        <v>3891172</v>
      </c>
      <c r="Q352" s="3">
        <v>53.59</v>
      </c>
      <c r="R352" s="3">
        <v>53.6</v>
      </c>
      <c r="S352" s="3">
        <v>53.32</v>
      </c>
      <c r="T352" s="3">
        <v>53.34</v>
      </c>
      <c r="U352" s="3">
        <v>12930969</v>
      </c>
      <c r="V352" s="3">
        <v>68.22</v>
      </c>
      <c r="W352" s="3">
        <v>68.84</v>
      </c>
      <c r="X352" s="3">
        <v>67.25</v>
      </c>
      <c r="Y352" s="3">
        <v>67.64</v>
      </c>
      <c r="Z352" s="3">
        <v>23075178</v>
      </c>
      <c r="AA352" s="3">
        <v>19.41</v>
      </c>
      <c r="AB352" s="3">
        <v>19.510000000000002</v>
      </c>
      <c r="AC352" s="3">
        <v>19.350000000000001</v>
      </c>
      <c r="AD352" s="3">
        <v>19.38</v>
      </c>
      <c r="AE352" s="3">
        <v>59009524</v>
      </c>
      <c r="AF352" s="3">
        <v>73.23</v>
      </c>
      <c r="AG352" s="3">
        <v>73.41</v>
      </c>
      <c r="AH352" s="3">
        <v>73.099999999999994</v>
      </c>
      <c r="AI352" s="3">
        <v>73.11</v>
      </c>
      <c r="AJ352" s="3">
        <v>5420444</v>
      </c>
      <c r="AK352" s="3">
        <v>57.99</v>
      </c>
      <c r="AL352" s="3">
        <v>57.99</v>
      </c>
      <c r="AM352" s="3">
        <v>57.67</v>
      </c>
      <c r="AN352" s="3">
        <v>57.72</v>
      </c>
      <c r="AO352" s="3">
        <v>11269594</v>
      </c>
      <c r="AP352" s="3">
        <v>47.39</v>
      </c>
      <c r="AQ352" s="3">
        <v>47.62</v>
      </c>
      <c r="AR352" s="3">
        <v>47.3</v>
      </c>
      <c r="AS352" s="3">
        <v>47.31</v>
      </c>
      <c r="AT352" s="3">
        <v>4310207</v>
      </c>
      <c r="AU352" s="3">
        <v>47.9</v>
      </c>
      <c r="AV352" s="3">
        <v>47.9</v>
      </c>
      <c r="AW352" s="3">
        <v>47.41</v>
      </c>
      <c r="AX352" s="3">
        <v>47.49</v>
      </c>
      <c r="AY352" s="3">
        <v>11986538</v>
      </c>
      <c r="AZ352" s="3">
        <v>50.83</v>
      </c>
      <c r="BA352" s="3">
        <v>51.08</v>
      </c>
      <c r="BB352" s="3">
        <v>50.59</v>
      </c>
      <c r="BC352" s="3">
        <v>50.94</v>
      </c>
      <c r="BD352" s="3">
        <v>11003441</v>
      </c>
      <c r="BE352" s="3">
        <v>33.07</v>
      </c>
      <c r="BF352" s="3">
        <v>33.450000000000003</v>
      </c>
      <c r="BG352" s="3">
        <v>32.840000000000003</v>
      </c>
      <c r="BH352" s="3">
        <v>33.32</v>
      </c>
      <c r="BI352" s="3">
        <v>19150981</v>
      </c>
    </row>
    <row r="353" spans="1:61" ht="13" x14ac:dyDescent="0.15">
      <c r="A353" s="3">
        <v>42639</v>
      </c>
      <c r="B353" s="3">
        <v>2158.54</v>
      </c>
      <c r="C353" s="3">
        <v>2158.54</v>
      </c>
      <c r="D353" s="3">
        <v>2145.04</v>
      </c>
      <c r="E353" s="3">
        <v>2146.1</v>
      </c>
      <c r="F353" s="3">
        <v>517726610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3">
        <v>79.45</v>
      </c>
      <c r="M353" s="3">
        <v>79.45</v>
      </c>
      <c r="N353" s="3">
        <v>78.69</v>
      </c>
      <c r="O353" s="3">
        <v>78.790000000000006</v>
      </c>
      <c r="P353" s="3">
        <v>5928319</v>
      </c>
      <c r="Q353" s="3">
        <v>53.2</v>
      </c>
      <c r="R353" s="3">
        <v>53.22</v>
      </c>
      <c r="S353" s="3">
        <v>52.84</v>
      </c>
      <c r="T353" s="3">
        <v>52.89</v>
      </c>
      <c r="U353" s="3">
        <v>12797243</v>
      </c>
      <c r="V353" s="3">
        <v>67.87</v>
      </c>
      <c r="W353" s="3">
        <v>68.23</v>
      </c>
      <c r="X353" s="3">
        <v>67.209999999999994</v>
      </c>
      <c r="Y353" s="3">
        <v>67.34</v>
      </c>
      <c r="Z353" s="3">
        <v>13240154</v>
      </c>
      <c r="AA353" s="3">
        <v>19.260000000000002</v>
      </c>
      <c r="AB353" s="3">
        <v>19.27</v>
      </c>
      <c r="AC353" s="3">
        <v>19.02</v>
      </c>
      <c r="AD353" s="3">
        <v>19.07</v>
      </c>
      <c r="AE353" s="3">
        <v>54188999</v>
      </c>
      <c r="AF353" s="3">
        <v>72.84</v>
      </c>
      <c r="AG353" s="3">
        <v>72.900000000000006</v>
      </c>
      <c r="AH353" s="3">
        <v>72.09</v>
      </c>
      <c r="AI353" s="3">
        <v>72.260000000000005</v>
      </c>
      <c r="AJ353" s="3">
        <v>5534058</v>
      </c>
      <c r="AK353" s="3">
        <v>57.5</v>
      </c>
      <c r="AL353" s="3">
        <v>57.69</v>
      </c>
      <c r="AM353" s="3">
        <v>57.34</v>
      </c>
      <c r="AN353" s="3">
        <v>57.47</v>
      </c>
      <c r="AO353" s="3">
        <v>9560417</v>
      </c>
      <c r="AP353" s="3">
        <v>47.34</v>
      </c>
      <c r="AQ353" s="3">
        <v>47.41</v>
      </c>
      <c r="AR353" s="3">
        <v>47.03</v>
      </c>
      <c r="AS353" s="3">
        <v>47.09</v>
      </c>
      <c r="AT353" s="3">
        <v>3757813</v>
      </c>
      <c r="AU353" s="3">
        <v>47.29</v>
      </c>
      <c r="AV353" s="3">
        <v>47.37</v>
      </c>
      <c r="AW353" s="3">
        <v>47.12</v>
      </c>
      <c r="AX353" s="3">
        <v>47.21</v>
      </c>
      <c r="AY353" s="3">
        <v>9620379</v>
      </c>
      <c r="AZ353" s="3">
        <v>50.94</v>
      </c>
      <c r="BA353" s="3">
        <v>51.02</v>
      </c>
      <c r="BB353" s="3">
        <v>50.64</v>
      </c>
      <c r="BC353" s="3">
        <v>50.81</v>
      </c>
      <c r="BD353" s="3">
        <v>8052839</v>
      </c>
      <c r="BE353" s="3">
        <v>33.15</v>
      </c>
      <c r="BF353" s="3">
        <v>33.44</v>
      </c>
      <c r="BG353" s="3">
        <v>33.130000000000003</v>
      </c>
      <c r="BH353" s="3">
        <v>33.39</v>
      </c>
      <c r="BI353" s="3">
        <v>2998968</v>
      </c>
    </row>
    <row r="354" spans="1:61" ht="13" x14ac:dyDescent="0.15">
      <c r="A354" s="3">
        <v>42640</v>
      </c>
      <c r="B354" s="3">
        <v>2146.04</v>
      </c>
      <c r="C354" s="3">
        <v>2161.13</v>
      </c>
      <c r="D354" s="3">
        <v>2141.5500000000002</v>
      </c>
      <c r="E354" s="3">
        <v>2159.9299999999998</v>
      </c>
      <c r="F354" s="3">
        <v>534092546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3">
        <v>78.89</v>
      </c>
      <c r="M354" s="3">
        <v>79.59</v>
      </c>
      <c r="N354" s="3">
        <v>78.760000000000005</v>
      </c>
      <c r="O354" s="3">
        <v>79.59</v>
      </c>
      <c r="P354" s="3">
        <v>5137461</v>
      </c>
      <c r="Q354" s="3">
        <v>52.89</v>
      </c>
      <c r="R354" s="3">
        <v>53.26</v>
      </c>
      <c r="S354" s="3">
        <v>52.86</v>
      </c>
      <c r="T354" s="3">
        <v>53.11</v>
      </c>
      <c r="U354" s="3">
        <v>12608728</v>
      </c>
      <c r="V354" s="3">
        <v>66.67</v>
      </c>
      <c r="W354" s="3">
        <v>67.069999999999993</v>
      </c>
      <c r="X354" s="3">
        <v>66.14</v>
      </c>
      <c r="Y354" s="3">
        <v>66.89</v>
      </c>
      <c r="Z354" s="3">
        <v>19410216</v>
      </c>
      <c r="AA354" s="3">
        <v>19</v>
      </c>
      <c r="AB354" s="3">
        <v>19.239999999999998</v>
      </c>
      <c r="AC354" s="3">
        <v>18.940000000000001</v>
      </c>
      <c r="AD354" s="3">
        <v>19.22</v>
      </c>
      <c r="AE354" s="3">
        <v>47620011</v>
      </c>
      <c r="AF354" s="3">
        <v>72.17</v>
      </c>
      <c r="AG354" s="3">
        <v>72.78</v>
      </c>
      <c r="AH354" s="3">
        <v>72.010000000000005</v>
      </c>
      <c r="AI354" s="3">
        <v>72.77</v>
      </c>
      <c r="AJ354" s="3">
        <v>7839016</v>
      </c>
      <c r="AK354" s="3">
        <v>57.38</v>
      </c>
      <c r="AL354" s="3">
        <v>57.95</v>
      </c>
      <c r="AM354" s="3">
        <v>57.29</v>
      </c>
      <c r="AN354" s="3">
        <v>57.87</v>
      </c>
      <c r="AO354" s="3">
        <v>6882690</v>
      </c>
      <c r="AP354" s="3">
        <v>46.93</v>
      </c>
      <c r="AQ354" s="3">
        <v>47.27</v>
      </c>
      <c r="AR354" s="3">
        <v>46.85</v>
      </c>
      <c r="AS354" s="3">
        <v>47.23</v>
      </c>
      <c r="AT354" s="3">
        <v>3321752</v>
      </c>
      <c r="AU354" s="3">
        <v>47.27</v>
      </c>
      <c r="AV354" s="3">
        <v>47.75</v>
      </c>
      <c r="AW354" s="3">
        <v>47.15</v>
      </c>
      <c r="AX354" s="3">
        <v>47.73</v>
      </c>
      <c r="AY354" s="3">
        <v>8784549</v>
      </c>
      <c r="AZ354" s="3">
        <v>50.98</v>
      </c>
      <c r="BA354" s="3">
        <v>51.23</v>
      </c>
      <c r="BB354" s="3">
        <v>50.1</v>
      </c>
      <c r="BC354" s="3">
        <v>50.15</v>
      </c>
      <c r="BD354" s="3">
        <v>17939557</v>
      </c>
      <c r="BE354" s="3">
        <v>33.369999999999997</v>
      </c>
      <c r="BF354" s="3">
        <v>33.44</v>
      </c>
      <c r="BG354" s="3">
        <v>33.06</v>
      </c>
      <c r="BH354" s="3">
        <v>33.1</v>
      </c>
      <c r="BI354" s="3">
        <v>3562518</v>
      </c>
    </row>
    <row r="355" spans="1:61" ht="13" x14ac:dyDescent="0.15">
      <c r="A355" s="3">
        <v>42641</v>
      </c>
      <c r="B355" s="3">
        <v>2161.85</v>
      </c>
      <c r="C355" s="3">
        <v>2172.4</v>
      </c>
      <c r="D355" s="3">
        <v>2151.79</v>
      </c>
      <c r="E355" s="3">
        <v>2171.37</v>
      </c>
      <c r="F355" s="3">
        <v>558057164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3">
        <v>79.64</v>
      </c>
      <c r="M355" s="3">
        <v>79.849999999999994</v>
      </c>
      <c r="N355" s="3">
        <v>79.34</v>
      </c>
      <c r="O355" s="3">
        <v>79.81</v>
      </c>
      <c r="P355" s="3">
        <v>4130322</v>
      </c>
      <c r="Q355" s="3">
        <v>53.22</v>
      </c>
      <c r="R355" s="3">
        <v>53.32</v>
      </c>
      <c r="S355" s="3">
        <v>52.96</v>
      </c>
      <c r="T355" s="3">
        <v>53.2</v>
      </c>
      <c r="U355" s="3">
        <v>9757545</v>
      </c>
      <c r="V355" s="3">
        <v>67.28</v>
      </c>
      <c r="W355" s="3">
        <v>69.88</v>
      </c>
      <c r="X355" s="3">
        <v>66.709999999999994</v>
      </c>
      <c r="Y355" s="3">
        <v>69.78</v>
      </c>
      <c r="Z355" s="3">
        <v>41143437</v>
      </c>
      <c r="AA355" s="3">
        <v>19.3</v>
      </c>
      <c r="AB355" s="3">
        <v>19.34</v>
      </c>
      <c r="AC355" s="3">
        <v>19.12</v>
      </c>
      <c r="AD355" s="3">
        <v>19.309999999999999</v>
      </c>
      <c r="AE355" s="3">
        <v>42936410</v>
      </c>
      <c r="AF355" s="3">
        <v>72.84</v>
      </c>
      <c r="AG355" s="3">
        <v>72.849999999999994</v>
      </c>
      <c r="AH355" s="3">
        <v>72.28</v>
      </c>
      <c r="AI355" s="3">
        <v>72.66</v>
      </c>
      <c r="AJ355" s="3">
        <v>6522589</v>
      </c>
      <c r="AK355" s="3">
        <v>57.92</v>
      </c>
      <c r="AL355" s="3">
        <v>58.35</v>
      </c>
      <c r="AM355" s="3">
        <v>57.81</v>
      </c>
      <c r="AN355" s="3">
        <v>58.32</v>
      </c>
      <c r="AO355" s="3">
        <v>7366551</v>
      </c>
      <c r="AP355" s="3">
        <v>47.34</v>
      </c>
      <c r="AQ355" s="3">
        <v>47.82</v>
      </c>
      <c r="AR355" s="3">
        <v>47.12</v>
      </c>
      <c r="AS355" s="3">
        <v>47.77</v>
      </c>
      <c r="AT355" s="3">
        <v>4566609</v>
      </c>
      <c r="AU355" s="3">
        <v>47.77</v>
      </c>
      <c r="AV355" s="3">
        <v>47.84</v>
      </c>
      <c r="AW355" s="3">
        <v>47.52</v>
      </c>
      <c r="AX355" s="3">
        <v>47.82</v>
      </c>
      <c r="AY355" s="3">
        <v>9048720</v>
      </c>
      <c r="AZ355" s="3">
        <v>50.18</v>
      </c>
      <c r="BA355" s="3">
        <v>50.34</v>
      </c>
      <c r="BB355" s="3">
        <v>49.65</v>
      </c>
      <c r="BC355" s="3">
        <v>50.08</v>
      </c>
      <c r="BD355" s="3">
        <v>16619187</v>
      </c>
      <c r="BE355" s="3">
        <v>33.11</v>
      </c>
      <c r="BF355" s="3">
        <v>33.35</v>
      </c>
      <c r="BG355" s="3">
        <v>33.06</v>
      </c>
      <c r="BH355" s="3">
        <v>33.33</v>
      </c>
      <c r="BI355" s="3">
        <v>4122681</v>
      </c>
    </row>
    <row r="356" spans="1:61" ht="13" x14ac:dyDescent="0.15">
      <c r="A356" s="3">
        <v>42642</v>
      </c>
      <c r="B356" s="3">
        <v>2168.9</v>
      </c>
      <c r="C356" s="3">
        <v>2172.67</v>
      </c>
      <c r="D356" s="3">
        <v>2145.1999999999998</v>
      </c>
      <c r="E356" s="3">
        <v>2151.13</v>
      </c>
      <c r="F356" s="3">
        <v>616762353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3">
        <v>79.72</v>
      </c>
      <c r="M356" s="3">
        <v>80.180000000000007</v>
      </c>
      <c r="N356" s="3">
        <v>79.17</v>
      </c>
      <c r="O356" s="3">
        <v>79.400000000000006</v>
      </c>
      <c r="P356" s="3">
        <v>6361080</v>
      </c>
      <c r="Q356" s="3">
        <v>53.17</v>
      </c>
      <c r="R356" s="3">
        <v>53.2</v>
      </c>
      <c r="S356" s="3">
        <v>52.64</v>
      </c>
      <c r="T356" s="3">
        <v>52.68</v>
      </c>
      <c r="U356" s="3">
        <v>15093971</v>
      </c>
      <c r="V356" s="3">
        <v>69.73</v>
      </c>
      <c r="W356" s="3">
        <v>70.45</v>
      </c>
      <c r="X356" s="3">
        <v>69.03</v>
      </c>
      <c r="Y356" s="3">
        <v>69.66</v>
      </c>
      <c r="Z356" s="3">
        <v>27001560</v>
      </c>
      <c r="AA356" s="3">
        <v>19.3</v>
      </c>
      <c r="AB356" s="3">
        <v>19.399999999999999</v>
      </c>
      <c r="AC356" s="3">
        <v>18.940000000000001</v>
      </c>
      <c r="AD356" s="3">
        <v>19.04</v>
      </c>
      <c r="AE356" s="3">
        <v>62580775</v>
      </c>
      <c r="AF356" s="3">
        <v>72.569999999999993</v>
      </c>
      <c r="AG356" s="3">
        <v>72.66</v>
      </c>
      <c r="AH356" s="3">
        <v>71.17</v>
      </c>
      <c r="AI356" s="3">
        <v>71.38</v>
      </c>
      <c r="AJ356" s="3">
        <v>8857866</v>
      </c>
      <c r="AK356" s="3">
        <v>58.19</v>
      </c>
      <c r="AL356" s="3">
        <v>58.52</v>
      </c>
      <c r="AM356" s="3">
        <v>57.75</v>
      </c>
      <c r="AN356" s="3">
        <v>57.86</v>
      </c>
      <c r="AO356" s="3">
        <v>11584232</v>
      </c>
      <c r="AP356" s="3">
        <v>47.58</v>
      </c>
      <c r="AQ356" s="3">
        <v>47.9</v>
      </c>
      <c r="AR356" s="3">
        <v>47.25</v>
      </c>
      <c r="AS356" s="3">
        <v>47.4</v>
      </c>
      <c r="AT356" s="3">
        <v>4661351</v>
      </c>
      <c r="AU356" s="3">
        <v>47.76</v>
      </c>
      <c r="AV356" s="3">
        <v>47.88</v>
      </c>
      <c r="AW356" s="3">
        <v>47.39</v>
      </c>
      <c r="AX356" s="3">
        <v>47.53</v>
      </c>
      <c r="AY356" s="3">
        <v>11406897</v>
      </c>
      <c r="AZ356" s="3">
        <v>49.97</v>
      </c>
      <c r="BA356" s="3">
        <v>49.99</v>
      </c>
      <c r="BB356" s="3">
        <v>49.08</v>
      </c>
      <c r="BC356" s="3">
        <v>49.33</v>
      </c>
      <c r="BD356" s="3">
        <v>19247313</v>
      </c>
      <c r="BE356" s="3">
        <v>33.18</v>
      </c>
      <c r="BF356" s="3">
        <v>33.29</v>
      </c>
      <c r="BG356" s="3">
        <v>32.81</v>
      </c>
      <c r="BH356" s="3">
        <v>32.92</v>
      </c>
      <c r="BI356" s="3">
        <v>2674449</v>
      </c>
    </row>
    <row r="357" spans="1:61" ht="13" x14ac:dyDescent="0.15">
      <c r="A357" s="3">
        <v>42643</v>
      </c>
      <c r="B357" s="3">
        <v>2156.5100000000002</v>
      </c>
      <c r="C357" s="3">
        <v>2175.3000000000002</v>
      </c>
      <c r="D357" s="3">
        <v>2156.5100000000002</v>
      </c>
      <c r="E357" s="3">
        <v>2168.27</v>
      </c>
      <c r="F357" s="3">
        <v>809085274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3">
        <v>79.75</v>
      </c>
      <c r="M357" s="3">
        <v>80.28</v>
      </c>
      <c r="N357" s="3">
        <v>79.599999999999994</v>
      </c>
      <c r="O357" s="3">
        <v>80.040000000000006</v>
      </c>
      <c r="P357" s="3">
        <v>4789737</v>
      </c>
      <c r="Q357" s="3">
        <v>52.93</v>
      </c>
      <c r="R357" s="3">
        <v>53.39</v>
      </c>
      <c r="S357" s="3">
        <v>52.93</v>
      </c>
      <c r="T357" s="3">
        <v>53.21</v>
      </c>
      <c r="U357" s="3">
        <v>17343111</v>
      </c>
      <c r="V357" s="3">
        <v>70.150000000000006</v>
      </c>
      <c r="W357" s="3">
        <v>70.98</v>
      </c>
      <c r="X357" s="3">
        <v>69.7</v>
      </c>
      <c r="Y357" s="3">
        <v>70.61</v>
      </c>
      <c r="Z357" s="3">
        <v>14714527</v>
      </c>
      <c r="AA357" s="3">
        <v>19.14</v>
      </c>
      <c r="AB357" s="3">
        <v>19.399999999999999</v>
      </c>
      <c r="AC357" s="3">
        <v>19.11</v>
      </c>
      <c r="AD357" s="3">
        <v>19.3</v>
      </c>
      <c r="AE357" s="3">
        <v>47336889</v>
      </c>
      <c r="AF357" s="3">
        <v>71.53</v>
      </c>
      <c r="AG357" s="3">
        <v>72.31</v>
      </c>
      <c r="AH357" s="3">
        <v>71.489999999999995</v>
      </c>
      <c r="AI357" s="3">
        <v>72.11</v>
      </c>
      <c r="AJ357" s="3">
        <v>7453463</v>
      </c>
      <c r="AK357" s="3">
        <v>58.12</v>
      </c>
      <c r="AL357" s="3">
        <v>58.6</v>
      </c>
      <c r="AM357" s="3">
        <v>58.06</v>
      </c>
      <c r="AN357" s="3">
        <v>58.38</v>
      </c>
      <c r="AO357" s="3">
        <v>11206774</v>
      </c>
      <c r="AP357" s="3">
        <v>47.69</v>
      </c>
      <c r="AQ357" s="3">
        <v>47.92</v>
      </c>
      <c r="AR357" s="3">
        <v>47.54</v>
      </c>
      <c r="AS357" s="3">
        <v>47.75</v>
      </c>
      <c r="AT357" s="3">
        <v>4695270</v>
      </c>
      <c r="AU357" s="3">
        <v>47.64</v>
      </c>
      <c r="AV357" s="3">
        <v>47.93</v>
      </c>
      <c r="AW357" s="3">
        <v>47.6</v>
      </c>
      <c r="AX357" s="3">
        <v>47.78</v>
      </c>
      <c r="AY357" s="3">
        <v>9255328</v>
      </c>
      <c r="AZ357" s="3">
        <v>49.37</v>
      </c>
      <c r="BA357" s="3">
        <v>49.73</v>
      </c>
      <c r="BB357" s="3">
        <v>48.74</v>
      </c>
      <c r="BC357" s="3">
        <v>48.99</v>
      </c>
      <c r="BD357" s="3">
        <v>14836286</v>
      </c>
      <c r="BE357" s="3">
        <v>33.01</v>
      </c>
      <c r="BF357" s="3">
        <v>33.28</v>
      </c>
      <c r="BG357" s="3">
        <v>32.729999999999997</v>
      </c>
      <c r="BH357" s="3">
        <v>32.770000000000003</v>
      </c>
      <c r="BI357" s="3">
        <v>2058021</v>
      </c>
    </row>
    <row r="358" spans="1:61" ht="13" x14ac:dyDescent="0.15">
      <c r="A358" s="3">
        <v>42646</v>
      </c>
      <c r="B358" s="3">
        <v>2164.33</v>
      </c>
      <c r="C358" s="3">
        <v>2164.41</v>
      </c>
      <c r="D358" s="3">
        <v>2154.77</v>
      </c>
      <c r="E358" s="3">
        <v>2161.1999999999998</v>
      </c>
      <c r="F358" s="3">
        <v>514417686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3">
        <v>79.73</v>
      </c>
      <c r="M358" s="3">
        <v>80.17</v>
      </c>
      <c r="N358" s="3">
        <v>79.650000000000006</v>
      </c>
      <c r="O358" s="3">
        <v>79.989999999999995</v>
      </c>
      <c r="P358" s="3">
        <v>7726052</v>
      </c>
      <c r="Q358" s="3">
        <v>53.12</v>
      </c>
      <c r="R358" s="3">
        <v>53.16</v>
      </c>
      <c r="S358" s="3">
        <v>52.77</v>
      </c>
      <c r="T358" s="3">
        <v>52.87</v>
      </c>
      <c r="U358" s="3">
        <v>11454239</v>
      </c>
      <c r="V358" s="3">
        <v>70.73</v>
      </c>
      <c r="W358" s="3">
        <v>70.84</v>
      </c>
      <c r="X358" s="3">
        <v>69.97</v>
      </c>
      <c r="Y358" s="3">
        <v>70.56</v>
      </c>
      <c r="Z358" s="3">
        <v>13154939</v>
      </c>
      <c r="AA358" s="3">
        <v>19.239999999999998</v>
      </c>
      <c r="AB358" s="3">
        <v>19.309999999999999</v>
      </c>
      <c r="AC358" s="3">
        <v>19.16</v>
      </c>
      <c r="AD358" s="3">
        <v>19.21</v>
      </c>
      <c r="AE358" s="3">
        <v>33170494</v>
      </c>
      <c r="AF358" s="3">
        <v>71.790000000000006</v>
      </c>
      <c r="AG358" s="3">
        <v>72.05</v>
      </c>
      <c r="AH358" s="3">
        <v>71.489999999999995</v>
      </c>
      <c r="AI358" s="3">
        <v>72.05</v>
      </c>
      <c r="AJ358" s="3">
        <v>9187859</v>
      </c>
      <c r="AK358" s="3">
        <v>58.2</v>
      </c>
      <c r="AL358" s="3">
        <v>58.5</v>
      </c>
      <c r="AM358" s="3">
        <v>58.08</v>
      </c>
      <c r="AN358" s="3">
        <v>58.43</v>
      </c>
      <c r="AO358" s="3">
        <v>12590041</v>
      </c>
      <c r="AP358" s="3">
        <v>47.78</v>
      </c>
      <c r="AQ358" s="3">
        <v>47.91</v>
      </c>
      <c r="AR358" s="3">
        <v>47.63</v>
      </c>
      <c r="AS358" s="3">
        <v>47.69</v>
      </c>
      <c r="AT358" s="3">
        <v>8099736</v>
      </c>
      <c r="AU358" s="3">
        <v>47.65</v>
      </c>
      <c r="AV358" s="3">
        <v>47.76</v>
      </c>
      <c r="AW358" s="3">
        <v>47.53</v>
      </c>
      <c r="AX358" s="3">
        <v>47.64</v>
      </c>
      <c r="AY358" s="3">
        <v>6231442</v>
      </c>
      <c r="AZ358" s="3">
        <v>49.01</v>
      </c>
      <c r="BA358" s="3">
        <v>49.01</v>
      </c>
      <c r="BB358" s="3">
        <v>48.01</v>
      </c>
      <c r="BC358" s="3">
        <v>48.3</v>
      </c>
      <c r="BD358" s="3">
        <v>19492687</v>
      </c>
      <c r="BE358" s="3">
        <v>32.659999999999997</v>
      </c>
      <c r="BF358" s="3">
        <v>32.700000000000003</v>
      </c>
      <c r="BG358" s="3">
        <v>32.090000000000003</v>
      </c>
      <c r="BH358" s="3">
        <v>32.14</v>
      </c>
      <c r="BI358" s="3">
        <v>2344817</v>
      </c>
    </row>
    <row r="359" spans="1:61" ht="13" x14ac:dyDescent="0.15">
      <c r="A359" s="3">
        <v>42647</v>
      </c>
      <c r="B359" s="3">
        <v>2163.37</v>
      </c>
      <c r="C359" s="3">
        <v>2165.46</v>
      </c>
      <c r="D359" s="3">
        <v>2144.0100000000002</v>
      </c>
      <c r="E359" s="3">
        <v>2150.4899999999998</v>
      </c>
      <c r="F359" s="3">
        <v>562930985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3">
        <v>80.06</v>
      </c>
      <c r="M359" s="3">
        <v>80.319999999999993</v>
      </c>
      <c r="N359" s="3">
        <v>79.55</v>
      </c>
      <c r="O359" s="3">
        <v>79.709999999999994</v>
      </c>
      <c r="P359" s="3">
        <v>8939143</v>
      </c>
      <c r="Q359" s="3">
        <v>52.83</v>
      </c>
      <c r="R359" s="3">
        <v>52.87</v>
      </c>
      <c r="S359" s="3">
        <v>52.32</v>
      </c>
      <c r="T359" s="3">
        <v>52.42</v>
      </c>
      <c r="U359" s="3">
        <v>13346553</v>
      </c>
      <c r="V359" s="3">
        <v>70.62</v>
      </c>
      <c r="W359" s="3">
        <v>70.790000000000006</v>
      </c>
      <c r="X359" s="3">
        <v>69.56</v>
      </c>
      <c r="Y359" s="3">
        <v>69.84</v>
      </c>
      <c r="Z359" s="3">
        <v>11852813</v>
      </c>
      <c r="AA359" s="3">
        <v>19.260000000000002</v>
      </c>
      <c r="AB359" s="3">
        <v>19.43</v>
      </c>
      <c r="AC359" s="3">
        <v>19.190000000000001</v>
      </c>
      <c r="AD359" s="3">
        <v>19.29</v>
      </c>
      <c r="AE359" s="3">
        <v>68471721</v>
      </c>
      <c r="AF359" s="3">
        <v>71.97</v>
      </c>
      <c r="AG359" s="3">
        <v>72.27</v>
      </c>
      <c r="AH359" s="3">
        <v>71.55</v>
      </c>
      <c r="AI359" s="3">
        <v>71.91</v>
      </c>
      <c r="AJ359" s="3">
        <v>10594605</v>
      </c>
      <c r="AK359" s="3">
        <v>58.59</v>
      </c>
      <c r="AL359" s="3">
        <v>58.62</v>
      </c>
      <c r="AM359" s="3">
        <v>57.84</v>
      </c>
      <c r="AN359" s="3">
        <v>57.94</v>
      </c>
      <c r="AO359" s="3">
        <v>11208615</v>
      </c>
      <c r="AP359" s="3">
        <v>47.76</v>
      </c>
      <c r="AQ359" s="3">
        <v>47.85</v>
      </c>
      <c r="AR359" s="3">
        <v>46.96</v>
      </c>
      <c r="AS359" s="3">
        <v>47.04</v>
      </c>
      <c r="AT359" s="3">
        <v>5916792</v>
      </c>
      <c r="AU359" s="3">
        <v>47.8</v>
      </c>
      <c r="AV359" s="3">
        <v>47.88</v>
      </c>
      <c r="AW359" s="3">
        <v>47.3</v>
      </c>
      <c r="AX359" s="3">
        <v>47.47</v>
      </c>
      <c r="AY359" s="3">
        <v>8902234</v>
      </c>
      <c r="AZ359" s="3">
        <v>48.27</v>
      </c>
      <c r="BA359" s="3">
        <v>48.31</v>
      </c>
      <c r="BB359" s="3">
        <v>47</v>
      </c>
      <c r="BC359" s="3">
        <v>47.29</v>
      </c>
      <c r="BD359" s="3">
        <v>25691831</v>
      </c>
      <c r="BE359" s="3">
        <v>32.15</v>
      </c>
      <c r="BF359" s="3">
        <v>32.15</v>
      </c>
      <c r="BG359" s="3">
        <v>31.47</v>
      </c>
      <c r="BH359" s="3">
        <v>31.65</v>
      </c>
      <c r="BI359" s="3">
        <v>3262713</v>
      </c>
    </row>
    <row r="360" spans="1:61" ht="13" x14ac:dyDescent="0.15">
      <c r="A360" s="3">
        <v>42648</v>
      </c>
      <c r="B360" s="3">
        <v>2155.15</v>
      </c>
      <c r="C360" s="3">
        <v>2163.9499999999998</v>
      </c>
      <c r="D360" s="3">
        <v>2155.15</v>
      </c>
      <c r="E360" s="3">
        <v>2159.73</v>
      </c>
      <c r="F360" s="3">
        <v>599657716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3">
        <v>80.010000000000005</v>
      </c>
      <c r="M360" s="3">
        <v>80.36</v>
      </c>
      <c r="N360" s="3">
        <v>79.91</v>
      </c>
      <c r="O360" s="3">
        <v>80.040000000000006</v>
      </c>
      <c r="P360" s="3">
        <v>7135269</v>
      </c>
      <c r="Q360" s="3">
        <v>52.51</v>
      </c>
      <c r="R360" s="3">
        <v>52.6</v>
      </c>
      <c r="S360" s="3">
        <v>52.24</v>
      </c>
      <c r="T360" s="3">
        <v>52.37</v>
      </c>
      <c r="U360" s="3">
        <v>15203813</v>
      </c>
      <c r="V360" s="3">
        <v>70.55</v>
      </c>
      <c r="W360" s="3">
        <v>71.239999999999995</v>
      </c>
      <c r="X360" s="3">
        <v>70.48</v>
      </c>
      <c r="Y360" s="3">
        <v>70.91</v>
      </c>
      <c r="Z360" s="3">
        <v>13351152</v>
      </c>
      <c r="AA360" s="3">
        <v>19.37</v>
      </c>
      <c r="AB360" s="3">
        <v>19.64</v>
      </c>
      <c r="AC360" s="3">
        <v>19.34</v>
      </c>
      <c r="AD360" s="3">
        <v>19.600000000000001</v>
      </c>
      <c r="AE360" s="3">
        <v>58651881</v>
      </c>
      <c r="AF360" s="3">
        <v>72.099999999999994</v>
      </c>
      <c r="AG360" s="3">
        <v>72.349999999999994</v>
      </c>
      <c r="AH360" s="3">
        <v>71.989999999999995</v>
      </c>
      <c r="AI360" s="3">
        <v>72.19</v>
      </c>
      <c r="AJ360" s="3">
        <v>12842056</v>
      </c>
      <c r="AK360" s="3">
        <v>58.1</v>
      </c>
      <c r="AL360" s="3">
        <v>58.43</v>
      </c>
      <c r="AM360" s="3">
        <v>57.97</v>
      </c>
      <c r="AN360" s="3">
        <v>58.31</v>
      </c>
      <c r="AO360" s="3">
        <v>8430857</v>
      </c>
      <c r="AP360" s="3">
        <v>47.13</v>
      </c>
      <c r="AQ360" s="3">
        <v>47.57</v>
      </c>
      <c r="AR360" s="3">
        <v>47.13</v>
      </c>
      <c r="AS360" s="3">
        <v>47.36</v>
      </c>
      <c r="AT360" s="3">
        <v>6742787</v>
      </c>
      <c r="AU360" s="3">
        <v>47.6</v>
      </c>
      <c r="AV360" s="3">
        <v>47.75</v>
      </c>
      <c r="AW360" s="3">
        <v>47.55</v>
      </c>
      <c r="AX360" s="3">
        <v>47.64</v>
      </c>
      <c r="AY360" s="3">
        <v>9007846</v>
      </c>
      <c r="AZ360" s="3">
        <v>47.4</v>
      </c>
      <c r="BA360" s="3">
        <v>47.77</v>
      </c>
      <c r="BB360" s="3">
        <v>47.01</v>
      </c>
      <c r="BC360" s="3">
        <v>47.19</v>
      </c>
      <c r="BD360" s="3">
        <v>28171937</v>
      </c>
      <c r="BE360" s="3">
        <v>31.66</v>
      </c>
      <c r="BF360" s="3">
        <v>31.85</v>
      </c>
      <c r="BG360" s="3">
        <v>30.96</v>
      </c>
      <c r="BH360" s="3">
        <v>31.06</v>
      </c>
      <c r="BI360" s="3">
        <v>4848671</v>
      </c>
    </row>
    <row r="361" spans="1:61" ht="13" x14ac:dyDescent="0.15">
      <c r="A361" s="3">
        <v>42649</v>
      </c>
      <c r="B361" s="3">
        <v>2158.2199999999998</v>
      </c>
      <c r="C361" s="3">
        <v>2162.9299999999998</v>
      </c>
      <c r="D361" s="3">
        <v>2150.2800000000002</v>
      </c>
      <c r="E361" s="3">
        <v>2160.77</v>
      </c>
      <c r="F361" s="3">
        <v>517703265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3">
        <v>79.930000000000007</v>
      </c>
      <c r="M361" s="3">
        <v>80.260000000000005</v>
      </c>
      <c r="N361" s="3">
        <v>79.61</v>
      </c>
      <c r="O361" s="3">
        <v>80.099999999999994</v>
      </c>
      <c r="P361" s="3">
        <v>7262545</v>
      </c>
      <c r="Q361" s="3">
        <v>52.17</v>
      </c>
      <c r="R361" s="3">
        <v>52.6</v>
      </c>
      <c r="S361" s="3">
        <v>52.09</v>
      </c>
      <c r="T361" s="3">
        <v>52.47</v>
      </c>
      <c r="U361" s="3">
        <v>15413338</v>
      </c>
      <c r="V361" s="3">
        <v>71.12</v>
      </c>
      <c r="W361" s="3">
        <v>71.349999999999994</v>
      </c>
      <c r="X361" s="3">
        <v>70.38</v>
      </c>
      <c r="Y361" s="3">
        <v>71.02</v>
      </c>
      <c r="Z361" s="3">
        <v>11175779</v>
      </c>
      <c r="AA361" s="3">
        <v>19.649999999999999</v>
      </c>
      <c r="AB361" s="3">
        <v>19.66</v>
      </c>
      <c r="AC361" s="3">
        <v>19.46</v>
      </c>
      <c r="AD361" s="3">
        <v>19.63</v>
      </c>
      <c r="AE361" s="3">
        <v>53337261</v>
      </c>
      <c r="AF361" s="3">
        <v>71.95</v>
      </c>
      <c r="AG361" s="3">
        <v>72.02</v>
      </c>
      <c r="AH361" s="3">
        <v>71.489999999999995</v>
      </c>
      <c r="AI361" s="3">
        <v>71.92</v>
      </c>
      <c r="AJ361" s="3">
        <v>9308917</v>
      </c>
      <c r="AK361" s="3">
        <v>58.26</v>
      </c>
      <c r="AL361" s="3">
        <v>58.38</v>
      </c>
      <c r="AM361" s="3">
        <v>58.03</v>
      </c>
      <c r="AN361" s="3">
        <v>58.31</v>
      </c>
      <c r="AO361" s="3">
        <v>7474346</v>
      </c>
      <c r="AP361" s="3">
        <v>47.25</v>
      </c>
      <c r="AQ361" s="3">
        <v>47.78</v>
      </c>
      <c r="AR361" s="3">
        <v>47.18</v>
      </c>
      <c r="AS361" s="3">
        <v>47.75</v>
      </c>
      <c r="AT361" s="3">
        <v>5229775</v>
      </c>
      <c r="AU361" s="3">
        <v>47.68</v>
      </c>
      <c r="AV361" s="3">
        <v>47.8</v>
      </c>
      <c r="AW361" s="3">
        <v>47.47</v>
      </c>
      <c r="AX361" s="3">
        <v>47.75</v>
      </c>
      <c r="AY361" s="3">
        <v>5005874</v>
      </c>
      <c r="AZ361" s="3">
        <v>47.03</v>
      </c>
      <c r="BA361" s="3">
        <v>47.42</v>
      </c>
      <c r="BB361" s="3">
        <v>46.79</v>
      </c>
      <c r="BC361" s="3">
        <v>47.18</v>
      </c>
      <c r="BD361" s="3">
        <v>20195654</v>
      </c>
      <c r="BE361" s="3">
        <v>30.98</v>
      </c>
      <c r="BF361" s="3">
        <v>31.33</v>
      </c>
      <c r="BG361" s="3">
        <v>30.63</v>
      </c>
      <c r="BH361" s="3">
        <v>31.12</v>
      </c>
      <c r="BI361" s="3">
        <v>2438750</v>
      </c>
    </row>
    <row r="362" spans="1:61" ht="13" x14ac:dyDescent="0.15">
      <c r="A362" s="3">
        <v>42650</v>
      </c>
      <c r="B362" s="3">
        <v>2164.19</v>
      </c>
      <c r="C362" s="3">
        <v>2165.86</v>
      </c>
      <c r="D362" s="3">
        <v>2144.85</v>
      </c>
      <c r="E362" s="3">
        <v>2153.7399999999998</v>
      </c>
      <c r="F362" s="3">
        <v>620211022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3">
        <v>80.33</v>
      </c>
      <c r="M362" s="3">
        <v>80.41</v>
      </c>
      <c r="N362" s="3">
        <v>79.540000000000006</v>
      </c>
      <c r="O362" s="3">
        <v>79.739999999999995</v>
      </c>
      <c r="P362" s="3">
        <v>8692053</v>
      </c>
      <c r="Q362" s="3">
        <v>52.49</v>
      </c>
      <c r="R362" s="3">
        <v>52.6</v>
      </c>
      <c r="S362" s="3">
        <v>51.96</v>
      </c>
      <c r="T362" s="3">
        <v>52.33</v>
      </c>
      <c r="U362" s="3">
        <v>11402972</v>
      </c>
      <c r="V362" s="3">
        <v>71.03</v>
      </c>
      <c r="W362" s="3">
        <v>71.33</v>
      </c>
      <c r="X362" s="3">
        <v>70.400000000000006</v>
      </c>
      <c r="Y362" s="3">
        <v>70.61</v>
      </c>
      <c r="Z362" s="3">
        <v>11744430</v>
      </c>
      <c r="AA362" s="3">
        <v>19.55</v>
      </c>
      <c r="AB362" s="3">
        <v>19.66</v>
      </c>
      <c r="AC362" s="3">
        <v>19.489999999999998</v>
      </c>
      <c r="AD362" s="3">
        <v>19.62</v>
      </c>
      <c r="AE362" s="3">
        <v>55532849</v>
      </c>
      <c r="AF362" s="3">
        <v>71.849999999999994</v>
      </c>
      <c r="AG362" s="3">
        <v>72.209999999999994</v>
      </c>
      <c r="AH362" s="3">
        <v>71.45</v>
      </c>
      <c r="AI362" s="3">
        <v>71.87</v>
      </c>
      <c r="AJ362" s="3">
        <v>9920420</v>
      </c>
      <c r="AK362" s="3">
        <v>57.92</v>
      </c>
      <c r="AL362" s="3">
        <v>57.94</v>
      </c>
      <c r="AM362" s="3">
        <v>57.31</v>
      </c>
      <c r="AN362" s="3">
        <v>57.56</v>
      </c>
      <c r="AO362" s="3">
        <v>12646117</v>
      </c>
      <c r="AP362" s="3">
        <v>47.81</v>
      </c>
      <c r="AQ362" s="3">
        <v>47.81</v>
      </c>
      <c r="AR362" s="3">
        <v>46.7</v>
      </c>
      <c r="AS362" s="3">
        <v>46.86</v>
      </c>
      <c r="AT362" s="3">
        <v>5890851</v>
      </c>
      <c r="AU362" s="3">
        <v>47.79</v>
      </c>
      <c r="AV362" s="3">
        <v>47.85</v>
      </c>
      <c r="AW362" s="3">
        <v>47.39</v>
      </c>
      <c r="AX362" s="3">
        <v>47.62</v>
      </c>
      <c r="AY362" s="3">
        <v>6073940</v>
      </c>
      <c r="AZ362" s="3">
        <v>47.51</v>
      </c>
      <c r="BA362" s="3">
        <v>47.96</v>
      </c>
      <c r="BB362" s="3">
        <v>47.1</v>
      </c>
      <c r="BC362" s="3">
        <v>47.12</v>
      </c>
      <c r="BD362" s="3">
        <v>17215813</v>
      </c>
      <c r="BE362" s="3">
        <v>31.19</v>
      </c>
      <c r="BF362" s="3">
        <v>31.6</v>
      </c>
      <c r="BG362" s="3">
        <v>30.9</v>
      </c>
      <c r="BH362" s="3">
        <v>31.04</v>
      </c>
      <c r="BI362" s="3">
        <v>1711450</v>
      </c>
    </row>
    <row r="363" spans="1:61" ht="13" x14ac:dyDescent="0.15">
      <c r="A363" s="3">
        <v>42653</v>
      </c>
      <c r="B363" s="3">
        <v>2160.39</v>
      </c>
      <c r="C363" s="3">
        <v>2169.6</v>
      </c>
      <c r="D363" s="3">
        <v>2160.39</v>
      </c>
      <c r="E363" s="3">
        <v>2163.66</v>
      </c>
      <c r="F363" s="3">
        <v>452832485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3">
        <v>80.12</v>
      </c>
      <c r="M363" s="3">
        <v>80.22</v>
      </c>
      <c r="N363" s="3">
        <v>79.819999999999993</v>
      </c>
      <c r="O363" s="3">
        <v>79.87</v>
      </c>
      <c r="P363" s="3">
        <v>2970513</v>
      </c>
      <c r="Q363" s="3">
        <v>52.45</v>
      </c>
      <c r="R363" s="3">
        <v>52.64</v>
      </c>
      <c r="S363" s="3">
        <v>52.23</v>
      </c>
      <c r="T363" s="3">
        <v>52.33</v>
      </c>
      <c r="U363" s="3">
        <v>8661735</v>
      </c>
      <c r="V363" s="3">
        <v>71.31</v>
      </c>
      <c r="W363" s="3">
        <v>71.98</v>
      </c>
      <c r="X363" s="3">
        <v>71.239999999999995</v>
      </c>
      <c r="Y363" s="3">
        <v>71.72</v>
      </c>
      <c r="Z363" s="3">
        <v>11534499</v>
      </c>
      <c r="AA363" s="3">
        <v>19.72</v>
      </c>
      <c r="AB363" s="3">
        <v>19.809999999999999</v>
      </c>
      <c r="AC363" s="3">
        <v>19.7</v>
      </c>
      <c r="AD363" s="3">
        <v>19.72</v>
      </c>
      <c r="AE363" s="3">
        <v>37997419</v>
      </c>
      <c r="AF363" s="3">
        <v>72</v>
      </c>
      <c r="AG363" s="3">
        <v>72.42</v>
      </c>
      <c r="AH363" s="3">
        <v>72</v>
      </c>
      <c r="AI363" s="3">
        <v>72.2</v>
      </c>
      <c r="AJ363" s="3">
        <v>11039462</v>
      </c>
      <c r="AK363" s="3">
        <v>57.84</v>
      </c>
      <c r="AL363" s="3">
        <v>58</v>
      </c>
      <c r="AM363" s="3">
        <v>57.55</v>
      </c>
      <c r="AN363" s="3">
        <v>57.62</v>
      </c>
      <c r="AO363" s="3">
        <v>8706382</v>
      </c>
      <c r="AP363" s="3">
        <v>47.14</v>
      </c>
      <c r="AQ363" s="3">
        <v>47.48</v>
      </c>
      <c r="AR363" s="3">
        <v>47.04</v>
      </c>
      <c r="AS363" s="3">
        <v>47.14</v>
      </c>
      <c r="AT363" s="3">
        <v>3091942</v>
      </c>
      <c r="AU363" s="3">
        <v>47.87</v>
      </c>
      <c r="AV363" s="3">
        <v>48.06</v>
      </c>
      <c r="AW363" s="3">
        <v>47.84</v>
      </c>
      <c r="AX363" s="3">
        <v>47.95</v>
      </c>
      <c r="AY363" s="3">
        <v>6657950</v>
      </c>
      <c r="AZ363" s="3">
        <v>47.15</v>
      </c>
      <c r="BA363" s="3">
        <v>47.55</v>
      </c>
      <c r="BB363" s="3">
        <v>47.15</v>
      </c>
      <c r="BC363" s="3">
        <v>47.51</v>
      </c>
      <c r="BD363" s="3">
        <v>9774767</v>
      </c>
      <c r="BE363" s="3">
        <v>31.05</v>
      </c>
      <c r="BF363" s="3">
        <v>31.32</v>
      </c>
      <c r="BG363" s="3">
        <v>31</v>
      </c>
      <c r="BH363" s="3">
        <v>31.16</v>
      </c>
      <c r="BI363" s="3">
        <v>2404051</v>
      </c>
    </row>
    <row r="364" spans="1:61" ht="13" x14ac:dyDescent="0.15">
      <c r="A364" s="3">
        <v>42654</v>
      </c>
      <c r="B364" s="3">
        <v>2161.35</v>
      </c>
      <c r="C364" s="3">
        <v>2161.56</v>
      </c>
      <c r="D364" s="3">
        <v>2128.84</v>
      </c>
      <c r="E364" s="3">
        <v>2136.73</v>
      </c>
      <c r="F364" s="3">
        <v>576873524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3">
        <v>79.930000000000007</v>
      </c>
      <c r="M364" s="3">
        <v>79.930000000000007</v>
      </c>
      <c r="N364" s="3">
        <v>78.739999999999995</v>
      </c>
      <c r="O364" s="3">
        <v>78.900000000000006</v>
      </c>
      <c r="P364" s="3">
        <v>8425902</v>
      </c>
      <c r="Q364" s="3">
        <v>52.29</v>
      </c>
      <c r="R364" s="3">
        <v>52.33</v>
      </c>
      <c r="S364" s="3">
        <v>51.87</v>
      </c>
      <c r="T364" s="3">
        <v>52.06</v>
      </c>
      <c r="U364" s="3">
        <v>19642620</v>
      </c>
      <c r="V364" s="3">
        <v>71.47</v>
      </c>
      <c r="W364" s="3">
        <v>71.59</v>
      </c>
      <c r="X364" s="3">
        <v>70.510000000000005</v>
      </c>
      <c r="Y364" s="3">
        <v>70.900000000000006</v>
      </c>
      <c r="Z364" s="3">
        <v>13712236</v>
      </c>
      <c r="AA364" s="3">
        <v>19.66</v>
      </c>
      <c r="AB364" s="3">
        <v>19.72</v>
      </c>
      <c r="AC364" s="3">
        <v>19.41</v>
      </c>
      <c r="AD364" s="3">
        <v>19.54</v>
      </c>
      <c r="AE364" s="3">
        <v>78581159</v>
      </c>
      <c r="AF364" s="3">
        <v>71.849999999999994</v>
      </c>
      <c r="AG364" s="3">
        <v>71.849999999999994</v>
      </c>
      <c r="AH364" s="3">
        <v>70.08</v>
      </c>
      <c r="AI364" s="3">
        <v>70.39</v>
      </c>
      <c r="AJ364" s="3">
        <v>12499679</v>
      </c>
      <c r="AK364" s="3">
        <v>57.5</v>
      </c>
      <c r="AL364" s="3">
        <v>57.55</v>
      </c>
      <c r="AM364" s="3">
        <v>56.77</v>
      </c>
      <c r="AN364" s="3">
        <v>57.02</v>
      </c>
      <c r="AO364" s="3">
        <v>13409076</v>
      </c>
      <c r="AP364" s="3">
        <v>46.81</v>
      </c>
      <c r="AQ364" s="3">
        <v>46.86</v>
      </c>
      <c r="AR364" s="3">
        <v>46.2</v>
      </c>
      <c r="AS364" s="3">
        <v>46.5</v>
      </c>
      <c r="AT364" s="3">
        <v>11350539</v>
      </c>
      <c r="AU364" s="3">
        <v>47.95</v>
      </c>
      <c r="AV364" s="3">
        <v>48.01</v>
      </c>
      <c r="AW364" s="3">
        <v>47.2</v>
      </c>
      <c r="AX364" s="3">
        <v>47.41</v>
      </c>
      <c r="AY364" s="3">
        <v>8727329</v>
      </c>
      <c r="AZ364" s="3">
        <v>47.48</v>
      </c>
      <c r="BA364" s="3">
        <v>47.48</v>
      </c>
      <c r="BB364" s="3">
        <v>46.89</v>
      </c>
      <c r="BC364" s="3">
        <v>46.97</v>
      </c>
      <c r="BD364" s="3">
        <v>14346968</v>
      </c>
      <c r="BE364" s="3">
        <v>31.08</v>
      </c>
      <c r="BF364" s="3">
        <v>31.2</v>
      </c>
      <c r="BG364" s="3">
        <v>30.82</v>
      </c>
      <c r="BH364" s="3">
        <v>30.92</v>
      </c>
      <c r="BI364" s="3">
        <v>1770422</v>
      </c>
    </row>
    <row r="365" spans="1:61" ht="13" x14ac:dyDescent="0.15">
      <c r="A365" s="3">
        <v>42655</v>
      </c>
      <c r="B365" s="3">
        <v>2137.67</v>
      </c>
      <c r="C365" s="3">
        <v>2145.36</v>
      </c>
      <c r="D365" s="3">
        <v>2132.77</v>
      </c>
      <c r="E365" s="3">
        <v>2139.1799999999998</v>
      </c>
      <c r="F365" s="3">
        <v>458983794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3">
        <v>78.98</v>
      </c>
      <c r="M365" s="3">
        <v>79.56</v>
      </c>
      <c r="N365" s="3">
        <v>78.88</v>
      </c>
      <c r="O365" s="3">
        <v>79.27</v>
      </c>
      <c r="P365" s="3">
        <v>3798210</v>
      </c>
      <c r="Q365" s="3">
        <v>52.15</v>
      </c>
      <c r="R365" s="3">
        <v>52.48</v>
      </c>
      <c r="S365" s="3">
        <v>52.05</v>
      </c>
      <c r="T365" s="3">
        <v>52.35</v>
      </c>
      <c r="U365" s="3">
        <v>7145429</v>
      </c>
      <c r="V365" s="3">
        <v>70.599999999999994</v>
      </c>
      <c r="W365" s="3">
        <v>70.849999999999994</v>
      </c>
      <c r="X365" s="3">
        <v>70</v>
      </c>
      <c r="Y365" s="3">
        <v>70.599999999999994</v>
      </c>
      <c r="Z365" s="3">
        <v>10439113</v>
      </c>
      <c r="AA365" s="3">
        <v>19.52</v>
      </c>
      <c r="AB365" s="3">
        <v>19.649999999999999</v>
      </c>
      <c r="AC365" s="3">
        <v>19.489999999999998</v>
      </c>
      <c r="AD365" s="3">
        <v>19.52</v>
      </c>
      <c r="AE365" s="3">
        <v>51378746</v>
      </c>
      <c r="AF365" s="3">
        <v>70.430000000000007</v>
      </c>
      <c r="AG365" s="3">
        <v>70.709999999999994</v>
      </c>
      <c r="AH365" s="3">
        <v>69.989999999999995</v>
      </c>
      <c r="AI365" s="3">
        <v>70.06</v>
      </c>
      <c r="AJ365" s="3">
        <v>11746381</v>
      </c>
      <c r="AK365" s="3">
        <v>57.08</v>
      </c>
      <c r="AL365" s="3">
        <v>57.29</v>
      </c>
      <c r="AM365" s="3">
        <v>56.86</v>
      </c>
      <c r="AN365" s="3">
        <v>57.13</v>
      </c>
      <c r="AO365" s="3">
        <v>8374281</v>
      </c>
      <c r="AP365" s="3">
        <v>46.54</v>
      </c>
      <c r="AQ365" s="3">
        <v>46.58</v>
      </c>
      <c r="AR365" s="3">
        <v>46.18</v>
      </c>
      <c r="AS365" s="3">
        <v>46.41</v>
      </c>
      <c r="AT365" s="3">
        <v>4058156</v>
      </c>
      <c r="AU365" s="3">
        <v>47.45</v>
      </c>
      <c r="AV365" s="3">
        <v>47.62</v>
      </c>
      <c r="AW365" s="3">
        <v>47.21</v>
      </c>
      <c r="AX365" s="3">
        <v>47.49</v>
      </c>
      <c r="AY365" s="3">
        <v>5520367</v>
      </c>
      <c r="AZ365" s="3">
        <v>47</v>
      </c>
      <c r="BA365" s="3">
        <v>47.52</v>
      </c>
      <c r="BB365" s="3">
        <v>46.92</v>
      </c>
      <c r="BC365" s="3">
        <v>47.43</v>
      </c>
      <c r="BD365" s="3">
        <v>15427287</v>
      </c>
      <c r="BE365" s="3">
        <v>30.97</v>
      </c>
      <c r="BF365" s="3">
        <v>31.36</v>
      </c>
      <c r="BG365" s="3">
        <v>30.93</v>
      </c>
      <c r="BH365" s="3">
        <v>31.36</v>
      </c>
      <c r="BI365" s="3">
        <v>1411699</v>
      </c>
    </row>
    <row r="366" spans="1:61" ht="13" x14ac:dyDescent="0.15">
      <c r="A366" s="3">
        <v>42656</v>
      </c>
      <c r="B366" s="3">
        <v>2130.2600000000002</v>
      </c>
      <c r="C366" s="3">
        <v>2138.19</v>
      </c>
      <c r="D366" s="3">
        <v>2114.7199999999998</v>
      </c>
      <c r="E366" s="3">
        <v>2132.5500000000002</v>
      </c>
      <c r="F366" s="3">
        <v>561305794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3">
        <v>78.709999999999994</v>
      </c>
      <c r="M366" s="3">
        <v>79.19</v>
      </c>
      <c r="N366" s="3">
        <v>78.19</v>
      </c>
      <c r="O366" s="3">
        <v>78.98</v>
      </c>
      <c r="P366" s="3">
        <v>4027979</v>
      </c>
      <c r="Q366" s="3">
        <v>51.99</v>
      </c>
      <c r="R366" s="3">
        <v>52.51</v>
      </c>
      <c r="S366" s="3">
        <v>51.93</v>
      </c>
      <c r="T366" s="3">
        <v>52.36</v>
      </c>
      <c r="U366" s="3">
        <v>19180711</v>
      </c>
      <c r="V366" s="3">
        <v>70.16</v>
      </c>
      <c r="W366" s="3">
        <v>70.569999999999993</v>
      </c>
      <c r="X366" s="3">
        <v>69.290000000000006</v>
      </c>
      <c r="Y366" s="3">
        <v>70.209999999999994</v>
      </c>
      <c r="Z366" s="3">
        <v>13543379</v>
      </c>
      <c r="AA366" s="3">
        <v>19.36</v>
      </c>
      <c r="AB366" s="3">
        <v>19.37</v>
      </c>
      <c r="AC366" s="3">
        <v>19.11</v>
      </c>
      <c r="AD366" s="3">
        <v>19.329999999999998</v>
      </c>
      <c r="AE366" s="3">
        <v>73171091</v>
      </c>
      <c r="AF366" s="3">
        <v>69.650000000000006</v>
      </c>
      <c r="AG366" s="3">
        <v>70.349999999999994</v>
      </c>
      <c r="AH366" s="3">
        <v>69.42</v>
      </c>
      <c r="AI366" s="3">
        <v>70.09</v>
      </c>
      <c r="AJ366" s="3">
        <v>13623090</v>
      </c>
      <c r="AK366" s="3">
        <v>56.64</v>
      </c>
      <c r="AL366" s="3">
        <v>57.25</v>
      </c>
      <c r="AM366" s="3">
        <v>56.51</v>
      </c>
      <c r="AN366" s="3">
        <v>57.11</v>
      </c>
      <c r="AO366" s="3">
        <v>12265969</v>
      </c>
      <c r="AP366" s="3">
        <v>45.91</v>
      </c>
      <c r="AQ366" s="3">
        <v>46.28</v>
      </c>
      <c r="AR366" s="3">
        <v>45.56</v>
      </c>
      <c r="AS366" s="3">
        <v>46.17</v>
      </c>
      <c r="AT366" s="3">
        <v>4947051</v>
      </c>
      <c r="AU366" s="3">
        <v>47.18</v>
      </c>
      <c r="AV366" s="3">
        <v>47.34</v>
      </c>
      <c r="AW366" s="3">
        <v>46.79</v>
      </c>
      <c r="AX366" s="3">
        <v>47.19</v>
      </c>
      <c r="AY366" s="3">
        <v>9669204</v>
      </c>
      <c r="AZ366" s="3">
        <v>47.51</v>
      </c>
      <c r="BA366" s="3">
        <v>48.33</v>
      </c>
      <c r="BB366" s="3">
        <v>47.41</v>
      </c>
      <c r="BC366" s="3">
        <v>48.02</v>
      </c>
      <c r="BD366" s="3">
        <v>30542148</v>
      </c>
      <c r="BE366" s="3">
        <v>31.27</v>
      </c>
      <c r="BF366" s="3">
        <v>31.54</v>
      </c>
      <c r="BG366" s="3">
        <v>31.12</v>
      </c>
      <c r="BH366" s="3">
        <v>31.46</v>
      </c>
      <c r="BI366" s="3">
        <v>3299281</v>
      </c>
    </row>
    <row r="367" spans="1:61" ht="13" x14ac:dyDescent="0.15">
      <c r="A367" s="3">
        <v>42657</v>
      </c>
      <c r="B367" s="3">
        <v>2139.6799999999998</v>
      </c>
      <c r="C367" s="3">
        <v>2149.19</v>
      </c>
      <c r="D367" s="3">
        <v>2132.98</v>
      </c>
      <c r="E367" s="3">
        <v>2132.98</v>
      </c>
      <c r="F367" s="3">
        <v>548993154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3">
        <v>79.23</v>
      </c>
      <c r="M367" s="3">
        <v>79.489999999999995</v>
      </c>
      <c r="N367" s="3">
        <v>78.849999999999994</v>
      </c>
      <c r="O367" s="3">
        <v>78.89</v>
      </c>
      <c r="P367" s="3">
        <v>3474562</v>
      </c>
      <c r="Q367" s="3">
        <v>52.38</v>
      </c>
      <c r="R367" s="3">
        <v>52.62</v>
      </c>
      <c r="S367" s="3">
        <v>52.29</v>
      </c>
      <c r="T367" s="3">
        <v>52.37</v>
      </c>
      <c r="U367" s="3">
        <v>10659073</v>
      </c>
      <c r="V367" s="3">
        <v>70.569999999999993</v>
      </c>
      <c r="W367" s="3">
        <v>70.8</v>
      </c>
      <c r="X367" s="3">
        <v>69.75</v>
      </c>
      <c r="Y367" s="3">
        <v>69.8</v>
      </c>
      <c r="Z367" s="3">
        <v>11372449</v>
      </c>
      <c r="AA367" s="3">
        <v>19.559999999999999</v>
      </c>
      <c r="AB367" s="3">
        <v>19.62</v>
      </c>
      <c r="AC367" s="3">
        <v>19.36</v>
      </c>
      <c r="AD367" s="3">
        <v>19.420000000000002</v>
      </c>
      <c r="AE367" s="3">
        <v>76176507</v>
      </c>
      <c r="AF367" s="3">
        <v>70.25</v>
      </c>
      <c r="AG367" s="3">
        <v>70.44</v>
      </c>
      <c r="AH367" s="3">
        <v>69.599999999999994</v>
      </c>
      <c r="AI367" s="3">
        <v>69.62</v>
      </c>
      <c r="AJ367" s="3">
        <v>8382388</v>
      </c>
      <c r="AK367" s="3">
        <v>57.49</v>
      </c>
      <c r="AL367" s="3">
        <v>57.66</v>
      </c>
      <c r="AM367" s="3">
        <v>57.21</v>
      </c>
      <c r="AN367" s="3">
        <v>57.23</v>
      </c>
      <c r="AO367" s="3">
        <v>7633396</v>
      </c>
      <c r="AP367" s="3">
        <v>46.37</v>
      </c>
      <c r="AQ367" s="3">
        <v>46.65</v>
      </c>
      <c r="AR367" s="3">
        <v>46.27</v>
      </c>
      <c r="AS367" s="3">
        <v>46.32</v>
      </c>
      <c r="AT367" s="3">
        <v>4768706</v>
      </c>
      <c r="AU367" s="3">
        <v>47.38</v>
      </c>
      <c r="AV367" s="3">
        <v>47.69</v>
      </c>
      <c r="AW367" s="3">
        <v>47.33</v>
      </c>
      <c r="AX367" s="3">
        <v>47.37</v>
      </c>
      <c r="AY367" s="3">
        <v>9448281</v>
      </c>
      <c r="AZ367" s="3">
        <v>47.77</v>
      </c>
      <c r="BA367" s="3">
        <v>48.23</v>
      </c>
      <c r="BB367" s="3">
        <v>47.68</v>
      </c>
      <c r="BC367" s="3">
        <v>47.75</v>
      </c>
      <c r="BD367" s="3">
        <v>17948345</v>
      </c>
      <c r="BE367" s="3">
        <v>31.56</v>
      </c>
      <c r="BF367" s="3">
        <v>31.73</v>
      </c>
      <c r="BG367" s="3">
        <v>31.35</v>
      </c>
      <c r="BH367" s="3">
        <v>31.42</v>
      </c>
      <c r="BI367" s="3">
        <v>2381432</v>
      </c>
    </row>
    <row r="368" spans="1:61" ht="13" x14ac:dyDescent="0.15">
      <c r="A368" s="3">
        <v>42660</v>
      </c>
      <c r="B368" s="3">
        <v>2132.9499999999998</v>
      </c>
      <c r="C368" s="3">
        <v>2135.61</v>
      </c>
      <c r="D368" s="3">
        <v>2124.4299999999998</v>
      </c>
      <c r="E368" s="3">
        <v>2126.5</v>
      </c>
      <c r="F368" s="3">
        <v>479259921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3">
        <v>78.86</v>
      </c>
      <c r="M368" s="3">
        <v>78.87</v>
      </c>
      <c r="N368" s="3">
        <v>78.22</v>
      </c>
      <c r="O368" s="3">
        <v>78.239999999999995</v>
      </c>
      <c r="P368" s="3">
        <v>3628640</v>
      </c>
      <c r="Q368" s="3">
        <v>52.39</v>
      </c>
      <c r="R368" s="3">
        <v>52.46</v>
      </c>
      <c r="S368" s="3">
        <v>52.09</v>
      </c>
      <c r="T368" s="3">
        <v>52.12</v>
      </c>
      <c r="U368" s="3">
        <v>8464992</v>
      </c>
      <c r="V368" s="3">
        <v>69.819999999999993</v>
      </c>
      <c r="W368" s="3">
        <v>70.040000000000006</v>
      </c>
      <c r="X368" s="3">
        <v>69.08</v>
      </c>
      <c r="Y368" s="3">
        <v>69.459999999999994</v>
      </c>
      <c r="Z368" s="3">
        <v>7425014</v>
      </c>
      <c r="AA368" s="3">
        <v>19.43</v>
      </c>
      <c r="AB368" s="3">
        <v>19.47</v>
      </c>
      <c r="AC368" s="3">
        <v>19.28</v>
      </c>
      <c r="AD368" s="3">
        <v>19.329999999999998</v>
      </c>
      <c r="AE368" s="3">
        <v>41236064</v>
      </c>
      <c r="AF368" s="3">
        <v>69.510000000000005</v>
      </c>
      <c r="AG368" s="3">
        <v>69.650000000000006</v>
      </c>
      <c r="AH368" s="3">
        <v>69.239999999999995</v>
      </c>
      <c r="AI368" s="3">
        <v>69.39</v>
      </c>
      <c r="AJ368" s="3">
        <v>8462992</v>
      </c>
      <c r="AK368" s="3">
        <v>57.23</v>
      </c>
      <c r="AL368" s="3">
        <v>57.38</v>
      </c>
      <c r="AM368" s="3">
        <v>57.05</v>
      </c>
      <c r="AN368" s="3">
        <v>57.08</v>
      </c>
      <c r="AO368" s="3">
        <v>5911197</v>
      </c>
      <c r="AP368" s="3">
        <v>46.34</v>
      </c>
      <c r="AQ368" s="3">
        <v>46.53</v>
      </c>
      <c r="AR368" s="3">
        <v>46.27</v>
      </c>
      <c r="AS368" s="3">
        <v>46.36</v>
      </c>
      <c r="AT368" s="3">
        <v>3269079</v>
      </c>
      <c r="AU368" s="3">
        <v>47.37</v>
      </c>
      <c r="AV368" s="3">
        <v>47.47</v>
      </c>
      <c r="AW368" s="3">
        <v>47.24</v>
      </c>
      <c r="AX368" s="3">
        <v>47.27</v>
      </c>
      <c r="AY368" s="3">
        <v>5075076</v>
      </c>
      <c r="AZ368" s="3">
        <v>47.9</v>
      </c>
      <c r="BA368" s="3">
        <v>48.13</v>
      </c>
      <c r="BB368" s="3">
        <v>47.84</v>
      </c>
      <c r="BC368" s="3">
        <v>48.01</v>
      </c>
      <c r="BD368" s="3">
        <v>11439932</v>
      </c>
      <c r="BE368" s="3">
        <v>31.42</v>
      </c>
      <c r="BF368" s="3">
        <v>31.61</v>
      </c>
      <c r="BG368" s="3">
        <v>31.4</v>
      </c>
      <c r="BH368" s="3">
        <v>31.45</v>
      </c>
      <c r="BI368" s="3">
        <v>1148299</v>
      </c>
    </row>
    <row r="369" spans="1:61" ht="13" x14ac:dyDescent="0.15">
      <c r="A369" s="3">
        <v>42661</v>
      </c>
      <c r="B369" s="3">
        <v>2138.31</v>
      </c>
      <c r="C369" s="3">
        <v>2144.38</v>
      </c>
      <c r="D369" s="3">
        <v>2135.4899999999998</v>
      </c>
      <c r="E369" s="3">
        <v>2139.6</v>
      </c>
      <c r="F369" s="3">
        <v>475279452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3">
        <v>79.05</v>
      </c>
      <c r="M369" s="3">
        <v>79.2</v>
      </c>
      <c r="N369" s="3">
        <v>78.650000000000006</v>
      </c>
      <c r="O369" s="3">
        <v>78.760000000000005</v>
      </c>
      <c r="P369" s="3">
        <v>3950181</v>
      </c>
      <c r="Q369" s="3">
        <v>52.36</v>
      </c>
      <c r="R369" s="3">
        <v>52.58</v>
      </c>
      <c r="S369" s="3">
        <v>52.27</v>
      </c>
      <c r="T369" s="3">
        <v>52.28</v>
      </c>
      <c r="U369" s="3">
        <v>7844949</v>
      </c>
      <c r="V369" s="3">
        <v>70.150000000000006</v>
      </c>
      <c r="W369" s="3">
        <v>70.3</v>
      </c>
      <c r="X369" s="3">
        <v>69.430000000000007</v>
      </c>
      <c r="Y369" s="3">
        <v>69.739999999999995</v>
      </c>
      <c r="Z369" s="3">
        <v>6945066</v>
      </c>
      <c r="AA369" s="3">
        <v>19.53</v>
      </c>
      <c r="AB369" s="3">
        <v>19.55</v>
      </c>
      <c r="AC369" s="3">
        <v>19.41</v>
      </c>
      <c r="AD369" s="3">
        <v>19.489999999999998</v>
      </c>
      <c r="AE369" s="3">
        <v>45958713</v>
      </c>
      <c r="AF369" s="3">
        <v>70.03</v>
      </c>
      <c r="AG369" s="3">
        <v>70.37</v>
      </c>
      <c r="AH369" s="3">
        <v>69.86</v>
      </c>
      <c r="AI369" s="3">
        <v>70.22</v>
      </c>
      <c r="AJ369" s="3">
        <v>5495839</v>
      </c>
      <c r="AK369" s="3">
        <v>57.45</v>
      </c>
      <c r="AL369" s="3">
        <v>57.6</v>
      </c>
      <c r="AM369" s="3">
        <v>57.14</v>
      </c>
      <c r="AN369" s="3">
        <v>57.2</v>
      </c>
      <c r="AO369" s="3">
        <v>6044195</v>
      </c>
      <c r="AP369" s="3">
        <v>46.82</v>
      </c>
      <c r="AQ369" s="3">
        <v>46.92</v>
      </c>
      <c r="AR369" s="3">
        <v>46.62</v>
      </c>
      <c r="AS369" s="3">
        <v>46.78</v>
      </c>
      <c r="AT369" s="3">
        <v>2919849</v>
      </c>
      <c r="AU369" s="3">
        <v>47.62</v>
      </c>
      <c r="AV369" s="3">
        <v>47.74</v>
      </c>
      <c r="AW369" s="3">
        <v>47.47</v>
      </c>
      <c r="AX369" s="3">
        <v>47.53</v>
      </c>
      <c r="AY369" s="3">
        <v>5058937</v>
      </c>
      <c r="AZ369" s="3">
        <v>48.22</v>
      </c>
      <c r="BA369" s="3">
        <v>48.52</v>
      </c>
      <c r="BB369" s="3">
        <v>47.8</v>
      </c>
      <c r="BC369" s="3">
        <v>48.42</v>
      </c>
      <c r="BD369" s="3">
        <v>14761051</v>
      </c>
      <c r="BE369" s="3">
        <v>31.65</v>
      </c>
      <c r="BF369" s="3">
        <v>31.81</v>
      </c>
      <c r="BG369" s="3">
        <v>31.54</v>
      </c>
      <c r="BH369" s="3">
        <v>31.61</v>
      </c>
      <c r="BI369" s="3">
        <v>4753162</v>
      </c>
    </row>
    <row r="370" spans="1:61" ht="13" x14ac:dyDescent="0.15">
      <c r="A370" s="3">
        <v>42662</v>
      </c>
      <c r="B370" s="3">
        <v>2140.81</v>
      </c>
      <c r="C370" s="3">
        <v>2148.44</v>
      </c>
      <c r="D370" s="3">
        <v>2138.15</v>
      </c>
      <c r="E370" s="3">
        <v>2144.29</v>
      </c>
      <c r="F370" s="3">
        <v>544371390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3">
        <v>78.89</v>
      </c>
      <c r="M370" s="3">
        <v>79.2</v>
      </c>
      <c r="N370" s="3">
        <v>78.69</v>
      </c>
      <c r="O370" s="3">
        <v>79.11</v>
      </c>
      <c r="P370" s="3">
        <v>3256058</v>
      </c>
      <c r="Q370" s="3">
        <v>52.18</v>
      </c>
      <c r="R370" s="3">
        <v>52.27</v>
      </c>
      <c r="S370" s="3">
        <v>51.9</v>
      </c>
      <c r="T370" s="3">
        <v>51.98</v>
      </c>
      <c r="U370" s="3">
        <v>9032026</v>
      </c>
      <c r="V370" s="3">
        <v>70.28</v>
      </c>
      <c r="W370" s="3">
        <v>71.27</v>
      </c>
      <c r="X370" s="3">
        <v>70.209999999999994</v>
      </c>
      <c r="Y370" s="3">
        <v>70.73</v>
      </c>
      <c r="Z370" s="3">
        <v>14315902</v>
      </c>
      <c r="AA370" s="3">
        <v>19.55</v>
      </c>
      <c r="AB370" s="3">
        <v>19.71</v>
      </c>
      <c r="AC370" s="3">
        <v>19.53</v>
      </c>
      <c r="AD370" s="3">
        <v>19.66</v>
      </c>
      <c r="AE370" s="3">
        <v>49835923</v>
      </c>
      <c r="AF370" s="3">
        <v>70.31</v>
      </c>
      <c r="AG370" s="3">
        <v>70.37</v>
      </c>
      <c r="AH370" s="3">
        <v>69.94</v>
      </c>
      <c r="AI370" s="3">
        <v>69.959999999999994</v>
      </c>
      <c r="AJ370" s="3">
        <v>5296697</v>
      </c>
      <c r="AK370" s="3">
        <v>57.35</v>
      </c>
      <c r="AL370" s="3">
        <v>57.55</v>
      </c>
      <c r="AM370" s="3">
        <v>57.17</v>
      </c>
      <c r="AN370" s="3">
        <v>57.38</v>
      </c>
      <c r="AO370" s="3">
        <v>7374089</v>
      </c>
      <c r="AP370" s="3">
        <v>46.89</v>
      </c>
      <c r="AQ370" s="3">
        <v>47.2</v>
      </c>
      <c r="AR370" s="3">
        <v>46.71</v>
      </c>
      <c r="AS370" s="3">
        <v>47.12</v>
      </c>
      <c r="AT370" s="3">
        <v>2684793</v>
      </c>
      <c r="AU370" s="3">
        <v>47.5</v>
      </c>
      <c r="AV370" s="3">
        <v>47.67</v>
      </c>
      <c r="AW370" s="3">
        <v>47.41</v>
      </c>
      <c r="AX370" s="3">
        <v>47.62</v>
      </c>
      <c r="AY370" s="3">
        <v>5034977</v>
      </c>
      <c r="AZ370" s="3">
        <v>48.39</v>
      </c>
      <c r="BA370" s="3">
        <v>48.46</v>
      </c>
      <c r="BB370" s="3">
        <v>48.09</v>
      </c>
      <c r="BC370" s="3">
        <v>48.31</v>
      </c>
      <c r="BD370" s="3">
        <v>8502547</v>
      </c>
      <c r="BE370" s="3">
        <v>31.76</v>
      </c>
      <c r="BF370" s="3">
        <v>31.76</v>
      </c>
      <c r="BG370" s="3">
        <v>31.44</v>
      </c>
      <c r="BH370" s="3">
        <v>31.73</v>
      </c>
      <c r="BI370" s="3">
        <v>1515634</v>
      </c>
    </row>
    <row r="371" spans="1:61" ht="13" x14ac:dyDescent="0.15">
      <c r="A371" s="3">
        <v>42663</v>
      </c>
      <c r="B371" s="3">
        <v>2142.5100000000002</v>
      </c>
      <c r="C371" s="3">
        <v>2147.1799999999998</v>
      </c>
      <c r="D371" s="3">
        <v>2133.44</v>
      </c>
      <c r="E371" s="3">
        <v>2141.34</v>
      </c>
      <c r="F371" s="3">
        <v>571361511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3">
        <v>78.930000000000007</v>
      </c>
      <c r="M371" s="3">
        <v>79.150000000000006</v>
      </c>
      <c r="N371" s="3">
        <v>78.64</v>
      </c>
      <c r="O371" s="3">
        <v>78.959999999999994</v>
      </c>
      <c r="P371" s="3">
        <v>4909466</v>
      </c>
      <c r="Q371" s="3">
        <v>51.95</v>
      </c>
      <c r="R371" s="3">
        <v>52.13</v>
      </c>
      <c r="S371" s="3">
        <v>51.82</v>
      </c>
      <c r="T371" s="3">
        <v>51.95</v>
      </c>
      <c r="U371" s="3">
        <v>12176293</v>
      </c>
      <c r="V371" s="3">
        <v>70.31</v>
      </c>
      <c r="W371" s="3">
        <v>70.94</v>
      </c>
      <c r="X371" s="3">
        <v>69.92</v>
      </c>
      <c r="Y371" s="3">
        <v>70.650000000000006</v>
      </c>
      <c r="Z371" s="3">
        <v>12494518</v>
      </c>
      <c r="AA371" s="3">
        <v>19.64</v>
      </c>
      <c r="AB371" s="3">
        <v>19.78</v>
      </c>
      <c r="AC371" s="3">
        <v>19.579999999999998</v>
      </c>
      <c r="AD371" s="3">
        <v>19.66</v>
      </c>
      <c r="AE371" s="3">
        <v>56238168</v>
      </c>
      <c r="AF371" s="3">
        <v>70.05</v>
      </c>
      <c r="AG371" s="3">
        <v>70.510000000000005</v>
      </c>
      <c r="AH371" s="3">
        <v>69.92</v>
      </c>
      <c r="AI371" s="3">
        <v>70.290000000000006</v>
      </c>
      <c r="AJ371" s="3">
        <v>6876029</v>
      </c>
      <c r="AK371" s="3">
        <v>57.15</v>
      </c>
      <c r="AL371" s="3">
        <v>57.32</v>
      </c>
      <c r="AM371" s="3">
        <v>56.96</v>
      </c>
      <c r="AN371" s="3">
        <v>57.07</v>
      </c>
      <c r="AO371" s="3">
        <v>8215257</v>
      </c>
      <c r="AP371" s="3">
        <v>47.06</v>
      </c>
      <c r="AQ371" s="3">
        <v>47.24</v>
      </c>
      <c r="AR371" s="3">
        <v>46.76</v>
      </c>
      <c r="AS371" s="3">
        <v>47.08</v>
      </c>
      <c r="AT371" s="3">
        <v>2728197</v>
      </c>
      <c r="AU371" s="3">
        <v>47.5</v>
      </c>
      <c r="AV371" s="3">
        <v>47.52</v>
      </c>
      <c r="AW371" s="3">
        <v>47.17</v>
      </c>
      <c r="AX371" s="3">
        <v>47.4</v>
      </c>
      <c r="AY371" s="3">
        <v>6148003</v>
      </c>
      <c r="AZ371" s="3">
        <v>48.4</v>
      </c>
      <c r="BA371" s="3">
        <v>48.66</v>
      </c>
      <c r="BB371" s="3">
        <v>48.19</v>
      </c>
      <c r="BC371" s="3">
        <v>48.28</v>
      </c>
      <c r="BD371" s="3">
        <v>8930782</v>
      </c>
      <c r="BE371" s="3">
        <v>31.57</v>
      </c>
      <c r="BF371" s="3">
        <v>31.83</v>
      </c>
      <c r="BG371" s="3">
        <v>31.47</v>
      </c>
      <c r="BH371" s="3">
        <v>31.62</v>
      </c>
      <c r="BI371" s="3">
        <v>1977109</v>
      </c>
    </row>
    <row r="372" spans="1:61" ht="13" x14ac:dyDescent="0.15">
      <c r="A372" s="3">
        <v>42664</v>
      </c>
      <c r="B372" s="3">
        <v>2139.4299999999998</v>
      </c>
      <c r="C372" s="3">
        <v>2142.63</v>
      </c>
      <c r="D372" s="3">
        <v>2130.09</v>
      </c>
      <c r="E372" s="3">
        <v>2141.16</v>
      </c>
      <c r="F372" s="3">
        <v>654860857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3">
        <v>78.58</v>
      </c>
      <c r="M372" s="3">
        <v>79.709999999999994</v>
      </c>
      <c r="N372" s="3">
        <v>78.58</v>
      </c>
      <c r="O372" s="3">
        <v>79.59</v>
      </c>
      <c r="P372" s="3">
        <v>4797682</v>
      </c>
      <c r="Q372" s="3">
        <v>52.13</v>
      </c>
      <c r="R372" s="3">
        <v>52.3</v>
      </c>
      <c r="S372" s="3">
        <v>52.01</v>
      </c>
      <c r="T372" s="3">
        <v>52.23</v>
      </c>
      <c r="U372" s="3">
        <v>14028243</v>
      </c>
      <c r="V372" s="3">
        <v>70.19</v>
      </c>
      <c r="W372" s="3">
        <v>70.31</v>
      </c>
      <c r="X372" s="3">
        <v>69.78</v>
      </c>
      <c r="Y372" s="3">
        <v>70.19</v>
      </c>
      <c r="Z372" s="3">
        <v>14238481</v>
      </c>
      <c r="AA372" s="3">
        <v>19.5</v>
      </c>
      <c r="AB372" s="3">
        <v>19.670000000000002</v>
      </c>
      <c r="AC372" s="3">
        <v>19.47</v>
      </c>
      <c r="AD372" s="3">
        <v>19.649999999999999</v>
      </c>
      <c r="AE372" s="3">
        <v>39543061</v>
      </c>
      <c r="AF372" s="3">
        <v>69.930000000000007</v>
      </c>
      <c r="AG372" s="3">
        <v>69.930000000000007</v>
      </c>
      <c r="AH372" s="3">
        <v>69.53</v>
      </c>
      <c r="AI372" s="3">
        <v>69.709999999999994</v>
      </c>
      <c r="AJ372" s="3">
        <v>5511580</v>
      </c>
      <c r="AK372" s="3">
        <v>56.61</v>
      </c>
      <c r="AL372" s="3">
        <v>57.03</v>
      </c>
      <c r="AM372" s="3">
        <v>56.4</v>
      </c>
      <c r="AN372" s="3">
        <v>56.99</v>
      </c>
      <c r="AO372" s="3">
        <v>9850732</v>
      </c>
      <c r="AP372" s="3">
        <v>46.7</v>
      </c>
      <c r="AQ372" s="3">
        <v>47.09</v>
      </c>
      <c r="AR372" s="3">
        <v>46.6</v>
      </c>
      <c r="AS372" s="3">
        <v>47.06</v>
      </c>
      <c r="AT372" s="3">
        <v>3862896</v>
      </c>
      <c r="AU372" s="3">
        <v>47.47</v>
      </c>
      <c r="AV372" s="3">
        <v>47.56</v>
      </c>
      <c r="AW372" s="3">
        <v>47.34</v>
      </c>
      <c r="AX372" s="3">
        <v>47.53</v>
      </c>
      <c r="AY372" s="3">
        <v>8076945</v>
      </c>
      <c r="AZ372" s="3">
        <v>48.07</v>
      </c>
      <c r="BA372" s="3">
        <v>48.25</v>
      </c>
      <c r="BB372" s="3">
        <v>47.79</v>
      </c>
      <c r="BC372" s="3">
        <v>48</v>
      </c>
      <c r="BD372" s="3">
        <v>18153641</v>
      </c>
      <c r="BE372" s="3">
        <v>31.4</v>
      </c>
      <c r="BF372" s="3">
        <v>31.61</v>
      </c>
      <c r="BG372" s="3">
        <v>31.35</v>
      </c>
      <c r="BH372" s="3">
        <v>31.6</v>
      </c>
      <c r="BI372" s="3">
        <v>1295726</v>
      </c>
    </row>
    <row r="373" spans="1:61" ht="13" x14ac:dyDescent="0.15">
      <c r="A373" s="3">
        <v>42667</v>
      </c>
      <c r="B373" s="3">
        <v>2148.5</v>
      </c>
      <c r="C373" s="3">
        <v>2154.79</v>
      </c>
      <c r="D373" s="3">
        <v>2146.91</v>
      </c>
      <c r="E373" s="3">
        <v>2151.33</v>
      </c>
      <c r="F373" s="3">
        <v>523564705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3">
        <v>79.989999999999995</v>
      </c>
      <c r="M373" s="3">
        <v>80.209999999999994</v>
      </c>
      <c r="N373" s="3">
        <v>79.819999999999993</v>
      </c>
      <c r="O373" s="3">
        <v>80.16</v>
      </c>
      <c r="P373" s="3">
        <v>3568315</v>
      </c>
      <c r="Q373" s="3">
        <v>52.29</v>
      </c>
      <c r="R373" s="3">
        <v>52.69</v>
      </c>
      <c r="S373" s="3">
        <v>52.29</v>
      </c>
      <c r="T373" s="3">
        <v>52.57</v>
      </c>
      <c r="U373" s="3">
        <v>7609480</v>
      </c>
      <c r="V373" s="3">
        <v>70.19</v>
      </c>
      <c r="W373" s="3">
        <v>70.430000000000007</v>
      </c>
      <c r="X373" s="3">
        <v>69.209999999999994</v>
      </c>
      <c r="Y373" s="3">
        <v>69.98</v>
      </c>
      <c r="Z373" s="3">
        <v>10668445</v>
      </c>
      <c r="AA373" s="3">
        <v>19.739999999999998</v>
      </c>
      <c r="AB373" s="3">
        <v>19.809999999999999</v>
      </c>
      <c r="AC373" s="3">
        <v>19.7</v>
      </c>
      <c r="AD373" s="3">
        <v>19.71</v>
      </c>
      <c r="AE373" s="3">
        <v>33808676</v>
      </c>
      <c r="AF373" s="3">
        <v>70.02</v>
      </c>
      <c r="AG373" s="3">
        <v>70.09</v>
      </c>
      <c r="AH373" s="3">
        <v>69.58</v>
      </c>
      <c r="AI373" s="3">
        <v>69.58</v>
      </c>
      <c r="AJ373" s="3">
        <v>7384722</v>
      </c>
      <c r="AK373" s="3">
        <v>57.28</v>
      </c>
      <c r="AL373" s="3">
        <v>57.52</v>
      </c>
      <c r="AM373" s="3">
        <v>57.09</v>
      </c>
      <c r="AN373" s="3">
        <v>57.1</v>
      </c>
      <c r="AO373" s="3">
        <v>9737612</v>
      </c>
      <c r="AP373" s="3">
        <v>47.24</v>
      </c>
      <c r="AQ373" s="3">
        <v>47.32</v>
      </c>
      <c r="AR373" s="3">
        <v>47.05</v>
      </c>
      <c r="AS373" s="3">
        <v>47.17</v>
      </c>
      <c r="AT373" s="3">
        <v>3020715</v>
      </c>
      <c r="AU373" s="3">
        <v>47.78</v>
      </c>
      <c r="AV373" s="3">
        <v>48.02</v>
      </c>
      <c r="AW373" s="3">
        <v>47.74</v>
      </c>
      <c r="AX373" s="3">
        <v>47.99</v>
      </c>
      <c r="AY373" s="3">
        <v>5393134</v>
      </c>
      <c r="AZ373" s="3">
        <v>48.21</v>
      </c>
      <c r="BA373" s="3">
        <v>48.36</v>
      </c>
      <c r="BB373" s="3">
        <v>47.89</v>
      </c>
      <c r="BC373" s="3">
        <v>48.18</v>
      </c>
      <c r="BD373" s="3">
        <v>10744703</v>
      </c>
      <c r="BE373" s="3">
        <v>31.65</v>
      </c>
      <c r="BF373" s="3">
        <v>31.96</v>
      </c>
      <c r="BG373" s="3">
        <v>31.54</v>
      </c>
      <c r="BH373" s="3">
        <v>31.64</v>
      </c>
      <c r="BI373" s="3">
        <v>1108723</v>
      </c>
    </row>
    <row r="374" spans="1:61" ht="13" x14ac:dyDescent="0.15">
      <c r="A374" s="3">
        <v>42668</v>
      </c>
      <c r="B374" s="3">
        <v>2149.7199999999998</v>
      </c>
      <c r="C374" s="3">
        <v>2151.44</v>
      </c>
      <c r="D374" s="3">
        <v>2141.9299999999998</v>
      </c>
      <c r="E374" s="3">
        <v>2143.16</v>
      </c>
      <c r="F374" s="3">
        <v>530792143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3">
        <v>79.8</v>
      </c>
      <c r="M374" s="3">
        <v>79.8</v>
      </c>
      <c r="N374" s="3">
        <v>79.180000000000007</v>
      </c>
      <c r="O374" s="3">
        <v>79.22</v>
      </c>
      <c r="P374" s="3">
        <v>4633803</v>
      </c>
      <c r="Q374" s="3">
        <v>52.79</v>
      </c>
      <c r="R374" s="3">
        <v>52.89</v>
      </c>
      <c r="S374" s="3">
        <v>52.72</v>
      </c>
      <c r="T374" s="3">
        <v>52.76</v>
      </c>
      <c r="U374" s="3">
        <v>9414617</v>
      </c>
      <c r="V374" s="3">
        <v>69.959999999999994</v>
      </c>
      <c r="W374" s="3">
        <v>70.709999999999994</v>
      </c>
      <c r="X374" s="3">
        <v>69.540000000000006</v>
      </c>
      <c r="Y374" s="3">
        <v>69.66</v>
      </c>
      <c r="Z374" s="3">
        <v>13227127</v>
      </c>
      <c r="AA374" s="3">
        <v>19.75</v>
      </c>
      <c r="AB374" s="3">
        <v>19.760000000000002</v>
      </c>
      <c r="AC374" s="3">
        <v>19.64</v>
      </c>
      <c r="AD374" s="3">
        <v>19.690000000000001</v>
      </c>
      <c r="AE374" s="3">
        <v>36177841</v>
      </c>
      <c r="AF374" s="3">
        <v>69.5</v>
      </c>
      <c r="AG374" s="3">
        <v>69.709999999999994</v>
      </c>
      <c r="AH374" s="3">
        <v>69.290000000000006</v>
      </c>
      <c r="AI374" s="3">
        <v>69.38</v>
      </c>
      <c r="AJ374" s="3">
        <v>7922100</v>
      </c>
      <c r="AK374" s="3">
        <v>56.87</v>
      </c>
      <c r="AL374" s="3">
        <v>57.13</v>
      </c>
      <c r="AM374" s="3">
        <v>56.81</v>
      </c>
      <c r="AN374" s="3">
        <v>56.95</v>
      </c>
      <c r="AO374" s="3">
        <v>8777485</v>
      </c>
      <c r="AP374" s="3">
        <v>46.96</v>
      </c>
      <c r="AQ374" s="3">
        <v>47.15</v>
      </c>
      <c r="AR374" s="3">
        <v>46.64</v>
      </c>
      <c r="AS374" s="3">
        <v>46.74</v>
      </c>
      <c r="AT374" s="3">
        <v>3372022</v>
      </c>
      <c r="AU374" s="3">
        <v>48.06</v>
      </c>
      <c r="AV374" s="3">
        <v>48.06</v>
      </c>
      <c r="AW374" s="3">
        <v>47.73</v>
      </c>
      <c r="AX374" s="3">
        <v>47.82</v>
      </c>
      <c r="AY374" s="3">
        <v>4362405</v>
      </c>
      <c r="AZ374" s="3">
        <v>48.12</v>
      </c>
      <c r="BA374" s="3">
        <v>48.48</v>
      </c>
      <c r="BB374" s="3">
        <v>48.06</v>
      </c>
      <c r="BC374" s="3">
        <v>48.48</v>
      </c>
      <c r="BD374" s="3">
        <v>9886251</v>
      </c>
      <c r="BE374" s="3">
        <v>31.53</v>
      </c>
      <c r="BF374" s="3">
        <v>31.63</v>
      </c>
      <c r="BG374" s="3">
        <v>31.41</v>
      </c>
      <c r="BH374" s="3">
        <v>31.6</v>
      </c>
      <c r="BI374" s="3">
        <v>1402869</v>
      </c>
    </row>
    <row r="375" spans="1:61" ht="13" x14ac:dyDescent="0.15">
      <c r="A375" s="3">
        <v>42669</v>
      </c>
      <c r="B375" s="3">
        <v>2136.9699999999998</v>
      </c>
      <c r="C375" s="3">
        <v>2145.73</v>
      </c>
      <c r="D375" s="3">
        <v>2131.59</v>
      </c>
      <c r="E375" s="3">
        <v>2139.4299999999998</v>
      </c>
      <c r="F375" s="3">
        <v>562087522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3">
        <v>78.87</v>
      </c>
      <c r="M375" s="3">
        <v>79.209999999999994</v>
      </c>
      <c r="N375" s="3">
        <v>78.72</v>
      </c>
      <c r="O375" s="3">
        <v>78.88</v>
      </c>
      <c r="P375" s="3">
        <v>4326491</v>
      </c>
      <c r="Q375" s="3">
        <v>52.8</v>
      </c>
      <c r="R375" s="3">
        <v>52.9</v>
      </c>
      <c r="S375" s="3">
        <v>52.61</v>
      </c>
      <c r="T375" s="3">
        <v>52.69</v>
      </c>
      <c r="U375" s="3">
        <v>12417730</v>
      </c>
      <c r="V375" s="3">
        <v>69.040000000000006</v>
      </c>
      <c r="W375" s="3">
        <v>70.11</v>
      </c>
      <c r="X375" s="3">
        <v>68.92</v>
      </c>
      <c r="Y375" s="3">
        <v>69.819999999999993</v>
      </c>
      <c r="Z375" s="3">
        <v>17867803</v>
      </c>
      <c r="AA375" s="3">
        <v>19.600000000000001</v>
      </c>
      <c r="AB375" s="3">
        <v>19.84</v>
      </c>
      <c r="AC375" s="3">
        <v>19.579999999999998</v>
      </c>
      <c r="AD375" s="3">
        <v>19.809999999999999</v>
      </c>
      <c r="AE375" s="3">
        <v>40419157</v>
      </c>
      <c r="AF375" s="3">
        <v>69.27</v>
      </c>
      <c r="AG375" s="3">
        <v>69.38</v>
      </c>
      <c r="AH375" s="3">
        <v>68.680000000000007</v>
      </c>
      <c r="AI375" s="3">
        <v>68.959999999999994</v>
      </c>
      <c r="AJ375" s="3">
        <v>8073737</v>
      </c>
      <c r="AK375" s="3">
        <v>56.73</v>
      </c>
      <c r="AL375" s="3">
        <v>57.45</v>
      </c>
      <c r="AM375" s="3">
        <v>56.6</v>
      </c>
      <c r="AN375" s="3">
        <v>57.15</v>
      </c>
      <c r="AO375" s="3">
        <v>10043765</v>
      </c>
      <c r="AP375" s="3">
        <v>46.68</v>
      </c>
      <c r="AQ375" s="3">
        <v>46.75</v>
      </c>
      <c r="AR375" s="3">
        <v>46.46</v>
      </c>
      <c r="AS375" s="3">
        <v>46.67</v>
      </c>
      <c r="AT375" s="3">
        <v>3345110</v>
      </c>
      <c r="AU375" s="3">
        <v>47.42</v>
      </c>
      <c r="AV375" s="3">
        <v>47.81</v>
      </c>
      <c r="AW375" s="3">
        <v>47.4</v>
      </c>
      <c r="AX375" s="3">
        <v>47.55</v>
      </c>
      <c r="AY375" s="3">
        <v>6279706</v>
      </c>
      <c r="AZ375" s="3">
        <v>48.35</v>
      </c>
      <c r="BA375" s="3">
        <v>48.66</v>
      </c>
      <c r="BB375" s="3">
        <v>48.11</v>
      </c>
      <c r="BC375" s="3">
        <v>48.6</v>
      </c>
      <c r="BD375" s="3">
        <v>10851006</v>
      </c>
      <c r="BE375" s="3">
        <v>31.4</v>
      </c>
      <c r="BF375" s="3">
        <v>31.5</v>
      </c>
      <c r="BG375" s="3">
        <v>30.99</v>
      </c>
      <c r="BH375" s="3">
        <v>31.19</v>
      </c>
      <c r="BI375" s="3">
        <v>1481903</v>
      </c>
    </row>
    <row r="376" spans="1:61" ht="13" x14ac:dyDescent="0.15">
      <c r="A376" s="3">
        <v>42670</v>
      </c>
      <c r="B376" s="3">
        <v>2144.06</v>
      </c>
      <c r="C376" s="3">
        <v>2147.13</v>
      </c>
      <c r="D376" s="3">
        <v>2132.52</v>
      </c>
      <c r="E376" s="3">
        <v>2133.04</v>
      </c>
      <c r="F376" s="3">
        <v>614708800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3">
        <v>79.08</v>
      </c>
      <c r="M376" s="3">
        <v>79.2</v>
      </c>
      <c r="N376" s="3">
        <v>78.08</v>
      </c>
      <c r="O376" s="3">
        <v>78.22</v>
      </c>
      <c r="P376" s="3">
        <v>5335234</v>
      </c>
      <c r="Q376" s="3">
        <v>52.67</v>
      </c>
      <c r="R376" s="3">
        <v>52.88</v>
      </c>
      <c r="S376" s="3">
        <v>52.38</v>
      </c>
      <c r="T376" s="3">
        <v>52.45</v>
      </c>
      <c r="U376" s="3">
        <v>17905674</v>
      </c>
      <c r="V376" s="3">
        <v>70.12</v>
      </c>
      <c r="W376" s="3">
        <v>70.22</v>
      </c>
      <c r="X376" s="3">
        <v>69.540000000000006</v>
      </c>
      <c r="Y376" s="3">
        <v>69.56</v>
      </c>
      <c r="Z376" s="3">
        <v>14206305</v>
      </c>
      <c r="AA376" s="3">
        <v>19.920000000000002</v>
      </c>
      <c r="AB376" s="3">
        <v>19.95</v>
      </c>
      <c r="AC376" s="3">
        <v>19.77</v>
      </c>
      <c r="AD376" s="3">
        <v>19.86</v>
      </c>
      <c r="AE376" s="3">
        <v>45545849</v>
      </c>
      <c r="AF376" s="3">
        <v>69.489999999999995</v>
      </c>
      <c r="AG376" s="3">
        <v>69.760000000000005</v>
      </c>
      <c r="AH376" s="3">
        <v>69.099999999999994</v>
      </c>
      <c r="AI376" s="3">
        <v>69.28</v>
      </c>
      <c r="AJ376" s="3">
        <v>6974728</v>
      </c>
      <c r="AK376" s="3">
        <v>57.3</v>
      </c>
      <c r="AL376" s="3">
        <v>57.37</v>
      </c>
      <c r="AM376" s="3">
        <v>56.61</v>
      </c>
      <c r="AN376" s="3">
        <v>56.76</v>
      </c>
      <c r="AO376" s="3">
        <v>8155419</v>
      </c>
      <c r="AP376" s="3">
        <v>46.79</v>
      </c>
      <c r="AQ376" s="3">
        <v>46.87</v>
      </c>
      <c r="AR376" s="3">
        <v>46.4</v>
      </c>
      <c r="AS376" s="3">
        <v>46.61</v>
      </c>
      <c r="AT376" s="3">
        <v>4758562</v>
      </c>
      <c r="AU376" s="3">
        <v>47.76</v>
      </c>
      <c r="AV376" s="3">
        <v>47.77</v>
      </c>
      <c r="AW376" s="3">
        <v>47.43</v>
      </c>
      <c r="AX376" s="3">
        <v>47.49</v>
      </c>
      <c r="AY376" s="3">
        <v>8821067</v>
      </c>
      <c r="AZ376" s="3">
        <v>48.32</v>
      </c>
      <c r="BA376" s="3">
        <v>48.51</v>
      </c>
      <c r="BB376" s="3">
        <v>47.97</v>
      </c>
      <c r="BC376" s="3">
        <v>48.31</v>
      </c>
      <c r="BD376" s="3">
        <v>15554929</v>
      </c>
      <c r="BE376" s="3">
        <v>31.11</v>
      </c>
      <c r="BF376" s="3">
        <v>31.11</v>
      </c>
      <c r="BG376" s="3">
        <v>30.36</v>
      </c>
      <c r="BH376" s="3">
        <v>30.45</v>
      </c>
      <c r="BI376" s="3">
        <v>1409067</v>
      </c>
    </row>
    <row r="377" spans="1:61" ht="13" x14ac:dyDescent="0.15">
      <c r="A377" s="3">
        <v>42671</v>
      </c>
      <c r="B377" s="3">
        <v>2132.23</v>
      </c>
      <c r="C377" s="3">
        <v>2140.7199999999998</v>
      </c>
      <c r="D377" s="3">
        <v>2119.36</v>
      </c>
      <c r="E377" s="3">
        <v>2126.41</v>
      </c>
      <c r="F377" s="3">
        <v>641367743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3">
        <v>77.8</v>
      </c>
      <c r="M377" s="3">
        <v>78.569999999999993</v>
      </c>
      <c r="N377" s="3">
        <v>77.75</v>
      </c>
      <c r="O377" s="3">
        <v>78.040000000000006</v>
      </c>
      <c r="P377" s="3">
        <v>5006087</v>
      </c>
      <c r="Q377" s="3">
        <v>52.41</v>
      </c>
      <c r="R377" s="3">
        <v>52.85</v>
      </c>
      <c r="S377" s="3">
        <v>52.32</v>
      </c>
      <c r="T377" s="3">
        <v>52.67</v>
      </c>
      <c r="U377" s="3">
        <v>12751016</v>
      </c>
      <c r="V377" s="3">
        <v>69.44</v>
      </c>
      <c r="W377" s="3">
        <v>70.430000000000007</v>
      </c>
      <c r="X377" s="3">
        <v>68.930000000000007</v>
      </c>
      <c r="Y377" s="3">
        <v>69.37</v>
      </c>
      <c r="Z377" s="3">
        <v>18558383</v>
      </c>
      <c r="AA377" s="3">
        <v>19.899999999999999</v>
      </c>
      <c r="AB377" s="3">
        <v>19.920000000000002</v>
      </c>
      <c r="AC377" s="3">
        <v>19.62</v>
      </c>
      <c r="AD377" s="3">
        <v>19.77</v>
      </c>
      <c r="AE377" s="3">
        <v>55749883</v>
      </c>
      <c r="AF377" s="3">
        <v>68.45</v>
      </c>
      <c r="AG377" s="3">
        <v>68.64</v>
      </c>
      <c r="AH377" s="3">
        <v>67.48</v>
      </c>
      <c r="AI377" s="3">
        <v>67.78</v>
      </c>
      <c r="AJ377" s="3">
        <v>18469311</v>
      </c>
      <c r="AK377" s="3">
        <v>56.85</v>
      </c>
      <c r="AL377" s="3">
        <v>57.47</v>
      </c>
      <c r="AM377" s="3">
        <v>56.81</v>
      </c>
      <c r="AN377" s="3">
        <v>57.1</v>
      </c>
      <c r="AO377" s="3">
        <v>11514203</v>
      </c>
      <c r="AP377" s="3">
        <v>46.75</v>
      </c>
      <c r="AQ377" s="3">
        <v>47.12</v>
      </c>
      <c r="AR377" s="3">
        <v>46.48</v>
      </c>
      <c r="AS377" s="3">
        <v>46.73</v>
      </c>
      <c r="AT377" s="3">
        <v>5305748</v>
      </c>
      <c r="AU377" s="3">
        <v>47.62</v>
      </c>
      <c r="AV377" s="3">
        <v>47.93</v>
      </c>
      <c r="AW377" s="3">
        <v>47.32</v>
      </c>
      <c r="AX377" s="3">
        <v>47.44</v>
      </c>
      <c r="AY377" s="3">
        <v>10418875</v>
      </c>
      <c r="AZ377" s="3">
        <v>48.28</v>
      </c>
      <c r="BA377" s="3">
        <v>48.69</v>
      </c>
      <c r="BB377" s="3">
        <v>48.2</v>
      </c>
      <c r="BC377" s="3">
        <v>48.46</v>
      </c>
      <c r="BD377" s="3">
        <v>16463866</v>
      </c>
      <c r="BE377" s="3">
        <v>30.55</v>
      </c>
      <c r="BF377" s="3">
        <v>30.78</v>
      </c>
      <c r="BG377" s="3">
        <v>30.43</v>
      </c>
      <c r="BH377" s="3">
        <v>30.53</v>
      </c>
      <c r="BI377" s="3">
        <v>2338168</v>
      </c>
    </row>
    <row r="378" spans="1:61" ht="13" x14ac:dyDescent="0.15">
      <c r="A378" s="3">
        <v>42674</v>
      </c>
      <c r="B378" s="3">
        <v>2129.7800000000002</v>
      </c>
      <c r="C378" s="3">
        <v>2133.25</v>
      </c>
      <c r="D378" s="3">
        <v>2125.5300000000002</v>
      </c>
      <c r="E378" s="3">
        <v>2126.15</v>
      </c>
      <c r="F378" s="3">
        <v>673263488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3">
        <v>78.150000000000006</v>
      </c>
      <c r="M378" s="3">
        <v>78.3</v>
      </c>
      <c r="N378" s="3">
        <v>77.94</v>
      </c>
      <c r="O378" s="3">
        <v>78.099999999999994</v>
      </c>
      <c r="P378" s="3">
        <v>5898954</v>
      </c>
      <c r="Q378" s="3">
        <v>52.71</v>
      </c>
      <c r="R378" s="3">
        <v>52.93</v>
      </c>
      <c r="S378" s="3">
        <v>52.67</v>
      </c>
      <c r="T378" s="3">
        <v>52.8</v>
      </c>
      <c r="U378" s="3">
        <v>8579097</v>
      </c>
      <c r="V378" s="3">
        <v>69.12</v>
      </c>
      <c r="W378" s="3">
        <v>69.489999999999995</v>
      </c>
      <c r="X378" s="3">
        <v>68.5</v>
      </c>
      <c r="Y378" s="3">
        <v>68.62</v>
      </c>
      <c r="Z378" s="3">
        <v>12973835</v>
      </c>
      <c r="AA378" s="3">
        <v>19.87</v>
      </c>
      <c r="AB378" s="3">
        <v>19.87</v>
      </c>
      <c r="AC378" s="3">
        <v>19.739999999999998</v>
      </c>
      <c r="AD378" s="3">
        <v>19.739999999999998</v>
      </c>
      <c r="AE378" s="3">
        <v>38579109</v>
      </c>
      <c r="AF378" s="3">
        <v>67.760000000000005</v>
      </c>
      <c r="AG378" s="3">
        <v>67.77</v>
      </c>
      <c r="AH378" s="3">
        <v>67.33</v>
      </c>
      <c r="AI378" s="3">
        <v>67.36</v>
      </c>
      <c r="AJ378" s="3">
        <v>12688999</v>
      </c>
      <c r="AK378" s="3">
        <v>57.32</v>
      </c>
      <c r="AL378" s="3">
        <v>57.43</v>
      </c>
      <c r="AM378" s="3">
        <v>57.17</v>
      </c>
      <c r="AN378" s="3">
        <v>57.21</v>
      </c>
      <c r="AO378" s="3">
        <v>9590906</v>
      </c>
      <c r="AP378" s="3">
        <v>46.74</v>
      </c>
      <c r="AQ378" s="3">
        <v>46.89</v>
      </c>
      <c r="AR378" s="3">
        <v>46.66</v>
      </c>
      <c r="AS378" s="3">
        <v>46.75</v>
      </c>
      <c r="AT378" s="3">
        <v>7162100</v>
      </c>
      <c r="AU378" s="3">
        <v>47.56</v>
      </c>
      <c r="AV378" s="3">
        <v>47.63</v>
      </c>
      <c r="AW378" s="3">
        <v>47.42</v>
      </c>
      <c r="AX378" s="3">
        <v>47.42</v>
      </c>
      <c r="AY378" s="3">
        <v>5879960</v>
      </c>
      <c r="AZ378" s="3">
        <v>48.58</v>
      </c>
      <c r="BA378" s="3">
        <v>49.72</v>
      </c>
      <c r="BB378" s="3">
        <v>48.45</v>
      </c>
      <c r="BC378" s="3">
        <v>49.43</v>
      </c>
      <c r="BD378" s="3">
        <v>22715832</v>
      </c>
      <c r="BE378" s="3">
        <v>30.6</v>
      </c>
      <c r="BF378" s="3">
        <v>30.98</v>
      </c>
      <c r="BG378" s="3">
        <v>30.52</v>
      </c>
      <c r="BH378" s="3">
        <v>30.95</v>
      </c>
      <c r="BI378" s="3">
        <v>1071353</v>
      </c>
    </row>
    <row r="379" spans="1:61" ht="13" x14ac:dyDescent="0.15">
      <c r="A379" s="3">
        <v>42675</v>
      </c>
      <c r="B379" s="3">
        <v>2128.6799999999998</v>
      </c>
      <c r="C379" s="3">
        <v>2131.4499999999998</v>
      </c>
      <c r="D379" s="3">
        <v>2097.85</v>
      </c>
      <c r="E379" s="3">
        <v>2111.7199999999998</v>
      </c>
      <c r="F379" s="3">
        <v>712604519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3">
        <v>78.3</v>
      </c>
      <c r="M379" s="3">
        <v>78.44</v>
      </c>
      <c r="N379" s="3">
        <v>76.930000000000007</v>
      </c>
      <c r="O379" s="3">
        <v>77.55</v>
      </c>
      <c r="P379" s="3">
        <v>11945883</v>
      </c>
      <c r="Q379" s="3">
        <v>52.8</v>
      </c>
      <c r="R379" s="3">
        <v>52.89</v>
      </c>
      <c r="S379" s="3">
        <v>52.4</v>
      </c>
      <c r="T379" s="3">
        <v>52.57</v>
      </c>
      <c r="U379" s="3">
        <v>11342289</v>
      </c>
      <c r="V379" s="3">
        <v>69.13</v>
      </c>
      <c r="W379" s="3">
        <v>69.37</v>
      </c>
      <c r="X379" s="3">
        <v>67.88</v>
      </c>
      <c r="Y379" s="3">
        <v>68.63</v>
      </c>
      <c r="Z379" s="3">
        <v>18824788</v>
      </c>
      <c r="AA379" s="3">
        <v>19.809999999999999</v>
      </c>
      <c r="AB379" s="3">
        <v>19.86</v>
      </c>
      <c r="AC379" s="3">
        <v>19.5</v>
      </c>
      <c r="AD379" s="3">
        <v>19.66</v>
      </c>
      <c r="AE379" s="3">
        <v>62758908</v>
      </c>
      <c r="AF379" s="3">
        <v>67.400000000000006</v>
      </c>
      <c r="AG379" s="3">
        <v>67.59</v>
      </c>
      <c r="AH379" s="3">
        <v>66.48</v>
      </c>
      <c r="AI379" s="3">
        <v>67</v>
      </c>
      <c r="AJ379" s="3">
        <v>14908656</v>
      </c>
      <c r="AK379" s="3">
        <v>57.26</v>
      </c>
      <c r="AL379" s="3">
        <v>57.33</v>
      </c>
      <c r="AM379" s="3">
        <v>56.38</v>
      </c>
      <c r="AN379" s="3">
        <v>56.72</v>
      </c>
      <c r="AO379" s="3">
        <v>19622479</v>
      </c>
      <c r="AP379" s="3">
        <v>46.85</v>
      </c>
      <c r="AQ379" s="3">
        <v>47.04</v>
      </c>
      <c r="AR379" s="3">
        <v>46.22</v>
      </c>
      <c r="AS379" s="3">
        <v>46.48</v>
      </c>
      <c r="AT379" s="3">
        <v>14226947</v>
      </c>
      <c r="AU379" s="3">
        <v>47.52</v>
      </c>
      <c r="AV379" s="3">
        <v>47.57</v>
      </c>
      <c r="AW379" s="3">
        <v>46.69</v>
      </c>
      <c r="AX379" s="3">
        <v>47.01</v>
      </c>
      <c r="AY379" s="3">
        <v>9065290</v>
      </c>
      <c r="AZ379" s="3">
        <v>49.29</v>
      </c>
      <c r="BA379" s="3">
        <v>49.39</v>
      </c>
      <c r="BB379" s="3">
        <v>48.4</v>
      </c>
      <c r="BC379" s="3">
        <v>48.53</v>
      </c>
      <c r="BD379" s="3">
        <v>24154431</v>
      </c>
      <c r="BE379" s="3">
        <v>30.87</v>
      </c>
      <c r="BF379" s="3">
        <v>30.9</v>
      </c>
      <c r="BG379" s="3">
        <v>30.21</v>
      </c>
      <c r="BH379" s="3">
        <v>30.34</v>
      </c>
      <c r="BI379" s="3">
        <v>3438594</v>
      </c>
    </row>
    <row r="380" spans="1:61" ht="13" x14ac:dyDescent="0.15">
      <c r="A380" s="3">
        <v>42676</v>
      </c>
      <c r="B380" s="3">
        <v>2109.4299999999998</v>
      </c>
      <c r="C380" s="3">
        <v>2111.7600000000002</v>
      </c>
      <c r="D380" s="3">
        <v>2094</v>
      </c>
      <c r="E380" s="3">
        <v>2097.94</v>
      </c>
      <c r="F380" s="3">
        <v>641501340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3">
        <v>77.349999999999994</v>
      </c>
      <c r="M380" s="3">
        <v>77.69</v>
      </c>
      <c r="N380" s="3">
        <v>76.88</v>
      </c>
      <c r="O380" s="3">
        <v>77.08</v>
      </c>
      <c r="P380" s="3">
        <v>9695150</v>
      </c>
      <c r="Q380" s="3">
        <v>52.44</v>
      </c>
      <c r="R380" s="3">
        <v>52.74</v>
      </c>
      <c r="S380" s="3">
        <v>52.4</v>
      </c>
      <c r="T380" s="3">
        <v>52.44</v>
      </c>
      <c r="U380" s="3">
        <v>9703303</v>
      </c>
      <c r="V380" s="3">
        <v>67.98</v>
      </c>
      <c r="W380" s="3">
        <v>68.22</v>
      </c>
      <c r="X380" s="3">
        <v>67</v>
      </c>
      <c r="Y380" s="3">
        <v>67.87</v>
      </c>
      <c r="Z380" s="3">
        <v>22982983</v>
      </c>
      <c r="AA380" s="3">
        <v>19.62</v>
      </c>
      <c r="AB380" s="3">
        <v>19.63</v>
      </c>
      <c r="AC380" s="3">
        <v>19.440000000000001</v>
      </c>
      <c r="AD380" s="3">
        <v>19.53</v>
      </c>
      <c r="AE380" s="3">
        <v>66529874</v>
      </c>
      <c r="AF380" s="3">
        <v>66.87</v>
      </c>
      <c r="AG380" s="3">
        <v>67.39</v>
      </c>
      <c r="AH380" s="3">
        <v>66.650000000000006</v>
      </c>
      <c r="AI380" s="3">
        <v>66.650000000000006</v>
      </c>
      <c r="AJ380" s="3">
        <v>17942887</v>
      </c>
      <c r="AK380" s="3">
        <v>56.68</v>
      </c>
      <c r="AL380" s="3">
        <v>56.93</v>
      </c>
      <c r="AM380" s="3">
        <v>56.37</v>
      </c>
      <c r="AN380" s="3">
        <v>56.51</v>
      </c>
      <c r="AO380" s="3">
        <v>14355944</v>
      </c>
      <c r="AP380" s="3">
        <v>46.55</v>
      </c>
      <c r="AQ380" s="3">
        <v>46.64</v>
      </c>
      <c r="AR380" s="3">
        <v>46.23</v>
      </c>
      <c r="AS380" s="3">
        <v>46.23</v>
      </c>
      <c r="AT380" s="3">
        <v>5839835</v>
      </c>
      <c r="AU380" s="3">
        <v>47.01</v>
      </c>
      <c r="AV380" s="3">
        <v>47.15</v>
      </c>
      <c r="AW380" s="3">
        <v>46.6</v>
      </c>
      <c r="AX380" s="3">
        <v>46.71</v>
      </c>
      <c r="AY380" s="3">
        <v>8167290</v>
      </c>
      <c r="AZ380" s="3">
        <v>48.3</v>
      </c>
      <c r="BA380" s="3">
        <v>48.43</v>
      </c>
      <c r="BB380" s="3">
        <v>47.52</v>
      </c>
      <c r="BC380" s="3">
        <v>47.92</v>
      </c>
      <c r="BD380" s="3">
        <v>26491745</v>
      </c>
      <c r="BE380" s="3">
        <v>30.25</v>
      </c>
      <c r="BF380" s="3">
        <v>30.32</v>
      </c>
      <c r="BG380" s="3">
        <v>29.87</v>
      </c>
      <c r="BH380" s="3">
        <v>29.87</v>
      </c>
      <c r="BI380" s="3">
        <v>1699336</v>
      </c>
    </row>
    <row r="381" spans="1:61" ht="13" x14ac:dyDescent="0.15">
      <c r="A381" s="3">
        <v>42677</v>
      </c>
      <c r="B381" s="3">
        <v>2098.8000000000002</v>
      </c>
      <c r="C381" s="3">
        <v>2102.56</v>
      </c>
      <c r="D381" s="3">
        <v>2085.23</v>
      </c>
      <c r="E381" s="3">
        <v>2088.66</v>
      </c>
      <c r="F381" s="3">
        <v>593008290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3">
        <v>77.22</v>
      </c>
      <c r="M381" s="3">
        <v>77.59</v>
      </c>
      <c r="N381" s="3">
        <v>76.7</v>
      </c>
      <c r="O381" s="3">
        <v>76.88</v>
      </c>
      <c r="P381" s="3">
        <v>8900837</v>
      </c>
      <c r="Q381" s="3">
        <v>52.6</v>
      </c>
      <c r="R381" s="3">
        <v>52.61</v>
      </c>
      <c r="S381" s="3">
        <v>52.01</v>
      </c>
      <c r="T381" s="3">
        <v>52.08</v>
      </c>
      <c r="U381" s="3">
        <v>15641594</v>
      </c>
      <c r="V381" s="3">
        <v>67.87</v>
      </c>
      <c r="W381" s="3">
        <v>68.260000000000005</v>
      </c>
      <c r="X381" s="3">
        <v>67.5</v>
      </c>
      <c r="Y381" s="3">
        <v>68.14</v>
      </c>
      <c r="Z381" s="3">
        <v>12748063</v>
      </c>
      <c r="AA381" s="3">
        <v>19.55</v>
      </c>
      <c r="AB381" s="3">
        <v>19.73</v>
      </c>
      <c r="AC381" s="3">
        <v>19.52</v>
      </c>
      <c r="AD381" s="3">
        <v>19.55</v>
      </c>
      <c r="AE381" s="3">
        <v>53462052</v>
      </c>
      <c r="AF381" s="3">
        <v>66.87</v>
      </c>
      <c r="AG381" s="3">
        <v>67.150000000000006</v>
      </c>
      <c r="AH381" s="3">
        <v>65.959999999999994</v>
      </c>
      <c r="AI381" s="3">
        <v>66.02</v>
      </c>
      <c r="AJ381" s="3">
        <v>22074152</v>
      </c>
      <c r="AK381" s="3">
        <v>56.75</v>
      </c>
      <c r="AL381" s="3">
        <v>56.77</v>
      </c>
      <c r="AM381" s="3">
        <v>56.27</v>
      </c>
      <c r="AN381" s="3">
        <v>56.42</v>
      </c>
      <c r="AO381" s="3">
        <v>13887707</v>
      </c>
      <c r="AP381" s="3">
        <v>46.2</v>
      </c>
      <c r="AQ381" s="3">
        <v>46.48</v>
      </c>
      <c r="AR381" s="3">
        <v>46.12</v>
      </c>
      <c r="AS381" s="3">
        <v>46.24</v>
      </c>
      <c r="AT381" s="3">
        <v>4241369</v>
      </c>
      <c r="AU381" s="3">
        <v>46.58</v>
      </c>
      <c r="AV381" s="3">
        <v>46.68</v>
      </c>
      <c r="AW381" s="3">
        <v>46.24</v>
      </c>
      <c r="AX381" s="3">
        <v>46.26</v>
      </c>
      <c r="AY381" s="3">
        <v>10125726</v>
      </c>
      <c r="AZ381" s="3">
        <v>47.8</v>
      </c>
      <c r="BA381" s="3">
        <v>48.29</v>
      </c>
      <c r="BB381" s="3">
        <v>47.63</v>
      </c>
      <c r="BC381" s="3">
        <v>48.1</v>
      </c>
      <c r="BD381" s="3">
        <v>11820510</v>
      </c>
      <c r="BE381" s="3">
        <v>29.82</v>
      </c>
      <c r="BF381" s="3">
        <v>29.92</v>
      </c>
      <c r="BG381" s="3">
        <v>29.68</v>
      </c>
      <c r="BH381" s="3">
        <v>29.74</v>
      </c>
      <c r="BI381" s="3">
        <v>1922500</v>
      </c>
    </row>
    <row r="382" spans="1:61" ht="13" x14ac:dyDescent="0.15">
      <c r="A382" s="3">
        <v>42678</v>
      </c>
      <c r="B382" s="3">
        <v>2083.79</v>
      </c>
      <c r="C382" s="3">
        <v>2099.0700000000002</v>
      </c>
      <c r="D382" s="3">
        <v>2083.79</v>
      </c>
      <c r="E382" s="3">
        <v>2085.1799999999998</v>
      </c>
      <c r="F382" s="3">
        <v>624672107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3">
        <v>76.81</v>
      </c>
      <c r="M382" s="3">
        <v>77.39</v>
      </c>
      <c r="N382" s="3">
        <v>76.61</v>
      </c>
      <c r="O382" s="3">
        <v>76.73</v>
      </c>
      <c r="P382" s="3">
        <v>8912152</v>
      </c>
      <c r="Q382" s="3">
        <v>52</v>
      </c>
      <c r="R382" s="3">
        <v>52.08</v>
      </c>
      <c r="S382" s="3">
        <v>51.57</v>
      </c>
      <c r="T382" s="3">
        <v>51.61</v>
      </c>
      <c r="U382" s="3">
        <v>11992424</v>
      </c>
      <c r="V382" s="3">
        <v>67.8</v>
      </c>
      <c r="W382" s="3">
        <v>68.459999999999994</v>
      </c>
      <c r="X382" s="3">
        <v>67.36</v>
      </c>
      <c r="Y382" s="3">
        <v>67.77</v>
      </c>
      <c r="Z382" s="3">
        <v>17554079</v>
      </c>
      <c r="AA382" s="3">
        <v>19.559999999999999</v>
      </c>
      <c r="AB382" s="3">
        <v>19.649999999999999</v>
      </c>
      <c r="AC382" s="3">
        <v>19.399999999999999</v>
      </c>
      <c r="AD382" s="3">
        <v>19.489999999999998</v>
      </c>
      <c r="AE382" s="3">
        <v>64891375</v>
      </c>
      <c r="AF382" s="3">
        <v>66.2</v>
      </c>
      <c r="AG382" s="3">
        <v>67.03</v>
      </c>
      <c r="AH382" s="3">
        <v>66.13</v>
      </c>
      <c r="AI382" s="3">
        <v>66.48</v>
      </c>
      <c r="AJ382" s="3">
        <v>21382560</v>
      </c>
      <c r="AK382" s="3">
        <v>56.41</v>
      </c>
      <c r="AL382" s="3">
        <v>56.95</v>
      </c>
      <c r="AM382" s="3">
        <v>56.3</v>
      </c>
      <c r="AN382" s="3">
        <v>56.47</v>
      </c>
      <c r="AO382" s="3">
        <v>8438088</v>
      </c>
      <c r="AP382" s="3">
        <v>46.24</v>
      </c>
      <c r="AQ382" s="3">
        <v>46.65</v>
      </c>
      <c r="AR382" s="3">
        <v>46.17</v>
      </c>
      <c r="AS382" s="3">
        <v>46.4</v>
      </c>
      <c r="AT382" s="3">
        <v>4415660</v>
      </c>
      <c r="AU382" s="3">
        <v>46.22</v>
      </c>
      <c r="AV382" s="3">
        <v>46.55</v>
      </c>
      <c r="AW382" s="3">
        <v>46.06</v>
      </c>
      <c r="AX382" s="3">
        <v>46.18</v>
      </c>
      <c r="AY382" s="3">
        <v>8153967</v>
      </c>
      <c r="AZ382" s="3">
        <v>48.29</v>
      </c>
      <c r="BA382" s="3">
        <v>48.75</v>
      </c>
      <c r="BB382" s="3">
        <v>47.92</v>
      </c>
      <c r="BC382" s="3">
        <v>47.95</v>
      </c>
      <c r="BD382" s="3">
        <v>14557212</v>
      </c>
      <c r="BE382" s="3">
        <v>29.77</v>
      </c>
      <c r="BF382" s="3">
        <v>30.05</v>
      </c>
      <c r="BG382" s="3">
        <v>29.67</v>
      </c>
      <c r="BH382" s="3">
        <v>29.94</v>
      </c>
      <c r="BI382" s="3">
        <v>1757687</v>
      </c>
    </row>
    <row r="383" spans="1:61" ht="13" x14ac:dyDescent="0.15">
      <c r="A383" s="3">
        <v>42681</v>
      </c>
      <c r="B383" s="3">
        <v>2100.59</v>
      </c>
      <c r="C383" s="3">
        <v>2132</v>
      </c>
      <c r="D383" s="3">
        <v>2100.59</v>
      </c>
      <c r="E383" s="3">
        <v>2131.52</v>
      </c>
      <c r="F383" s="3">
        <v>608621001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3">
        <v>77.83</v>
      </c>
      <c r="M383" s="3">
        <v>78.510000000000005</v>
      </c>
      <c r="N383" s="3">
        <v>77.59</v>
      </c>
      <c r="O383" s="3">
        <v>78.5</v>
      </c>
      <c r="P383" s="3">
        <v>7143701</v>
      </c>
      <c r="Q383" s="3">
        <v>52.05</v>
      </c>
      <c r="R383" s="3">
        <v>52.51</v>
      </c>
      <c r="S383" s="3">
        <v>52.02</v>
      </c>
      <c r="T383" s="3">
        <v>52.48</v>
      </c>
      <c r="U383" s="3">
        <v>11763039</v>
      </c>
      <c r="V383" s="3">
        <v>68.540000000000006</v>
      </c>
      <c r="W383" s="3">
        <v>69.27</v>
      </c>
      <c r="X383" s="3">
        <v>68.540000000000006</v>
      </c>
      <c r="Y383" s="3">
        <v>69.23</v>
      </c>
      <c r="Z383" s="3">
        <v>14799517</v>
      </c>
      <c r="AA383" s="3">
        <v>19.82</v>
      </c>
      <c r="AB383" s="3">
        <v>19.989999999999998</v>
      </c>
      <c r="AC383" s="3">
        <v>19.8</v>
      </c>
      <c r="AD383" s="3">
        <v>19.98</v>
      </c>
      <c r="AE383" s="3">
        <v>59001803</v>
      </c>
      <c r="AF383" s="3">
        <v>67.2</v>
      </c>
      <c r="AG383" s="3">
        <v>68.36</v>
      </c>
      <c r="AH383" s="3">
        <v>67.16</v>
      </c>
      <c r="AI383" s="3">
        <v>68.180000000000007</v>
      </c>
      <c r="AJ383" s="3">
        <v>17367791</v>
      </c>
      <c r="AK383" s="3">
        <v>57.35</v>
      </c>
      <c r="AL383" s="3">
        <v>57.88</v>
      </c>
      <c r="AM383" s="3">
        <v>57.31</v>
      </c>
      <c r="AN383" s="3">
        <v>57.86</v>
      </c>
      <c r="AO383" s="3">
        <v>13794054</v>
      </c>
      <c r="AP383" s="3">
        <v>46.94</v>
      </c>
      <c r="AQ383" s="3">
        <v>47.11</v>
      </c>
      <c r="AR383" s="3">
        <v>46.79</v>
      </c>
      <c r="AS383" s="3">
        <v>47.11</v>
      </c>
      <c r="AT383" s="3">
        <v>7098546</v>
      </c>
      <c r="AU383" s="3">
        <v>46.86</v>
      </c>
      <c r="AV383" s="3">
        <v>47.2</v>
      </c>
      <c r="AW383" s="3">
        <v>46.75</v>
      </c>
      <c r="AX383" s="3">
        <v>47.18</v>
      </c>
      <c r="AY383" s="3">
        <v>13225998</v>
      </c>
      <c r="AZ383" s="3">
        <v>48.15</v>
      </c>
      <c r="BA383" s="3">
        <v>48.8</v>
      </c>
      <c r="BB383" s="3">
        <v>47.69</v>
      </c>
      <c r="BC383" s="3">
        <v>48.79</v>
      </c>
      <c r="BD383" s="3">
        <v>17728111</v>
      </c>
      <c r="BE383" s="3">
        <v>30.14</v>
      </c>
      <c r="BF383" s="3">
        <v>30.51</v>
      </c>
      <c r="BG383" s="3">
        <v>30.13</v>
      </c>
      <c r="BH383" s="3">
        <v>30.49</v>
      </c>
      <c r="BI383" s="3">
        <v>2997634</v>
      </c>
    </row>
    <row r="384" spans="1:61" ht="13" x14ac:dyDescent="0.15">
      <c r="A384" s="3">
        <v>42682</v>
      </c>
      <c r="B384" s="3">
        <v>2129.92</v>
      </c>
      <c r="C384" s="3">
        <v>2146.87</v>
      </c>
      <c r="D384" s="3">
        <v>2123.56</v>
      </c>
      <c r="E384" s="3">
        <v>2139.56</v>
      </c>
      <c r="F384" s="3">
        <v>556634318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3">
        <v>78.5</v>
      </c>
      <c r="M384" s="3">
        <v>79.150000000000006</v>
      </c>
      <c r="N384" s="3">
        <v>78.3</v>
      </c>
      <c r="O384" s="3">
        <v>78.819999999999993</v>
      </c>
      <c r="P384" s="3">
        <v>5325195</v>
      </c>
      <c r="Q384" s="3">
        <v>52.1</v>
      </c>
      <c r="R384" s="3">
        <v>52.86</v>
      </c>
      <c r="S384" s="3">
        <v>52.05</v>
      </c>
      <c r="T384" s="3">
        <v>52.7</v>
      </c>
      <c r="U384" s="3">
        <v>13406760</v>
      </c>
      <c r="V384" s="3">
        <v>68.89</v>
      </c>
      <c r="W384" s="3">
        <v>69.709999999999994</v>
      </c>
      <c r="X384" s="3">
        <v>68.790000000000006</v>
      </c>
      <c r="Y384" s="3">
        <v>69.319999999999993</v>
      </c>
      <c r="Z384" s="3">
        <v>11208708</v>
      </c>
      <c r="AA384" s="3">
        <v>19.920000000000002</v>
      </c>
      <c r="AB384" s="3">
        <v>20.09</v>
      </c>
      <c r="AC384" s="3">
        <v>19.79</v>
      </c>
      <c r="AD384" s="3">
        <v>19.989999999999998</v>
      </c>
      <c r="AE384" s="3">
        <v>63290418</v>
      </c>
      <c r="AF384" s="3">
        <v>67.739999999999995</v>
      </c>
      <c r="AG384" s="3">
        <v>68.83</v>
      </c>
      <c r="AH384" s="3">
        <v>67.650000000000006</v>
      </c>
      <c r="AI384" s="3">
        <v>68.37</v>
      </c>
      <c r="AJ384" s="3">
        <v>15943912</v>
      </c>
      <c r="AK384" s="3">
        <v>57.89</v>
      </c>
      <c r="AL384" s="3">
        <v>58.39</v>
      </c>
      <c r="AM384" s="3">
        <v>57.76</v>
      </c>
      <c r="AN384" s="3">
        <v>58.21</v>
      </c>
      <c r="AO384" s="3">
        <v>12073896</v>
      </c>
      <c r="AP384" s="3">
        <v>46.99</v>
      </c>
      <c r="AQ384" s="3">
        <v>47.41</v>
      </c>
      <c r="AR384" s="3">
        <v>46.89</v>
      </c>
      <c r="AS384" s="3">
        <v>47.26</v>
      </c>
      <c r="AT384" s="3">
        <v>5291849</v>
      </c>
      <c r="AU384" s="3">
        <v>47.09</v>
      </c>
      <c r="AV384" s="3">
        <v>47.61</v>
      </c>
      <c r="AW384" s="3">
        <v>47.04</v>
      </c>
      <c r="AX384" s="3">
        <v>47.41</v>
      </c>
      <c r="AY384" s="3">
        <v>9780031</v>
      </c>
      <c r="AZ384" s="3">
        <v>48.85</v>
      </c>
      <c r="BA384" s="3">
        <v>49.36</v>
      </c>
      <c r="BB384" s="3">
        <v>48.77</v>
      </c>
      <c r="BC384" s="3">
        <v>49.17</v>
      </c>
      <c r="BD384" s="3">
        <v>18847911</v>
      </c>
      <c r="BE384" s="3">
        <v>30.38</v>
      </c>
      <c r="BF384" s="3">
        <v>30.77</v>
      </c>
      <c r="BG384" s="3">
        <v>30.36</v>
      </c>
      <c r="BH384" s="3">
        <v>30.68</v>
      </c>
      <c r="BI384" s="3">
        <v>1513363</v>
      </c>
    </row>
    <row r="385" spans="1:61" ht="13" x14ac:dyDescent="0.15">
      <c r="A385" s="3">
        <v>42683</v>
      </c>
      <c r="B385" s="3">
        <v>2131.56</v>
      </c>
      <c r="C385" s="3">
        <v>2170.1</v>
      </c>
      <c r="D385" s="3">
        <v>2125.35</v>
      </c>
      <c r="E385" s="3">
        <v>2163.2600000000002</v>
      </c>
      <c r="F385" s="3">
        <v>992770441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3">
        <v>77.17</v>
      </c>
      <c r="M385" s="3">
        <v>79.12</v>
      </c>
      <c r="N385" s="3">
        <v>76.98</v>
      </c>
      <c r="O385" s="3">
        <v>78.98</v>
      </c>
      <c r="P385" s="3">
        <v>11425598</v>
      </c>
      <c r="Q385" s="3">
        <v>51.62</v>
      </c>
      <c r="R385" s="3">
        <v>52.15</v>
      </c>
      <c r="S385" s="3">
        <v>51.27</v>
      </c>
      <c r="T385" s="3">
        <v>51.98</v>
      </c>
      <c r="U385" s="3">
        <v>34557160</v>
      </c>
      <c r="V385" s="3">
        <v>69.56</v>
      </c>
      <c r="W385" s="3">
        <v>70.97</v>
      </c>
      <c r="X385" s="3">
        <v>68.75</v>
      </c>
      <c r="Y385" s="3">
        <v>70.45</v>
      </c>
      <c r="Z385" s="3">
        <v>25993774</v>
      </c>
      <c r="AA385" s="3">
        <v>20.54</v>
      </c>
      <c r="AB385" s="3">
        <v>20.94</v>
      </c>
      <c r="AC385" s="3">
        <v>20.11</v>
      </c>
      <c r="AD385" s="3">
        <v>20.84</v>
      </c>
      <c r="AE385" s="3">
        <v>268936640</v>
      </c>
      <c r="AF385" s="3">
        <v>71.31</v>
      </c>
      <c r="AG385" s="3">
        <v>71.569999999999993</v>
      </c>
      <c r="AH385" s="3">
        <v>69.260000000000005</v>
      </c>
      <c r="AI385" s="3">
        <v>70.78</v>
      </c>
      <c r="AJ385" s="3">
        <v>49750120</v>
      </c>
      <c r="AK385" s="3">
        <v>58.1</v>
      </c>
      <c r="AL385" s="3">
        <v>59.96</v>
      </c>
      <c r="AM385" s="3">
        <v>58.08</v>
      </c>
      <c r="AN385" s="3">
        <v>59.67</v>
      </c>
      <c r="AO385" s="3">
        <v>36607517</v>
      </c>
      <c r="AP385" s="3">
        <v>47.23</v>
      </c>
      <c r="AQ385" s="3">
        <v>48.37</v>
      </c>
      <c r="AR385" s="3">
        <v>46.85</v>
      </c>
      <c r="AS385" s="3">
        <v>48.26</v>
      </c>
      <c r="AT385" s="3">
        <v>14765147</v>
      </c>
      <c r="AU385" s="3">
        <v>46.69</v>
      </c>
      <c r="AV385" s="3">
        <v>47.43</v>
      </c>
      <c r="AW385" s="3">
        <v>46.44</v>
      </c>
      <c r="AX385" s="3">
        <v>47.35</v>
      </c>
      <c r="AY385" s="3">
        <v>27129429</v>
      </c>
      <c r="AZ385" s="3">
        <v>48.31</v>
      </c>
      <c r="BA385" s="3">
        <v>48.35</v>
      </c>
      <c r="BB385" s="3">
        <v>47.28</v>
      </c>
      <c r="BC385" s="3">
        <v>47.36</v>
      </c>
      <c r="BD385" s="3">
        <v>42810214</v>
      </c>
      <c r="BE385" s="3">
        <v>29.68</v>
      </c>
      <c r="BF385" s="3">
        <v>30.24</v>
      </c>
      <c r="BG385" s="3">
        <v>29.48</v>
      </c>
      <c r="BH385" s="3">
        <v>29.99</v>
      </c>
      <c r="BI385" s="3">
        <v>4760945</v>
      </c>
    </row>
    <row r="386" spans="1:61" ht="13" x14ac:dyDescent="0.15">
      <c r="A386" s="3">
        <v>42684</v>
      </c>
      <c r="B386" s="3">
        <v>2167.4899999999998</v>
      </c>
      <c r="C386" s="3">
        <v>2182.3000000000002</v>
      </c>
      <c r="D386" s="3">
        <v>2151.17</v>
      </c>
      <c r="E386" s="3">
        <v>2167.48</v>
      </c>
      <c r="F386" s="3">
        <v>997868105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3">
        <v>79.290000000000006</v>
      </c>
      <c r="M386" s="3">
        <v>80.150000000000006</v>
      </c>
      <c r="N386" s="3">
        <v>78.67</v>
      </c>
      <c r="O386" s="3">
        <v>79.27</v>
      </c>
      <c r="P386" s="3">
        <v>16685235</v>
      </c>
      <c r="Q386" s="3">
        <v>52</v>
      </c>
      <c r="R386" s="3">
        <v>52</v>
      </c>
      <c r="S386" s="3">
        <v>50.49</v>
      </c>
      <c r="T386" s="3">
        <v>50.59</v>
      </c>
      <c r="U386" s="3">
        <v>52820781</v>
      </c>
      <c r="V386" s="3">
        <v>70.400000000000006</v>
      </c>
      <c r="W386" s="3">
        <v>71.28</v>
      </c>
      <c r="X386" s="3">
        <v>70.16</v>
      </c>
      <c r="Y386" s="3">
        <v>70.75</v>
      </c>
      <c r="Z386" s="3">
        <v>20634829</v>
      </c>
      <c r="AA386" s="3">
        <v>21.16</v>
      </c>
      <c r="AB386" s="3">
        <v>21.7</v>
      </c>
      <c r="AC386" s="3">
        <v>21.08</v>
      </c>
      <c r="AD386" s="3">
        <v>21.61</v>
      </c>
      <c r="AE386" s="3">
        <v>241635544</v>
      </c>
      <c r="AF386" s="3">
        <v>71.94</v>
      </c>
      <c r="AG386" s="3">
        <v>72.08</v>
      </c>
      <c r="AH386" s="3">
        <v>71.06</v>
      </c>
      <c r="AI386" s="3">
        <v>71.56</v>
      </c>
      <c r="AJ386" s="3">
        <v>28379153</v>
      </c>
      <c r="AK386" s="3">
        <v>60.3</v>
      </c>
      <c r="AL386" s="3">
        <v>61.04</v>
      </c>
      <c r="AM386" s="3">
        <v>60.13</v>
      </c>
      <c r="AN386" s="3">
        <v>60.94</v>
      </c>
      <c r="AO386" s="3">
        <v>41589801</v>
      </c>
      <c r="AP386" s="3">
        <v>48.48</v>
      </c>
      <c r="AQ386" s="3">
        <v>49.06</v>
      </c>
      <c r="AR386" s="3">
        <v>48.46</v>
      </c>
      <c r="AS386" s="3">
        <v>48.82</v>
      </c>
      <c r="AT386" s="3">
        <v>20335357</v>
      </c>
      <c r="AU386" s="3">
        <v>47.62</v>
      </c>
      <c r="AV386" s="3">
        <v>47.62</v>
      </c>
      <c r="AW386" s="3">
        <v>45.94</v>
      </c>
      <c r="AX386" s="3">
        <v>46.59</v>
      </c>
      <c r="AY386" s="3">
        <v>39515508</v>
      </c>
      <c r="AZ386" s="3">
        <v>47.11</v>
      </c>
      <c r="BA386" s="3">
        <v>47.16</v>
      </c>
      <c r="BB386" s="3">
        <v>45.61</v>
      </c>
      <c r="BC386" s="3">
        <v>46.22</v>
      </c>
      <c r="BD386" s="3">
        <v>53123432</v>
      </c>
      <c r="BE386" s="3">
        <v>29.85</v>
      </c>
      <c r="BF386" s="3">
        <v>29.87</v>
      </c>
      <c r="BG386" s="3">
        <v>29.07</v>
      </c>
      <c r="BH386" s="3">
        <v>29.54</v>
      </c>
      <c r="BI386" s="3">
        <v>5345003</v>
      </c>
    </row>
    <row r="387" spans="1:61" ht="13" x14ac:dyDescent="0.15">
      <c r="A387" s="3">
        <v>42685</v>
      </c>
      <c r="B387" s="3">
        <v>2162.71</v>
      </c>
      <c r="C387" s="3">
        <v>2165.92</v>
      </c>
      <c r="D387" s="3">
        <v>2152.4899999999998</v>
      </c>
      <c r="E387" s="3">
        <v>2164.4499999999998</v>
      </c>
      <c r="F387" s="3">
        <v>734601661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3">
        <v>78.97</v>
      </c>
      <c r="M387" s="3">
        <v>79.83</v>
      </c>
      <c r="N387" s="3">
        <v>78.92</v>
      </c>
      <c r="O387" s="3">
        <v>79.72</v>
      </c>
      <c r="P387" s="3">
        <v>6039266</v>
      </c>
      <c r="Q387" s="3">
        <v>50.45</v>
      </c>
      <c r="R387" s="3">
        <v>50.71</v>
      </c>
      <c r="S387" s="3">
        <v>50.21</v>
      </c>
      <c r="T387" s="3">
        <v>50.54</v>
      </c>
      <c r="U387" s="3">
        <v>20828070</v>
      </c>
      <c r="V387" s="3">
        <v>70.33</v>
      </c>
      <c r="W387" s="3">
        <v>70.47</v>
      </c>
      <c r="X387" s="3">
        <v>68.89</v>
      </c>
      <c r="Y387" s="3">
        <v>69.459999999999994</v>
      </c>
      <c r="Z387" s="3">
        <v>17659713</v>
      </c>
      <c r="AA387" s="3">
        <v>21.47</v>
      </c>
      <c r="AB387" s="3">
        <v>21.7</v>
      </c>
      <c r="AC387" s="3">
        <v>21.4</v>
      </c>
      <c r="AD387" s="3">
        <v>21.67</v>
      </c>
      <c r="AE387" s="3">
        <v>134954549</v>
      </c>
      <c r="AF387" s="3">
        <v>71.36</v>
      </c>
      <c r="AG387" s="3">
        <v>71.36</v>
      </c>
      <c r="AH387" s="3">
        <v>70.180000000000007</v>
      </c>
      <c r="AI387" s="3">
        <v>70.489999999999995</v>
      </c>
      <c r="AJ387" s="3">
        <v>15866062</v>
      </c>
      <c r="AK387" s="3">
        <v>60.78</v>
      </c>
      <c r="AL387" s="3">
        <v>61.08</v>
      </c>
      <c r="AM387" s="3">
        <v>60.53</v>
      </c>
      <c r="AN387" s="3">
        <v>61.05</v>
      </c>
      <c r="AO387" s="3">
        <v>24055139</v>
      </c>
      <c r="AP387" s="3">
        <v>48.75</v>
      </c>
      <c r="AQ387" s="3">
        <v>48.8</v>
      </c>
      <c r="AR387" s="3">
        <v>47.85</v>
      </c>
      <c r="AS387" s="3">
        <v>48.15</v>
      </c>
      <c r="AT387" s="3">
        <v>6714039</v>
      </c>
      <c r="AU387" s="3">
        <v>46.33</v>
      </c>
      <c r="AV387" s="3">
        <v>46.83</v>
      </c>
      <c r="AW387" s="3">
        <v>46.33</v>
      </c>
      <c r="AX387" s="3">
        <v>46.73</v>
      </c>
      <c r="AY387" s="3">
        <v>14091551</v>
      </c>
      <c r="AZ387" s="3">
        <v>46.12</v>
      </c>
      <c r="BA387" s="3">
        <v>46.66</v>
      </c>
      <c r="BB387" s="3">
        <v>45.85</v>
      </c>
      <c r="BC387" s="3">
        <v>46.03</v>
      </c>
      <c r="BD387" s="3">
        <v>30951469</v>
      </c>
      <c r="BE387" s="3">
        <v>29.47</v>
      </c>
      <c r="BF387" s="3">
        <v>29.91</v>
      </c>
      <c r="BG387" s="3">
        <v>29.47</v>
      </c>
      <c r="BH387" s="3">
        <v>29.57</v>
      </c>
      <c r="BI387" s="3">
        <v>3702644</v>
      </c>
    </row>
    <row r="388" spans="1:61" ht="13" x14ac:dyDescent="0.15">
      <c r="A388" s="3">
        <v>42688</v>
      </c>
      <c r="B388" s="3">
        <v>2165.64</v>
      </c>
      <c r="C388" s="3">
        <v>2171.36</v>
      </c>
      <c r="D388" s="3">
        <v>2156.08</v>
      </c>
      <c r="E388" s="3">
        <v>2164.1999999999998</v>
      </c>
      <c r="F388" s="3">
        <v>798242148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3">
        <v>80.09</v>
      </c>
      <c r="M388" s="3">
        <v>80.33</v>
      </c>
      <c r="N388" s="3">
        <v>79.63</v>
      </c>
      <c r="O388" s="3">
        <v>79.73</v>
      </c>
      <c r="P388" s="3">
        <v>6329677</v>
      </c>
      <c r="Q388" s="3">
        <v>50.54</v>
      </c>
      <c r="R388" s="3">
        <v>50.58</v>
      </c>
      <c r="S388" s="3">
        <v>50.26</v>
      </c>
      <c r="T388" s="3">
        <v>50.45</v>
      </c>
      <c r="U388" s="3">
        <v>20591812</v>
      </c>
      <c r="V388" s="3">
        <v>69.209999999999994</v>
      </c>
      <c r="W388" s="3">
        <v>69.92</v>
      </c>
      <c r="X388" s="3">
        <v>68.83</v>
      </c>
      <c r="Y388" s="3">
        <v>69.849999999999994</v>
      </c>
      <c r="Z388" s="3">
        <v>12572005</v>
      </c>
      <c r="AA388" s="3">
        <v>21.88</v>
      </c>
      <c r="AB388" s="3">
        <v>22.33</v>
      </c>
      <c r="AC388" s="3">
        <v>21.85</v>
      </c>
      <c r="AD388" s="3">
        <v>22.2</v>
      </c>
      <c r="AE388" s="3">
        <v>261730895</v>
      </c>
      <c r="AF388" s="3">
        <v>70.8</v>
      </c>
      <c r="AG388" s="3">
        <v>70.88</v>
      </c>
      <c r="AH388" s="3">
        <v>70.13</v>
      </c>
      <c r="AI388" s="3">
        <v>70.27</v>
      </c>
      <c r="AJ388" s="3">
        <v>17406162</v>
      </c>
      <c r="AK388" s="3">
        <v>61.5</v>
      </c>
      <c r="AL388" s="3">
        <v>61.54</v>
      </c>
      <c r="AM388" s="3">
        <v>61.2</v>
      </c>
      <c r="AN388" s="3">
        <v>61.31</v>
      </c>
      <c r="AO388" s="3">
        <v>17076979</v>
      </c>
      <c r="AP388" s="3">
        <v>48.37</v>
      </c>
      <c r="AQ388" s="3">
        <v>48.42</v>
      </c>
      <c r="AR388" s="3">
        <v>47.96</v>
      </c>
      <c r="AS388" s="3">
        <v>48.26</v>
      </c>
      <c r="AT388" s="3">
        <v>8338953</v>
      </c>
      <c r="AU388" s="3">
        <v>46.77</v>
      </c>
      <c r="AV388" s="3">
        <v>46.8</v>
      </c>
      <c r="AW388" s="3">
        <v>45.8</v>
      </c>
      <c r="AX388" s="3">
        <v>46.02</v>
      </c>
      <c r="AY388" s="3">
        <v>18970968</v>
      </c>
      <c r="AZ388" s="3">
        <v>45.68</v>
      </c>
      <c r="BA388" s="3">
        <v>46.1</v>
      </c>
      <c r="BB388" s="3">
        <v>45.33</v>
      </c>
      <c r="BC388" s="3">
        <v>46</v>
      </c>
      <c r="BD388" s="3">
        <v>28190802</v>
      </c>
      <c r="BE388" s="3">
        <v>29.41</v>
      </c>
      <c r="BF388" s="3">
        <v>30.27</v>
      </c>
      <c r="BG388" s="3">
        <v>29.2</v>
      </c>
      <c r="BH388" s="3">
        <v>30.15</v>
      </c>
      <c r="BI388" s="3">
        <v>4315165</v>
      </c>
    </row>
    <row r="389" spans="1:61" ht="13" x14ac:dyDescent="0.15">
      <c r="A389" s="3">
        <v>42689</v>
      </c>
      <c r="B389" s="3">
        <v>2168.29</v>
      </c>
      <c r="C389" s="3">
        <v>2180.84</v>
      </c>
      <c r="D389" s="3">
        <v>2166.38</v>
      </c>
      <c r="E389" s="3">
        <v>2180.39</v>
      </c>
      <c r="F389" s="3">
        <v>683976715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3">
        <v>80.010000000000005</v>
      </c>
      <c r="M389" s="3">
        <v>80.150000000000006</v>
      </c>
      <c r="N389" s="3">
        <v>79.62</v>
      </c>
      <c r="O389" s="3">
        <v>80.040000000000006</v>
      </c>
      <c r="P389" s="3">
        <v>6010155</v>
      </c>
      <c r="Q389" s="3">
        <v>50.55</v>
      </c>
      <c r="R389" s="3">
        <v>50.84</v>
      </c>
      <c r="S389" s="3">
        <v>50.47</v>
      </c>
      <c r="T389" s="3">
        <v>50.76</v>
      </c>
      <c r="U389" s="3">
        <v>23028687</v>
      </c>
      <c r="V389" s="3">
        <v>70.459999999999994</v>
      </c>
      <c r="W389" s="3">
        <v>71.86</v>
      </c>
      <c r="X389" s="3">
        <v>70.400000000000006</v>
      </c>
      <c r="Y389" s="3">
        <v>71.819999999999993</v>
      </c>
      <c r="Z389" s="3">
        <v>19228710</v>
      </c>
      <c r="AA389" s="3">
        <v>22.01</v>
      </c>
      <c r="AB389" s="3">
        <v>22.2</v>
      </c>
      <c r="AC389" s="3">
        <v>21.79</v>
      </c>
      <c r="AD389" s="3">
        <v>22.18</v>
      </c>
      <c r="AE389" s="3">
        <v>122754546</v>
      </c>
      <c r="AF389" s="3">
        <v>70.540000000000006</v>
      </c>
      <c r="AG389" s="3">
        <v>70.540000000000006</v>
      </c>
      <c r="AH389" s="3">
        <v>69.819999999999993</v>
      </c>
      <c r="AI389" s="3">
        <v>70.47</v>
      </c>
      <c r="AJ389" s="3">
        <v>10371554</v>
      </c>
      <c r="AK389" s="3">
        <v>61.45</v>
      </c>
      <c r="AL389" s="3">
        <v>61.54</v>
      </c>
      <c r="AM389" s="3">
        <v>60.97</v>
      </c>
      <c r="AN389" s="3">
        <v>61.54</v>
      </c>
      <c r="AO389" s="3">
        <v>12828377</v>
      </c>
      <c r="AP389" s="3">
        <v>48.23</v>
      </c>
      <c r="AQ389" s="3">
        <v>48.47</v>
      </c>
      <c r="AR389" s="3">
        <v>47.89</v>
      </c>
      <c r="AS389" s="3">
        <v>48.46</v>
      </c>
      <c r="AT389" s="3">
        <v>6960690</v>
      </c>
      <c r="AU389" s="3">
        <v>46.33</v>
      </c>
      <c r="AV389" s="3">
        <v>46.83</v>
      </c>
      <c r="AW389" s="3">
        <v>46.31</v>
      </c>
      <c r="AX389" s="3">
        <v>46.67</v>
      </c>
      <c r="AY389" s="3">
        <v>17370846</v>
      </c>
      <c r="AZ389" s="3">
        <v>46.26</v>
      </c>
      <c r="BA389" s="3">
        <v>46.85</v>
      </c>
      <c r="BB389" s="3">
        <v>46.24</v>
      </c>
      <c r="BC389" s="3">
        <v>46.74</v>
      </c>
      <c r="BD389" s="3">
        <v>25191815</v>
      </c>
      <c r="BE389" s="3">
        <v>30.17</v>
      </c>
      <c r="BF389" s="3">
        <v>30.52</v>
      </c>
      <c r="BG389" s="3">
        <v>29.79</v>
      </c>
      <c r="BH389" s="3">
        <v>29.95</v>
      </c>
      <c r="BI389" s="3">
        <v>3161108</v>
      </c>
    </row>
    <row r="390" spans="1:61" ht="13" x14ac:dyDescent="0.15">
      <c r="A390" s="3">
        <v>42690</v>
      </c>
      <c r="B390" s="3">
        <v>2177.5300000000002</v>
      </c>
      <c r="C390" s="3">
        <v>2179.2199999999998</v>
      </c>
      <c r="D390" s="3">
        <v>2172.1999999999998</v>
      </c>
      <c r="E390" s="3">
        <v>2176.94</v>
      </c>
      <c r="F390" s="3">
        <v>569327906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3">
        <v>79.87</v>
      </c>
      <c r="M390" s="3">
        <v>80.48</v>
      </c>
      <c r="N390" s="3">
        <v>79.760000000000005</v>
      </c>
      <c r="O390" s="3">
        <v>80.48</v>
      </c>
      <c r="P390" s="3">
        <v>3993203</v>
      </c>
      <c r="Q390" s="3">
        <v>50.77</v>
      </c>
      <c r="R390" s="3">
        <v>50.99</v>
      </c>
      <c r="S390" s="3">
        <v>50.69</v>
      </c>
      <c r="T390" s="3">
        <v>50.77</v>
      </c>
      <c r="U390" s="3">
        <v>16034236</v>
      </c>
      <c r="V390" s="3">
        <v>71.66</v>
      </c>
      <c r="W390" s="3">
        <v>72.14</v>
      </c>
      <c r="X390" s="3">
        <v>71.099999999999994</v>
      </c>
      <c r="Y390" s="3">
        <v>71.319999999999993</v>
      </c>
      <c r="Z390" s="3">
        <v>16609103</v>
      </c>
      <c r="AA390" s="3">
        <v>21.98</v>
      </c>
      <c r="AB390" s="3">
        <v>22.03</v>
      </c>
      <c r="AC390" s="3">
        <v>21.8</v>
      </c>
      <c r="AD390" s="3">
        <v>21.86</v>
      </c>
      <c r="AE390" s="3">
        <v>117887705</v>
      </c>
      <c r="AF390" s="3">
        <v>70.290000000000006</v>
      </c>
      <c r="AG390" s="3">
        <v>70.63</v>
      </c>
      <c r="AH390" s="3">
        <v>70.08</v>
      </c>
      <c r="AI390" s="3">
        <v>70.17</v>
      </c>
      <c r="AJ390" s="3">
        <v>7585042</v>
      </c>
      <c r="AK390" s="3">
        <v>61.4</v>
      </c>
      <c r="AL390" s="3">
        <v>61.48</v>
      </c>
      <c r="AM390" s="3">
        <v>60.98</v>
      </c>
      <c r="AN390" s="3">
        <v>61.19</v>
      </c>
      <c r="AO390" s="3">
        <v>14472901</v>
      </c>
      <c r="AP390" s="3">
        <v>48.35</v>
      </c>
      <c r="AQ390" s="3">
        <v>48.54</v>
      </c>
      <c r="AR390" s="3">
        <v>48.21</v>
      </c>
      <c r="AS390" s="3">
        <v>48.37</v>
      </c>
      <c r="AT390" s="3">
        <v>3716488</v>
      </c>
      <c r="AU390" s="3">
        <v>46.56</v>
      </c>
      <c r="AV390" s="3">
        <v>47.13</v>
      </c>
      <c r="AW390" s="3">
        <v>46.5</v>
      </c>
      <c r="AX390" s="3">
        <v>47.1</v>
      </c>
      <c r="AY390" s="3">
        <v>10124244</v>
      </c>
      <c r="AZ390" s="3">
        <v>46.85</v>
      </c>
      <c r="BA390" s="3">
        <v>46.97</v>
      </c>
      <c r="BB390" s="3">
        <v>46.12</v>
      </c>
      <c r="BC390" s="3">
        <v>46.42</v>
      </c>
      <c r="BD390" s="3">
        <v>16817428</v>
      </c>
      <c r="BE390" s="3">
        <v>29.82</v>
      </c>
      <c r="BF390" s="3">
        <v>30.09</v>
      </c>
      <c r="BG390" s="3">
        <v>29.7</v>
      </c>
      <c r="BH390" s="3">
        <v>29.93</v>
      </c>
      <c r="BI390" s="3">
        <v>2058960</v>
      </c>
    </row>
    <row r="391" spans="1:61" ht="13" x14ac:dyDescent="0.15">
      <c r="A391" s="3">
        <v>42691</v>
      </c>
      <c r="B391" s="3">
        <v>2178.61</v>
      </c>
      <c r="C391" s="3">
        <v>2188.06</v>
      </c>
      <c r="D391" s="3">
        <v>2176.65</v>
      </c>
      <c r="E391" s="3">
        <v>2187.12</v>
      </c>
      <c r="F391" s="3">
        <v>569018109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3">
        <v>80.55</v>
      </c>
      <c r="M391" s="3">
        <v>81.45</v>
      </c>
      <c r="N391" s="3">
        <v>80.39</v>
      </c>
      <c r="O391" s="3">
        <v>81.45</v>
      </c>
      <c r="P391" s="3">
        <v>5701050</v>
      </c>
      <c r="Q391" s="3">
        <v>50.73</v>
      </c>
      <c r="R391" s="3">
        <v>50.78</v>
      </c>
      <c r="S391" s="3">
        <v>50.45</v>
      </c>
      <c r="T391" s="3">
        <v>50.68</v>
      </c>
      <c r="U391" s="3">
        <v>15626709</v>
      </c>
      <c r="V391" s="3">
        <v>71.92</v>
      </c>
      <c r="W391" s="3">
        <v>72.39</v>
      </c>
      <c r="X391" s="3">
        <v>70.66</v>
      </c>
      <c r="Y391" s="3">
        <v>70.84</v>
      </c>
      <c r="Z391" s="3">
        <v>10337975</v>
      </c>
      <c r="AA391" s="3">
        <v>21.86</v>
      </c>
      <c r="AB391" s="3">
        <v>22.18</v>
      </c>
      <c r="AC391" s="3">
        <v>21.81</v>
      </c>
      <c r="AD391" s="3">
        <v>22.16</v>
      </c>
      <c r="AE391" s="3">
        <v>98536426</v>
      </c>
      <c r="AF391" s="3">
        <v>70.22</v>
      </c>
      <c r="AG391" s="3">
        <v>70.47</v>
      </c>
      <c r="AH391" s="3">
        <v>70.02</v>
      </c>
      <c r="AI391" s="3">
        <v>70.45</v>
      </c>
      <c r="AJ391" s="3">
        <v>12856186</v>
      </c>
      <c r="AK391" s="3">
        <v>61.14</v>
      </c>
      <c r="AL391" s="3">
        <v>61.35</v>
      </c>
      <c r="AM391" s="3">
        <v>61.14</v>
      </c>
      <c r="AN391" s="3">
        <v>61.32</v>
      </c>
      <c r="AO391" s="3">
        <v>10382833</v>
      </c>
      <c r="AP391" s="3">
        <v>48.52</v>
      </c>
      <c r="AQ391" s="3">
        <v>48.56</v>
      </c>
      <c r="AR391" s="3">
        <v>48.14</v>
      </c>
      <c r="AS391" s="3">
        <v>48.39</v>
      </c>
      <c r="AT391" s="3">
        <v>4135866</v>
      </c>
      <c r="AU391" s="3">
        <v>47.16</v>
      </c>
      <c r="AV391" s="3">
        <v>47.44</v>
      </c>
      <c r="AW391" s="3">
        <v>47.05</v>
      </c>
      <c r="AX391" s="3">
        <v>47.4</v>
      </c>
      <c r="AY391" s="3">
        <v>8524101</v>
      </c>
      <c r="AZ391" s="3">
        <v>46.2</v>
      </c>
      <c r="BA391" s="3">
        <v>46.68</v>
      </c>
      <c r="BB391" s="3">
        <v>46.2</v>
      </c>
      <c r="BC391" s="3">
        <v>46.43</v>
      </c>
      <c r="BD391" s="3">
        <v>19199784</v>
      </c>
      <c r="BE391" s="3">
        <v>29.86</v>
      </c>
      <c r="BF391" s="3">
        <v>30.09</v>
      </c>
      <c r="BG391" s="3">
        <v>29.6</v>
      </c>
      <c r="BH391" s="3">
        <v>29.65</v>
      </c>
      <c r="BI391" s="3">
        <v>1573611</v>
      </c>
    </row>
    <row r="392" spans="1:61" ht="13" x14ac:dyDescent="0.15">
      <c r="A392" s="3">
        <v>42692</v>
      </c>
      <c r="B392" s="3">
        <v>2186.85</v>
      </c>
      <c r="C392" s="3">
        <v>2189.89</v>
      </c>
      <c r="D392" s="3">
        <v>2180.38</v>
      </c>
      <c r="E392" s="3">
        <v>2181.9</v>
      </c>
      <c r="F392" s="3">
        <v>670518317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3">
        <v>81.400000000000006</v>
      </c>
      <c r="M392" s="3">
        <v>81.58</v>
      </c>
      <c r="N392" s="3">
        <v>81.099999999999994</v>
      </c>
      <c r="O392" s="3">
        <v>81.2</v>
      </c>
      <c r="P392" s="3">
        <v>4293571</v>
      </c>
      <c r="Q392" s="3">
        <v>50.68</v>
      </c>
      <c r="R392" s="3">
        <v>50.72</v>
      </c>
      <c r="S392" s="3">
        <v>50.43</v>
      </c>
      <c r="T392" s="3">
        <v>50.5</v>
      </c>
      <c r="U392" s="3">
        <v>14786066</v>
      </c>
      <c r="V392" s="3">
        <v>71.09</v>
      </c>
      <c r="W392" s="3">
        <v>71.53</v>
      </c>
      <c r="X392" s="3">
        <v>70.73</v>
      </c>
      <c r="Y392" s="3">
        <v>71.13</v>
      </c>
      <c r="Z392" s="3">
        <v>11962308</v>
      </c>
      <c r="AA392" s="3">
        <v>22.14</v>
      </c>
      <c r="AB392" s="3">
        <v>22.24</v>
      </c>
      <c r="AC392" s="3">
        <v>22.06</v>
      </c>
      <c r="AD392" s="3">
        <v>22.16</v>
      </c>
      <c r="AE392" s="3">
        <v>92344297</v>
      </c>
      <c r="AF392" s="3">
        <v>70.510000000000005</v>
      </c>
      <c r="AG392" s="3">
        <v>70.7</v>
      </c>
      <c r="AH392" s="3">
        <v>69.66</v>
      </c>
      <c r="AI392" s="3">
        <v>69.7</v>
      </c>
      <c r="AJ392" s="3">
        <v>12185025</v>
      </c>
      <c r="AK392" s="3">
        <v>61.38</v>
      </c>
      <c r="AL392" s="3">
        <v>61.38</v>
      </c>
      <c r="AM392" s="3">
        <v>61.11</v>
      </c>
      <c r="AN392" s="3">
        <v>61.3</v>
      </c>
      <c r="AO392" s="3">
        <v>9246448</v>
      </c>
      <c r="AP392" s="3">
        <v>48.38</v>
      </c>
      <c r="AQ392" s="3">
        <v>48.38</v>
      </c>
      <c r="AR392" s="3">
        <v>48.18</v>
      </c>
      <c r="AS392" s="3">
        <v>48.32</v>
      </c>
      <c r="AT392" s="3">
        <v>3894162</v>
      </c>
      <c r="AU392" s="3">
        <v>47.51</v>
      </c>
      <c r="AV392" s="3">
        <v>47.61</v>
      </c>
      <c r="AW392" s="3">
        <v>47.27</v>
      </c>
      <c r="AX392" s="3">
        <v>47.36</v>
      </c>
      <c r="AY392" s="3">
        <v>8822991</v>
      </c>
      <c r="AZ392" s="3">
        <v>46.56</v>
      </c>
      <c r="BA392" s="3">
        <v>46.66</v>
      </c>
      <c r="BB392" s="3">
        <v>46.09</v>
      </c>
      <c r="BC392" s="3">
        <v>46.29</v>
      </c>
      <c r="BD392" s="3">
        <v>10698464</v>
      </c>
      <c r="BE392" s="3">
        <v>29.6</v>
      </c>
      <c r="BF392" s="3">
        <v>29.81</v>
      </c>
      <c r="BG392" s="3">
        <v>29.5</v>
      </c>
      <c r="BH392" s="3">
        <v>29.71</v>
      </c>
      <c r="BI392" s="3">
        <v>1276875</v>
      </c>
    </row>
    <row r="393" spans="1:61" ht="13" x14ac:dyDescent="0.15">
      <c r="A393" s="3">
        <v>42695</v>
      </c>
      <c r="B393" s="3">
        <v>2186.4299999999998</v>
      </c>
      <c r="C393" s="3">
        <v>2198.6999999999998</v>
      </c>
      <c r="D393" s="3">
        <v>2186.4299999999998</v>
      </c>
      <c r="E393" s="3">
        <v>2198.1799999999998</v>
      </c>
      <c r="F393" s="3">
        <v>571010395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3">
        <v>81.349999999999994</v>
      </c>
      <c r="M393" s="3">
        <v>81.73</v>
      </c>
      <c r="N393" s="3">
        <v>81.239999999999995</v>
      </c>
      <c r="O393" s="3">
        <v>81.73</v>
      </c>
      <c r="P393" s="3">
        <v>4763423</v>
      </c>
      <c r="Q393" s="3">
        <v>50.57</v>
      </c>
      <c r="R393" s="3">
        <v>50.86</v>
      </c>
      <c r="S393" s="3">
        <v>50.34</v>
      </c>
      <c r="T393" s="3">
        <v>50.84</v>
      </c>
      <c r="U393" s="3">
        <v>18968738</v>
      </c>
      <c r="V393" s="3">
        <v>72.13</v>
      </c>
      <c r="W393" s="3">
        <v>72.900000000000006</v>
      </c>
      <c r="X393" s="3">
        <v>72.13</v>
      </c>
      <c r="Y393" s="3">
        <v>72.819999999999993</v>
      </c>
      <c r="Z393" s="3">
        <v>16875395</v>
      </c>
      <c r="AA393" s="3">
        <v>22.28</v>
      </c>
      <c r="AB393" s="3">
        <v>22.3</v>
      </c>
      <c r="AC393" s="3">
        <v>22.09</v>
      </c>
      <c r="AD393" s="3">
        <v>22.24</v>
      </c>
      <c r="AE393" s="3">
        <v>71943930</v>
      </c>
      <c r="AF393" s="3">
        <v>69.849999999999994</v>
      </c>
      <c r="AG393" s="3">
        <v>70.02</v>
      </c>
      <c r="AH393" s="3">
        <v>69.77</v>
      </c>
      <c r="AI393" s="3">
        <v>69.95</v>
      </c>
      <c r="AJ393" s="3">
        <v>6791829</v>
      </c>
      <c r="AK393" s="3">
        <v>61.49</v>
      </c>
      <c r="AL393" s="3">
        <v>61.66</v>
      </c>
      <c r="AM393" s="3">
        <v>61.37</v>
      </c>
      <c r="AN393" s="3">
        <v>61.63</v>
      </c>
      <c r="AO393" s="3">
        <v>11767769</v>
      </c>
      <c r="AP393" s="3">
        <v>48.39</v>
      </c>
      <c r="AQ393" s="3">
        <v>48.91</v>
      </c>
      <c r="AR393" s="3">
        <v>48.39</v>
      </c>
      <c r="AS393" s="3">
        <v>48.89</v>
      </c>
      <c r="AT393" s="3">
        <v>3799109</v>
      </c>
      <c r="AU393" s="3">
        <v>47.53</v>
      </c>
      <c r="AV393" s="3">
        <v>47.88</v>
      </c>
      <c r="AW393" s="3">
        <v>47.46</v>
      </c>
      <c r="AX393" s="3">
        <v>47.84</v>
      </c>
      <c r="AY393" s="3">
        <v>8975710</v>
      </c>
      <c r="AZ393" s="3">
        <v>46.42</v>
      </c>
      <c r="BA393" s="3">
        <v>46.79</v>
      </c>
      <c r="BB393" s="3">
        <v>46.35</v>
      </c>
      <c r="BC393" s="3">
        <v>46.78</v>
      </c>
      <c r="BD393" s="3">
        <v>12298269</v>
      </c>
      <c r="BE393" s="3">
        <v>29.75</v>
      </c>
      <c r="BF393" s="3">
        <v>29.98</v>
      </c>
      <c r="BG393" s="3">
        <v>29.61</v>
      </c>
      <c r="BH393" s="3">
        <v>29.63</v>
      </c>
      <c r="BI393" s="3">
        <v>1584938</v>
      </c>
    </row>
    <row r="394" spans="1:61" ht="13" x14ac:dyDescent="0.15">
      <c r="A394" s="3">
        <v>42696</v>
      </c>
      <c r="B394" s="3">
        <v>2201.56</v>
      </c>
      <c r="C394" s="3">
        <v>2204.8000000000002</v>
      </c>
      <c r="D394" s="3">
        <v>2194.5100000000002</v>
      </c>
      <c r="E394" s="3">
        <v>2202.94</v>
      </c>
      <c r="F394" s="3">
        <v>593601222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3">
        <v>81.98</v>
      </c>
      <c r="M394" s="3">
        <v>82.77</v>
      </c>
      <c r="N394" s="3">
        <v>81.900000000000006</v>
      </c>
      <c r="O394" s="3">
        <v>82.7</v>
      </c>
      <c r="P394" s="3">
        <v>5750061</v>
      </c>
      <c r="Q394" s="3">
        <v>50.99</v>
      </c>
      <c r="R394" s="3">
        <v>51.2</v>
      </c>
      <c r="S394" s="3">
        <v>50.96</v>
      </c>
      <c r="T394" s="3">
        <v>51.1</v>
      </c>
      <c r="U394" s="3">
        <v>11991815</v>
      </c>
      <c r="V394" s="3">
        <v>72.84</v>
      </c>
      <c r="W394" s="3">
        <v>73.2</v>
      </c>
      <c r="X394" s="3">
        <v>71.900000000000006</v>
      </c>
      <c r="Y394" s="3">
        <v>72.78</v>
      </c>
      <c r="Z394" s="3">
        <v>16013243</v>
      </c>
      <c r="AA394" s="3">
        <v>22.34</v>
      </c>
      <c r="AB394" s="3">
        <v>22.35</v>
      </c>
      <c r="AC394" s="3">
        <v>22.12</v>
      </c>
      <c r="AD394" s="3">
        <v>22.25</v>
      </c>
      <c r="AE394" s="3">
        <v>98286517</v>
      </c>
      <c r="AF394" s="3">
        <v>69.92</v>
      </c>
      <c r="AG394" s="3">
        <v>69.92</v>
      </c>
      <c r="AH394" s="3">
        <v>68.47</v>
      </c>
      <c r="AI394" s="3">
        <v>68.94</v>
      </c>
      <c r="AJ394" s="3">
        <v>14522066</v>
      </c>
      <c r="AK394" s="3">
        <v>61.8</v>
      </c>
      <c r="AL394" s="3">
        <v>61.96</v>
      </c>
      <c r="AM394" s="3">
        <v>61.71</v>
      </c>
      <c r="AN394" s="3">
        <v>61.91</v>
      </c>
      <c r="AO394" s="3">
        <v>8901275</v>
      </c>
      <c r="AP394" s="3">
        <v>49.02</v>
      </c>
      <c r="AQ394" s="3">
        <v>49.29</v>
      </c>
      <c r="AR394" s="3">
        <v>48.88</v>
      </c>
      <c r="AS394" s="3">
        <v>49.19</v>
      </c>
      <c r="AT394" s="3">
        <v>5135054</v>
      </c>
      <c r="AU394" s="3">
        <v>48</v>
      </c>
      <c r="AV394" s="3">
        <v>48.07</v>
      </c>
      <c r="AW394" s="3">
        <v>47.88</v>
      </c>
      <c r="AX394" s="3">
        <v>47.99</v>
      </c>
      <c r="AY394" s="3">
        <v>8489187</v>
      </c>
      <c r="AZ394" s="3">
        <v>46.8</v>
      </c>
      <c r="BA394" s="3">
        <v>47.03</v>
      </c>
      <c r="BB394" s="3">
        <v>46.56</v>
      </c>
      <c r="BC394" s="3">
        <v>46.96</v>
      </c>
      <c r="BD394" s="3">
        <v>10642964</v>
      </c>
      <c r="BE394" s="3">
        <v>29.71</v>
      </c>
      <c r="BF394" s="3">
        <v>30.19</v>
      </c>
      <c r="BG394" s="3">
        <v>29.67</v>
      </c>
      <c r="BH394" s="3">
        <v>30.14</v>
      </c>
      <c r="BI394" s="3">
        <v>2567156</v>
      </c>
    </row>
    <row r="395" spans="1:61" ht="13" x14ac:dyDescent="0.15">
      <c r="A395" s="3">
        <v>42697</v>
      </c>
      <c r="B395" s="3">
        <v>2198.5500000000002</v>
      </c>
      <c r="C395" s="3">
        <v>2204.7199999999998</v>
      </c>
      <c r="D395" s="3">
        <v>2194.5100000000002</v>
      </c>
      <c r="E395" s="3">
        <v>2204.7199999999998</v>
      </c>
      <c r="F395" s="3">
        <v>523778550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3">
        <v>82.56</v>
      </c>
      <c r="M395" s="3">
        <v>82.83</v>
      </c>
      <c r="N395" s="3">
        <v>82.5</v>
      </c>
      <c r="O395" s="3">
        <v>82.78</v>
      </c>
      <c r="P395" s="3">
        <v>4437205</v>
      </c>
      <c r="Q395" s="3">
        <v>50.9</v>
      </c>
      <c r="R395" s="3">
        <v>51.07</v>
      </c>
      <c r="S395" s="3">
        <v>50.75</v>
      </c>
      <c r="T395" s="3">
        <v>50.82</v>
      </c>
      <c r="U395" s="3">
        <v>14783646</v>
      </c>
      <c r="V395" s="3">
        <v>72.430000000000007</v>
      </c>
      <c r="W395" s="3">
        <v>73.31</v>
      </c>
      <c r="X395" s="3">
        <v>72.349999999999994</v>
      </c>
      <c r="Y395" s="3">
        <v>73.08</v>
      </c>
      <c r="Z395" s="3">
        <v>11461958</v>
      </c>
      <c r="AA395" s="3">
        <v>22.34</v>
      </c>
      <c r="AB395" s="3">
        <v>22.41</v>
      </c>
      <c r="AC395" s="3">
        <v>22.17</v>
      </c>
      <c r="AD395" s="3">
        <v>22.38</v>
      </c>
      <c r="AE395" s="3">
        <v>101948383</v>
      </c>
      <c r="AF395" s="3">
        <v>67.790000000000006</v>
      </c>
      <c r="AG395" s="3">
        <v>69.22</v>
      </c>
      <c r="AH395" s="3">
        <v>67.790000000000006</v>
      </c>
      <c r="AI395" s="3">
        <v>69.209999999999994</v>
      </c>
      <c r="AJ395" s="3">
        <v>13676020</v>
      </c>
      <c r="AK395" s="3">
        <v>62.05</v>
      </c>
      <c r="AL395" s="3">
        <v>62.44</v>
      </c>
      <c r="AM395" s="3">
        <v>61.99</v>
      </c>
      <c r="AN395" s="3">
        <v>62.37</v>
      </c>
      <c r="AO395" s="3">
        <v>15506832</v>
      </c>
      <c r="AP395" s="3">
        <v>49.1</v>
      </c>
      <c r="AQ395" s="3">
        <v>49.44</v>
      </c>
      <c r="AR395" s="3">
        <v>48.96</v>
      </c>
      <c r="AS395" s="3">
        <v>49.41</v>
      </c>
      <c r="AT395" s="3">
        <v>3498823</v>
      </c>
      <c r="AU395" s="3">
        <v>47.96</v>
      </c>
      <c r="AV395" s="3">
        <v>47.96</v>
      </c>
      <c r="AW395" s="3">
        <v>47.63</v>
      </c>
      <c r="AX395" s="3">
        <v>47.8</v>
      </c>
      <c r="AY395" s="3">
        <v>8116794</v>
      </c>
      <c r="AZ395" s="3">
        <v>46.3</v>
      </c>
      <c r="BA395" s="3">
        <v>46.92</v>
      </c>
      <c r="BB395" s="3">
        <v>46.3</v>
      </c>
      <c r="BC395" s="3">
        <v>46.49</v>
      </c>
      <c r="BD395" s="3">
        <v>14153403</v>
      </c>
      <c r="BE395" s="3">
        <v>29.87</v>
      </c>
      <c r="BF395" s="3">
        <v>30.02</v>
      </c>
      <c r="BG395" s="3">
        <v>29.71</v>
      </c>
      <c r="BH395" s="3">
        <v>29.93</v>
      </c>
      <c r="BI395" s="3">
        <v>1666247</v>
      </c>
    </row>
    <row r="396" spans="1:61" ht="13" x14ac:dyDescent="0.15">
      <c r="A396" s="3">
        <v>42699</v>
      </c>
      <c r="B396" s="3">
        <v>2206.27</v>
      </c>
      <c r="C396" s="3">
        <v>2213.35</v>
      </c>
      <c r="D396" s="3">
        <v>2206.27</v>
      </c>
      <c r="E396" s="3">
        <v>2213.35</v>
      </c>
      <c r="F396" s="3">
        <v>261974388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3">
        <v>82.91</v>
      </c>
      <c r="M396" s="3">
        <v>83.07</v>
      </c>
      <c r="N396" s="3">
        <v>82.78</v>
      </c>
      <c r="O396" s="3">
        <v>82.98</v>
      </c>
      <c r="P396" s="3">
        <v>4271318</v>
      </c>
      <c r="Q396" s="3">
        <v>50.93</v>
      </c>
      <c r="R396" s="3">
        <v>51.23</v>
      </c>
      <c r="S396" s="3">
        <v>50.93</v>
      </c>
      <c r="T396" s="3">
        <v>51.22</v>
      </c>
      <c r="U396" s="3">
        <v>10823549</v>
      </c>
      <c r="V396" s="3">
        <v>72.77</v>
      </c>
      <c r="W396" s="3">
        <v>72.930000000000007</v>
      </c>
      <c r="X396" s="3">
        <v>72.36</v>
      </c>
      <c r="Y396" s="3">
        <v>72.72</v>
      </c>
      <c r="Z396" s="3">
        <v>8791783</v>
      </c>
      <c r="AA396" s="3">
        <v>22.43</v>
      </c>
      <c r="AB396" s="3">
        <v>22.45</v>
      </c>
      <c r="AC396" s="3">
        <v>22.32</v>
      </c>
      <c r="AD396" s="3">
        <v>22.41</v>
      </c>
      <c r="AE396" s="3">
        <v>33114823</v>
      </c>
      <c r="AF396" s="3">
        <v>69.41</v>
      </c>
      <c r="AG396" s="3">
        <v>69.540000000000006</v>
      </c>
      <c r="AH396" s="3">
        <v>69.209999999999994</v>
      </c>
      <c r="AI396" s="3">
        <v>69.48</v>
      </c>
      <c r="AJ396" s="3">
        <v>4009283</v>
      </c>
      <c r="AK396" s="3">
        <v>62.55</v>
      </c>
      <c r="AL396" s="3">
        <v>62.71</v>
      </c>
      <c r="AM396" s="3">
        <v>62.45</v>
      </c>
      <c r="AN396" s="3">
        <v>62.71</v>
      </c>
      <c r="AO396" s="3">
        <v>4172535</v>
      </c>
      <c r="AP396" s="3">
        <v>49.46</v>
      </c>
      <c r="AQ396" s="3">
        <v>49.59</v>
      </c>
      <c r="AR396" s="3">
        <v>49.38</v>
      </c>
      <c r="AS396" s="3">
        <v>49.56</v>
      </c>
      <c r="AT396" s="3">
        <v>1602589</v>
      </c>
      <c r="AU396" s="3">
        <v>47.83</v>
      </c>
      <c r="AV396" s="3">
        <v>48.01</v>
      </c>
      <c r="AW396" s="3">
        <v>47.78</v>
      </c>
      <c r="AX396" s="3">
        <v>48</v>
      </c>
      <c r="AY396" s="3">
        <v>3109508</v>
      </c>
      <c r="AZ396" s="3">
        <v>46.56</v>
      </c>
      <c r="BA396" s="3">
        <v>47.32</v>
      </c>
      <c r="BB396" s="3">
        <v>46.56</v>
      </c>
      <c r="BC396" s="3">
        <v>47.16</v>
      </c>
      <c r="BD396" s="3">
        <v>7866207</v>
      </c>
      <c r="BE396" s="3">
        <v>29.94</v>
      </c>
      <c r="BF396" s="3">
        <v>30.23</v>
      </c>
      <c r="BG396" s="3">
        <v>29.94</v>
      </c>
      <c r="BH396" s="3">
        <v>30.06</v>
      </c>
      <c r="BI396" s="3">
        <v>789980</v>
      </c>
    </row>
    <row r="397" spans="1:61" ht="13" x14ac:dyDescent="0.15">
      <c r="A397" s="3">
        <v>42702</v>
      </c>
      <c r="B397" s="3">
        <v>2210.21</v>
      </c>
      <c r="C397" s="3">
        <v>2211.14</v>
      </c>
      <c r="D397" s="3">
        <v>2200.36</v>
      </c>
      <c r="E397" s="3">
        <v>2201.7199999999998</v>
      </c>
      <c r="F397" s="3">
        <v>562045555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3">
        <v>82.78</v>
      </c>
      <c r="M397" s="3">
        <v>82.79</v>
      </c>
      <c r="N397" s="3">
        <v>82.15</v>
      </c>
      <c r="O397" s="3">
        <v>82.32</v>
      </c>
      <c r="P397" s="3">
        <v>5146847</v>
      </c>
      <c r="Q397" s="3">
        <v>51.21</v>
      </c>
      <c r="R397" s="3">
        <v>51.42</v>
      </c>
      <c r="S397" s="3">
        <v>51.09</v>
      </c>
      <c r="T397" s="3">
        <v>51.33</v>
      </c>
      <c r="U397" s="3">
        <v>15116511</v>
      </c>
      <c r="V397" s="3">
        <v>73.069999999999993</v>
      </c>
      <c r="W397" s="3">
        <v>73.09</v>
      </c>
      <c r="X397" s="3">
        <v>71.58</v>
      </c>
      <c r="Y397" s="3">
        <v>71.709999999999994</v>
      </c>
      <c r="Z397" s="3">
        <v>18790091</v>
      </c>
      <c r="AA397" s="3">
        <v>22.25</v>
      </c>
      <c r="AB397" s="3">
        <v>22.38</v>
      </c>
      <c r="AC397" s="3">
        <v>22.09</v>
      </c>
      <c r="AD397" s="3">
        <v>22.15</v>
      </c>
      <c r="AE397" s="3">
        <v>99791424</v>
      </c>
      <c r="AF397" s="3">
        <v>69.349999999999994</v>
      </c>
      <c r="AG397" s="3">
        <v>69.36</v>
      </c>
      <c r="AH397" s="3">
        <v>68.849999999999994</v>
      </c>
      <c r="AI397" s="3">
        <v>68.959999999999994</v>
      </c>
      <c r="AJ397" s="3">
        <v>6507177</v>
      </c>
      <c r="AK397" s="3">
        <v>62.59</v>
      </c>
      <c r="AL397" s="3">
        <v>62.61</v>
      </c>
      <c r="AM397" s="3">
        <v>62.21</v>
      </c>
      <c r="AN397" s="3">
        <v>62.28</v>
      </c>
      <c r="AO397" s="3">
        <v>15898466</v>
      </c>
      <c r="AP397" s="3">
        <v>49.59</v>
      </c>
      <c r="AQ397" s="3">
        <v>49.59</v>
      </c>
      <c r="AR397" s="3">
        <v>49.25</v>
      </c>
      <c r="AS397" s="3">
        <v>49.36</v>
      </c>
      <c r="AT397" s="3">
        <v>4529691</v>
      </c>
      <c r="AU397" s="3">
        <v>47.96</v>
      </c>
      <c r="AV397" s="3">
        <v>48.26</v>
      </c>
      <c r="AW397" s="3">
        <v>47.93</v>
      </c>
      <c r="AX397" s="3">
        <v>48.04</v>
      </c>
      <c r="AY397" s="3">
        <v>7487843</v>
      </c>
      <c r="AZ397" s="3">
        <v>47.3</v>
      </c>
      <c r="BA397" s="3">
        <v>48.18</v>
      </c>
      <c r="BB397" s="3">
        <v>47.29</v>
      </c>
      <c r="BC397" s="3">
        <v>48.07</v>
      </c>
      <c r="BD397" s="3">
        <v>23431731</v>
      </c>
      <c r="BE397" s="3">
        <v>30</v>
      </c>
      <c r="BF397" s="3">
        <v>30.39</v>
      </c>
      <c r="BG397" s="3">
        <v>30</v>
      </c>
      <c r="BH397" s="3">
        <v>30.17</v>
      </c>
      <c r="BI397" s="3">
        <v>1957301</v>
      </c>
    </row>
    <row r="398" spans="1:61" ht="13" x14ac:dyDescent="0.15">
      <c r="A398" s="3">
        <v>42703</v>
      </c>
      <c r="B398" s="3">
        <v>2200.7600000000002</v>
      </c>
      <c r="C398" s="3">
        <v>2210.46</v>
      </c>
      <c r="D398" s="3">
        <v>2198.15</v>
      </c>
      <c r="E398" s="3">
        <v>2204.66</v>
      </c>
      <c r="F398" s="3">
        <v>578283446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3">
        <v>82.41</v>
      </c>
      <c r="M398" s="3">
        <v>82.67</v>
      </c>
      <c r="N398" s="3">
        <v>82.32</v>
      </c>
      <c r="O398" s="3">
        <v>82.54</v>
      </c>
      <c r="P398" s="3">
        <v>4367618</v>
      </c>
      <c r="Q398" s="3">
        <v>51.34</v>
      </c>
      <c r="R398" s="3">
        <v>51.46</v>
      </c>
      <c r="S398" s="3">
        <v>51.22</v>
      </c>
      <c r="T398" s="3">
        <v>51.4</v>
      </c>
      <c r="U398" s="3">
        <v>7915374</v>
      </c>
      <c r="V398" s="3">
        <v>70.62</v>
      </c>
      <c r="W398" s="3">
        <v>71.260000000000005</v>
      </c>
      <c r="X398" s="3">
        <v>70.069999999999993</v>
      </c>
      <c r="Y398" s="3">
        <v>70.83</v>
      </c>
      <c r="Z398" s="3">
        <v>18361744</v>
      </c>
      <c r="AA398" s="3">
        <v>22.19</v>
      </c>
      <c r="AB398" s="3">
        <v>22.28</v>
      </c>
      <c r="AC398" s="3">
        <v>22.11</v>
      </c>
      <c r="AD398" s="3">
        <v>22.21</v>
      </c>
      <c r="AE398" s="3">
        <v>74645748</v>
      </c>
      <c r="AF398" s="3">
        <v>69.12</v>
      </c>
      <c r="AG398" s="3">
        <v>69.61</v>
      </c>
      <c r="AH398" s="3">
        <v>69.11</v>
      </c>
      <c r="AI398" s="3">
        <v>69.41</v>
      </c>
      <c r="AJ398" s="3">
        <v>7093901</v>
      </c>
      <c r="AK398" s="3">
        <v>62.24</v>
      </c>
      <c r="AL398" s="3">
        <v>62.53</v>
      </c>
      <c r="AM398" s="3">
        <v>62.06</v>
      </c>
      <c r="AN398" s="3">
        <v>62.33</v>
      </c>
      <c r="AO398" s="3">
        <v>12692440</v>
      </c>
      <c r="AP398" s="3">
        <v>49.19</v>
      </c>
      <c r="AQ398" s="3">
        <v>49.61</v>
      </c>
      <c r="AR398" s="3">
        <v>49</v>
      </c>
      <c r="AS398" s="3">
        <v>49.41</v>
      </c>
      <c r="AT398" s="3">
        <v>3430694</v>
      </c>
      <c r="AU398" s="3">
        <v>48.01</v>
      </c>
      <c r="AV398" s="3">
        <v>48.3</v>
      </c>
      <c r="AW398" s="3">
        <v>47.9</v>
      </c>
      <c r="AX398" s="3">
        <v>48.07</v>
      </c>
      <c r="AY398" s="3">
        <v>5928430</v>
      </c>
      <c r="AZ398" s="3">
        <v>47.95</v>
      </c>
      <c r="BA398" s="3">
        <v>48.5</v>
      </c>
      <c r="BB398" s="3">
        <v>47.87</v>
      </c>
      <c r="BC398" s="3">
        <v>48.27</v>
      </c>
      <c r="BD398" s="3">
        <v>14447687</v>
      </c>
      <c r="BE398" s="3">
        <v>30.11</v>
      </c>
      <c r="BF398" s="3">
        <v>30.55</v>
      </c>
      <c r="BG398" s="3">
        <v>30.11</v>
      </c>
      <c r="BH398" s="3">
        <v>30.38</v>
      </c>
      <c r="BI398" s="3">
        <v>1769153</v>
      </c>
    </row>
    <row r="399" spans="1:61" ht="13" x14ac:dyDescent="0.15">
      <c r="A399" s="3">
        <v>42704</v>
      </c>
      <c r="B399" s="3">
        <v>2204.9699999999998</v>
      </c>
      <c r="C399" s="3">
        <v>2214.1</v>
      </c>
      <c r="D399" s="3">
        <v>2198.81</v>
      </c>
      <c r="E399" s="3">
        <v>2198.81</v>
      </c>
      <c r="F399" s="3">
        <v>1055352593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3">
        <v>82.5</v>
      </c>
      <c r="M399" s="3">
        <v>82.54</v>
      </c>
      <c r="N399" s="3">
        <v>81.83</v>
      </c>
      <c r="O399" s="3">
        <v>81.849999999999994</v>
      </c>
      <c r="P399" s="3">
        <v>5066564</v>
      </c>
      <c r="Q399" s="3">
        <v>51.14</v>
      </c>
      <c r="R399" s="3">
        <v>51.29</v>
      </c>
      <c r="S399" s="3">
        <v>50.57</v>
      </c>
      <c r="T399" s="3">
        <v>50.58</v>
      </c>
      <c r="U399" s="3">
        <v>16837588</v>
      </c>
      <c r="V399" s="3">
        <v>73.290000000000006</v>
      </c>
      <c r="W399" s="3">
        <v>75.12</v>
      </c>
      <c r="X399" s="3">
        <v>73.290000000000006</v>
      </c>
      <c r="Y399" s="3">
        <v>74.430000000000007</v>
      </c>
      <c r="Z399" s="3">
        <v>44854795</v>
      </c>
      <c r="AA399" s="3">
        <v>22.52</v>
      </c>
      <c r="AB399" s="3">
        <v>22.57</v>
      </c>
      <c r="AC399" s="3">
        <v>22.43</v>
      </c>
      <c r="AD399" s="3">
        <v>22.51</v>
      </c>
      <c r="AE399" s="3">
        <v>98843676</v>
      </c>
      <c r="AF399" s="3">
        <v>69.459999999999994</v>
      </c>
      <c r="AG399" s="3">
        <v>69.48</v>
      </c>
      <c r="AH399" s="3">
        <v>68.72</v>
      </c>
      <c r="AI399" s="3">
        <v>68.75</v>
      </c>
      <c r="AJ399" s="3">
        <v>8640677</v>
      </c>
      <c r="AK399" s="3">
        <v>62.68</v>
      </c>
      <c r="AL399" s="3">
        <v>62.85</v>
      </c>
      <c r="AM399" s="3">
        <v>62.39</v>
      </c>
      <c r="AN399" s="3">
        <v>62.41</v>
      </c>
      <c r="AO399" s="3">
        <v>14903778</v>
      </c>
      <c r="AP399" s="3">
        <v>49.67</v>
      </c>
      <c r="AQ399" s="3">
        <v>50.06</v>
      </c>
      <c r="AR399" s="3">
        <v>49.51</v>
      </c>
      <c r="AS399" s="3">
        <v>49.94</v>
      </c>
      <c r="AT399" s="3">
        <v>7427726</v>
      </c>
      <c r="AU399" s="3">
        <v>48.14</v>
      </c>
      <c r="AV399" s="3">
        <v>48.14</v>
      </c>
      <c r="AW399" s="3">
        <v>47.49</v>
      </c>
      <c r="AX399" s="3">
        <v>47.5</v>
      </c>
      <c r="AY399" s="3">
        <v>11816590</v>
      </c>
      <c r="AZ399" s="3">
        <v>47.56</v>
      </c>
      <c r="BA399" s="3">
        <v>47.67</v>
      </c>
      <c r="BB399" s="3">
        <v>46.75</v>
      </c>
      <c r="BC399" s="3">
        <v>46.75</v>
      </c>
      <c r="BD399" s="3">
        <v>23467383</v>
      </c>
      <c r="BE399" s="3">
        <v>30.1</v>
      </c>
      <c r="BF399" s="3">
        <v>30.26</v>
      </c>
      <c r="BG399" s="3">
        <v>29.9</v>
      </c>
      <c r="BH399" s="3">
        <v>30.01</v>
      </c>
      <c r="BI399" s="3">
        <v>2233892</v>
      </c>
    </row>
    <row r="400" spans="1:61" ht="13" x14ac:dyDescent="0.15">
      <c r="A400" s="3">
        <v>42705</v>
      </c>
      <c r="B400" s="3">
        <v>2200.17</v>
      </c>
      <c r="C400" s="3">
        <v>2202.6</v>
      </c>
      <c r="D400" s="3">
        <v>2187.44</v>
      </c>
      <c r="E400" s="3">
        <v>2191.08</v>
      </c>
      <c r="F400" s="3">
        <v>742047822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3">
        <v>81.78</v>
      </c>
      <c r="M400" s="3">
        <v>82.31</v>
      </c>
      <c r="N400" s="3">
        <v>81.63</v>
      </c>
      <c r="O400" s="3">
        <v>81.89</v>
      </c>
      <c r="P400" s="3">
        <v>9366082</v>
      </c>
      <c r="Q400" s="3">
        <v>50.39</v>
      </c>
      <c r="R400" s="3">
        <v>50.44</v>
      </c>
      <c r="S400" s="3">
        <v>49.98</v>
      </c>
      <c r="T400" s="3">
        <v>50.25</v>
      </c>
      <c r="U400" s="3">
        <v>33621069</v>
      </c>
      <c r="V400" s="3">
        <v>75.81</v>
      </c>
      <c r="W400" s="3">
        <v>76.06</v>
      </c>
      <c r="X400" s="3">
        <v>74.55</v>
      </c>
      <c r="Y400" s="3">
        <v>74.61</v>
      </c>
      <c r="Z400" s="3">
        <v>27382379</v>
      </c>
      <c r="AA400" s="3">
        <v>22.63</v>
      </c>
      <c r="AB400" s="3">
        <v>22.95</v>
      </c>
      <c r="AC400" s="3">
        <v>22.6</v>
      </c>
      <c r="AD400" s="3">
        <v>22.9</v>
      </c>
      <c r="AE400" s="3">
        <v>120088254</v>
      </c>
      <c r="AF400" s="3">
        <v>68.83</v>
      </c>
      <c r="AG400" s="3">
        <v>69</v>
      </c>
      <c r="AH400" s="3">
        <v>68.05</v>
      </c>
      <c r="AI400" s="3">
        <v>68.25</v>
      </c>
      <c r="AJ400" s="3">
        <v>11360653</v>
      </c>
      <c r="AK400" s="3">
        <v>62.53</v>
      </c>
      <c r="AL400" s="3">
        <v>63.01</v>
      </c>
      <c r="AM400" s="3">
        <v>62.41</v>
      </c>
      <c r="AN400" s="3">
        <v>62.82</v>
      </c>
      <c r="AO400" s="3">
        <v>24438467</v>
      </c>
      <c r="AP400" s="3">
        <v>50.11</v>
      </c>
      <c r="AQ400" s="3">
        <v>50.33</v>
      </c>
      <c r="AR400" s="3">
        <v>49.81</v>
      </c>
      <c r="AS400" s="3">
        <v>49.96</v>
      </c>
      <c r="AT400" s="3">
        <v>8206717</v>
      </c>
      <c r="AU400" s="3">
        <v>47.44</v>
      </c>
      <c r="AV400" s="3">
        <v>47.56</v>
      </c>
      <c r="AW400" s="3">
        <v>46.39</v>
      </c>
      <c r="AX400" s="3">
        <v>46.52</v>
      </c>
      <c r="AY400" s="3">
        <v>21865579</v>
      </c>
      <c r="AZ400" s="3">
        <v>46.36</v>
      </c>
      <c r="BA400" s="3">
        <v>46.57</v>
      </c>
      <c r="BB400" s="3">
        <v>46.04</v>
      </c>
      <c r="BC400" s="3">
        <v>46.38</v>
      </c>
      <c r="BD400" s="3">
        <v>18366065</v>
      </c>
      <c r="BE400" s="3">
        <v>29.82</v>
      </c>
      <c r="BF400" s="3">
        <v>29.91</v>
      </c>
      <c r="BG400" s="3">
        <v>29.41</v>
      </c>
      <c r="BH400" s="3">
        <v>29.55</v>
      </c>
      <c r="BI400" s="3">
        <v>2486750</v>
      </c>
    </row>
    <row r="401" spans="1:61" ht="13" x14ac:dyDescent="0.15">
      <c r="A401" s="3">
        <v>42706</v>
      </c>
      <c r="B401" s="3">
        <v>2191.12</v>
      </c>
      <c r="C401" s="3">
        <v>2197.9499999999998</v>
      </c>
      <c r="D401" s="3">
        <v>2188.37</v>
      </c>
      <c r="E401" s="3">
        <v>2191.9499999999998</v>
      </c>
      <c r="F401" s="3">
        <v>587431425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3">
        <v>81.900000000000006</v>
      </c>
      <c r="M401" s="3">
        <v>82.12</v>
      </c>
      <c r="N401" s="3">
        <v>81.34</v>
      </c>
      <c r="O401" s="3">
        <v>81.44</v>
      </c>
      <c r="P401" s="3">
        <v>7657527</v>
      </c>
      <c r="Q401" s="3">
        <v>50.38</v>
      </c>
      <c r="R401" s="3">
        <v>50.61</v>
      </c>
      <c r="S401" s="3">
        <v>50.35</v>
      </c>
      <c r="T401" s="3">
        <v>50.57</v>
      </c>
      <c r="U401" s="3">
        <v>21587233</v>
      </c>
      <c r="V401" s="3">
        <v>74.569999999999993</v>
      </c>
      <c r="W401" s="3">
        <v>75.180000000000007</v>
      </c>
      <c r="X401" s="3">
        <v>74.36</v>
      </c>
      <c r="Y401" s="3">
        <v>74.83</v>
      </c>
      <c r="Z401" s="3">
        <v>18338849</v>
      </c>
      <c r="AA401" s="3">
        <v>22.84</v>
      </c>
      <c r="AB401" s="3">
        <v>22.85</v>
      </c>
      <c r="AC401" s="3">
        <v>22.55</v>
      </c>
      <c r="AD401" s="3">
        <v>22.65</v>
      </c>
      <c r="AE401" s="3">
        <v>82108345</v>
      </c>
      <c r="AF401" s="3">
        <v>68.37</v>
      </c>
      <c r="AG401" s="3">
        <v>68.680000000000007</v>
      </c>
      <c r="AH401" s="3">
        <v>68.14</v>
      </c>
      <c r="AI401" s="3">
        <v>68.41</v>
      </c>
      <c r="AJ401" s="3">
        <v>7964530</v>
      </c>
      <c r="AK401" s="3">
        <v>62.92</v>
      </c>
      <c r="AL401" s="3">
        <v>63.03</v>
      </c>
      <c r="AM401" s="3">
        <v>62.67</v>
      </c>
      <c r="AN401" s="3">
        <v>62.81</v>
      </c>
      <c r="AO401" s="3">
        <v>11902466</v>
      </c>
      <c r="AP401" s="3">
        <v>49.92</v>
      </c>
      <c r="AQ401" s="3">
        <v>50.14</v>
      </c>
      <c r="AR401" s="3">
        <v>49.69</v>
      </c>
      <c r="AS401" s="3">
        <v>49.98</v>
      </c>
      <c r="AT401" s="3">
        <v>6264132</v>
      </c>
      <c r="AU401" s="3">
        <v>46.48</v>
      </c>
      <c r="AV401" s="3">
        <v>46.8</v>
      </c>
      <c r="AW401" s="3">
        <v>46.37</v>
      </c>
      <c r="AX401" s="3">
        <v>46.69</v>
      </c>
      <c r="AY401" s="3">
        <v>10052653</v>
      </c>
      <c r="AZ401" s="3">
        <v>46.65</v>
      </c>
      <c r="BA401" s="3">
        <v>47.13</v>
      </c>
      <c r="BB401" s="3">
        <v>46.49</v>
      </c>
      <c r="BC401" s="3">
        <v>46.8</v>
      </c>
      <c r="BD401" s="3">
        <v>16399407</v>
      </c>
      <c r="BE401" s="3">
        <v>29.64</v>
      </c>
      <c r="BF401" s="3">
        <v>30.12</v>
      </c>
      <c r="BG401" s="3">
        <v>29.55</v>
      </c>
      <c r="BH401" s="3">
        <v>29.83</v>
      </c>
      <c r="BI401" s="3">
        <v>2399152</v>
      </c>
    </row>
    <row r="402" spans="1:61" ht="13" x14ac:dyDescent="0.15">
      <c r="A402" s="3">
        <v>42709</v>
      </c>
      <c r="B402" s="3">
        <v>2200.65</v>
      </c>
      <c r="C402" s="3">
        <v>2209.42</v>
      </c>
      <c r="D402" s="3">
        <v>2199.9699999999998</v>
      </c>
      <c r="E402" s="3">
        <v>2204.71</v>
      </c>
      <c r="F402" s="3">
        <v>2353018266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3">
        <v>81.78</v>
      </c>
      <c r="M402" s="3">
        <v>82.47</v>
      </c>
      <c r="N402" s="3">
        <v>81.430000000000007</v>
      </c>
      <c r="O402" s="3">
        <v>82.33</v>
      </c>
      <c r="P402" s="3">
        <v>8105186</v>
      </c>
      <c r="Q402" s="3">
        <v>50.58</v>
      </c>
      <c r="R402" s="3">
        <v>50.71</v>
      </c>
      <c r="S402" s="3">
        <v>50.48</v>
      </c>
      <c r="T402" s="3">
        <v>50.63</v>
      </c>
      <c r="U402" s="3">
        <v>21223431</v>
      </c>
      <c r="V402" s="3">
        <v>75.510000000000005</v>
      </c>
      <c r="W402" s="3">
        <v>76.099999999999994</v>
      </c>
      <c r="X402" s="3">
        <v>75.19</v>
      </c>
      <c r="Y402" s="3">
        <v>75.489999999999995</v>
      </c>
      <c r="Z402" s="3">
        <v>22535118</v>
      </c>
      <c r="AA402" s="3">
        <v>22.85</v>
      </c>
      <c r="AB402" s="3">
        <v>23</v>
      </c>
      <c r="AC402" s="3">
        <v>22.79</v>
      </c>
      <c r="AD402" s="3">
        <v>22.92</v>
      </c>
      <c r="AE402" s="3">
        <v>95145737</v>
      </c>
      <c r="AF402" s="3">
        <v>68.69</v>
      </c>
      <c r="AG402" s="3">
        <v>68.790000000000006</v>
      </c>
      <c r="AH402" s="3">
        <v>68.069999999999993</v>
      </c>
      <c r="AI402" s="3">
        <v>68.290000000000006</v>
      </c>
      <c r="AJ402" s="3">
        <v>5832104</v>
      </c>
      <c r="AK402" s="3">
        <v>63.08</v>
      </c>
      <c r="AL402" s="3">
        <v>63.19</v>
      </c>
      <c r="AM402" s="3">
        <v>62.63</v>
      </c>
      <c r="AN402" s="3">
        <v>62.76</v>
      </c>
      <c r="AO402" s="3">
        <v>9448801</v>
      </c>
      <c r="AP402" s="3">
        <v>50.18</v>
      </c>
      <c r="AQ402" s="3">
        <v>50.54</v>
      </c>
      <c r="AR402" s="3">
        <v>50.06</v>
      </c>
      <c r="AS402" s="3">
        <v>50.37</v>
      </c>
      <c r="AT402" s="3">
        <v>5312900</v>
      </c>
      <c r="AU402" s="3">
        <v>46.95</v>
      </c>
      <c r="AV402" s="3">
        <v>47.26</v>
      </c>
      <c r="AW402" s="3">
        <v>46.76</v>
      </c>
      <c r="AX402" s="3">
        <v>47.14</v>
      </c>
      <c r="AY402" s="3">
        <v>9005036</v>
      </c>
      <c r="AZ402" s="3">
        <v>46.6</v>
      </c>
      <c r="BA402" s="3">
        <v>46.87</v>
      </c>
      <c r="BB402" s="3">
        <v>46.17</v>
      </c>
      <c r="BC402" s="3">
        <v>46.86</v>
      </c>
      <c r="BD402" s="3">
        <v>14888299</v>
      </c>
      <c r="BE402" s="3">
        <v>29.83</v>
      </c>
      <c r="BF402" s="3">
        <v>30.11</v>
      </c>
      <c r="BG402" s="3">
        <v>29.77</v>
      </c>
      <c r="BH402" s="3">
        <v>30.07</v>
      </c>
      <c r="BI402" s="3">
        <v>1608834</v>
      </c>
    </row>
    <row r="403" spans="1:61" ht="13" x14ac:dyDescent="0.15">
      <c r="A403" s="3">
        <v>42710</v>
      </c>
      <c r="B403" s="3">
        <v>2207.2600000000002</v>
      </c>
      <c r="C403" s="3">
        <v>2212.7800000000002</v>
      </c>
      <c r="D403" s="3">
        <v>2202.21</v>
      </c>
      <c r="E403" s="3">
        <v>2212.23</v>
      </c>
      <c r="F403" s="3">
        <v>2170130802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3">
        <v>82.39</v>
      </c>
      <c r="M403" s="3">
        <v>82.53</v>
      </c>
      <c r="N403" s="3">
        <v>82.15</v>
      </c>
      <c r="O403" s="3">
        <v>82.52</v>
      </c>
      <c r="P403" s="3">
        <v>7033303</v>
      </c>
      <c r="Q403" s="3">
        <v>50.61</v>
      </c>
      <c r="R403" s="3">
        <v>50.78</v>
      </c>
      <c r="S403" s="3">
        <v>50.58</v>
      </c>
      <c r="T403" s="3">
        <v>50.78</v>
      </c>
      <c r="U403" s="3">
        <v>16546284</v>
      </c>
      <c r="V403" s="3">
        <v>75.03</v>
      </c>
      <c r="W403" s="3">
        <v>75.650000000000006</v>
      </c>
      <c r="X403" s="3">
        <v>74.58</v>
      </c>
      <c r="Y403" s="3">
        <v>75.349999999999994</v>
      </c>
      <c r="Z403" s="3">
        <v>16963504</v>
      </c>
      <c r="AA403" s="3">
        <v>23.07</v>
      </c>
      <c r="AB403" s="3">
        <v>23.14</v>
      </c>
      <c r="AC403" s="3">
        <v>22.84</v>
      </c>
      <c r="AD403" s="3">
        <v>23.12</v>
      </c>
      <c r="AE403" s="3">
        <v>79142635</v>
      </c>
      <c r="AF403" s="3">
        <v>68.489999999999995</v>
      </c>
      <c r="AG403" s="3">
        <v>68.5</v>
      </c>
      <c r="AH403" s="3">
        <v>68.09</v>
      </c>
      <c r="AI403" s="3">
        <v>68.48</v>
      </c>
      <c r="AJ403" s="3">
        <v>5490793</v>
      </c>
      <c r="AK403" s="3">
        <v>62.72</v>
      </c>
      <c r="AL403" s="3">
        <v>62.95</v>
      </c>
      <c r="AM403" s="3">
        <v>62.51</v>
      </c>
      <c r="AN403" s="3">
        <v>62.88</v>
      </c>
      <c r="AO403" s="3">
        <v>10543579</v>
      </c>
      <c r="AP403" s="3">
        <v>50.37</v>
      </c>
      <c r="AQ403" s="3">
        <v>50.44</v>
      </c>
      <c r="AR403" s="3">
        <v>50.05</v>
      </c>
      <c r="AS403" s="3">
        <v>50.43</v>
      </c>
      <c r="AT403" s="3">
        <v>6714811</v>
      </c>
      <c r="AU403" s="3">
        <v>47.25</v>
      </c>
      <c r="AV403" s="3">
        <v>47.36</v>
      </c>
      <c r="AW403" s="3">
        <v>47.06</v>
      </c>
      <c r="AX403" s="3">
        <v>47.28</v>
      </c>
      <c r="AY403" s="3">
        <v>9254789</v>
      </c>
      <c r="AZ403" s="3">
        <v>46.84</v>
      </c>
      <c r="BA403" s="3">
        <v>47.03</v>
      </c>
      <c r="BB403" s="3">
        <v>46.66</v>
      </c>
      <c r="BC403" s="3">
        <v>46.77</v>
      </c>
      <c r="BD403" s="3">
        <v>8421968</v>
      </c>
      <c r="BE403" s="3">
        <v>30.11</v>
      </c>
      <c r="BF403" s="3">
        <v>30.38</v>
      </c>
      <c r="BG403" s="3">
        <v>30.06</v>
      </c>
      <c r="BH403" s="3">
        <v>30.2</v>
      </c>
      <c r="BI403" s="3">
        <v>1340990</v>
      </c>
    </row>
    <row r="404" spans="1:61" ht="13" x14ac:dyDescent="0.15">
      <c r="A404" s="3">
        <v>42711</v>
      </c>
      <c r="B404" s="3">
        <v>2210.7199999999998</v>
      </c>
      <c r="C404" s="3">
        <v>2241.63</v>
      </c>
      <c r="D404" s="3">
        <v>2208.9299999999998</v>
      </c>
      <c r="E404" s="3">
        <v>2241.35</v>
      </c>
      <c r="F404" s="3">
        <v>2734847977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3">
        <v>82.56</v>
      </c>
      <c r="M404" s="3">
        <v>84.16</v>
      </c>
      <c r="N404" s="3">
        <v>82.46</v>
      </c>
      <c r="O404" s="3">
        <v>84.12</v>
      </c>
      <c r="P404" s="3">
        <v>7972115</v>
      </c>
      <c r="Q404" s="3">
        <v>50.76</v>
      </c>
      <c r="R404" s="3">
        <v>51.55</v>
      </c>
      <c r="S404" s="3">
        <v>50.75</v>
      </c>
      <c r="T404" s="3">
        <v>51.51</v>
      </c>
      <c r="U404" s="3">
        <v>11756499</v>
      </c>
      <c r="V404" s="3">
        <v>75.180000000000007</v>
      </c>
      <c r="W404" s="3">
        <v>76.06</v>
      </c>
      <c r="X404" s="3">
        <v>75.180000000000007</v>
      </c>
      <c r="Y404" s="3">
        <v>75.95</v>
      </c>
      <c r="Z404" s="3">
        <v>16008265</v>
      </c>
      <c r="AA404" s="3">
        <v>23.18</v>
      </c>
      <c r="AB404" s="3">
        <v>23.5</v>
      </c>
      <c r="AC404" s="3">
        <v>23.1</v>
      </c>
      <c r="AD404" s="3">
        <v>23.48</v>
      </c>
      <c r="AE404" s="3">
        <v>120172457</v>
      </c>
      <c r="AF404" s="3">
        <v>67.94</v>
      </c>
      <c r="AG404" s="3">
        <v>67.94</v>
      </c>
      <c r="AH404" s="3">
        <v>66.97</v>
      </c>
      <c r="AI404" s="3">
        <v>67.89</v>
      </c>
      <c r="AJ404" s="3">
        <v>12758870</v>
      </c>
      <c r="AK404" s="3">
        <v>62.9</v>
      </c>
      <c r="AL404" s="3">
        <v>64.069999999999993</v>
      </c>
      <c r="AM404" s="3">
        <v>62.86</v>
      </c>
      <c r="AN404" s="3">
        <v>64.05</v>
      </c>
      <c r="AO404" s="3">
        <v>10416830</v>
      </c>
      <c r="AP404" s="3">
        <v>50.53</v>
      </c>
      <c r="AQ404" s="3">
        <v>51.18</v>
      </c>
      <c r="AR404" s="3">
        <v>50.43</v>
      </c>
      <c r="AS404" s="3">
        <v>51.15</v>
      </c>
      <c r="AT404" s="3">
        <v>7450712</v>
      </c>
      <c r="AU404" s="3">
        <v>47.25</v>
      </c>
      <c r="AV404" s="3">
        <v>48.22</v>
      </c>
      <c r="AW404" s="3">
        <v>47.22</v>
      </c>
      <c r="AX404" s="3">
        <v>48.18</v>
      </c>
      <c r="AY404" s="3">
        <v>9972934</v>
      </c>
      <c r="AZ404" s="3">
        <v>46.94</v>
      </c>
      <c r="BA404" s="3">
        <v>47.38</v>
      </c>
      <c r="BB404" s="3">
        <v>46.89</v>
      </c>
      <c r="BC404" s="3">
        <v>47.38</v>
      </c>
      <c r="BD404" s="3">
        <v>12902391</v>
      </c>
      <c r="BE404" s="3">
        <v>30.23</v>
      </c>
      <c r="BF404" s="3">
        <v>30.88</v>
      </c>
      <c r="BG404" s="3">
        <v>30.23</v>
      </c>
      <c r="BH404" s="3">
        <v>30.83</v>
      </c>
      <c r="BI404" s="3">
        <v>2068428</v>
      </c>
    </row>
    <row r="405" spans="1:61" ht="13" x14ac:dyDescent="0.15">
      <c r="A405" s="3">
        <v>42712</v>
      </c>
      <c r="B405" s="3">
        <v>2241.13</v>
      </c>
      <c r="C405" s="3">
        <v>2251.69</v>
      </c>
      <c r="D405" s="3">
        <v>2237.5700000000002</v>
      </c>
      <c r="E405" s="3">
        <v>2246.19</v>
      </c>
      <c r="F405" s="3">
        <v>2436820226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3">
        <v>84.15</v>
      </c>
      <c r="M405" s="3">
        <v>84.34</v>
      </c>
      <c r="N405" s="3">
        <v>83.93</v>
      </c>
      <c r="O405" s="3">
        <v>84.12</v>
      </c>
      <c r="P405" s="3">
        <v>5605852</v>
      </c>
      <c r="Q405" s="3">
        <v>51.31</v>
      </c>
      <c r="R405" s="3">
        <v>51.55</v>
      </c>
      <c r="S405" s="3">
        <v>51.21</v>
      </c>
      <c r="T405" s="3">
        <v>51.3</v>
      </c>
      <c r="U405" s="3">
        <v>17006369</v>
      </c>
      <c r="V405" s="3">
        <v>76.150000000000006</v>
      </c>
      <c r="W405" s="3">
        <v>76.459999999999994</v>
      </c>
      <c r="X405" s="3">
        <v>75.56</v>
      </c>
      <c r="Y405" s="3">
        <v>76.36</v>
      </c>
      <c r="Z405" s="3">
        <v>14600157</v>
      </c>
      <c r="AA405" s="3">
        <v>23.61</v>
      </c>
      <c r="AB405" s="3">
        <v>23.84</v>
      </c>
      <c r="AC405" s="3">
        <v>23.47</v>
      </c>
      <c r="AD405" s="3">
        <v>23.7</v>
      </c>
      <c r="AE405" s="3">
        <v>116856521</v>
      </c>
      <c r="AF405" s="3">
        <v>67.680000000000007</v>
      </c>
      <c r="AG405" s="3">
        <v>68.09</v>
      </c>
      <c r="AH405" s="3">
        <v>67.290000000000006</v>
      </c>
      <c r="AI405" s="3">
        <v>68.02</v>
      </c>
      <c r="AJ405" s="3">
        <v>7586638</v>
      </c>
      <c r="AK405" s="3">
        <v>64.05</v>
      </c>
      <c r="AL405" s="3">
        <v>64.05</v>
      </c>
      <c r="AM405" s="3">
        <v>63.56</v>
      </c>
      <c r="AN405" s="3">
        <v>63.69</v>
      </c>
      <c r="AO405" s="3">
        <v>10688158</v>
      </c>
      <c r="AP405" s="3">
        <v>51.21</v>
      </c>
      <c r="AQ405" s="3">
        <v>51.69</v>
      </c>
      <c r="AR405" s="3">
        <v>51.19</v>
      </c>
      <c r="AS405" s="3">
        <v>51.49</v>
      </c>
      <c r="AT405" s="3">
        <v>7007109</v>
      </c>
      <c r="AU405" s="3">
        <v>48.2</v>
      </c>
      <c r="AV405" s="3">
        <v>48.51</v>
      </c>
      <c r="AW405" s="3">
        <v>48.07</v>
      </c>
      <c r="AX405" s="3">
        <v>48.3</v>
      </c>
      <c r="AY405" s="3">
        <v>9677051</v>
      </c>
      <c r="AZ405" s="3">
        <v>47.08</v>
      </c>
      <c r="BA405" s="3">
        <v>47.55</v>
      </c>
      <c r="BB405" s="3">
        <v>46.74</v>
      </c>
      <c r="BC405" s="3">
        <v>47.46</v>
      </c>
      <c r="BD405" s="3">
        <v>14395480</v>
      </c>
      <c r="BE405" s="3">
        <v>30.51</v>
      </c>
      <c r="BF405" s="3">
        <v>31.12</v>
      </c>
      <c r="BG405" s="3">
        <v>30.51</v>
      </c>
      <c r="BH405" s="3">
        <v>30.99</v>
      </c>
      <c r="BI405" s="3">
        <v>1703922</v>
      </c>
    </row>
    <row r="406" spans="1:61" ht="13" x14ac:dyDescent="0.15">
      <c r="A406" s="3">
        <v>42713</v>
      </c>
      <c r="B406" s="3">
        <v>2249.73</v>
      </c>
      <c r="C406" s="3">
        <v>2259.8000000000002</v>
      </c>
      <c r="D406" s="3">
        <v>2249.23</v>
      </c>
      <c r="E406" s="3">
        <v>2259.5300000000002</v>
      </c>
      <c r="F406" s="3">
        <v>2200678359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3">
        <v>84.32</v>
      </c>
      <c r="M406" s="3">
        <v>84.32</v>
      </c>
      <c r="N406" s="3">
        <v>83.88</v>
      </c>
      <c r="O406" s="3">
        <v>84.31</v>
      </c>
      <c r="P406" s="3">
        <v>4801567</v>
      </c>
      <c r="Q406" s="3">
        <v>51.33</v>
      </c>
      <c r="R406" s="3">
        <v>52.05</v>
      </c>
      <c r="S406" s="3">
        <v>51.33</v>
      </c>
      <c r="T406" s="3">
        <v>52.04</v>
      </c>
      <c r="U406" s="3">
        <v>14415862</v>
      </c>
      <c r="V406" s="3">
        <v>76.760000000000005</v>
      </c>
      <c r="W406" s="3">
        <v>76.760000000000005</v>
      </c>
      <c r="X406" s="3">
        <v>76.16</v>
      </c>
      <c r="Y406" s="3">
        <v>76.599999999999994</v>
      </c>
      <c r="Z406" s="3">
        <v>8974831</v>
      </c>
      <c r="AA406" s="3">
        <v>23.7</v>
      </c>
      <c r="AB406" s="3">
        <v>23.75</v>
      </c>
      <c r="AC406" s="3">
        <v>23.53</v>
      </c>
      <c r="AD406" s="3">
        <v>23.75</v>
      </c>
      <c r="AE406" s="3">
        <v>95677338</v>
      </c>
      <c r="AF406" s="3">
        <v>68.260000000000005</v>
      </c>
      <c r="AG406" s="3">
        <v>68.98</v>
      </c>
      <c r="AH406" s="3">
        <v>68.260000000000005</v>
      </c>
      <c r="AI406" s="3">
        <v>68.849999999999994</v>
      </c>
      <c r="AJ406" s="3">
        <v>12100155</v>
      </c>
      <c r="AK406" s="3">
        <v>63.69</v>
      </c>
      <c r="AL406" s="3">
        <v>64.040000000000006</v>
      </c>
      <c r="AM406" s="3">
        <v>63.66</v>
      </c>
      <c r="AN406" s="3">
        <v>63.98</v>
      </c>
      <c r="AO406" s="3">
        <v>7939580</v>
      </c>
      <c r="AP406" s="3">
        <v>51.62</v>
      </c>
      <c r="AQ406" s="3">
        <v>51.62</v>
      </c>
      <c r="AR406" s="3">
        <v>51.24</v>
      </c>
      <c r="AS406" s="3">
        <v>51.5</v>
      </c>
      <c r="AT406" s="3">
        <v>4492418</v>
      </c>
      <c r="AU406" s="3">
        <v>48.48</v>
      </c>
      <c r="AV406" s="3">
        <v>48.65</v>
      </c>
      <c r="AW406" s="3">
        <v>48.4</v>
      </c>
      <c r="AX406" s="3">
        <v>48.65</v>
      </c>
      <c r="AY406" s="3">
        <v>12307454</v>
      </c>
      <c r="AZ406" s="3">
        <v>47.42</v>
      </c>
      <c r="BA406" s="3">
        <v>47.98</v>
      </c>
      <c r="BB406" s="3">
        <v>47.42</v>
      </c>
      <c r="BC406" s="3">
        <v>47.96</v>
      </c>
      <c r="BD406" s="3">
        <v>16018916</v>
      </c>
      <c r="BE406" s="3">
        <v>30.94</v>
      </c>
      <c r="BF406" s="3">
        <v>31.26</v>
      </c>
      <c r="BG406" s="3">
        <v>30.93</v>
      </c>
      <c r="BH406" s="3">
        <v>30.97</v>
      </c>
      <c r="BI406" s="3">
        <v>1664619</v>
      </c>
    </row>
    <row r="407" spans="1:61" ht="13" x14ac:dyDescent="0.15">
      <c r="A407" s="3">
        <v>42716</v>
      </c>
      <c r="B407" s="3">
        <v>2258.83</v>
      </c>
      <c r="C407" s="3">
        <v>2264.0300000000002</v>
      </c>
      <c r="D407" s="3">
        <v>2252.37</v>
      </c>
      <c r="E407" s="3">
        <v>2256.96</v>
      </c>
      <c r="F407" s="3">
        <v>2358393197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3">
        <v>84.14</v>
      </c>
      <c r="M407" s="3">
        <v>84.28</v>
      </c>
      <c r="N407" s="3">
        <v>83.43</v>
      </c>
      <c r="O407" s="3">
        <v>83.61</v>
      </c>
      <c r="P407" s="3">
        <v>5942154</v>
      </c>
      <c r="Q407" s="3">
        <v>51.91</v>
      </c>
      <c r="R407" s="3">
        <v>52.3</v>
      </c>
      <c r="S407" s="3">
        <v>51.91</v>
      </c>
      <c r="T407" s="3">
        <v>52.25</v>
      </c>
      <c r="U407" s="3">
        <v>9935922</v>
      </c>
      <c r="V407" s="3">
        <v>78.3</v>
      </c>
      <c r="W407" s="3">
        <v>78.45</v>
      </c>
      <c r="X407" s="3">
        <v>76.64</v>
      </c>
      <c r="Y407" s="3">
        <v>76.959999999999994</v>
      </c>
      <c r="Z407" s="3">
        <v>16130187</v>
      </c>
      <c r="AA407" s="3">
        <v>23.68</v>
      </c>
      <c r="AB407" s="3">
        <v>23.78</v>
      </c>
      <c r="AC407" s="3">
        <v>23.46</v>
      </c>
      <c r="AD407" s="3">
        <v>23.52</v>
      </c>
      <c r="AE407" s="3">
        <v>85143226</v>
      </c>
      <c r="AF407" s="3">
        <v>68.72</v>
      </c>
      <c r="AG407" s="3">
        <v>69.28</v>
      </c>
      <c r="AH407" s="3">
        <v>68.72</v>
      </c>
      <c r="AI407" s="3">
        <v>69.180000000000007</v>
      </c>
      <c r="AJ407" s="3">
        <v>15018142</v>
      </c>
      <c r="AK407" s="3">
        <v>63.75</v>
      </c>
      <c r="AL407" s="3">
        <v>63.87</v>
      </c>
      <c r="AM407" s="3">
        <v>63.32</v>
      </c>
      <c r="AN407" s="3">
        <v>63.75</v>
      </c>
      <c r="AO407" s="3">
        <v>9519567</v>
      </c>
      <c r="AP407" s="3">
        <v>51.57</v>
      </c>
      <c r="AQ407" s="3">
        <v>51.69</v>
      </c>
      <c r="AR407" s="3">
        <v>51.24</v>
      </c>
      <c r="AS407" s="3">
        <v>51.27</v>
      </c>
      <c r="AT407" s="3">
        <v>4737486</v>
      </c>
      <c r="AU407" s="3">
        <v>48.5</v>
      </c>
      <c r="AV407" s="3">
        <v>48.61</v>
      </c>
      <c r="AW407" s="3">
        <v>48.35</v>
      </c>
      <c r="AX407" s="3">
        <v>48.5</v>
      </c>
      <c r="AY407" s="3">
        <v>9585230</v>
      </c>
      <c r="AZ407" s="3">
        <v>47.76</v>
      </c>
      <c r="BA407" s="3">
        <v>48.51</v>
      </c>
      <c r="BB407" s="3">
        <v>47.75</v>
      </c>
      <c r="BC407" s="3">
        <v>48.46</v>
      </c>
      <c r="BD407" s="3">
        <v>21980069</v>
      </c>
      <c r="BE407" s="3">
        <v>30.85</v>
      </c>
      <c r="BF407" s="3">
        <v>31.3</v>
      </c>
      <c r="BG407" s="3">
        <v>30.79</v>
      </c>
      <c r="BH407" s="3">
        <v>31.29</v>
      </c>
      <c r="BI407" s="3">
        <v>2744787</v>
      </c>
    </row>
    <row r="408" spans="1:61" ht="13" x14ac:dyDescent="0.15">
      <c r="A408" s="3">
        <v>42717</v>
      </c>
      <c r="B408" s="3">
        <v>2263.3200000000002</v>
      </c>
      <c r="C408" s="3">
        <v>2277.5300000000002</v>
      </c>
      <c r="D408" s="3">
        <v>2263.3200000000002</v>
      </c>
      <c r="E408" s="3">
        <v>2271.7199999999998</v>
      </c>
      <c r="F408" s="3">
        <v>2311255270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3">
        <v>83.92</v>
      </c>
      <c r="M408" s="3">
        <v>84.68</v>
      </c>
      <c r="N408" s="3">
        <v>83.65</v>
      </c>
      <c r="O408" s="3">
        <v>84.36</v>
      </c>
      <c r="P408" s="3">
        <v>4824205</v>
      </c>
      <c r="Q408" s="3">
        <v>52.35</v>
      </c>
      <c r="R408" s="3">
        <v>52.61</v>
      </c>
      <c r="S408" s="3">
        <v>52.23</v>
      </c>
      <c r="T408" s="3">
        <v>52.49</v>
      </c>
      <c r="U408" s="3">
        <v>10452370</v>
      </c>
      <c r="V408" s="3">
        <v>77.540000000000006</v>
      </c>
      <c r="W408" s="3">
        <v>78.39</v>
      </c>
      <c r="X408" s="3">
        <v>76.83</v>
      </c>
      <c r="Y408" s="3">
        <v>77.83</v>
      </c>
      <c r="Z408" s="3">
        <v>16028550</v>
      </c>
      <c r="AA408" s="3">
        <v>23.58</v>
      </c>
      <c r="AB408" s="3">
        <v>23.72</v>
      </c>
      <c r="AC408" s="3">
        <v>23.38</v>
      </c>
      <c r="AD408" s="3">
        <v>23.58</v>
      </c>
      <c r="AE408" s="3">
        <v>113420674</v>
      </c>
      <c r="AF408" s="3">
        <v>69.430000000000007</v>
      </c>
      <c r="AG408" s="3">
        <v>69.84</v>
      </c>
      <c r="AH408" s="3">
        <v>69.23</v>
      </c>
      <c r="AI408" s="3">
        <v>69.739999999999995</v>
      </c>
      <c r="AJ408" s="3">
        <v>11041413</v>
      </c>
      <c r="AK408" s="3">
        <v>63.93</v>
      </c>
      <c r="AL408" s="3">
        <v>64.010000000000005</v>
      </c>
      <c r="AM408" s="3">
        <v>63.45</v>
      </c>
      <c r="AN408" s="3">
        <v>63.66</v>
      </c>
      <c r="AO408" s="3">
        <v>8280852</v>
      </c>
      <c r="AP408" s="3">
        <v>51.46</v>
      </c>
      <c r="AQ408" s="3">
        <v>51.49</v>
      </c>
      <c r="AR408" s="3">
        <v>50.88</v>
      </c>
      <c r="AS408" s="3">
        <v>51.19</v>
      </c>
      <c r="AT408" s="3">
        <v>4637285</v>
      </c>
      <c r="AU408" s="3">
        <v>48.71</v>
      </c>
      <c r="AV408" s="3">
        <v>49.35</v>
      </c>
      <c r="AW408" s="3">
        <v>48.68</v>
      </c>
      <c r="AX408" s="3">
        <v>49.11</v>
      </c>
      <c r="AY408" s="3">
        <v>13966966</v>
      </c>
      <c r="AZ408" s="3">
        <v>48.7</v>
      </c>
      <c r="BA408" s="3">
        <v>49</v>
      </c>
      <c r="BB408" s="3">
        <v>48.52</v>
      </c>
      <c r="BC408" s="3">
        <v>48.96</v>
      </c>
      <c r="BD408" s="3">
        <v>20216974</v>
      </c>
      <c r="BE408" s="3">
        <v>31.41</v>
      </c>
      <c r="BF408" s="3">
        <v>31.48</v>
      </c>
      <c r="BG408" s="3">
        <v>31.15</v>
      </c>
      <c r="BH408" s="3">
        <v>31.37</v>
      </c>
      <c r="BI408" s="3">
        <v>2182056</v>
      </c>
    </row>
    <row r="409" spans="1:61" ht="13" x14ac:dyDescent="0.15">
      <c r="A409" s="3">
        <v>42718</v>
      </c>
      <c r="B409" s="3">
        <v>2268.35</v>
      </c>
      <c r="C409" s="3">
        <v>2276.1999999999998</v>
      </c>
      <c r="D409" s="3">
        <v>2248.44</v>
      </c>
      <c r="E409" s="3">
        <v>2253.2800000000002</v>
      </c>
      <c r="F409" s="3">
        <v>2660459785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3">
        <v>84.34</v>
      </c>
      <c r="M409" s="3">
        <v>84.51</v>
      </c>
      <c r="N409" s="3">
        <v>83.64</v>
      </c>
      <c r="O409" s="3">
        <v>83.79</v>
      </c>
      <c r="P409" s="3">
        <v>8457288</v>
      </c>
      <c r="Q409" s="3">
        <v>52.52</v>
      </c>
      <c r="R409" s="3">
        <v>52.69</v>
      </c>
      <c r="S409" s="3">
        <v>51.78</v>
      </c>
      <c r="T409" s="3">
        <v>51.92</v>
      </c>
      <c r="U409" s="3">
        <v>25363222</v>
      </c>
      <c r="V409" s="3">
        <v>77.459999999999994</v>
      </c>
      <c r="W409" s="3">
        <v>77.77</v>
      </c>
      <c r="X409" s="3">
        <v>76.06</v>
      </c>
      <c r="Y409" s="3">
        <v>76.27</v>
      </c>
      <c r="Z409" s="3">
        <v>19851365</v>
      </c>
      <c r="AA409" s="3">
        <v>23.4</v>
      </c>
      <c r="AB409" s="3">
        <v>23.83</v>
      </c>
      <c r="AC409" s="3">
        <v>23.31</v>
      </c>
      <c r="AD409" s="3">
        <v>23.47</v>
      </c>
      <c r="AE409" s="3">
        <v>142995830</v>
      </c>
      <c r="AF409" s="3">
        <v>69.73</v>
      </c>
      <c r="AG409" s="3">
        <v>70.099999999999994</v>
      </c>
      <c r="AH409" s="3">
        <v>69.14</v>
      </c>
      <c r="AI409" s="3">
        <v>69.38</v>
      </c>
      <c r="AJ409" s="3">
        <v>11682151</v>
      </c>
      <c r="AK409" s="3">
        <v>63.5</v>
      </c>
      <c r="AL409" s="3">
        <v>63.81</v>
      </c>
      <c r="AM409" s="3">
        <v>62.95</v>
      </c>
      <c r="AN409" s="3">
        <v>63.02</v>
      </c>
      <c r="AO409" s="3">
        <v>19782911</v>
      </c>
      <c r="AP409" s="3">
        <v>51.18</v>
      </c>
      <c r="AQ409" s="3">
        <v>51.26</v>
      </c>
      <c r="AR409" s="3">
        <v>50.49</v>
      </c>
      <c r="AS409" s="3">
        <v>50.58</v>
      </c>
      <c r="AT409" s="3">
        <v>9369166</v>
      </c>
      <c r="AU409" s="3">
        <v>49.14</v>
      </c>
      <c r="AV409" s="3">
        <v>49.33</v>
      </c>
      <c r="AW409" s="3">
        <v>48.84</v>
      </c>
      <c r="AX409" s="3">
        <v>48.94</v>
      </c>
      <c r="AY409" s="3">
        <v>17915012</v>
      </c>
      <c r="AZ409" s="3">
        <v>49.18</v>
      </c>
      <c r="BA409" s="3">
        <v>49.44</v>
      </c>
      <c r="BB409" s="3">
        <v>47.89</v>
      </c>
      <c r="BC409" s="3">
        <v>47.95</v>
      </c>
      <c r="BD409" s="3">
        <v>28353928</v>
      </c>
      <c r="BE409" s="3">
        <v>31.34</v>
      </c>
      <c r="BF409" s="3">
        <v>31.4</v>
      </c>
      <c r="BG409" s="3">
        <v>30.73</v>
      </c>
      <c r="BH409" s="3">
        <v>30.82</v>
      </c>
      <c r="BI409" s="3">
        <v>3364030</v>
      </c>
    </row>
    <row r="410" spans="1:61" ht="13" x14ac:dyDescent="0.15">
      <c r="A410" s="3">
        <v>42719</v>
      </c>
      <c r="B410" s="3">
        <v>2253.77</v>
      </c>
      <c r="C410" s="3">
        <v>2272.12</v>
      </c>
      <c r="D410" s="3">
        <v>2253.77</v>
      </c>
      <c r="E410" s="3">
        <v>2262.0300000000002</v>
      </c>
      <c r="F410" s="3">
        <v>2428153807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83.93</v>
      </c>
      <c r="M410" s="3">
        <v>84.17</v>
      </c>
      <c r="N410" s="3">
        <v>83.54</v>
      </c>
      <c r="O410" s="3">
        <v>83.59</v>
      </c>
      <c r="P410" s="3">
        <v>6109437</v>
      </c>
      <c r="Q410" s="3">
        <v>51.92</v>
      </c>
      <c r="R410" s="3">
        <v>52.31</v>
      </c>
      <c r="S410" s="3">
        <v>51.76</v>
      </c>
      <c r="T410" s="3">
        <v>52.14</v>
      </c>
      <c r="U410" s="3">
        <v>16154516</v>
      </c>
      <c r="V410" s="3">
        <v>75.95</v>
      </c>
      <c r="W410" s="3">
        <v>76.72</v>
      </c>
      <c r="X410" s="3">
        <v>75.52</v>
      </c>
      <c r="Y410" s="3">
        <v>76.44</v>
      </c>
      <c r="Z410" s="3">
        <v>20251775</v>
      </c>
      <c r="AA410" s="3">
        <v>23.59</v>
      </c>
      <c r="AB410" s="3">
        <v>23.87</v>
      </c>
      <c r="AC410" s="3">
        <v>23.5</v>
      </c>
      <c r="AD410" s="3">
        <v>23.67</v>
      </c>
      <c r="AE410" s="3">
        <v>110426017</v>
      </c>
      <c r="AF410" s="3">
        <v>69.66</v>
      </c>
      <c r="AG410" s="3">
        <v>69.900000000000006</v>
      </c>
      <c r="AH410" s="3">
        <v>69.41</v>
      </c>
      <c r="AI410" s="3">
        <v>69.83</v>
      </c>
      <c r="AJ410" s="3">
        <v>8210088</v>
      </c>
      <c r="AK410" s="3">
        <v>62.95</v>
      </c>
      <c r="AL410" s="3">
        <v>63.54</v>
      </c>
      <c r="AM410" s="3">
        <v>62.92</v>
      </c>
      <c r="AN410" s="3">
        <v>63.09</v>
      </c>
      <c r="AO410" s="3">
        <v>12262075</v>
      </c>
      <c r="AP410" s="3">
        <v>50.4</v>
      </c>
      <c r="AQ410" s="3">
        <v>51.04</v>
      </c>
      <c r="AR410" s="3">
        <v>50.31</v>
      </c>
      <c r="AS410" s="3">
        <v>50.91</v>
      </c>
      <c r="AT410" s="3">
        <v>6431039</v>
      </c>
      <c r="AU410" s="3">
        <v>49</v>
      </c>
      <c r="AV410" s="3">
        <v>49.41</v>
      </c>
      <c r="AW410" s="3">
        <v>48.92</v>
      </c>
      <c r="AX410" s="3">
        <v>49.16</v>
      </c>
      <c r="AY410" s="3">
        <v>11570018</v>
      </c>
      <c r="AZ410" s="3">
        <v>47.85</v>
      </c>
      <c r="BA410" s="3">
        <v>48.34</v>
      </c>
      <c r="BB410" s="3">
        <v>47.6</v>
      </c>
      <c r="BC410" s="3">
        <v>48.29</v>
      </c>
      <c r="BD410" s="3">
        <v>17821563</v>
      </c>
      <c r="BE410" s="3">
        <v>30.73</v>
      </c>
      <c r="BF410" s="3">
        <v>30.93</v>
      </c>
      <c r="BG410" s="3">
        <v>30.51</v>
      </c>
      <c r="BH410" s="3">
        <v>30.57</v>
      </c>
      <c r="BI410" s="3">
        <v>3224742</v>
      </c>
    </row>
    <row r="411" spans="1:61" ht="13" x14ac:dyDescent="0.15">
      <c r="A411" s="3">
        <v>42720</v>
      </c>
      <c r="B411" s="3">
        <v>2266.81</v>
      </c>
      <c r="C411" s="3">
        <v>2268.0500000000002</v>
      </c>
      <c r="D411" s="3">
        <v>2254.2399999999998</v>
      </c>
      <c r="E411" s="3">
        <v>2258.0700000000002</v>
      </c>
      <c r="F411" s="3">
        <v>3710588961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3">
        <v>83.34</v>
      </c>
      <c r="M411" s="3">
        <v>83.38</v>
      </c>
      <c r="N411" s="3">
        <v>82.57</v>
      </c>
      <c r="O411" s="3">
        <v>82.69</v>
      </c>
      <c r="P411" s="3">
        <v>9868723</v>
      </c>
      <c r="Q411" s="3">
        <v>51.92</v>
      </c>
      <c r="R411" s="3">
        <v>52.08</v>
      </c>
      <c r="S411" s="3">
        <v>51.81</v>
      </c>
      <c r="T411" s="3">
        <v>52.05</v>
      </c>
      <c r="U411" s="3">
        <v>15871085</v>
      </c>
      <c r="V411" s="3">
        <v>76.58</v>
      </c>
      <c r="W411" s="3">
        <v>76.58</v>
      </c>
      <c r="X411" s="3">
        <v>76.12</v>
      </c>
      <c r="Y411" s="3">
        <v>76.510000000000005</v>
      </c>
      <c r="Z411" s="3">
        <v>17864897</v>
      </c>
      <c r="AA411" s="3">
        <v>23.68</v>
      </c>
      <c r="AB411" s="3">
        <v>23.69</v>
      </c>
      <c r="AC411" s="3">
        <v>23.33</v>
      </c>
      <c r="AD411" s="3">
        <v>23.36</v>
      </c>
      <c r="AE411" s="3">
        <v>83096468</v>
      </c>
      <c r="AF411" s="3">
        <v>69.680000000000007</v>
      </c>
      <c r="AG411" s="3">
        <v>69.87</v>
      </c>
      <c r="AH411" s="3">
        <v>69.38</v>
      </c>
      <c r="AI411" s="3">
        <v>69.58</v>
      </c>
      <c r="AJ411" s="3">
        <v>8257063</v>
      </c>
      <c r="AK411" s="3">
        <v>62.58</v>
      </c>
      <c r="AL411" s="3">
        <v>63.03</v>
      </c>
      <c r="AM411" s="3">
        <v>62.47</v>
      </c>
      <c r="AN411" s="3">
        <v>62.58</v>
      </c>
      <c r="AO411" s="3">
        <v>9523742</v>
      </c>
      <c r="AP411" s="3">
        <v>50.79</v>
      </c>
      <c r="AQ411" s="3">
        <v>50.79</v>
      </c>
      <c r="AR411" s="3">
        <v>50.29</v>
      </c>
      <c r="AS411" s="3">
        <v>50.42</v>
      </c>
      <c r="AT411" s="3">
        <v>5177338</v>
      </c>
      <c r="AU411" s="3">
        <v>49.08</v>
      </c>
      <c r="AV411" s="3">
        <v>49.09</v>
      </c>
      <c r="AW411" s="3">
        <v>48.52</v>
      </c>
      <c r="AX411" s="3">
        <v>48.59</v>
      </c>
      <c r="AY411" s="3">
        <v>10565736</v>
      </c>
      <c r="AZ411" s="3">
        <v>47.95</v>
      </c>
      <c r="BA411" s="3">
        <v>48.58</v>
      </c>
      <c r="BB411" s="3">
        <v>47.84</v>
      </c>
      <c r="BC411" s="3">
        <v>48.41</v>
      </c>
      <c r="BD411" s="3">
        <v>20118992</v>
      </c>
      <c r="BE411" s="3">
        <v>30.13</v>
      </c>
      <c r="BF411" s="3">
        <v>30.61</v>
      </c>
      <c r="BG411" s="3">
        <v>30.09</v>
      </c>
      <c r="BH411" s="3">
        <v>30.44</v>
      </c>
      <c r="BI411" s="3">
        <v>3455591</v>
      </c>
    </row>
    <row r="412" spans="1:61" ht="13" x14ac:dyDescent="0.15">
      <c r="A412" s="3">
        <v>42723</v>
      </c>
      <c r="B412" s="3">
        <v>2259.2399999999998</v>
      </c>
      <c r="C412" s="3">
        <v>2267.4699999999998</v>
      </c>
      <c r="D412" s="3">
        <v>2258.21</v>
      </c>
      <c r="E412" s="3">
        <v>2262.5300000000002</v>
      </c>
      <c r="F412" s="3">
        <v>782039600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3">
        <v>82.88</v>
      </c>
      <c r="M412" s="3">
        <v>83.35</v>
      </c>
      <c r="N412" s="3">
        <v>82.69</v>
      </c>
      <c r="O412" s="3">
        <v>82.91</v>
      </c>
      <c r="P412" s="3">
        <v>3786132</v>
      </c>
      <c r="Q412" s="3">
        <v>52.11</v>
      </c>
      <c r="R412" s="3">
        <v>52.23</v>
      </c>
      <c r="S412" s="3">
        <v>51.97</v>
      </c>
      <c r="T412" s="3">
        <v>52.15</v>
      </c>
      <c r="U412" s="3">
        <v>7523220</v>
      </c>
      <c r="V412" s="3">
        <v>76.430000000000007</v>
      </c>
      <c r="W412" s="3">
        <v>76.569999999999993</v>
      </c>
      <c r="X412" s="3">
        <v>76.010000000000005</v>
      </c>
      <c r="Y412" s="3">
        <v>76.16</v>
      </c>
      <c r="Z412" s="3">
        <v>7113208</v>
      </c>
      <c r="AA412" s="3">
        <v>23.39</v>
      </c>
      <c r="AB412" s="3">
        <v>23.43</v>
      </c>
      <c r="AC412" s="3">
        <v>23.18</v>
      </c>
      <c r="AD412" s="3">
        <v>23.37</v>
      </c>
      <c r="AE412" s="3">
        <v>73717593</v>
      </c>
      <c r="AF412" s="3">
        <v>69.63</v>
      </c>
      <c r="AG412" s="3">
        <v>69.94</v>
      </c>
      <c r="AH412" s="3">
        <v>69.2</v>
      </c>
      <c r="AI412" s="3">
        <v>69.290000000000006</v>
      </c>
      <c r="AJ412" s="3">
        <v>9318325</v>
      </c>
      <c r="AK412" s="3">
        <v>62.73</v>
      </c>
      <c r="AL412" s="3">
        <v>62.97</v>
      </c>
      <c r="AM412" s="3">
        <v>62.61</v>
      </c>
      <c r="AN412" s="3">
        <v>62.93</v>
      </c>
      <c r="AO412" s="3">
        <v>5982939</v>
      </c>
      <c r="AP412" s="3">
        <v>50.27</v>
      </c>
      <c r="AQ412" s="3">
        <v>50.46</v>
      </c>
      <c r="AR412" s="3">
        <v>50.13</v>
      </c>
      <c r="AS412" s="3">
        <v>50.32</v>
      </c>
      <c r="AT412" s="3">
        <v>3202265</v>
      </c>
      <c r="AU412" s="3">
        <v>48.63</v>
      </c>
      <c r="AV412" s="3">
        <v>49.1</v>
      </c>
      <c r="AW412" s="3">
        <v>48.59</v>
      </c>
      <c r="AX412" s="3">
        <v>48.94</v>
      </c>
      <c r="AY412" s="3">
        <v>6626990</v>
      </c>
      <c r="AZ412" s="3">
        <v>48.7</v>
      </c>
      <c r="BA412" s="3">
        <v>48.72</v>
      </c>
      <c r="BB412" s="3">
        <v>48.17</v>
      </c>
      <c r="BC412" s="3">
        <v>48.59</v>
      </c>
      <c r="BD412" s="3">
        <v>11650212</v>
      </c>
      <c r="BE412" s="3">
        <v>30.53</v>
      </c>
      <c r="BF412" s="3">
        <v>30.81</v>
      </c>
      <c r="BG412" s="3">
        <v>30.45</v>
      </c>
      <c r="BH412" s="3">
        <v>30.71</v>
      </c>
      <c r="BI412" s="3">
        <v>2260027</v>
      </c>
    </row>
    <row r="413" spans="1:61" ht="13" x14ac:dyDescent="0.15">
      <c r="A413" s="3">
        <v>42724</v>
      </c>
      <c r="B413" s="3">
        <v>2266.5</v>
      </c>
      <c r="C413" s="3">
        <v>2272.56</v>
      </c>
      <c r="D413" s="3">
        <v>2266.14</v>
      </c>
      <c r="E413" s="3">
        <v>2270.7600000000002</v>
      </c>
      <c r="F413" s="3">
        <v>724056775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3">
        <v>83.03</v>
      </c>
      <c r="M413" s="3">
        <v>83.68</v>
      </c>
      <c r="N413" s="3">
        <v>83.02</v>
      </c>
      <c r="O413" s="3">
        <v>83.57</v>
      </c>
      <c r="P413" s="3">
        <v>4034205</v>
      </c>
      <c r="Q413" s="3">
        <v>52.17</v>
      </c>
      <c r="R413" s="3">
        <v>52.17</v>
      </c>
      <c r="S413" s="3">
        <v>51.81</v>
      </c>
      <c r="T413" s="3">
        <v>52.05</v>
      </c>
      <c r="U413" s="3">
        <v>15316929</v>
      </c>
      <c r="V413" s="3">
        <v>76.55</v>
      </c>
      <c r="W413" s="3">
        <v>76.650000000000006</v>
      </c>
      <c r="X413" s="3">
        <v>75.78</v>
      </c>
      <c r="Y413" s="3">
        <v>75.989999999999995</v>
      </c>
      <c r="Z413" s="3">
        <v>8982113</v>
      </c>
      <c r="AA413" s="3">
        <v>23.51</v>
      </c>
      <c r="AB413" s="3">
        <v>23.66</v>
      </c>
      <c r="AC413" s="3">
        <v>23.51</v>
      </c>
      <c r="AD413" s="3">
        <v>23.66</v>
      </c>
      <c r="AE413" s="3">
        <v>60793628</v>
      </c>
      <c r="AF413" s="3">
        <v>69.319999999999993</v>
      </c>
      <c r="AG413" s="3">
        <v>69.48</v>
      </c>
      <c r="AH413" s="3">
        <v>69.08</v>
      </c>
      <c r="AI413" s="3">
        <v>69.239999999999995</v>
      </c>
      <c r="AJ413" s="3">
        <v>4884998</v>
      </c>
      <c r="AK413" s="3">
        <v>63.04</v>
      </c>
      <c r="AL413" s="3">
        <v>63.32</v>
      </c>
      <c r="AM413" s="3">
        <v>63.04</v>
      </c>
      <c r="AN413" s="3">
        <v>63.29</v>
      </c>
      <c r="AO413" s="3">
        <v>5011417</v>
      </c>
      <c r="AP413" s="3">
        <v>50.26</v>
      </c>
      <c r="AQ413" s="3">
        <v>50.4</v>
      </c>
      <c r="AR413" s="3">
        <v>50.09</v>
      </c>
      <c r="AS413" s="3">
        <v>50.36</v>
      </c>
      <c r="AT413" s="3">
        <v>4426417</v>
      </c>
      <c r="AU413" s="3">
        <v>49.07</v>
      </c>
      <c r="AV413" s="3">
        <v>49.2</v>
      </c>
      <c r="AW413" s="3">
        <v>49</v>
      </c>
      <c r="AX413" s="3">
        <v>49.12</v>
      </c>
      <c r="AY413" s="3">
        <v>5706485</v>
      </c>
      <c r="AZ413" s="3">
        <v>48.45</v>
      </c>
      <c r="BA413" s="3">
        <v>48.79</v>
      </c>
      <c r="BB413" s="3">
        <v>48.39</v>
      </c>
      <c r="BC413" s="3">
        <v>48.65</v>
      </c>
      <c r="BD413" s="3">
        <v>8663138</v>
      </c>
      <c r="BE413" s="3">
        <v>30.66</v>
      </c>
      <c r="BF413" s="3">
        <v>30.87</v>
      </c>
      <c r="BG413" s="3">
        <v>30.56</v>
      </c>
      <c r="BH413" s="3">
        <v>30.73</v>
      </c>
      <c r="BI413" s="3">
        <v>1764229</v>
      </c>
    </row>
    <row r="414" spans="1:61" ht="13" x14ac:dyDescent="0.15">
      <c r="A414" s="3">
        <v>42725</v>
      </c>
      <c r="B414" s="3">
        <v>2270.54</v>
      </c>
      <c r="C414" s="3">
        <v>2271.23</v>
      </c>
      <c r="D414" s="3">
        <v>2265.15</v>
      </c>
      <c r="E414" s="3">
        <v>2265.1799999999998</v>
      </c>
      <c r="F414" s="3">
        <v>511345709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3">
        <v>83.56</v>
      </c>
      <c r="M414" s="3">
        <v>83.62</v>
      </c>
      <c r="N414" s="3">
        <v>83.34</v>
      </c>
      <c r="O414" s="3">
        <v>83.53</v>
      </c>
      <c r="P414" s="3">
        <v>2702817</v>
      </c>
      <c r="Q414" s="3">
        <v>52</v>
      </c>
      <c r="R414" s="3">
        <v>52.29</v>
      </c>
      <c r="S414" s="3">
        <v>52</v>
      </c>
      <c r="T414" s="3">
        <v>52.04</v>
      </c>
      <c r="U414" s="3">
        <v>6553072</v>
      </c>
      <c r="V414" s="3">
        <v>76.150000000000006</v>
      </c>
      <c r="W414" s="3">
        <v>76.459999999999994</v>
      </c>
      <c r="X414" s="3">
        <v>75.73</v>
      </c>
      <c r="Y414" s="3">
        <v>76.11</v>
      </c>
      <c r="Z414" s="3">
        <v>8102704</v>
      </c>
      <c r="AA414" s="3">
        <v>23.66</v>
      </c>
      <c r="AB414" s="3">
        <v>23.67</v>
      </c>
      <c r="AC414" s="3">
        <v>23.52</v>
      </c>
      <c r="AD414" s="3">
        <v>23.6</v>
      </c>
      <c r="AE414" s="3">
        <v>37737962</v>
      </c>
      <c r="AF414" s="3">
        <v>69.28</v>
      </c>
      <c r="AG414" s="3">
        <v>69.31</v>
      </c>
      <c r="AH414" s="3">
        <v>68.73</v>
      </c>
      <c r="AI414" s="3">
        <v>68.849999999999994</v>
      </c>
      <c r="AJ414" s="3">
        <v>5432275</v>
      </c>
      <c r="AK414" s="3">
        <v>63.25</v>
      </c>
      <c r="AL414" s="3">
        <v>63.28</v>
      </c>
      <c r="AM414" s="3">
        <v>63.03</v>
      </c>
      <c r="AN414" s="3">
        <v>63.05</v>
      </c>
      <c r="AO414" s="3">
        <v>4648984</v>
      </c>
      <c r="AP414" s="3">
        <v>50.55</v>
      </c>
      <c r="AQ414" s="3">
        <v>50.59</v>
      </c>
      <c r="AR414" s="3">
        <v>50.3</v>
      </c>
      <c r="AS414" s="3">
        <v>50.38</v>
      </c>
      <c r="AT414" s="3">
        <v>3280135</v>
      </c>
      <c r="AU414" s="3">
        <v>49.1</v>
      </c>
      <c r="AV414" s="3">
        <v>49.12</v>
      </c>
      <c r="AW414" s="3">
        <v>48.92</v>
      </c>
      <c r="AX414" s="3">
        <v>49.02</v>
      </c>
      <c r="AY414" s="3">
        <v>4623681</v>
      </c>
      <c r="AZ414" s="3">
        <v>48.66</v>
      </c>
      <c r="BA414" s="3">
        <v>48.89</v>
      </c>
      <c r="BB414" s="3">
        <v>48.44</v>
      </c>
      <c r="BC414" s="3">
        <v>48.45</v>
      </c>
      <c r="BD414" s="3">
        <v>8444189</v>
      </c>
      <c r="BE414" s="3">
        <v>30.75</v>
      </c>
      <c r="BF414" s="3">
        <v>30.94</v>
      </c>
      <c r="BG414" s="3">
        <v>30.32</v>
      </c>
      <c r="BH414" s="3">
        <v>30.34</v>
      </c>
      <c r="BI414" s="3">
        <v>1871788</v>
      </c>
    </row>
    <row r="415" spans="1:61" ht="13" x14ac:dyDescent="0.15">
      <c r="A415" s="3">
        <v>42726</v>
      </c>
      <c r="B415" s="3">
        <v>2262.9299999999998</v>
      </c>
      <c r="C415" s="3">
        <v>2263.1799999999998</v>
      </c>
      <c r="D415" s="3">
        <v>2256.08</v>
      </c>
      <c r="E415" s="3">
        <v>2260.96</v>
      </c>
      <c r="F415" s="3">
        <v>639919664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3">
        <v>83.38</v>
      </c>
      <c r="M415" s="3">
        <v>83.41</v>
      </c>
      <c r="N415" s="3">
        <v>82.5</v>
      </c>
      <c r="O415" s="3">
        <v>82.63</v>
      </c>
      <c r="P415" s="3">
        <v>4461019</v>
      </c>
      <c r="Q415" s="3">
        <v>51.98</v>
      </c>
      <c r="R415" s="3">
        <v>52.07</v>
      </c>
      <c r="S415" s="3">
        <v>51.87</v>
      </c>
      <c r="T415" s="3">
        <v>51.96</v>
      </c>
      <c r="U415" s="3">
        <v>6537203</v>
      </c>
      <c r="V415" s="3">
        <v>76.16</v>
      </c>
      <c r="W415" s="3">
        <v>76.62</v>
      </c>
      <c r="X415" s="3">
        <v>76.010000000000005</v>
      </c>
      <c r="Y415" s="3">
        <v>76.42</v>
      </c>
      <c r="Z415" s="3">
        <v>10970367</v>
      </c>
      <c r="AA415" s="3">
        <v>23.59</v>
      </c>
      <c r="AB415" s="3">
        <v>23.59</v>
      </c>
      <c r="AC415" s="3">
        <v>23.46</v>
      </c>
      <c r="AD415" s="3">
        <v>23.54</v>
      </c>
      <c r="AE415" s="3">
        <v>37796099</v>
      </c>
      <c r="AF415" s="3">
        <v>68.760000000000005</v>
      </c>
      <c r="AG415" s="3">
        <v>68.959999999999994</v>
      </c>
      <c r="AH415" s="3">
        <v>68.48</v>
      </c>
      <c r="AI415" s="3">
        <v>68.94</v>
      </c>
      <c r="AJ415" s="3">
        <v>4458413</v>
      </c>
      <c r="AK415" s="3">
        <v>63.01</v>
      </c>
      <c r="AL415" s="3">
        <v>63.08</v>
      </c>
      <c r="AM415" s="3">
        <v>62.78</v>
      </c>
      <c r="AN415" s="3">
        <v>62.93</v>
      </c>
      <c r="AO415" s="3">
        <v>4642675</v>
      </c>
      <c r="AP415" s="3">
        <v>50.33</v>
      </c>
      <c r="AQ415" s="3">
        <v>50.39</v>
      </c>
      <c r="AR415" s="3">
        <v>50.02</v>
      </c>
      <c r="AS415" s="3">
        <v>50.17</v>
      </c>
      <c r="AT415" s="3">
        <v>3315439</v>
      </c>
      <c r="AU415" s="3">
        <v>49.02</v>
      </c>
      <c r="AV415" s="3">
        <v>49.05</v>
      </c>
      <c r="AW415" s="3">
        <v>48.77</v>
      </c>
      <c r="AX415" s="3">
        <v>48.92</v>
      </c>
      <c r="AY415" s="3">
        <v>11105195</v>
      </c>
      <c r="AZ415" s="3">
        <v>48.42</v>
      </c>
      <c r="BA415" s="3">
        <v>48.71</v>
      </c>
      <c r="BB415" s="3">
        <v>48.33</v>
      </c>
      <c r="BC415" s="3">
        <v>48.62</v>
      </c>
      <c r="BD415" s="3">
        <v>7465247</v>
      </c>
      <c r="BE415" s="3">
        <v>30.24</v>
      </c>
      <c r="BF415" s="3">
        <v>30.32</v>
      </c>
      <c r="BG415" s="3">
        <v>30.01</v>
      </c>
      <c r="BH415" s="3">
        <v>30.3</v>
      </c>
      <c r="BI415" s="3">
        <v>1399843</v>
      </c>
    </row>
    <row r="416" spans="1:61" ht="13" x14ac:dyDescent="0.15">
      <c r="A416" s="3">
        <v>42727</v>
      </c>
      <c r="B416" s="3">
        <v>2260.25</v>
      </c>
      <c r="C416" s="3">
        <v>2263.79</v>
      </c>
      <c r="D416" s="3">
        <v>2258.84</v>
      </c>
      <c r="E416" s="3">
        <v>2263.79</v>
      </c>
      <c r="F416" s="3">
        <v>8325217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3">
        <v>82.61</v>
      </c>
      <c r="M416" s="3">
        <v>82.77</v>
      </c>
      <c r="N416" s="3">
        <v>82.35</v>
      </c>
      <c r="O416" s="3">
        <v>82.45</v>
      </c>
      <c r="P416" s="3">
        <v>2836955</v>
      </c>
      <c r="Q416" s="3">
        <v>51.93</v>
      </c>
      <c r="R416" s="3">
        <v>52.1</v>
      </c>
      <c r="S416" s="3">
        <v>51.93</v>
      </c>
      <c r="T416" s="3">
        <v>52.06</v>
      </c>
      <c r="U416" s="3">
        <v>6484307</v>
      </c>
      <c r="V416" s="3">
        <v>76.3</v>
      </c>
      <c r="W416" s="3">
        <v>76.510000000000005</v>
      </c>
      <c r="X416" s="3">
        <v>76.180000000000007</v>
      </c>
      <c r="Y416" s="3">
        <v>76.349999999999994</v>
      </c>
      <c r="Z416" s="3">
        <v>6398132</v>
      </c>
      <c r="AA416" s="3">
        <v>23.54</v>
      </c>
      <c r="AB416" s="3">
        <v>23.58</v>
      </c>
      <c r="AC416" s="3">
        <v>23.47</v>
      </c>
      <c r="AD416" s="3">
        <v>23.58</v>
      </c>
      <c r="AE416" s="3">
        <v>18276667</v>
      </c>
      <c r="AF416" s="3">
        <v>68.959999999999994</v>
      </c>
      <c r="AG416" s="3">
        <v>69.5</v>
      </c>
      <c r="AH416" s="3">
        <v>68.959999999999994</v>
      </c>
      <c r="AI416" s="3">
        <v>69.459999999999994</v>
      </c>
      <c r="AJ416" s="3">
        <v>4188703</v>
      </c>
      <c r="AK416" s="3">
        <v>62.92</v>
      </c>
      <c r="AL416" s="3">
        <v>63.06</v>
      </c>
      <c r="AM416" s="3">
        <v>62.87</v>
      </c>
      <c r="AN416" s="3">
        <v>62.99</v>
      </c>
      <c r="AO416" s="3">
        <v>5101030</v>
      </c>
      <c r="AP416" s="3">
        <v>50.31</v>
      </c>
      <c r="AQ416" s="3">
        <v>50.31</v>
      </c>
      <c r="AR416" s="3">
        <v>49.97</v>
      </c>
      <c r="AS416" s="3">
        <v>50.27</v>
      </c>
      <c r="AT416" s="3">
        <v>2157398</v>
      </c>
      <c r="AU416" s="3">
        <v>48.87</v>
      </c>
      <c r="AV416" s="3">
        <v>48.98</v>
      </c>
      <c r="AW416" s="3">
        <v>48.78</v>
      </c>
      <c r="AX416" s="3">
        <v>48.97</v>
      </c>
      <c r="AY416" s="3">
        <v>6358653</v>
      </c>
      <c r="AZ416" s="3">
        <v>48.68</v>
      </c>
      <c r="BA416" s="3">
        <v>48.8</v>
      </c>
      <c r="BB416" s="3">
        <v>48.45</v>
      </c>
      <c r="BC416" s="3">
        <v>48.61</v>
      </c>
      <c r="BD416" s="3">
        <v>7778511</v>
      </c>
      <c r="BE416" s="3">
        <v>30.32</v>
      </c>
      <c r="BF416" s="3">
        <v>30.43</v>
      </c>
      <c r="BG416" s="3">
        <v>30.23</v>
      </c>
      <c r="BH416" s="3">
        <v>30.33</v>
      </c>
      <c r="BI416" s="3">
        <v>931571</v>
      </c>
    </row>
    <row r="417" spans="1:61" ht="13" x14ac:dyDescent="0.15">
      <c r="A417" s="3">
        <v>42731</v>
      </c>
      <c r="B417" s="3">
        <v>2266.23</v>
      </c>
      <c r="C417" s="3">
        <v>2273.8200000000002</v>
      </c>
      <c r="D417" s="3">
        <v>2266.15</v>
      </c>
      <c r="E417" s="3">
        <v>2268.88</v>
      </c>
      <c r="F417" s="3">
        <v>17232932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3">
        <v>82.51</v>
      </c>
      <c r="M417" s="3">
        <v>83.1</v>
      </c>
      <c r="N417" s="3">
        <v>82.51</v>
      </c>
      <c r="O417" s="3">
        <v>82.77</v>
      </c>
      <c r="P417" s="3">
        <v>6101058</v>
      </c>
      <c r="Q417" s="3">
        <v>52.02</v>
      </c>
      <c r="R417" s="3">
        <v>52.15</v>
      </c>
      <c r="S417" s="3">
        <v>51.96</v>
      </c>
      <c r="T417" s="3">
        <v>52.05</v>
      </c>
      <c r="U417" s="3">
        <v>13378478</v>
      </c>
      <c r="V417" s="3">
        <v>76.47</v>
      </c>
      <c r="W417" s="3">
        <v>76.78</v>
      </c>
      <c r="X417" s="3">
        <v>76.400000000000006</v>
      </c>
      <c r="Y417" s="3">
        <v>76.52</v>
      </c>
      <c r="Z417" s="3">
        <v>10008858</v>
      </c>
      <c r="AA417" s="3">
        <v>23.63</v>
      </c>
      <c r="AB417" s="3">
        <v>23.64</v>
      </c>
      <c r="AC417" s="3">
        <v>23.58</v>
      </c>
      <c r="AD417" s="3">
        <v>23.61</v>
      </c>
      <c r="AE417" s="3">
        <v>38241051</v>
      </c>
      <c r="AF417" s="3">
        <v>69.55</v>
      </c>
      <c r="AG417" s="3">
        <v>70</v>
      </c>
      <c r="AH417" s="3">
        <v>69.53</v>
      </c>
      <c r="AI417" s="3">
        <v>69.599999999999994</v>
      </c>
      <c r="AJ417" s="3">
        <v>5141174</v>
      </c>
      <c r="AK417" s="3">
        <v>63.1</v>
      </c>
      <c r="AL417" s="3">
        <v>63.23</v>
      </c>
      <c r="AM417" s="3">
        <v>62.99</v>
      </c>
      <c r="AN417" s="3">
        <v>63.12</v>
      </c>
      <c r="AO417" s="3">
        <v>3499380</v>
      </c>
      <c r="AP417" s="3">
        <v>50.41</v>
      </c>
      <c r="AQ417" s="3">
        <v>50.6</v>
      </c>
      <c r="AR417" s="3">
        <v>50.21</v>
      </c>
      <c r="AS417" s="3">
        <v>50.54</v>
      </c>
      <c r="AT417" s="3">
        <v>3886527</v>
      </c>
      <c r="AU417" s="3">
        <v>49.02</v>
      </c>
      <c r="AV417" s="3">
        <v>49.4</v>
      </c>
      <c r="AW417" s="3">
        <v>49</v>
      </c>
      <c r="AX417" s="3">
        <v>49.17</v>
      </c>
      <c r="AY417" s="3">
        <v>6840653</v>
      </c>
      <c r="AZ417" s="3">
        <v>48.42</v>
      </c>
      <c r="BA417" s="3">
        <v>48.77</v>
      </c>
      <c r="BB417" s="3">
        <v>48.37</v>
      </c>
      <c r="BC417" s="3">
        <v>48.65</v>
      </c>
      <c r="BD417" s="3">
        <v>13134359</v>
      </c>
      <c r="BE417" s="3">
        <v>30.4</v>
      </c>
      <c r="BF417" s="3">
        <v>30.52</v>
      </c>
      <c r="BG417" s="3">
        <v>30.28</v>
      </c>
      <c r="BH417" s="3">
        <v>30.41</v>
      </c>
      <c r="BI417" s="3">
        <v>1143637</v>
      </c>
    </row>
    <row r="418" spans="1:61" ht="13" x14ac:dyDescent="0.15">
      <c r="A418" s="3">
        <v>42732</v>
      </c>
      <c r="B418" s="3">
        <v>2270.23</v>
      </c>
      <c r="C418" s="3">
        <v>2271.31</v>
      </c>
      <c r="D418" s="3">
        <v>2249.11</v>
      </c>
      <c r="E418" s="3">
        <v>2249.92</v>
      </c>
      <c r="F418" s="3">
        <v>269786637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3">
        <v>82.95</v>
      </c>
      <c r="M418" s="3">
        <v>83.03</v>
      </c>
      <c r="N418" s="3">
        <v>82.18</v>
      </c>
      <c r="O418" s="3">
        <v>82.2</v>
      </c>
      <c r="P418" s="3">
        <v>3857667</v>
      </c>
      <c r="Q418" s="3">
        <v>52.01</v>
      </c>
      <c r="R418" s="3">
        <v>52.04</v>
      </c>
      <c r="S418" s="3">
        <v>51.73</v>
      </c>
      <c r="T418" s="3">
        <v>51.73</v>
      </c>
      <c r="U418" s="3">
        <v>8643605</v>
      </c>
      <c r="V418" s="3">
        <v>76.69</v>
      </c>
      <c r="W418" s="3">
        <v>76.72</v>
      </c>
      <c r="X418" s="3">
        <v>75.63</v>
      </c>
      <c r="Y418" s="3">
        <v>75.69</v>
      </c>
      <c r="Z418" s="3">
        <v>8093680</v>
      </c>
      <c r="AA418" s="3">
        <v>23.65</v>
      </c>
      <c r="AB418" s="3">
        <v>23.67</v>
      </c>
      <c r="AC418" s="3">
        <v>23.35</v>
      </c>
      <c r="AD418" s="3">
        <v>23.37</v>
      </c>
      <c r="AE418" s="3">
        <v>30834389</v>
      </c>
      <c r="AF418" s="3">
        <v>69.67</v>
      </c>
      <c r="AG418" s="3">
        <v>69.75</v>
      </c>
      <c r="AH418" s="3">
        <v>69.06</v>
      </c>
      <c r="AI418" s="3">
        <v>69.069999999999993</v>
      </c>
      <c r="AJ418" s="3">
        <v>4558824</v>
      </c>
      <c r="AK418" s="3">
        <v>63.2</v>
      </c>
      <c r="AL418" s="3">
        <v>63.24</v>
      </c>
      <c r="AM418" s="3">
        <v>62.45</v>
      </c>
      <c r="AN418" s="3">
        <v>62.46</v>
      </c>
      <c r="AO418" s="3">
        <v>8982414</v>
      </c>
      <c r="AP418" s="3">
        <v>50.73</v>
      </c>
      <c r="AQ418" s="3">
        <v>50.97</v>
      </c>
      <c r="AR418" s="3">
        <v>49.99</v>
      </c>
      <c r="AS418" s="3">
        <v>50.03</v>
      </c>
      <c r="AT418" s="3">
        <v>3077810</v>
      </c>
      <c r="AU418" s="3">
        <v>49.23</v>
      </c>
      <c r="AV418" s="3">
        <v>49.3</v>
      </c>
      <c r="AW418" s="3">
        <v>48.71</v>
      </c>
      <c r="AX418" s="3">
        <v>48.73</v>
      </c>
      <c r="AY418" s="3">
        <v>7777577</v>
      </c>
      <c r="AZ418" s="3">
        <v>48.68</v>
      </c>
      <c r="BA418" s="3">
        <v>48.71</v>
      </c>
      <c r="BB418" s="3">
        <v>48.12</v>
      </c>
      <c r="BC418" s="3">
        <v>48.19</v>
      </c>
      <c r="BD418" s="3">
        <v>8829348</v>
      </c>
      <c r="BE418" s="3">
        <v>30.39</v>
      </c>
      <c r="BF418" s="3">
        <v>30.46</v>
      </c>
      <c r="BG418" s="3">
        <v>30.12</v>
      </c>
      <c r="BH418" s="3">
        <v>30.18</v>
      </c>
      <c r="BI418" s="3">
        <v>2570460</v>
      </c>
    </row>
    <row r="419" spans="1:61" ht="13" x14ac:dyDescent="0.15">
      <c r="A419" s="3">
        <v>42733</v>
      </c>
      <c r="B419" s="3">
        <v>2249.5</v>
      </c>
      <c r="C419" s="3">
        <v>2254.5100000000002</v>
      </c>
      <c r="D419" s="3">
        <v>2244.56</v>
      </c>
      <c r="E419" s="3">
        <v>2249.2600000000002</v>
      </c>
      <c r="F419" s="3">
        <v>191088490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3">
        <v>82.26</v>
      </c>
      <c r="M419" s="3">
        <v>82.48</v>
      </c>
      <c r="N419" s="3">
        <v>81.900000000000006</v>
      </c>
      <c r="O419" s="3">
        <v>82.09</v>
      </c>
      <c r="P419" s="3">
        <v>2566291</v>
      </c>
      <c r="Q419" s="3">
        <v>51.76</v>
      </c>
      <c r="R419" s="3">
        <v>52.03</v>
      </c>
      <c r="S419" s="3">
        <v>51.73</v>
      </c>
      <c r="T419" s="3">
        <v>51.97</v>
      </c>
      <c r="U419" s="3">
        <v>10299366</v>
      </c>
      <c r="V419" s="3">
        <v>75.58</v>
      </c>
      <c r="W419" s="3">
        <v>75.8</v>
      </c>
      <c r="X419" s="3">
        <v>75.27</v>
      </c>
      <c r="Y419" s="3">
        <v>75.540000000000006</v>
      </c>
      <c r="Z419" s="3">
        <v>6697449</v>
      </c>
      <c r="AA419" s="3">
        <v>23.39</v>
      </c>
      <c r="AB419" s="3">
        <v>23.43</v>
      </c>
      <c r="AC419" s="3">
        <v>23.1</v>
      </c>
      <c r="AD419" s="3">
        <v>23.2</v>
      </c>
      <c r="AE419" s="3">
        <v>39251797</v>
      </c>
      <c r="AF419" s="3">
        <v>69.11</v>
      </c>
      <c r="AG419" s="3">
        <v>69.41</v>
      </c>
      <c r="AH419" s="3">
        <v>69.08</v>
      </c>
      <c r="AI419" s="3">
        <v>69.19</v>
      </c>
      <c r="AJ419" s="3">
        <v>5539273</v>
      </c>
      <c r="AK419" s="3">
        <v>62.5</v>
      </c>
      <c r="AL419" s="3">
        <v>62.75</v>
      </c>
      <c r="AM419" s="3">
        <v>62.33</v>
      </c>
      <c r="AN419" s="3">
        <v>62.44</v>
      </c>
      <c r="AO419" s="3">
        <v>7757161</v>
      </c>
      <c r="AP419" s="3">
        <v>50.01</v>
      </c>
      <c r="AQ419" s="3">
        <v>50.24</v>
      </c>
      <c r="AR419" s="3">
        <v>49.95</v>
      </c>
      <c r="AS419" s="3">
        <v>50.03</v>
      </c>
      <c r="AT419" s="3">
        <v>2863618</v>
      </c>
      <c r="AU419" s="3">
        <v>48.73</v>
      </c>
      <c r="AV419" s="3">
        <v>48.87</v>
      </c>
      <c r="AW419" s="3">
        <v>48.62</v>
      </c>
      <c r="AX419" s="3">
        <v>48.74</v>
      </c>
      <c r="AY419" s="3">
        <v>4796544</v>
      </c>
      <c r="AZ419" s="3">
        <v>48.38</v>
      </c>
      <c r="BA419" s="3">
        <v>48.92</v>
      </c>
      <c r="BB419" s="3">
        <v>48.26</v>
      </c>
      <c r="BC419" s="3">
        <v>48.84</v>
      </c>
      <c r="BD419" s="3">
        <v>14677819</v>
      </c>
      <c r="BE419" s="3">
        <v>30.21</v>
      </c>
      <c r="BF419" s="3">
        <v>30.57</v>
      </c>
      <c r="BG419" s="3">
        <v>30.13</v>
      </c>
      <c r="BH419" s="3">
        <v>30.46</v>
      </c>
      <c r="BI419" s="3">
        <v>1526206</v>
      </c>
    </row>
    <row r="420" spans="1:61" ht="13" x14ac:dyDescent="0.15">
      <c r="A420" s="3">
        <v>42734</v>
      </c>
      <c r="B420" s="3">
        <v>2251.61</v>
      </c>
      <c r="C420" s="3">
        <v>2253.58</v>
      </c>
      <c r="D420" s="3">
        <v>2233.62</v>
      </c>
      <c r="E420" s="3">
        <v>2238.83</v>
      </c>
      <c r="F420" s="3">
        <v>506853466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3">
        <v>82.35</v>
      </c>
      <c r="M420" s="3">
        <v>82.35</v>
      </c>
      <c r="N420" s="3">
        <v>81.150000000000006</v>
      </c>
      <c r="O420" s="3">
        <v>81.400000000000006</v>
      </c>
      <c r="P420" s="3">
        <v>4809130</v>
      </c>
      <c r="Q420" s="3">
        <v>51.98</v>
      </c>
      <c r="R420" s="3">
        <v>52.08</v>
      </c>
      <c r="S420" s="3">
        <v>51.6</v>
      </c>
      <c r="T420" s="3">
        <v>51.71</v>
      </c>
      <c r="U420" s="3">
        <v>8049944</v>
      </c>
      <c r="V420" s="3">
        <v>75.47</v>
      </c>
      <c r="W420" s="3">
        <v>75.89</v>
      </c>
      <c r="X420" s="3">
        <v>75.08</v>
      </c>
      <c r="Y420" s="3">
        <v>75.319999999999993</v>
      </c>
      <c r="Z420" s="3">
        <v>8853288</v>
      </c>
      <c r="AA420" s="3">
        <v>23.29</v>
      </c>
      <c r="AB420" s="3">
        <v>23.33</v>
      </c>
      <c r="AC420" s="3">
        <v>23.17</v>
      </c>
      <c r="AD420" s="3">
        <v>23.25</v>
      </c>
      <c r="AE420" s="3">
        <v>44761220</v>
      </c>
      <c r="AF420" s="3">
        <v>69.2</v>
      </c>
      <c r="AG420" s="3">
        <v>69.27</v>
      </c>
      <c r="AH420" s="3">
        <v>68.72</v>
      </c>
      <c r="AI420" s="3">
        <v>68.94</v>
      </c>
      <c r="AJ420" s="3">
        <v>6648979</v>
      </c>
      <c r="AK420" s="3">
        <v>62.6</v>
      </c>
      <c r="AL420" s="3">
        <v>62.75</v>
      </c>
      <c r="AM420" s="3">
        <v>62.02</v>
      </c>
      <c r="AN420" s="3">
        <v>62.22</v>
      </c>
      <c r="AO420" s="3">
        <v>6932299</v>
      </c>
      <c r="AP420" s="3">
        <v>50.1</v>
      </c>
      <c r="AQ420" s="3">
        <v>50.18</v>
      </c>
      <c r="AR420" s="3">
        <v>49.5</v>
      </c>
      <c r="AS420" s="3">
        <v>49.7</v>
      </c>
      <c r="AT420" s="3">
        <v>4929908</v>
      </c>
      <c r="AU420" s="3">
        <v>48.85</v>
      </c>
      <c r="AV420" s="3">
        <v>48.85</v>
      </c>
      <c r="AW420" s="3">
        <v>48.21</v>
      </c>
      <c r="AX420" s="3">
        <v>48.36</v>
      </c>
      <c r="AY420" s="3">
        <v>8501616</v>
      </c>
      <c r="AZ420" s="3">
        <v>48.93</v>
      </c>
      <c r="BA420" s="3">
        <v>48.95</v>
      </c>
      <c r="BB420" s="3">
        <v>48.42</v>
      </c>
      <c r="BC420" s="3">
        <v>48.57</v>
      </c>
      <c r="BD420" s="3">
        <v>14027748</v>
      </c>
      <c r="BE420" s="3">
        <v>30.43</v>
      </c>
      <c r="BF420" s="3">
        <v>30.82</v>
      </c>
      <c r="BG420" s="3">
        <v>30.38</v>
      </c>
      <c r="BH420" s="3">
        <v>30.75</v>
      </c>
      <c r="BI420" s="3">
        <v>1853291</v>
      </c>
    </row>
    <row r="421" spans="1:61" ht="13" x14ac:dyDescent="0.15">
      <c r="A421" s="3">
        <v>42738</v>
      </c>
      <c r="B421" s="3">
        <v>2251.5700000000002</v>
      </c>
      <c r="C421" s="3">
        <v>2263.88</v>
      </c>
      <c r="D421" s="3">
        <v>2245.13</v>
      </c>
      <c r="E421" s="3">
        <v>2257.83</v>
      </c>
      <c r="F421" s="3">
        <v>2318947704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3">
        <v>82.05</v>
      </c>
      <c r="M421" s="3">
        <v>82.34</v>
      </c>
      <c r="N421" s="3">
        <v>81.38</v>
      </c>
      <c r="O421" s="3">
        <v>81.88</v>
      </c>
      <c r="P421" s="3">
        <v>14050515</v>
      </c>
      <c r="Q421" s="3">
        <v>51.75</v>
      </c>
      <c r="R421" s="3">
        <v>51.97</v>
      </c>
      <c r="S421" s="3">
        <v>51.6</v>
      </c>
      <c r="T421" s="3">
        <v>51.9</v>
      </c>
      <c r="U421" s="3">
        <v>21730034</v>
      </c>
      <c r="V421" s="3">
        <v>76.11</v>
      </c>
      <c r="W421" s="3">
        <v>76.81</v>
      </c>
      <c r="X421" s="3">
        <v>75.36</v>
      </c>
      <c r="Y421" s="3">
        <v>76.17</v>
      </c>
      <c r="Z421" s="3">
        <v>24623100</v>
      </c>
      <c r="AA421" s="3">
        <v>23.61</v>
      </c>
      <c r="AB421" s="3">
        <v>23.67</v>
      </c>
      <c r="AC421" s="3">
        <v>23.26</v>
      </c>
      <c r="AD421" s="3">
        <v>23.51</v>
      </c>
      <c r="AE421" s="3">
        <v>71259897</v>
      </c>
      <c r="AF421" s="3">
        <v>69.31</v>
      </c>
      <c r="AG421" s="3">
        <v>69.86</v>
      </c>
      <c r="AH421" s="3">
        <v>69.22</v>
      </c>
      <c r="AI421" s="3">
        <v>69.84</v>
      </c>
      <c r="AJ421" s="3">
        <v>11792938</v>
      </c>
      <c r="AK421" s="3">
        <v>62.68</v>
      </c>
      <c r="AL421" s="3">
        <v>63.06</v>
      </c>
      <c r="AM421" s="3">
        <v>62.35</v>
      </c>
      <c r="AN421" s="3">
        <v>62.59</v>
      </c>
      <c r="AO421" s="3">
        <v>21592200</v>
      </c>
      <c r="AP421" s="3">
        <v>49.83</v>
      </c>
      <c r="AQ421" s="3">
        <v>50.27</v>
      </c>
      <c r="AR421" s="3">
        <v>49.63</v>
      </c>
      <c r="AS421" s="3">
        <v>49.99</v>
      </c>
      <c r="AT421" s="3">
        <v>7737466</v>
      </c>
      <c r="AU421" s="3">
        <v>48.67</v>
      </c>
      <c r="AV421" s="3">
        <v>48.96</v>
      </c>
      <c r="AW421" s="3">
        <v>48.5</v>
      </c>
      <c r="AX421" s="3">
        <v>48.79</v>
      </c>
      <c r="AY421" s="3">
        <v>13940564</v>
      </c>
      <c r="AZ421" s="3">
        <v>48.5</v>
      </c>
      <c r="BA421" s="3">
        <v>48.63</v>
      </c>
      <c r="BB421" s="3">
        <v>48.14</v>
      </c>
      <c r="BC421" s="3">
        <v>48.45</v>
      </c>
      <c r="BD421" s="3">
        <v>18880685</v>
      </c>
      <c r="BE421" s="3">
        <v>30.86</v>
      </c>
      <c r="BF421" s="3">
        <v>30.98</v>
      </c>
      <c r="BG421" s="3">
        <v>30.63</v>
      </c>
      <c r="BH421" s="3">
        <v>30.85</v>
      </c>
      <c r="BI421" s="3">
        <v>2682334</v>
      </c>
    </row>
    <row r="422" spans="1:61" ht="13" x14ac:dyDescent="0.15">
      <c r="A422" s="3">
        <v>42739</v>
      </c>
      <c r="B422" s="3">
        <v>2261.6</v>
      </c>
      <c r="C422" s="3">
        <v>2272.8200000000002</v>
      </c>
      <c r="D422" s="3">
        <v>2261.6</v>
      </c>
      <c r="E422" s="3">
        <v>2270.75</v>
      </c>
      <c r="F422" s="3">
        <v>1023618459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3">
        <v>82.24</v>
      </c>
      <c r="M422" s="3">
        <v>83.06</v>
      </c>
      <c r="N422" s="3">
        <v>82.16</v>
      </c>
      <c r="O422" s="3">
        <v>82.97</v>
      </c>
      <c r="P422" s="3">
        <v>5493835</v>
      </c>
      <c r="Q422" s="3">
        <v>51.97</v>
      </c>
      <c r="R422" s="3">
        <v>52.15</v>
      </c>
      <c r="S422" s="3">
        <v>51.89</v>
      </c>
      <c r="T422" s="3">
        <v>51.9</v>
      </c>
      <c r="U422" s="3">
        <v>9144625</v>
      </c>
      <c r="V422" s="3">
        <v>76.23</v>
      </c>
      <c r="W422" s="3">
        <v>76.37</v>
      </c>
      <c r="X422" s="3">
        <v>75.760000000000005</v>
      </c>
      <c r="Y422" s="3">
        <v>76.010000000000005</v>
      </c>
      <c r="Z422" s="3">
        <v>11185512</v>
      </c>
      <c r="AA422" s="3">
        <v>23.58</v>
      </c>
      <c r="AB422" s="3">
        <v>23.73</v>
      </c>
      <c r="AC422" s="3">
        <v>23.51</v>
      </c>
      <c r="AD422" s="3">
        <v>23.7</v>
      </c>
      <c r="AE422" s="3">
        <v>45092157</v>
      </c>
      <c r="AF422" s="3">
        <v>69.95</v>
      </c>
      <c r="AG422" s="3">
        <v>70.58</v>
      </c>
      <c r="AH422" s="3">
        <v>69.95</v>
      </c>
      <c r="AI422" s="3">
        <v>70.39</v>
      </c>
      <c r="AJ422" s="3">
        <v>9174456</v>
      </c>
      <c r="AK422" s="3">
        <v>62.76</v>
      </c>
      <c r="AL422" s="3">
        <v>63.08</v>
      </c>
      <c r="AM422" s="3">
        <v>62.68</v>
      </c>
      <c r="AN422" s="3">
        <v>62.96</v>
      </c>
      <c r="AO422" s="3">
        <v>8889278</v>
      </c>
      <c r="AP422" s="3">
        <v>50.19</v>
      </c>
      <c r="AQ422" s="3">
        <v>50.81</v>
      </c>
      <c r="AR422" s="3">
        <v>50.19</v>
      </c>
      <c r="AS422" s="3">
        <v>50.72</v>
      </c>
      <c r="AT422" s="3">
        <v>4542345</v>
      </c>
      <c r="AU422" s="3">
        <v>48.83</v>
      </c>
      <c r="AV422" s="3">
        <v>49.03</v>
      </c>
      <c r="AW422" s="3">
        <v>48.8</v>
      </c>
      <c r="AX422" s="3">
        <v>48.96</v>
      </c>
      <c r="AY422" s="3">
        <v>7223081</v>
      </c>
      <c r="AZ422" s="3">
        <v>48.52</v>
      </c>
      <c r="BA422" s="3">
        <v>48.88</v>
      </c>
      <c r="BB422" s="3">
        <v>48.43</v>
      </c>
      <c r="BC422" s="3">
        <v>48.63</v>
      </c>
      <c r="BD422" s="3">
        <v>14550500</v>
      </c>
      <c r="BE422" s="3">
        <v>30.87</v>
      </c>
      <c r="BF422" s="3">
        <v>31.3</v>
      </c>
      <c r="BG422" s="3">
        <v>30.86</v>
      </c>
      <c r="BH422" s="3">
        <v>31.24</v>
      </c>
      <c r="BI422" s="3">
        <v>1838041</v>
      </c>
    </row>
    <row r="423" spans="1:61" ht="13" x14ac:dyDescent="0.15">
      <c r="A423" s="3">
        <v>42740</v>
      </c>
      <c r="B423" s="3">
        <v>2268.1799999999998</v>
      </c>
      <c r="C423" s="3">
        <v>2271.5</v>
      </c>
      <c r="D423" s="3">
        <v>2260.4499999999998</v>
      </c>
      <c r="E423" s="3">
        <v>2269</v>
      </c>
      <c r="F423" s="3">
        <v>2187189991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3">
        <v>82.46</v>
      </c>
      <c r="M423" s="3">
        <v>82.94</v>
      </c>
      <c r="N423" s="3">
        <v>82.44</v>
      </c>
      <c r="O423" s="3">
        <v>82.91</v>
      </c>
      <c r="P423" s="3">
        <v>4396660</v>
      </c>
      <c r="Q423" s="3">
        <v>51.89</v>
      </c>
      <c r="R423" s="3">
        <v>52.14</v>
      </c>
      <c r="S423" s="3">
        <v>51.7</v>
      </c>
      <c r="T423" s="3">
        <v>52.07</v>
      </c>
      <c r="U423" s="3">
        <v>12312524</v>
      </c>
      <c r="V423" s="3">
        <v>76.06</v>
      </c>
      <c r="W423" s="3">
        <v>76.34</v>
      </c>
      <c r="X423" s="3">
        <v>75.459999999999994</v>
      </c>
      <c r="Y423" s="3">
        <v>75.819999999999993</v>
      </c>
      <c r="Z423" s="3">
        <v>11141175</v>
      </c>
      <c r="AA423" s="3">
        <v>23.63</v>
      </c>
      <c r="AB423" s="3">
        <v>23.66</v>
      </c>
      <c r="AC423" s="3">
        <v>23.24</v>
      </c>
      <c r="AD423" s="3">
        <v>23.46</v>
      </c>
      <c r="AE423" s="3">
        <v>62201101</v>
      </c>
      <c r="AF423" s="3">
        <v>70.33</v>
      </c>
      <c r="AG423" s="3">
        <v>70.77</v>
      </c>
      <c r="AH423" s="3">
        <v>70.27</v>
      </c>
      <c r="AI423" s="3">
        <v>70.75</v>
      </c>
      <c r="AJ423" s="3">
        <v>5979290</v>
      </c>
      <c r="AK423" s="3">
        <v>62.91</v>
      </c>
      <c r="AL423" s="3">
        <v>63.27</v>
      </c>
      <c r="AM423" s="3">
        <v>62.44</v>
      </c>
      <c r="AN423" s="3">
        <v>62.78</v>
      </c>
      <c r="AO423" s="3">
        <v>9850871</v>
      </c>
      <c r="AP423" s="3">
        <v>50.66</v>
      </c>
      <c r="AQ423" s="3">
        <v>50.85</v>
      </c>
      <c r="AR423" s="3">
        <v>50.4</v>
      </c>
      <c r="AS423" s="3">
        <v>50.57</v>
      </c>
      <c r="AT423" s="3">
        <v>3903017</v>
      </c>
      <c r="AU423" s="3">
        <v>48.91</v>
      </c>
      <c r="AV423" s="3">
        <v>49.16</v>
      </c>
      <c r="AW423" s="3">
        <v>48.85</v>
      </c>
      <c r="AX423" s="3">
        <v>49.04</v>
      </c>
      <c r="AY423" s="3">
        <v>5502865</v>
      </c>
      <c r="AZ423" s="3">
        <v>48.74</v>
      </c>
      <c r="BA423" s="3">
        <v>48.76</v>
      </c>
      <c r="BB423" s="3">
        <v>48.16</v>
      </c>
      <c r="BC423" s="3">
        <v>48.68</v>
      </c>
      <c r="BD423" s="3">
        <v>16306401</v>
      </c>
      <c r="BE423" s="3">
        <v>31.08</v>
      </c>
      <c r="BF423" s="3">
        <v>31.42</v>
      </c>
      <c r="BG423" s="3">
        <v>30.83</v>
      </c>
      <c r="BH423" s="3">
        <v>31.4</v>
      </c>
      <c r="BI423" s="3">
        <v>2198849</v>
      </c>
    </row>
    <row r="424" spans="1:61" ht="13" x14ac:dyDescent="0.15">
      <c r="A424" s="3">
        <v>42741</v>
      </c>
      <c r="B424" s="3">
        <v>2271.14</v>
      </c>
      <c r="C424" s="3">
        <v>2282.1</v>
      </c>
      <c r="D424" s="3">
        <v>2264.06</v>
      </c>
      <c r="E424" s="3">
        <v>2276.98</v>
      </c>
      <c r="F424" s="3">
        <v>883439317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3">
        <v>82.89</v>
      </c>
      <c r="M424" s="3">
        <v>83.57</v>
      </c>
      <c r="N424" s="3">
        <v>82.58</v>
      </c>
      <c r="O424" s="3">
        <v>83.32</v>
      </c>
      <c r="P424" s="3">
        <v>6538097</v>
      </c>
      <c r="Q424" s="3">
        <v>51.97</v>
      </c>
      <c r="R424" s="3">
        <v>52.15</v>
      </c>
      <c r="S424" s="3">
        <v>51.78</v>
      </c>
      <c r="T424" s="3">
        <v>52.12</v>
      </c>
      <c r="U424" s="3">
        <v>9092386</v>
      </c>
      <c r="V424" s="3">
        <v>76.06</v>
      </c>
      <c r="W424" s="3">
        <v>76.150000000000006</v>
      </c>
      <c r="X424" s="3">
        <v>75.39</v>
      </c>
      <c r="Y424" s="3">
        <v>75.89</v>
      </c>
      <c r="Z424" s="3">
        <v>7410548</v>
      </c>
      <c r="AA424" s="3">
        <v>23.55</v>
      </c>
      <c r="AB424" s="3">
        <v>23.64</v>
      </c>
      <c r="AC424" s="3">
        <v>23.42</v>
      </c>
      <c r="AD424" s="3">
        <v>23.54</v>
      </c>
      <c r="AE424" s="3">
        <v>38060761</v>
      </c>
      <c r="AF424" s="3">
        <v>70.77</v>
      </c>
      <c r="AG424" s="3">
        <v>71.150000000000006</v>
      </c>
      <c r="AH424" s="3">
        <v>70.52</v>
      </c>
      <c r="AI424" s="3">
        <v>70.95</v>
      </c>
      <c r="AJ424" s="3">
        <v>5769255</v>
      </c>
      <c r="AK424" s="3">
        <v>62.79</v>
      </c>
      <c r="AL424" s="3">
        <v>63.31</v>
      </c>
      <c r="AM424" s="3">
        <v>62.58</v>
      </c>
      <c r="AN424" s="3">
        <v>63.14</v>
      </c>
      <c r="AO424" s="3">
        <v>12124458</v>
      </c>
      <c r="AP424" s="3">
        <v>50.57</v>
      </c>
      <c r="AQ424" s="3">
        <v>50.66</v>
      </c>
      <c r="AR424" s="3">
        <v>50.33</v>
      </c>
      <c r="AS424" s="3">
        <v>50.62</v>
      </c>
      <c r="AT424" s="3">
        <v>2947082</v>
      </c>
      <c r="AU424" s="3">
        <v>49.04</v>
      </c>
      <c r="AV424" s="3">
        <v>49.47</v>
      </c>
      <c r="AW424" s="3">
        <v>48.9</v>
      </c>
      <c r="AX424" s="3">
        <v>49.4</v>
      </c>
      <c r="AY424" s="3">
        <v>8750635</v>
      </c>
      <c r="AZ424" s="3">
        <v>48.44</v>
      </c>
      <c r="BA424" s="3">
        <v>48.92</v>
      </c>
      <c r="BB424" s="3">
        <v>48.35</v>
      </c>
      <c r="BC424" s="3">
        <v>48.83</v>
      </c>
      <c r="BD424" s="3">
        <v>10967168</v>
      </c>
      <c r="BE424" s="3">
        <v>31.25</v>
      </c>
      <c r="BF424" s="3">
        <v>31.55</v>
      </c>
      <c r="BG424" s="3">
        <v>31.24</v>
      </c>
      <c r="BH424" s="3">
        <v>31.4</v>
      </c>
      <c r="BI424" s="3">
        <v>1747489</v>
      </c>
    </row>
    <row r="425" spans="1:61" ht="13" x14ac:dyDescent="0.15">
      <c r="A425" s="3">
        <v>42744</v>
      </c>
      <c r="B425" s="3">
        <v>2273.59</v>
      </c>
      <c r="C425" s="3">
        <v>2275.4899999999998</v>
      </c>
      <c r="D425" s="3">
        <v>2268.9</v>
      </c>
      <c r="E425" s="3">
        <v>2268.9</v>
      </c>
      <c r="F425" s="3">
        <v>840910697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3">
        <v>83.29</v>
      </c>
      <c r="M425" s="3">
        <v>83.47</v>
      </c>
      <c r="N425" s="3">
        <v>83.1</v>
      </c>
      <c r="O425" s="3">
        <v>83.25</v>
      </c>
      <c r="P425" s="3">
        <v>3855613</v>
      </c>
      <c r="Q425" s="3">
        <v>51.92</v>
      </c>
      <c r="R425" s="3">
        <v>51.96</v>
      </c>
      <c r="S425" s="3">
        <v>51.65</v>
      </c>
      <c r="T425" s="3">
        <v>51.7</v>
      </c>
      <c r="U425" s="3">
        <v>6903166</v>
      </c>
      <c r="V425" s="3">
        <v>75.39</v>
      </c>
      <c r="W425" s="3">
        <v>75.459999999999994</v>
      </c>
      <c r="X425" s="3">
        <v>74.680000000000007</v>
      </c>
      <c r="Y425" s="3">
        <v>74.790000000000006</v>
      </c>
      <c r="Z425" s="3">
        <v>10960921</v>
      </c>
      <c r="AA425" s="3">
        <v>23.48</v>
      </c>
      <c r="AB425" s="3">
        <v>23.53</v>
      </c>
      <c r="AC425" s="3">
        <v>23.33</v>
      </c>
      <c r="AD425" s="3">
        <v>23.38</v>
      </c>
      <c r="AE425" s="3">
        <v>34022403</v>
      </c>
      <c r="AF425" s="3">
        <v>70.95</v>
      </c>
      <c r="AG425" s="3">
        <v>71.37</v>
      </c>
      <c r="AH425" s="3">
        <v>70.819999999999993</v>
      </c>
      <c r="AI425" s="3">
        <v>71.25</v>
      </c>
      <c r="AJ425" s="3">
        <v>5751911</v>
      </c>
      <c r="AK425" s="3">
        <v>63.07</v>
      </c>
      <c r="AL425" s="3">
        <v>63.07</v>
      </c>
      <c r="AM425" s="3">
        <v>62.62</v>
      </c>
      <c r="AN425" s="3">
        <v>62.65</v>
      </c>
      <c r="AO425" s="3">
        <v>5970451</v>
      </c>
      <c r="AP425" s="3">
        <v>50.58</v>
      </c>
      <c r="AQ425" s="3">
        <v>51.09</v>
      </c>
      <c r="AR425" s="3">
        <v>50.53</v>
      </c>
      <c r="AS425" s="3">
        <v>50.61</v>
      </c>
      <c r="AT425" s="3">
        <v>7100596</v>
      </c>
      <c r="AU425" s="3">
        <v>49.43</v>
      </c>
      <c r="AV425" s="3">
        <v>49.55</v>
      </c>
      <c r="AW425" s="3">
        <v>49.36</v>
      </c>
      <c r="AX425" s="3">
        <v>49.39</v>
      </c>
      <c r="AY425" s="3">
        <v>8313464</v>
      </c>
      <c r="AZ425" s="3">
        <v>49.01</v>
      </c>
      <c r="BA425" s="3">
        <v>49.03</v>
      </c>
      <c r="BB425" s="3">
        <v>48.18</v>
      </c>
      <c r="BC425" s="3">
        <v>48.19</v>
      </c>
      <c r="BD425" s="3">
        <v>13847156</v>
      </c>
      <c r="BE425" s="3">
        <v>31.44</v>
      </c>
      <c r="BF425" s="3">
        <v>31.47</v>
      </c>
      <c r="BG425" s="3">
        <v>31.16</v>
      </c>
      <c r="BH425" s="3">
        <v>31.2</v>
      </c>
      <c r="BI425" s="3">
        <v>2125447</v>
      </c>
    </row>
    <row r="426" spans="1:61" ht="13" x14ac:dyDescent="0.15">
      <c r="A426" s="3">
        <v>42745</v>
      </c>
      <c r="B426" s="3">
        <v>2269.7199999999998</v>
      </c>
      <c r="C426" s="3">
        <v>2279.27</v>
      </c>
      <c r="D426" s="3">
        <v>2265.27</v>
      </c>
      <c r="E426" s="3">
        <v>2268.9</v>
      </c>
      <c r="F426" s="3">
        <v>1064282732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3">
        <v>83.23</v>
      </c>
      <c r="M426" s="3">
        <v>83.86</v>
      </c>
      <c r="N426" s="3">
        <v>83.1</v>
      </c>
      <c r="O426" s="3">
        <v>83.55</v>
      </c>
      <c r="P426" s="3">
        <v>5174829</v>
      </c>
      <c r="Q426" s="3">
        <v>51.65</v>
      </c>
      <c r="R426" s="3">
        <v>51.73</v>
      </c>
      <c r="S426" s="3">
        <v>51.36</v>
      </c>
      <c r="T426" s="3">
        <v>51.44</v>
      </c>
      <c r="U426" s="3">
        <v>10344310</v>
      </c>
      <c r="V426" s="3">
        <v>74.73</v>
      </c>
      <c r="W426" s="3">
        <v>74.900000000000006</v>
      </c>
      <c r="X426" s="3">
        <v>74.05</v>
      </c>
      <c r="Y426" s="3">
        <v>74.11</v>
      </c>
      <c r="Z426" s="3">
        <v>9660843</v>
      </c>
      <c r="AA426" s="3">
        <v>23.42</v>
      </c>
      <c r="AB426" s="3">
        <v>23.63</v>
      </c>
      <c r="AC426" s="3">
        <v>23.31</v>
      </c>
      <c r="AD426" s="3">
        <v>23.43</v>
      </c>
      <c r="AE426" s="3">
        <v>46212104</v>
      </c>
      <c r="AF426" s="3">
        <v>71.37</v>
      </c>
      <c r="AG426" s="3">
        <v>71.91</v>
      </c>
      <c r="AH426" s="3">
        <v>71.209999999999994</v>
      </c>
      <c r="AI426" s="3">
        <v>71.5</v>
      </c>
      <c r="AJ426" s="3">
        <v>10320463</v>
      </c>
      <c r="AK426" s="3">
        <v>62.76</v>
      </c>
      <c r="AL426" s="3">
        <v>63.15</v>
      </c>
      <c r="AM426" s="3">
        <v>62.63</v>
      </c>
      <c r="AN426" s="3">
        <v>62.91</v>
      </c>
      <c r="AO426" s="3">
        <v>8237838</v>
      </c>
      <c r="AP426" s="3">
        <v>50.64</v>
      </c>
      <c r="AQ426" s="3">
        <v>50.83</v>
      </c>
      <c r="AR426" s="3">
        <v>50.42</v>
      </c>
      <c r="AS426" s="3">
        <v>50.64</v>
      </c>
      <c r="AT426" s="3">
        <v>2844161</v>
      </c>
      <c r="AU426" s="3">
        <v>49.4</v>
      </c>
      <c r="AV426" s="3">
        <v>49.57</v>
      </c>
      <c r="AW426" s="3">
        <v>49.23</v>
      </c>
      <c r="AX426" s="3">
        <v>49.4</v>
      </c>
      <c r="AY426" s="3">
        <v>7735815</v>
      </c>
      <c r="AZ426" s="3">
        <v>48.18</v>
      </c>
      <c r="BA426" s="3">
        <v>48.2</v>
      </c>
      <c r="BB426" s="3">
        <v>47.85</v>
      </c>
      <c r="BC426" s="3">
        <v>48.04</v>
      </c>
      <c r="BD426" s="3">
        <v>11224177</v>
      </c>
      <c r="BE426" s="3">
        <v>31.15</v>
      </c>
      <c r="BF426" s="3">
        <v>31.2</v>
      </c>
      <c r="BG426" s="3">
        <v>30.78</v>
      </c>
      <c r="BH426" s="3">
        <v>30.81</v>
      </c>
      <c r="BI426" s="3">
        <v>1582728</v>
      </c>
    </row>
    <row r="427" spans="1:61" ht="13" x14ac:dyDescent="0.15">
      <c r="A427" s="3">
        <v>42746</v>
      </c>
      <c r="B427" s="3">
        <v>2268.6</v>
      </c>
      <c r="C427" s="3">
        <v>2275.3200000000002</v>
      </c>
      <c r="D427" s="3">
        <v>2260.83</v>
      </c>
      <c r="E427" s="3">
        <v>2275.3200000000002</v>
      </c>
      <c r="F427" s="3">
        <v>1044548052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3">
        <v>83.49</v>
      </c>
      <c r="M427" s="3">
        <v>83.73</v>
      </c>
      <c r="N427" s="3">
        <v>83.22</v>
      </c>
      <c r="O427" s="3">
        <v>83.73</v>
      </c>
      <c r="P427" s="3">
        <v>5388656</v>
      </c>
      <c r="Q427" s="3">
        <v>51.35</v>
      </c>
      <c r="R427" s="3">
        <v>51.62</v>
      </c>
      <c r="S427" s="3">
        <v>51.35</v>
      </c>
      <c r="T427" s="3">
        <v>51.54</v>
      </c>
      <c r="U427" s="3">
        <v>12087515</v>
      </c>
      <c r="V427" s="3">
        <v>74.37</v>
      </c>
      <c r="W427" s="3">
        <v>75.05</v>
      </c>
      <c r="X427" s="3">
        <v>74.06</v>
      </c>
      <c r="Y427" s="3">
        <v>74.91</v>
      </c>
      <c r="Z427" s="3">
        <v>13127044</v>
      </c>
      <c r="AA427" s="3">
        <v>23.46</v>
      </c>
      <c r="AB427" s="3">
        <v>23.58</v>
      </c>
      <c r="AC427" s="3">
        <v>23.3</v>
      </c>
      <c r="AD427" s="3">
        <v>23.58</v>
      </c>
      <c r="AE427" s="3">
        <v>48001233</v>
      </c>
      <c r="AF427" s="3">
        <v>71.59</v>
      </c>
      <c r="AG427" s="3">
        <v>71.84</v>
      </c>
      <c r="AH427" s="3">
        <v>70.05</v>
      </c>
      <c r="AI427" s="3">
        <v>70.78</v>
      </c>
      <c r="AJ427" s="3">
        <v>23741959</v>
      </c>
      <c r="AK427" s="3">
        <v>62.95</v>
      </c>
      <c r="AL427" s="3">
        <v>63.3</v>
      </c>
      <c r="AM427" s="3">
        <v>62.88</v>
      </c>
      <c r="AN427" s="3">
        <v>63.24</v>
      </c>
      <c r="AO427" s="3">
        <v>11113720</v>
      </c>
      <c r="AP427" s="3">
        <v>50.55</v>
      </c>
      <c r="AQ427" s="3">
        <v>51.08</v>
      </c>
      <c r="AR427" s="3">
        <v>50.55</v>
      </c>
      <c r="AS427" s="3">
        <v>51.05</v>
      </c>
      <c r="AT427" s="3">
        <v>6599903</v>
      </c>
      <c r="AU427" s="3">
        <v>49.31</v>
      </c>
      <c r="AV427" s="3">
        <v>49.63</v>
      </c>
      <c r="AW427" s="3">
        <v>49.25</v>
      </c>
      <c r="AX427" s="3">
        <v>49.63</v>
      </c>
      <c r="AY427" s="3">
        <v>7586507</v>
      </c>
      <c r="AZ427" s="3">
        <v>48.03</v>
      </c>
      <c r="BA427" s="3">
        <v>48.59</v>
      </c>
      <c r="BB427" s="3">
        <v>48.02</v>
      </c>
      <c r="BC427" s="3">
        <v>48.54</v>
      </c>
      <c r="BD427" s="3">
        <v>13397707</v>
      </c>
      <c r="BE427" s="3">
        <v>30.76</v>
      </c>
      <c r="BF427" s="3">
        <v>30.86</v>
      </c>
      <c r="BG427" s="3">
        <v>30.62</v>
      </c>
      <c r="BH427" s="3">
        <v>30.64</v>
      </c>
      <c r="BI427" s="3">
        <v>2192526</v>
      </c>
    </row>
    <row r="428" spans="1:61" ht="13" x14ac:dyDescent="0.15">
      <c r="A428" s="3">
        <v>42747</v>
      </c>
      <c r="B428" s="3">
        <v>2271.14</v>
      </c>
      <c r="C428" s="3">
        <v>2271.7800000000002</v>
      </c>
      <c r="D428" s="3">
        <v>2254.25</v>
      </c>
      <c r="E428" s="3">
        <v>2270.44</v>
      </c>
      <c r="F428" s="3">
        <v>863643316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3">
        <v>83.54</v>
      </c>
      <c r="M428" s="3">
        <v>83.75</v>
      </c>
      <c r="N428" s="3">
        <v>82.98</v>
      </c>
      <c r="O428" s="3">
        <v>83.65</v>
      </c>
      <c r="P428" s="3">
        <v>4282285</v>
      </c>
      <c r="Q428" s="3">
        <v>51.52</v>
      </c>
      <c r="R428" s="3">
        <v>51.61</v>
      </c>
      <c r="S428" s="3">
        <v>51.44</v>
      </c>
      <c r="T428" s="3">
        <v>51.49</v>
      </c>
      <c r="U428" s="3">
        <v>13257560</v>
      </c>
      <c r="V428" s="3">
        <v>75.33</v>
      </c>
      <c r="W428" s="3">
        <v>75.41</v>
      </c>
      <c r="X428" s="3">
        <v>74.3</v>
      </c>
      <c r="Y428" s="3">
        <v>74.599999999999994</v>
      </c>
      <c r="Z428" s="3">
        <v>10895604</v>
      </c>
      <c r="AA428" s="3">
        <v>23.47</v>
      </c>
      <c r="AB428" s="3">
        <v>23.5</v>
      </c>
      <c r="AC428" s="3">
        <v>23.18</v>
      </c>
      <c r="AD428" s="3">
        <v>23.38</v>
      </c>
      <c r="AE428" s="3">
        <v>57418139</v>
      </c>
      <c r="AF428" s="3">
        <v>70.430000000000007</v>
      </c>
      <c r="AG428" s="3">
        <v>70.89</v>
      </c>
      <c r="AH428" s="3">
        <v>70.260000000000005</v>
      </c>
      <c r="AI428" s="3">
        <v>70.849999999999994</v>
      </c>
      <c r="AJ428" s="3">
        <v>9358905</v>
      </c>
      <c r="AK428" s="3">
        <v>63.18</v>
      </c>
      <c r="AL428" s="3">
        <v>63.24</v>
      </c>
      <c r="AM428" s="3">
        <v>62.37</v>
      </c>
      <c r="AN428" s="3">
        <v>62.98</v>
      </c>
      <c r="AO428" s="3">
        <v>11844617</v>
      </c>
      <c r="AP428" s="3">
        <v>51.05</v>
      </c>
      <c r="AQ428" s="3">
        <v>51.05</v>
      </c>
      <c r="AR428" s="3">
        <v>50.63</v>
      </c>
      <c r="AS428" s="3">
        <v>50.95</v>
      </c>
      <c r="AT428" s="3">
        <v>3156001</v>
      </c>
      <c r="AU428" s="3">
        <v>49.44</v>
      </c>
      <c r="AV428" s="3">
        <v>49.57</v>
      </c>
      <c r="AW428" s="3">
        <v>49.04</v>
      </c>
      <c r="AX428" s="3">
        <v>49.51</v>
      </c>
      <c r="AY428" s="3">
        <v>6862721</v>
      </c>
      <c r="AZ428" s="3">
        <v>48.57</v>
      </c>
      <c r="BA428" s="3">
        <v>48.66</v>
      </c>
      <c r="BB428" s="3">
        <v>48.29</v>
      </c>
      <c r="BC428" s="3">
        <v>48.58</v>
      </c>
      <c r="BD428" s="3">
        <v>9410404</v>
      </c>
      <c r="BE428" s="3">
        <v>30.54</v>
      </c>
      <c r="BF428" s="3">
        <v>30.8</v>
      </c>
      <c r="BG428" s="3">
        <v>30.39</v>
      </c>
      <c r="BH428" s="3">
        <v>30.76</v>
      </c>
      <c r="BI428" s="3">
        <v>1481143</v>
      </c>
    </row>
    <row r="429" spans="1:61" ht="13" x14ac:dyDescent="0.15">
      <c r="A429" s="3">
        <v>42748</v>
      </c>
      <c r="B429" s="3">
        <v>2272.7399999999998</v>
      </c>
      <c r="C429" s="3">
        <v>2278.6799999999998</v>
      </c>
      <c r="D429" s="3">
        <v>2271.5100000000002</v>
      </c>
      <c r="E429" s="3">
        <v>2274.64</v>
      </c>
      <c r="F429" s="3">
        <v>707256094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3">
        <v>83.7</v>
      </c>
      <c r="M429" s="3">
        <v>84.04</v>
      </c>
      <c r="N429" s="3">
        <v>83.7</v>
      </c>
      <c r="O429" s="3">
        <v>83.96</v>
      </c>
      <c r="P429" s="3">
        <v>2808352</v>
      </c>
      <c r="Q429" s="3">
        <v>51.49</v>
      </c>
      <c r="R429" s="3">
        <v>51.62</v>
      </c>
      <c r="S429" s="3">
        <v>51.39</v>
      </c>
      <c r="T429" s="3">
        <v>51.52</v>
      </c>
      <c r="U429" s="3">
        <v>6517691</v>
      </c>
      <c r="V429" s="3">
        <v>74.5</v>
      </c>
      <c r="W429" s="3">
        <v>74.66</v>
      </c>
      <c r="X429" s="3">
        <v>74.19</v>
      </c>
      <c r="Y429" s="3">
        <v>74.38</v>
      </c>
      <c r="Z429" s="3">
        <v>9906660</v>
      </c>
      <c r="AA429" s="3">
        <v>23.54</v>
      </c>
      <c r="AB429" s="3">
        <v>23.79</v>
      </c>
      <c r="AC429" s="3">
        <v>23.41</v>
      </c>
      <c r="AD429" s="3">
        <v>23.51</v>
      </c>
      <c r="AE429" s="3">
        <v>72479684</v>
      </c>
      <c r="AF429" s="3">
        <v>70.91</v>
      </c>
      <c r="AG429" s="3">
        <v>71.16</v>
      </c>
      <c r="AH429" s="3">
        <v>70.75</v>
      </c>
      <c r="AI429" s="3">
        <v>70.92</v>
      </c>
      <c r="AJ429" s="3">
        <v>5279017</v>
      </c>
      <c r="AK429" s="3">
        <v>63.02</v>
      </c>
      <c r="AL429" s="3">
        <v>63.28</v>
      </c>
      <c r="AM429" s="3">
        <v>63</v>
      </c>
      <c r="AN429" s="3">
        <v>63.22</v>
      </c>
      <c r="AO429" s="3">
        <v>7130190</v>
      </c>
      <c r="AP429" s="3">
        <v>50.96</v>
      </c>
      <c r="AQ429" s="3">
        <v>51.01</v>
      </c>
      <c r="AR429" s="3">
        <v>50.74</v>
      </c>
      <c r="AS429" s="3">
        <v>50.87</v>
      </c>
      <c r="AT429" s="3">
        <v>2448449</v>
      </c>
      <c r="AU429" s="3">
        <v>49.51</v>
      </c>
      <c r="AV429" s="3">
        <v>49.75</v>
      </c>
      <c r="AW429" s="3">
        <v>49.51</v>
      </c>
      <c r="AX429" s="3">
        <v>49.66</v>
      </c>
      <c r="AY429" s="3">
        <v>4832928</v>
      </c>
      <c r="AZ429" s="3">
        <v>48.48</v>
      </c>
      <c r="BA429" s="3">
        <v>48.65</v>
      </c>
      <c r="BB429" s="3">
        <v>48.2</v>
      </c>
      <c r="BC429" s="3">
        <v>48.51</v>
      </c>
      <c r="BD429" s="3">
        <v>12173599</v>
      </c>
      <c r="BE429" s="3">
        <v>30.67</v>
      </c>
      <c r="BF429" s="3">
        <v>30.83</v>
      </c>
      <c r="BG429" s="3">
        <v>30.63</v>
      </c>
      <c r="BH429" s="3">
        <v>30.69</v>
      </c>
      <c r="BI429" s="3">
        <v>1469619</v>
      </c>
    </row>
    <row r="430" spans="1:61" ht="13" x14ac:dyDescent="0.15">
      <c r="A430" s="3">
        <v>42752</v>
      </c>
      <c r="B430" s="3">
        <v>2269.14</v>
      </c>
      <c r="C430" s="3">
        <v>2272.08</v>
      </c>
      <c r="D430" s="3">
        <v>2262.81</v>
      </c>
      <c r="E430" s="3">
        <v>2267.89</v>
      </c>
      <c r="F430" s="3">
        <v>2147375749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3">
        <v>83.72</v>
      </c>
      <c r="M430" s="3">
        <v>84.38</v>
      </c>
      <c r="N430" s="3">
        <v>83.71</v>
      </c>
      <c r="O430" s="3">
        <v>84.1</v>
      </c>
      <c r="P430" s="3">
        <v>4325927</v>
      </c>
      <c r="Q430" s="3">
        <v>51.56</v>
      </c>
      <c r="R430" s="3">
        <v>52.28</v>
      </c>
      <c r="S430" s="3">
        <v>51.51</v>
      </c>
      <c r="T430" s="3">
        <v>52.25</v>
      </c>
      <c r="U430" s="3">
        <v>19030129</v>
      </c>
      <c r="V430" s="3">
        <v>74.61</v>
      </c>
      <c r="W430" s="3">
        <v>75.02</v>
      </c>
      <c r="X430" s="3">
        <v>74.55</v>
      </c>
      <c r="Y430" s="3">
        <v>74.84</v>
      </c>
      <c r="Z430" s="3">
        <v>9782959</v>
      </c>
      <c r="AA430" s="3">
        <v>23.34</v>
      </c>
      <c r="AB430" s="3">
        <v>23.35</v>
      </c>
      <c r="AC430" s="3">
        <v>22.94</v>
      </c>
      <c r="AD430" s="3">
        <v>22.95</v>
      </c>
      <c r="AE430" s="3">
        <v>96657836</v>
      </c>
      <c r="AF430" s="3">
        <v>70.48</v>
      </c>
      <c r="AG430" s="3">
        <v>70.680000000000007</v>
      </c>
      <c r="AH430" s="3">
        <v>69.98</v>
      </c>
      <c r="AI430" s="3">
        <v>70.56</v>
      </c>
      <c r="AJ430" s="3">
        <v>6038233</v>
      </c>
      <c r="AK430" s="3">
        <v>62.88</v>
      </c>
      <c r="AL430" s="3">
        <v>62.99</v>
      </c>
      <c r="AM430" s="3">
        <v>62.55</v>
      </c>
      <c r="AN430" s="3">
        <v>62.73</v>
      </c>
      <c r="AO430" s="3">
        <v>10689396</v>
      </c>
      <c r="AP430" s="3">
        <v>50.74</v>
      </c>
      <c r="AQ430" s="3">
        <v>50.86</v>
      </c>
      <c r="AR430" s="3">
        <v>50.48</v>
      </c>
      <c r="AS430" s="3">
        <v>50.64</v>
      </c>
      <c r="AT430" s="3">
        <v>3681657</v>
      </c>
      <c r="AU430" s="3">
        <v>49.53</v>
      </c>
      <c r="AV430" s="3">
        <v>49.61</v>
      </c>
      <c r="AW430" s="3">
        <v>49.36</v>
      </c>
      <c r="AX430" s="3">
        <v>49.47</v>
      </c>
      <c r="AY430" s="3">
        <v>4825753</v>
      </c>
      <c r="AZ430" s="3">
        <v>48.67</v>
      </c>
      <c r="BA430" s="3">
        <v>49.2</v>
      </c>
      <c r="BB430" s="3">
        <v>48.63</v>
      </c>
      <c r="BC430" s="3">
        <v>49.04</v>
      </c>
      <c r="BD430" s="3">
        <v>15325970</v>
      </c>
      <c r="BE430" s="3">
        <v>30.67</v>
      </c>
      <c r="BF430" s="3">
        <v>30.96</v>
      </c>
      <c r="BG430" s="3">
        <v>30.6</v>
      </c>
      <c r="BH430" s="3">
        <v>30.94</v>
      </c>
      <c r="BI430" s="3">
        <v>1759098</v>
      </c>
    </row>
    <row r="431" spans="1:61" ht="13" x14ac:dyDescent="0.15">
      <c r="A431" s="3">
        <v>42753</v>
      </c>
      <c r="B431" s="3">
        <v>2269.14</v>
      </c>
      <c r="C431" s="3">
        <v>2272.0100000000002</v>
      </c>
      <c r="D431" s="3">
        <v>2263.35</v>
      </c>
      <c r="E431" s="3">
        <v>2271.89</v>
      </c>
      <c r="F431" s="3">
        <v>924902096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3">
        <v>84.13</v>
      </c>
      <c r="M431" s="3">
        <v>84.13</v>
      </c>
      <c r="N431" s="3">
        <v>83.66</v>
      </c>
      <c r="O431" s="3">
        <v>83.95</v>
      </c>
      <c r="P431" s="3">
        <v>2910097</v>
      </c>
      <c r="Q431" s="3">
        <v>52.2</v>
      </c>
      <c r="R431" s="3">
        <v>52.45</v>
      </c>
      <c r="S431" s="3">
        <v>52.2</v>
      </c>
      <c r="T431" s="3">
        <v>52.43</v>
      </c>
      <c r="U431" s="3">
        <v>11652057</v>
      </c>
      <c r="V431" s="3">
        <v>74.430000000000007</v>
      </c>
      <c r="W431" s="3">
        <v>74.87</v>
      </c>
      <c r="X431" s="3">
        <v>74.34</v>
      </c>
      <c r="Y431" s="3">
        <v>74.67</v>
      </c>
      <c r="Z431" s="3">
        <v>8725161</v>
      </c>
      <c r="AA431" s="3">
        <v>23.07</v>
      </c>
      <c r="AB431" s="3">
        <v>23.17</v>
      </c>
      <c r="AC431" s="3">
        <v>22.85</v>
      </c>
      <c r="AD431" s="3">
        <v>23.14</v>
      </c>
      <c r="AE431" s="3">
        <v>68289123</v>
      </c>
      <c r="AF431" s="3">
        <v>70.7</v>
      </c>
      <c r="AG431" s="3">
        <v>70.86</v>
      </c>
      <c r="AH431" s="3">
        <v>70.33</v>
      </c>
      <c r="AI431" s="3">
        <v>70.47</v>
      </c>
      <c r="AJ431" s="3">
        <v>6174216</v>
      </c>
      <c r="AK431" s="3">
        <v>62.64</v>
      </c>
      <c r="AL431" s="3">
        <v>63.09</v>
      </c>
      <c r="AM431" s="3">
        <v>62.51</v>
      </c>
      <c r="AN431" s="3">
        <v>62.97</v>
      </c>
      <c r="AO431" s="3">
        <v>8098636</v>
      </c>
      <c r="AP431" s="3">
        <v>50.78</v>
      </c>
      <c r="AQ431" s="3">
        <v>51.01</v>
      </c>
      <c r="AR431" s="3">
        <v>50.61</v>
      </c>
      <c r="AS431" s="3">
        <v>50.96</v>
      </c>
      <c r="AT431" s="3">
        <v>3036690</v>
      </c>
      <c r="AU431" s="3">
        <v>49.61</v>
      </c>
      <c r="AV431" s="3">
        <v>49.67</v>
      </c>
      <c r="AW431" s="3">
        <v>49.48</v>
      </c>
      <c r="AX431" s="3">
        <v>49.6</v>
      </c>
      <c r="AY431" s="3">
        <v>6157702</v>
      </c>
      <c r="AZ431" s="3">
        <v>48.9</v>
      </c>
      <c r="BA431" s="3">
        <v>49.22</v>
      </c>
      <c r="BB431" s="3">
        <v>48.9</v>
      </c>
      <c r="BC431" s="3">
        <v>48.98</v>
      </c>
      <c r="BD431" s="3">
        <v>13230909</v>
      </c>
      <c r="BE431" s="3">
        <v>30.98</v>
      </c>
      <c r="BF431" s="3">
        <v>31.14</v>
      </c>
      <c r="BG431" s="3">
        <v>30.89</v>
      </c>
      <c r="BH431" s="3">
        <v>31.01</v>
      </c>
      <c r="BI431" s="3">
        <v>1575728</v>
      </c>
    </row>
    <row r="432" spans="1:61" ht="13" x14ac:dyDescent="0.15">
      <c r="A432" s="3">
        <v>42754</v>
      </c>
      <c r="B432" s="3">
        <v>2271.9</v>
      </c>
      <c r="C432" s="3">
        <v>2274.33</v>
      </c>
      <c r="D432" s="3">
        <v>2258.41</v>
      </c>
      <c r="E432" s="3">
        <v>2263.69</v>
      </c>
      <c r="F432" s="3">
        <v>967540951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3">
        <v>84.07</v>
      </c>
      <c r="M432" s="3">
        <v>84.36</v>
      </c>
      <c r="N432" s="3">
        <v>83.5</v>
      </c>
      <c r="O432" s="3">
        <v>83.69</v>
      </c>
      <c r="P432" s="3">
        <v>4162977</v>
      </c>
      <c r="Q432" s="3">
        <v>52.37</v>
      </c>
      <c r="R432" s="3">
        <v>52.37</v>
      </c>
      <c r="S432" s="3">
        <v>52.12</v>
      </c>
      <c r="T432" s="3">
        <v>52.24</v>
      </c>
      <c r="U432" s="3">
        <v>17283419</v>
      </c>
      <c r="V432" s="3">
        <v>74.67</v>
      </c>
      <c r="W432" s="3">
        <v>74.7</v>
      </c>
      <c r="X432" s="3">
        <v>74.08</v>
      </c>
      <c r="Y432" s="3">
        <v>74.260000000000005</v>
      </c>
      <c r="Z432" s="3">
        <v>9000920</v>
      </c>
      <c r="AA432" s="3">
        <v>23.19</v>
      </c>
      <c r="AB432" s="3">
        <v>23.25</v>
      </c>
      <c r="AC432" s="3">
        <v>22.96</v>
      </c>
      <c r="AD432" s="3">
        <v>23.04</v>
      </c>
      <c r="AE432" s="3">
        <v>56729679</v>
      </c>
      <c r="AF432" s="3">
        <v>70.45</v>
      </c>
      <c r="AG432" s="3">
        <v>70.61</v>
      </c>
      <c r="AH432" s="3">
        <v>69.91</v>
      </c>
      <c r="AI432" s="3">
        <v>70.02</v>
      </c>
      <c r="AJ432" s="3">
        <v>6470661</v>
      </c>
      <c r="AK432" s="3">
        <v>63.64</v>
      </c>
      <c r="AL432" s="3">
        <v>63.75</v>
      </c>
      <c r="AM432" s="3">
        <v>63.06</v>
      </c>
      <c r="AN432" s="3">
        <v>63.43</v>
      </c>
      <c r="AO432" s="3">
        <v>8833174</v>
      </c>
      <c r="AP432" s="3">
        <v>51.02</v>
      </c>
      <c r="AQ432" s="3">
        <v>51.13</v>
      </c>
      <c r="AR432" s="3">
        <v>50.45</v>
      </c>
      <c r="AS432" s="3">
        <v>50.64</v>
      </c>
      <c r="AT432" s="3">
        <v>3303200</v>
      </c>
      <c r="AU432" s="3">
        <v>49.6</v>
      </c>
      <c r="AV432" s="3">
        <v>49.78</v>
      </c>
      <c r="AW432" s="3">
        <v>49.44</v>
      </c>
      <c r="AX432" s="3">
        <v>49.53</v>
      </c>
      <c r="AY432" s="3">
        <v>7250031</v>
      </c>
      <c r="AZ432" s="3">
        <v>48.7</v>
      </c>
      <c r="BA432" s="3">
        <v>48.98</v>
      </c>
      <c r="BB432" s="3">
        <v>48.43</v>
      </c>
      <c r="BC432" s="3">
        <v>48.55</v>
      </c>
      <c r="BD432" s="3">
        <v>13800486</v>
      </c>
      <c r="BE432" s="3">
        <v>30.88</v>
      </c>
      <c r="BF432" s="3">
        <v>30.91</v>
      </c>
      <c r="BG432" s="3">
        <v>30.65</v>
      </c>
      <c r="BH432" s="3">
        <v>30.71</v>
      </c>
      <c r="BI432" s="3">
        <v>1631067</v>
      </c>
    </row>
    <row r="433" spans="1:61" ht="13" x14ac:dyDescent="0.15">
      <c r="A433" s="3">
        <v>42755</v>
      </c>
      <c r="B433" s="3">
        <v>2269.96</v>
      </c>
      <c r="C433" s="3">
        <v>2276.96</v>
      </c>
      <c r="D433" s="3">
        <v>2265.0100000000002</v>
      </c>
      <c r="E433" s="3">
        <v>2271.31</v>
      </c>
      <c r="F433" s="3">
        <v>2311814000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3">
        <v>83.99</v>
      </c>
      <c r="M433" s="3">
        <v>84.15</v>
      </c>
      <c r="N433" s="3">
        <v>83.66</v>
      </c>
      <c r="O433" s="3">
        <v>83.93</v>
      </c>
      <c r="P433" s="3">
        <v>5491896</v>
      </c>
      <c r="Q433" s="3">
        <v>52.49</v>
      </c>
      <c r="R433" s="3">
        <v>52.77</v>
      </c>
      <c r="S433" s="3">
        <v>52.31</v>
      </c>
      <c r="T433" s="3">
        <v>52.58</v>
      </c>
      <c r="U433" s="3">
        <v>11015593</v>
      </c>
      <c r="V433" s="3">
        <v>74.739999999999995</v>
      </c>
      <c r="W433" s="3">
        <v>74.989999999999995</v>
      </c>
      <c r="X433" s="3">
        <v>74.290000000000006</v>
      </c>
      <c r="Y433" s="3">
        <v>74.540000000000006</v>
      </c>
      <c r="Z433" s="3">
        <v>9182221</v>
      </c>
      <c r="AA433" s="3">
        <v>23.11</v>
      </c>
      <c r="AB433" s="3">
        <v>23.23</v>
      </c>
      <c r="AC433" s="3">
        <v>23.03</v>
      </c>
      <c r="AD433" s="3">
        <v>23.15</v>
      </c>
      <c r="AE433" s="3">
        <v>74805151</v>
      </c>
      <c r="AF433" s="3">
        <v>70.02</v>
      </c>
      <c r="AG433" s="3">
        <v>70.37</v>
      </c>
      <c r="AH433" s="3">
        <v>69.78</v>
      </c>
      <c r="AI433" s="3">
        <v>69.84</v>
      </c>
      <c r="AJ433" s="3">
        <v>7006899</v>
      </c>
      <c r="AK433" s="3">
        <v>63.41</v>
      </c>
      <c r="AL433" s="3">
        <v>63.51</v>
      </c>
      <c r="AM433" s="3">
        <v>63.08</v>
      </c>
      <c r="AN433" s="3">
        <v>63.44</v>
      </c>
      <c r="AO433" s="3">
        <v>11620318</v>
      </c>
      <c r="AP433" s="3">
        <v>50.82</v>
      </c>
      <c r="AQ433" s="3">
        <v>51.18</v>
      </c>
      <c r="AR433" s="3">
        <v>50.78</v>
      </c>
      <c r="AS433" s="3">
        <v>51.09</v>
      </c>
      <c r="AT433" s="3">
        <v>5006861</v>
      </c>
      <c r="AU433" s="3">
        <v>49.75</v>
      </c>
      <c r="AV433" s="3">
        <v>49.93</v>
      </c>
      <c r="AW433" s="3">
        <v>49.67</v>
      </c>
      <c r="AX433" s="3">
        <v>49.8</v>
      </c>
      <c r="AY433" s="3">
        <v>8755400</v>
      </c>
      <c r="AZ433" s="3">
        <v>48.62</v>
      </c>
      <c r="BA433" s="3">
        <v>48.78</v>
      </c>
      <c r="BB433" s="3">
        <v>48.33</v>
      </c>
      <c r="BC433" s="3">
        <v>48.64</v>
      </c>
      <c r="BD433" s="3">
        <v>11874247</v>
      </c>
      <c r="BE433" s="3">
        <v>30.69</v>
      </c>
      <c r="BF433" s="3">
        <v>30.93</v>
      </c>
      <c r="BG433" s="3">
        <v>30.65</v>
      </c>
      <c r="BH433" s="3">
        <v>30.9</v>
      </c>
      <c r="BI433" s="3">
        <v>1605060</v>
      </c>
    </row>
    <row r="434" spans="1:61" ht="13" x14ac:dyDescent="0.15">
      <c r="A434" s="3">
        <v>42758</v>
      </c>
      <c r="B434" s="3">
        <v>2267.7800000000002</v>
      </c>
      <c r="C434" s="3">
        <v>2271.7800000000002</v>
      </c>
      <c r="D434" s="3">
        <v>2257.02</v>
      </c>
      <c r="E434" s="3">
        <v>2265.1999999999998</v>
      </c>
      <c r="F434" s="3">
        <v>916810570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3">
        <v>83.55</v>
      </c>
      <c r="M434" s="3">
        <v>84.02</v>
      </c>
      <c r="N434" s="3">
        <v>83.47</v>
      </c>
      <c r="O434" s="3">
        <v>83.99</v>
      </c>
      <c r="P434" s="3">
        <v>8552873</v>
      </c>
      <c r="Q434" s="3">
        <v>52.58</v>
      </c>
      <c r="R434" s="3">
        <v>52.61</v>
      </c>
      <c r="S434" s="3">
        <v>52.39</v>
      </c>
      <c r="T434" s="3">
        <v>52.56</v>
      </c>
      <c r="U434" s="3">
        <v>16203816</v>
      </c>
      <c r="V434" s="3">
        <v>74.2</v>
      </c>
      <c r="W434" s="3">
        <v>74.349999999999994</v>
      </c>
      <c r="X434" s="3">
        <v>73.39</v>
      </c>
      <c r="Y434" s="3">
        <v>73.75</v>
      </c>
      <c r="Z434" s="3">
        <v>15207044</v>
      </c>
      <c r="AA434" s="3">
        <v>23.05</v>
      </c>
      <c r="AB434" s="3">
        <v>23.19</v>
      </c>
      <c r="AC434" s="3">
        <v>22.92</v>
      </c>
      <c r="AD434" s="3">
        <v>23</v>
      </c>
      <c r="AE434" s="3">
        <v>46651232</v>
      </c>
      <c r="AF434" s="3">
        <v>69.75</v>
      </c>
      <c r="AG434" s="3">
        <v>69.94</v>
      </c>
      <c r="AH434" s="3">
        <v>69.290000000000006</v>
      </c>
      <c r="AI434" s="3">
        <v>69.55</v>
      </c>
      <c r="AJ434" s="3">
        <v>10003675</v>
      </c>
      <c r="AK434" s="3">
        <v>63.37</v>
      </c>
      <c r="AL434" s="3">
        <v>63.5</v>
      </c>
      <c r="AM434" s="3">
        <v>62.74</v>
      </c>
      <c r="AN434" s="3">
        <v>63.09</v>
      </c>
      <c r="AO434" s="3">
        <v>14303720</v>
      </c>
      <c r="AP434" s="3">
        <v>51.09</v>
      </c>
      <c r="AQ434" s="3">
        <v>51.27</v>
      </c>
      <c r="AR434" s="3">
        <v>50.9</v>
      </c>
      <c r="AS434" s="3">
        <v>51.19</v>
      </c>
      <c r="AT434" s="3">
        <v>4161091</v>
      </c>
      <c r="AU434" s="3">
        <v>49.75</v>
      </c>
      <c r="AV434" s="3">
        <v>49.91</v>
      </c>
      <c r="AW434" s="3">
        <v>49.54</v>
      </c>
      <c r="AX434" s="3">
        <v>49.89</v>
      </c>
      <c r="AY434" s="3">
        <v>11977629</v>
      </c>
      <c r="AZ434" s="3">
        <v>48.71</v>
      </c>
      <c r="BA434" s="3">
        <v>48.82</v>
      </c>
      <c r="BB434" s="3">
        <v>48.34</v>
      </c>
      <c r="BC434" s="3">
        <v>48.39</v>
      </c>
      <c r="BD434" s="3">
        <v>10625505</v>
      </c>
      <c r="BE434" s="3">
        <v>30.84</v>
      </c>
      <c r="BF434" s="3">
        <v>31.15</v>
      </c>
      <c r="BG434" s="3">
        <v>30.84</v>
      </c>
      <c r="BH434" s="3">
        <v>31.09</v>
      </c>
      <c r="BI434" s="3">
        <v>3551466</v>
      </c>
    </row>
    <row r="435" spans="1:61" ht="13" x14ac:dyDescent="0.15">
      <c r="A435" s="3">
        <v>42759</v>
      </c>
      <c r="B435" s="3">
        <v>2267.88</v>
      </c>
      <c r="C435" s="3">
        <v>2284.63</v>
      </c>
      <c r="D435" s="3">
        <v>2266.6799999999998</v>
      </c>
      <c r="E435" s="3">
        <v>2280.0700000000002</v>
      </c>
      <c r="F435" s="3">
        <v>2147415305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3">
        <v>84.12</v>
      </c>
      <c r="M435" s="3">
        <v>84.77</v>
      </c>
      <c r="N435" s="3">
        <v>83.97</v>
      </c>
      <c r="O435" s="3">
        <v>84.68</v>
      </c>
      <c r="P435" s="3">
        <v>4797237</v>
      </c>
      <c r="Q435" s="3">
        <v>52.6</v>
      </c>
      <c r="R435" s="3">
        <v>52.96</v>
      </c>
      <c r="S435" s="3">
        <v>52.58</v>
      </c>
      <c r="T435" s="3">
        <v>52.91</v>
      </c>
      <c r="U435" s="3">
        <v>10242502</v>
      </c>
      <c r="V435" s="3">
        <v>74.040000000000006</v>
      </c>
      <c r="W435" s="3">
        <v>74.88</v>
      </c>
      <c r="X435" s="3">
        <v>73.900000000000006</v>
      </c>
      <c r="Y435" s="3">
        <v>74.56</v>
      </c>
      <c r="Z435" s="3">
        <v>11857240</v>
      </c>
      <c r="AA435" s="3">
        <v>23.11</v>
      </c>
      <c r="AB435" s="3">
        <v>23.38</v>
      </c>
      <c r="AC435" s="3">
        <v>23.01</v>
      </c>
      <c r="AD435" s="3">
        <v>23.29</v>
      </c>
      <c r="AE435" s="3">
        <v>45229461</v>
      </c>
      <c r="AF435" s="3">
        <v>69.48</v>
      </c>
      <c r="AG435" s="3">
        <v>69.53</v>
      </c>
      <c r="AH435" s="3">
        <v>68.75</v>
      </c>
      <c r="AI435" s="3">
        <v>69.069999999999993</v>
      </c>
      <c r="AJ435" s="3">
        <v>8703494</v>
      </c>
      <c r="AK435" s="3">
        <v>63.1</v>
      </c>
      <c r="AL435" s="3">
        <v>63.87</v>
      </c>
      <c r="AM435" s="3">
        <v>63.02</v>
      </c>
      <c r="AN435" s="3">
        <v>63.72</v>
      </c>
      <c r="AO435" s="3">
        <v>9199687</v>
      </c>
      <c r="AP435" s="3">
        <v>51.38</v>
      </c>
      <c r="AQ435" s="3">
        <v>52.63</v>
      </c>
      <c r="AR435" s="3">
        <v>51.38</v>
      </c>
      <c r="AS435" s="3">
        <v>52.51</v>
      </c>
      <c r="AT435" s="3">
        <v>7980975</v>
      </c>
      <c r="AU435" s="3">
        <v>49.85</v>
      </c>
      <c r="AV435" s="3">
        <v>50.28</v>
      </c>
      <c r="AW435" s="3">
        <v>49.83</v>
      </c>
      <c r="AX435" s="3">
        <v>50.2</v>
      </c>
      <c r="AY435" s="3">
        <v>6510953</v>
      </c>
      <c r="AZ435" s="3">
        <v>48.38</v>
      </c>
      <c r="BA435" s="3">
        <v>48.59</v>
      </c>
      <c r="BB435" s="3">
        <v>48.29</v>
      </c>
      <c r="BC435" s="3">
        <v>48.38</v>
      </c>
      <c r="BD435" s="3">
        <v>11049442</v>
      </c>
      <c r="BE435" s="3">
        <v>31.02</v>
      </c>
      <c r="BF435" s="3">
        <v>31.21</v>
      </c>
      <c r="BG435" s="3">
        <v>30.97</v>
      </c>
      <c r="BH435" s="3">
        <v>31.1</v>
      </c>
      <c r="BI435" s="3">
        <v>1890180</v>
      </c>
    </row>
    <row r="436" spans="1:61" ht="13" x14ac:dyDescent="0.15">
      <c r="A436" s="3">
        <v>42760</v>
      </c>
      <c r="B436" s="3">
        <v>2288.88</v>
      </c>
      <c r="C436" s="3">
        <v>2299.5500000000002</v>
      </c>
      <c r="D436" s="3">
        <v>2288.88</v>
      </c>
      <c r="E436" s="3">
        <v>2298.37</v>
      </c>
      <c r="F436" s="3">
        <v>2461512000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3">
        <v>85.01</v>
      </c>
      <c r="M436" s="3">
        <v>85.29</v>
      </c>
      <c r="N436" s="3">
        <v>84.95</v>
      </c>
      <c r="O436" s="3">
        <v>85.2</v>
      </c>
      <c r="P436" s="3">
        <v>3669079</v>
      </c>
      <c r="Q436" s="3">
        <v>53.03</v>
      </c>
      <c r="R436" s="3">
        <v>53.1</v>
      </c>
      <c r="S436" s="3">
        <v>52.89</v>
      </c>
      <c r="T436" s="3">
        <v>52.9</v>
      </c>
      <c r="U436" s="3">
        <v>8816756</v>
      </c>
      <c r="V436" s="3">
        <v>74.58</v>
      </c>
      <c r="W436" s="3">
        <v>75.180000000000007</v>
      </c>
      <c r="X436" s="3">
        <v>74.56</v>
      </c>
      <c r="Y436" s="3">
        <v>74.95</v>
      </c>
      <c r="Z436" s="3">
        <v>9410281</v>
      </c>
      <c r="AA436" s="3">
        <v>23.54</v>
      </c>
      <c r="AB436" s="3">
        <v>23.69</v>
      </c>
      <c r="AC436" s="3">
        <v>23.43</v>
      </c>
      <c r="AD436" s="3">
        <v>23.68</v>
      </c>
      <c r="AE436" s="3">
        <v>92850136</v>
      </c>
      <c r="AF436" s="3">
        <v>69.13</v>
      </c>
      <c r="AG436" s="3">
        <v>69.75</v>
      </c>
      <c r="AH436" s="3">
        <v>69.09</v>
      </c>
      <c r="AI436" s="3">
        <v>69.72</v>
      </c>
      <c r="AJ436" s="3">
        <v>6553834</v>
      </c>
      <c r="AK436" s="3">
        <v>64.150000000000006</v>
      </c>
      <c r="AL436" s="3">
        <v>64.47</v>
      </c>
      <c r="AM436" s="3">
        <v>64.03</v>
      </c>
      <c r="AN436" s="3">
        <v>64.39</v>
      </c>
      <c r="AO436" s="3">
        <v>12955643</v>
      </c>
      <c r="AP436" s="3">
        <v>52.73</v>
      </c>
      <c r="AQ436" s="3">
        <v>52.91</v>
      </c>
      <c r="AR436" s="3">
        <v>52.4</v>
      </c>
      <c r="AS436" s="3">
        <v>52.86</v>
      </c>
      <c r="AT436" s="3">
        <v>8220939</v>
      </c>
      <c r="AU436" s="3">
        <v>50.47</v>
      </c>
      <c r="AV436" s="3">
        <v>50.68</v>
      </c>
      <c r="AW436" s="3">
        <v>50.43</v>
      </c>
      <c r="AX436" s="3">
        <v>50.68</v>
      </c>
      <c r="AY436" s="3">
        <v>9197791</v>
      </c>
      <c r="AZ436" s="3">
        <v>48.16</v>
      </c>
      <c r="BA436" s="3">
        <v>48.43</v>
      </c>
      <c r="BB436" s="3">
        <v>48.11</v>
      </c>
      <c r="BC436" s="3">
        <v>48.38</v>
      </c>
      <c r="BD436" s="3">
        <v>19230002</v>
      </c>
      <c r="BE436" s="3">
        <v>31.25</v>
      </c>
      <c r="BF436" s="3">
        <v>31.25</v>
      </c>
      <c r="BG436" s="3">
        <v>30.82</v>
      </c>
      <c r="BH436" s="3">
        <v>30.91</v>
      </c>
      <c r="BI436" s="3">
        <v>1630775</v>
      </c>
    </row>
    <row r="437" spans="1:61" ht="13" x14ac:dyDescent="0.15">
      <c r="A437" s="3">
        <v>42761</v>
      </c>
      <c r="B437" s="3">
        <v>2298.63</v>
      </c>
      <c r="C437" s="3">
        <v>2300.9899999999998</v>
      </c>
      <c r="D437" s="3">
        <v>2294.08</v>
      </c>
      <c r="E437" s="3">
        <v>2296.6799999999998</v>
      </c>
      <c r="F437" s="3">
        <v>2333681818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3">
        <v>85.27</v>
      </c>
      <c r="M437" s="3">
        <v>85.64</v>
      </c>
      <c r="N437" s="3">
        <v>85.07</v>
      </c>
      <c r="O437" s="3">
        <v>85.33</v>
      </c>
      <c r="P437" s="3">
        <v>3904985</v>
      </c>
      <c r="Q437" s="3">
        <v>52.92</v>
      </c>
      <c r="R437" s="3">
        <v>52.93</v>
      </c>
      <c r="S437" s="3">
        <v>52.67</v>
      </c>
      <c r="T437" s="3">
        <v>52.67</v>
      </c>
      <c r="U437" s="3">
        <v>9985411</v>
      </c>
      <c r="V437" s="3">
        <v>75.19</v>
      </c>
      <c r="W437" s="3">
        <v>75.31</v>
      </c>
      <c r="X437" s="3">
        <v>74.849999999999994</v>
      </c>
      <c r="Y437" s="3">
        <v>75.010000000000005</v>
      </c>
      <c r="Z437" s="3">
        <v>8651667</v>
      </c>
      <c r="AA437" s="3">
        <v>23.72</v>
      </c>
      <c r="AB437" s="3">
        <v>23.8</v>
      </c>
      <c r="AC437" s="3">
        <v>23.61</v>
      </c>
      <c r="AD437" s="3">
        <v>23.74</v>
      </c>
      <c r="AE437" s="3">
        <v>70704365</v>
      </c>
      <c r="AF437" s="3">
        <v>69.569999999999993</v>
      </c>
      <c r="AG437" s="3">
        <v>69.69</v>
      </c>
      <c r="AH437" s="3">
        <v>69.17</v>
      </c>
      <c r="AI437" s="3">
        <v>69.180000000000007</v>
      </c>
      <c r="AJ437" s="3">
        <v>6612453</v>
      </c>
      <c r="AK437" s="3">
        <v>64.459999999999994</v>
      </c>
      <c r="AL437" s="3">
        <v>64.849999999999994</v>
      </c>
      <c r="AM437" s="3">
        <v>64.27</v>
      </c>
      <c r="AN437" s="3">
        <v>64.540000000000006</v>
      </c>
      <c r="AO437" s="3">
        <v>10141825</v>
      </c>
      <c r="AP437" s="3">
        <v>52.87</v>
      </c>
      <c r="AQ437" s="3">
        <v>53.26</v>
      </c>
      <c r="AR437" s="3">
        <v>52.74</v>
      </c>
      <c r="AS437" s="3">
        <v>53</v>
      </c>
      <c r="AT437" s="3">
        <v>5320588</v>
      </c>
      <c r="AU437" s="3">
        <v>50.67</v>
      </c>
      <c r="AV437" s="3">
        <v>50.71</v>
      </c>
      <c r="AW437" s="3">
        <v>50.4</v>
      </c>
      <c r="AX437" s="3">
        <v>50.54</v>
      </c>
      <c r="AY437" s="3">
        <v>7126488</v>
      </c>
      <c r="AZ437" s="3">
        <v>48.36</v>
      </c>
      <c r="BA437" s="3">
        <v>48.63</v>
      </c>
      <c r="BB437" s="3">
        <v>48.18</v>
      </c>
      <c r="BC437" s="3">
        <v>48.4</v>
      </c>
      <c r="BD437" s="3">
        <v>11488239</v>
      </c>
      <c r="BE437" s="3">
        <v>30.91</v>
      </c>
      <c r="BF437" s="3">
        <v>31.1</v>
      </c>
      <c r="BG437" s="3">
        <v>30.86</v>
      </c>
      <c r="BH437" s="3">
        <v>30.89</v>
      </c>
      <c r="BI437" s="3">
        <v>1486031</v>
      </c>
    </row>
    <row r="438" spans="1:61" ht="13" x14ac:dyDescent="0.15">
      <c r="A438" s="3">
        <v>42762</v>
      </c>
      <c r="B438" s="3">
        <v>2299.02</v>
      </c>
      <c r="C438" s="3">
        <v>2299.02</v>
      </c>
      <c r="D438" s="3">
        <v>2291.62</v>
      </c>
      <c r="E438" s="3">
        <v>2294.69</v>
      </c>
      <c r="F438" s="3">
        <v>925519279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3">
        <v>85.39</v>
      </c>
      <c r="M438" s="3">
        <v>85.5</v>
      </c>
      <c r="N438" s="3">
        <v>84.75</v>
      </c>
      <c r="O438" s="3">
        <v>85.06</v>
      </c>
      <c r="P438" s="3">
        <v>4510839</v>
      </c>
      <c r="Q438" s="3">
        <v>52.54</v>
      </c>
      <c r="R438" s="3">
        <v>52.68</v>
      </c>
      <c r="S438" s="3">
        <v>52.24</v>
      </c>
      <c r="T438" s="3">
        <v>52.38</v>
      </c>
      <c r="U438" s="3">
        <v>16358712</v>
      </c>
      <c r="V438" s="3">
        <v>74.55</v>
      </c>
      <c r="W438" s="3">
        <v>74.63</v>
      </c>
      <c r="X438" s="3">
        <v>74.010000000000005</v>
      </c>
      <c r="Y438" s="3">
        <v>74.23</v>
      </c>
      <c r="Z438" s="3">
        <v>9950921</v>
      </c>
      <c r="AA438" s="3">
        <v>23.74</v>
      </c>
      <c r="AB438" s="3">
        <v>23.75</v>
      </c>
      <c r="AC438" s="3">
        <v>23.58</v>
      </c>
      <c r="AD438" s="3">
        <v>23.65</v>
      </c>
      <c r="AE438" s="3">
        <v>43944530</v>
      </c>
      <c r="AF438" s="3">
        <v>69.34</v>
      </c>
      <c r="AG438" s="3">
        <v>69.8</v>
      </c>
      <c r="AH438" s="3">
        <v>69.319999999999993</v>
      </c>
      <c r="AI438" s="3">
        <v>69.75</v>
      </c>
      <c r="AJ438" s="3">
        <v>7264900</v>
      </c>
      <c r="AK438" s="3">
        <v>64.62</v>
      </c>
      <c r="AL438" s="3">
        <v>64.77</v>
      </c>
      <c r="AM438" s="3">
        <v>64.38</v>
      </c>
      <c r="AN438" s="3">
        <v>64.489999999999995</v>
      </c>
      <c r="AO438" s="3">
        <v>8697845</v>
      </c>
      <c r="AP438" s="3">
        <v>52.87</v>
      </c>
      <c r="AQ438" s="3">
        <v>52.97</v>
      </c>
      <c r="AR438" s="3">
        <v>52.7</v>
      </c>
      <c r="AS438" s="3">
        <v>52.81</v>
      </c>
      <c r="AT438" s="3">
        <v>4652569</v>
      </c>
      <c r="AU438" s="3">
        <v>50.72</v>
      </c>
      <c r="AV438" s="3">
        <v>50.83</v>
      </c>
      <c r="AW438" s="3">
        <v>50.63</v>
      </c>
      <c r="AX438" s="3">
        <v>50.74</v>
      </c>
      <c r="AY438" s="3">
        <v>6023012</v>
      </c>
      <c r="AZ438" s="3">
        <v>48.49</v>
      </c>
      <c r="BA438" s="3">
        <v>48.64</v>
      </c>
      <c r="BB438" s="3">
        <v>48.29</v>
      </c>
      <c r="BC438" s="3">
        <v>48.39</v>
      </c>
      <c r="BD438" s="3">
        <v>7228797</v>
      </c>
      <c r="BE438" s="3">
        <v>30.97</v>
      </c>
      <c r="BF438" s="3">
        <v>31</v>
      </c>
      <c r="BG438" s="3">
        <v>30.52</v>
      </c>
      <c r="BH438" s="3">
        <v>30.63</v>
      </c>
      <c r="BI438" s="3">
        <v>1649797</v>
      </c>
    </row>
    <row r="439" spans="1:61" ht="13" x14ac:dyDescent="0.15">
      <c r="A439" s="3">
        <v>42765</v>
      </c>
      <c r="B439" s="3">
        <v>2286.0100000000002</v>
      </c>
      <c r="C439" s="3">
        <v>2286.0100000000002</v>
      </c>
      <c r="D439" s="3">
        <v>2268.04</v>
      </c>
      <c r="E439" s="3">
        <v>2280.9</v>
      </c>
      <c r="F439" s="3">
        <v>1034342001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3">
        <v>84.93</v>
      </c>
      <c r="M439" s="3">
        <v>85.03</v>
      </c>
      <c r="N439" s="3">
        <v>84.19</v>
      </c>
      <c r="O439" s="3">
        <v>84.96</v>
      </c>
      <c r="P439" s="3">
        <v>3789634</v>
      </c>
      <c r="Q439" s="3">
        <v>52.23</v>
      </c>
      <c r="R439" s="3">
        <v>52.41</v>
      </c>
      <c r="S439" s="3">
        <v>52.19</v>
      </c>
      <c r="T439" s="3">
        <v>52.34</v>
      </c>
      <c r="U439" s="3">
        <v>9951653</v>
      </c>
      <c r="V439" s="3">
        <v>73.89</v>
      </c>
      <c r="W439" s="3">
        <v>73.930000000000007</v>
      </c>
      <c r="X439" s="3">
        <v>72.36</v>
      </c>
      <c r="Y439" s="3">
        <v>72.87</v>
      </c>
      <c r="Z439" s="3">
        <v>13286402</v>
      </c>
      <c r="AA439" s="3">
        <v>23.5</v>
      </c>
      <c r="AB439" s="3">
        <v>23.51</v>
      </c>
      <c r="AC439" s="3">
        <v>23.25</v>
      </c>
      <c r="AD439" s="3">
        <v>23.46</v>
      </c>
      <c r="AE439" s="3">
        <v>46168751</v>
      </c>
      <c r="AF439" s="3">
        <v>69.58</v>
      </c>
      <c r="AG439" s="3">
        <v>69.72</v>
      </c>
      <c r="AH439" s="3">
        <v>69.12</v>
      </c>
      <c r="AI439" s="3">
        <v>69.41</v>
      </c>
      <c r="AJ439" s="3">
        <v>7281928</v>
      </c>
      <c r="AK439" s="3">
        <v>64.17</v>
      </c>
      <c r="AL439" s="3">
        <v>64.239999999999995</v>
      </c>
      <c r="AM439" s="3">
        <v>63.44</v>
      </c>
      <c r="AN439" s="3">
        <v>63.94</v>
      </c>
      <c r="AO439" s="3">
        <v>13354578</v>
      </c>
      <c r="AP439" s="3">
        <v>52.62</v>
      </c>
      <c r="AQ439" s="3">
        <v>52.62</v>
      </c>
      <c r="AR439" s="3">
        <v>52.05</v>
      </c>
      <c r="AS439" s="3">
        <v>52.27</v>
      </c>
      <c r="AT439" s="3">
        <v>6043066</v>
      </c>
      <c r="AU439" s="3">
        <v>50.57</v>
      </c>
      <c r="AV439" s="3">
        <v>50.57</v>
      </c>
      <c r="AW439" s="3">
        <v>50.1</v>
      </c>
      <c r="AX439" s="3">
        <v>50.33</v>
      </c>
      <c r="AY439" s="3">
        <v>8446577</v>
      </c>
      <c r="AZ439" s="3">
        <v>48.41</v>
      </c>
      <c r="BA439" s="3">
        <v>48.59</v>
      </c>
      <c r="BB439" s="3">
        <v>48.14</v>
      </c>
      <c r="BC439" s="3">
        <v>48.43</v>
      </c>
      <c r="BD439" s="3">
        <v>9319923</v>
      </c>
      <c r="BE439" s="3">
        <v>30.51</v>
      </c>
      <c r="BF439" s="3">
        <v>30.66</v>
      </c>
      <c r="BG439" s="3">
        <v>30.37</v>
      </c>
      <c r="BH439" s="3">
        <v>30.46</v>
      </c>
      <c r="BI439" s="3">
        <v>2281063</v>
      </c>
    </row>
    <row r="440" spans="1:61" ht="13" x14ac:dyDescent="0.15">
      <c r="A440" s="3">
        <v>42766</v>
      </c>
      <c r="B440" s="3">
        <v>2274.02</v>
      </c>
      <c r="C440" s="3">
        <v>2279.09</v>
      </c>
      <c r="D440" s="3">
        <v>2267.21</v>
      </c>
      <c r="E440" s="3">
        <v>2278.87</v>
      </c>
      <c r="F440" s="3">
        <v>2555320206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3">
        <v>84.58</v>
      </c>
      <c r="M440" s="3">
        <v>84.83</v>
      </c>
      <c r="N440" s="3">
        <v>84.22</v>
      </c>
      <c r="O440" s="3">
        <v>84.83</v>
      </c>
      <c r="P440" s="3">
        <v>4745017</v>
      </c>
      <c r="Q440" s="3">
        <v>52.34</v>
      </c>
      <c r="R440" s="3">
        <v>52.59</v>
      </c>
      <c r="S440" s="3">
        <v>52.25</v>
      </c>
      <c r="T440" s="3">
        <v>52.59</v>
      </c>
      <c r="U440" s="3">
        <v>12061292</v>
      </c>
      <c r="V440" s="3">
        <v>72.91</v>
      </c>
      <c r="W440" s="3">
        <v>73.02</v>
      </c>
      <c r="X440" s="3">
        <v>72.13</v>
      </c>
      <c r="Y440" s="3">
        <v>72.900000000000006</v>
      </c>
      <c r="Z440" s="3">
        <v>14007376</v>
      </c>
      <c r="AA440" s="3">
        <v>23.34</v>
      </c>
      <c r="AB440" s="3">
        <v>23.52</v>
      </c>
      <c r="AC440" s="3">
        <v>23.18</v>
      </c>
      <c r="AD440" s="3">
        <v>23.31</v>
      </c>
      <c r="AE440" s="3">
        <v>56477262</v>
      </c>
      <c r="AF440" s="3">
        <v>69.040000000000006</v>
      </c>
      <c r="AG440" s="3">
        <v>70.52</v>
      </c>
      <c r="AH440" s="3">
        <v>68.989999999999995</v>
      </c>
      <c r="AI440" s="3">
        <v>70.52</v>
      </c>
      <c r="AJ440" s="3">
        <v>14342468</v>
      </c>
      <c r="AK440" s="3">
        <v>63.72</v>
      </c>
      <c r="AL440" s="3">
        <v>63.72</v>
      </c>
      <c r="AM440" s="3">
        <v>63.06</v>
      </c>
      <c r="AN440" s="3">
        <v>63.38</v>
      </c>
      <c r="AO440" s="3">
        <v>19335161</v>
      </c>
      <c r="AP440" s="3">
        <v>52.25</v>
      </c>
      <c r="AQ440" s="3">
        <v>52.29</v>
      </c>
      <c r="AR440" s="3">
        <v>51.75</v>
      </c>
      <c r="AS440" s="3">
        <v>51.96</v>
      </c>
      <c r="AT440" s="3">
        <v>5526674</v>
      </c>
      <c r="AU440" s="3">
        <v>50.17</v>
      </c>
      <c r="AV440" s="3">
        <v>50.22</v>
      </c>
      <c r="AW440" s="3">
        <v>49.86</v>
      </c>
      <c r="AX440" s="3">
        <v>50.08</v>
      </c>
      <c r="AY440" s="3">
        <v>9557845</v>
      </c>
      <c r="AZ440" s="3">
        <v>48.47</v>
      </c>
      <c r="BA440" s="3">
        <v>49.22</v>
      </c>
      <c r="BB440" s="3">
        <v>48.42</v>
      </c>
      <c r="BC440" s="3">
        <v>49.18</v>
      </c>
      <c r="BD440" s="3">
        <v>15916468</v>
      </c>
      <c r="BE440" s="3">
        <v>30.52</v>
      </c>
      <c r="BF440" s="3">
        <v>30.88</v>
      </c>
      <c r="BG440" s="3">
        <v>30.51</v>
      </c>
      <c r="BH440" s="3">
        <v>30.71</v>
      </c>
      <c r="BI440" s="3">
        <v>1712211</v>
      </c>
    </row>
    <row r="441" spans="1:61" ht="13" x14ac:dyDescent="0.15">
      <c r="A441" s="3">
        <v>42767</v>
      </c>
      <c r="B441" s="3">
        <v>2285.59</v>
      </c>
      <c r="C441" s="3">
        <v>2289.14</v>
      </c>
      <c r="D441" s="3">
        <v>2272.44</v>
      </c>
      <c r="E441" s="3">
        <v>2279.5500000000002</v>
      </c>
      <c r="F441" s="3">
        <v>2478979663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3">
        <v>84.97</v>
      </c>
      <c r="M441" s="3">
        <v>85.12</v>
      </c>
      <c r="N441" s="3">
        <v>84.36</v>
      </c>
      <c r="O441" s="3">
        <v>84.67</v>
      </c>
      <c r="P441" s="3">
        <v>5206771</v>
      </c>
      <c r="Q441" s="3">
        <v>52.34</v>
      </c>
      <c r="R441" s="3">
        <v>52.5</v>
      </c>
      <c r="S441" s="3">
        <v>52.17</v>
      </c>
      <c r="T441" s="3">
        <v>52.18</v>
      </c>
      <c r="U441" s="3">
        <v>18479763</v>
      </c>
      <c r="V441" s="3">
        <v>73.290000000000006</v>
      </c>
      <c r="W441" s="3">
        <v>73.39</v>
      </c>
      <c r="X441" s="3">
        <v>71.91</v>
      </c>
      <c r="Y441" s="3">
        <v>72.36</v>
      </c>
      <c r="Z441" s="3">
        <v>18424308</v>
      </c>
      <c r="AA441" s="3">
        <v>23.49</v>
      </c>
      <c r="AB441" s="3">
        <v>23.61</v>
      </c>
      <c r="AC441" s="3">
        <v>23.27</v>
      </c>
      <c r="AD441" s="3">
        <v>23.34</v>
      </c>
      <c r="AE441" s="3">
        <v>72132221</v>
      </c>
      <c r="AF441" s="3">
        <v>70.52</v>
      </c>
      <c r="AG441" s="3">
        <v>71.13</v>
      </c>
      <c r="AH441" s="3">
        <v>70.38</v>
      </c>
      <c r="AI441" s="3">
        <v>71.13</v>
      </c>
      <c r="AJ441" s="3">
        <v>19490501</v>
      </c>
      <c r="AK441" s="3">
        <v>63.48</v>
      </c>
      <c r="AL441" s="3">
        <v>63.71</v>
      </c>
      <c r="AM441" s="3">
        <v>62.95</v>
      </c>
      <c r="AN441" s="3">
        <v>63.27</v>
      </c>
      <c r="AO441" s="3">
        <v>15358829</v>
      </c>
      <c r="AP441" s="3">
        <v>51.94</v>
      </c>
      <c r="AQ441" s="3">
        <v>52.32</v>
      </c>
      <c r="AR441" s="3">
        <v>51.79</v>
      </c>
      <c r="AS441" s="3">
        <v>52.22</v>
      </c>
      <c r="AT441" s="3">
        <v>10074860</v>
      </c>
      <c r="AU441" s="3">
        <v>50.54</v>
      </c>
      <c r="AV441" s="3">
        <v>50.62</v>
      </c>
      <c r="AW441" s="3">
        <v>50.18</v>
      </c>
      <c r="AX441" s="3">
        <v>50.46</v>
      </c>
      <c r="AY441" s="3">
        <v>11681141</v>
      </c>
      <c r="AZ441" s="3">
        <v>48.92</v>
      </c>
      <c r="BA441" s="3">
        <v>48.94</v>
      </c>
      <c r="BB441" s="3">
        <v>48.19</v>
      </c>
      <c r="BC441" s="3">
        <v>48.33</v>
      </c>
      <c r="BD441" s="3">
        <v>24379533</v>
      </c>
      <c r="BE441" s="3">
        <v>30.67</v>
      </c>
      <c r="BF441" s="3">
        <v>30.87</v>
      </c>
      <c r="BG441" s="3">
        <v>30.35</v>
      </c>
      <c r="BH441" s="3">
        <v>30.37</v>
      </c>
      <c r="BI441" s="3">
        <v>1835919</v>
      </c>
    </row>
    <row r="442" spans="1:61" ht="13" x14ac:dyDescent="0.15">
      <c r="A442" s="3">
        <v>42768</v>
      </c>
      <c r="B442" s="3">
        <v>2276.69</v>
      </c>
      <c r="C442" s="3">
        <v>2283.9699999999998</v>
      </c>
      <c r="D442" s="3">
        <v>2271.65</v>
      </c>
      <c r="E442" s="3">
        <v>2280.85</v>
      </c>
      <c r="F442" s="3">
        <v>2321960100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3">
        <v>84.54</v>
      </c>
      <c r="M442" s="3">
        <v>84.97</v>
      </c>
      <c r="N442" s="3">
        <v>84.44</v>
      </c>
      <c r="O442" s="3">
        <v>84.6</v>
      </c>
      <c r="P442" s="3">
        <v>4081031</v>
      </c>
      <c r="Q442" s="3">
        <v>52.42</v>
      </c>
      <c r="R442" s="3">
        <v>52.87</v>
      </c>
      <c r="S442" s="3">
        <v>52.42</v>
      </c>
      <c r="T442" s="3">
        <v>52.66</v>
      </c>
      <c r="U442" s="3">
        <v>18747453</v>
      </c>
      <c r="V442" s="3">
        <v>72.48</v>
      </c>
      <c r="W442" s="3">
        <v>72.900000000000006</v>
      </c>
      <c r="X442" s="3">
        <v>71.900000000000006</v>
      </c>
      <c r="Y442" s="3">
        <v>72.77</v>
      </c>
      <c r="Z442" s="3">
        <v>12880101</v>
      </c>
      <c r="AA442" s="3">
        <v>23.21</v>
      </c>
      <c r="AB442" s="3">
        <v>23.36</v>
      </c>
      <c r="AC442" s="3">
        <v>23.1</v>
      </c>
      <c r="AD442" s="3">
        <v>23.25</v>
      </c>
      <c r="AE442" s="3">
        <v>39396487</v>
      </c>
      <c r="AF442" s="3">
        <v>70.78</v>
      </c>
      <c r="AG442" s="3">
        <v>71.150000000000006</v>
      </c>
      <c r="AH442" s="3">
        <v>70.56</v>
      </c>
      <c r="AI442" s="3">
        <v>71.11</v>
      </c>
      <c r="AJ442" s="3">
        <v>14539361</v>
      </c>
      <c r="AK442" s="3">
        <v>63.17</v>
      </c>
      <c r="AL442" s="3">
        <v>63.34</v>
      </c>
      <c r="AM442" s="3">
        <v>62.89</v>
      </c>
      <c r="AN442" s="3">
        <v>63.15</v>
      </c>
      <c r="AO442" s="3">
        <v>9568357</v>
      </c>
      <c r="AP442" s="3">
        <v>52.2</v>
      </c>
      <c r="AQ442" s="3">
        <v>52.2</v>
      </c>
      <c r="AR442" s="3">
        <v>51.81</v>
      </c>
      <c r="AS442" s="3">
        <v>51.99</v>
      </c>
      <c r="AT442" s="3">
        <v>5065709</v>
      </c>
      <c r="AU442" s="3">
        <v>50.31</v>
      </c>
      <c r="AV442" s="3">
        <v>50.45</v>
      </c>
      <c r="AW442" s="3">
        <v>50.1</v>
      </c>
      <c r="AX442" s="3">
        <v>50.36</v>
      </c>
      <c r="AY442" s="3">
        <v>8598869</v>
      </c>
      <c r="AZ442" s="3">
        <v>48.48</v>
      </c>
      <c r="BA442" s="3">
        <v>48.84</v>
      </c>
      <c r="BB442" s="3">
        <v>48.19</v>
      </c>
      <c r="BC442" s="3">
        <v>48.84</v>
      </c>
      <c r="BD442" s="3">
        <v>15661096</v>
      </c>
      <c r="BE442" s="3">
        <v>30.32</v>
      </c>
      <c r="BF442" s="3">
        <v>30.77</v>
      </c>
      <c r="BG442" s="3">
        <v>30.32</v>
      </c>
      <c r="BH442" s="3">
        <v>30.73</v>
      </c>
      <c r="BI442" s="3">
        <v>2040588</v>
      </c>
    </row>
    <row r="443" spans="1:61" ht="13" x14ac:dyDescent="0.15">
      <c r="A443" s="3">
        <v>42769</v>
      </c>
      <c r="B443" s="3">
        <v>2288.54</v>
      </c>
      <c r="C443" s="3">
        <v>2298.31</v>
      </c>
      <c r="D443" s="3">
        <v>2287.88</v>
      </c>
      <c r="E443" s="3">
        <v>2297.42</v>
      </c>
      <c r="F443" s="3">
        <v>2208634271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3">
        <v>84.34</v>
      </c>
      <c r="M443" s="3">
        <v>84.63</v>
      </c>
      <c r="N443" s="3">
        <v>84.18</v>
      </c>
      <c r="O443" s="3">
        <v>84.49</v>
      </c>
      <c r="P443" s="3">
        <v>3652143</v>
      </c>
      <c r="Q443" s="3">
        <v>52.93</v>
      </c>
      <c r="R443" s="3">
        <v>53.15</v>
      </c>
      <c r="S443" s="3">
        <v>52.79</v>
      </c>
      <c r="T443" s="3">
        <v>53</v>
      </c>
      <c r="U443" s="3">
        <v>17954739</v>
      </c>
      <c r="V443" s="3">
        <v>73.06</v>
      </c>
      <c r="W443" s="3">
        <v>73.78</v>
      </c>
      <c r="X443" s="3">
        <v>72.63</v>
      </c>
      <c r="Y443" s="3">
        <v>73.400000000000006</v>
      </c>
      <c r="Z443" s="3">
        <v>11828580</v>
      </c>
      <c r="AA443" s="3">
        <v>23.65</v>
      </c>
      <c r="AB443" s="3">
        <v>23.74</v>
      </c>
      <c r="AC443" s="3">
        <v>23.44</v>
      </c>
      <c r="AD443" s="3">
        <v>23.72</v>
      </c>
      <c r="AE443" s="3">
        <v>86346618</v>
      </c>
      <c r="AF443" s="3">
        <v>71.34</v>
      </c>
      <c r="AG443" s="3">
        <v>71.489999999999995</v>
      </c>
      <c r="AH443" s="3">
        <v>71</v>
      </c>
      <c r="AI443" s="3">
        <v>71.42</v>
      </c>
      <c r="AJ443" s="3">
        <v>15104788</v>
      </c>
      <c r="AK443" s="3">
        <v>63.3</v>
      </c>
      <c r="AL443" s="3">
        <v>63.7</v>
      </c>
      <c r="AM443" s="3">
        <v>63.24</v>
      </c>
      <c r="AN443" s="3">
        <v>63.62</v>
      </c>
      <c r="AO443" s="3">
        <v>9874215</v>
      </c>
      <c r="AP443" s="3">
        <v>52.07</v>
      </c>
      <c r="AQ443" s="3">
        <v>52.16</v>
      </c>
      <c r="AR443" s="3">
        <v>51.91</v>
      </c>
      <c r="AS443" s="3">
        <v>52.08</v>
      </c>
      <c r="AT443" s="3">
        <v>5541846</v>
      </c>
      <c r="AU443" s="3">
        <v>50.55</v>
      </c>
      <c r="AV443" s="3">
        <v>50.76</v>
      </c>
      <c r="AW443" s="3">
        <v>50.54</v>
      </c>
      <c r="AX443" s="3">
        <v>50.69</v>
      </c>
      <c r="AY443" s="3">
        <v>6833575</v>
      </c>
      <c r="AZ443" s="3">
        <v>48.98</v>
      </c>
      <c r="BA443" s="3">
        <v>49.1</v>
      </c>
      <c r="BB443" s="3">
        <v>48.79</v>
      </c>
      <c r="BC443" s="3">
        <v>48.9</v>
      </c>
      <c r="BD443" s="3">
        <v>11336644</v>
      </c>
      <c r="BE443" s="3">
        <v>30.91</v>
      </c>
      <c r="BF443" s="3">
        <v>31.02</v>
      </c>
      <c r="BG443" s="3">
        <v>30.81</v>
      </c>
      <c r="BH443" s="3">
        <v>30.93</v>
      </c>
      <c r="BI443" s="3">
        <v>1745164</v>
      </c>
    </row>
    <row r="444" spans="1:61" ht="13" x14ac:dyDescent="0.15">
      <c r="A444" s="3">
        <v>42772</v>
      </c>
      <c r="B444" s="3">
        <v>2294.2800000000002</v>
      </c>
      <c r="C444" s="3">
        <v>2296.1799999999998</v>
      </c>
      <c r="D444" s="3">
        <v>2288.5700000000002</v>
      </c>
      <c r="E444" s="3">
        <v>2292.56</v>
      </c>
      <c r="F444" s="3">
        <v>828798658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3">
        <v>84.25</v>
      </c>
      <c r="M444" s="3">
        <v>84.45</v>
      </c>
      <c r="N444" s="3">
        <v>84.1</v>
      </c>
      <c r="O444" s="3">
        <v>84.24</v>
      </c>
      <c r="P444" s="3">
        <v>3939267</v>
      </c>
      <c r="Q444" s="3">
        <v>52.97</v>
      </c>
      <c r="R444" s="3">
        <v>52.98</v>
      </c>
      <c r="S444" s="3">
        <v>52.71</v>
      </c>
      <c r="T444" s="3">
        <v>52.71</v>
      </c>
      <c r="U444" s="3">
        <v>19067927</v>
      </c>
      <c r="V444" s="3">
        <v>73.510000000000005</v>
      </c>
      <c r="W444" s="3">
        <v>73.650000000000006</v>
      </c>
      <c r="X444" s="3">
        <v>72.569999999999993</v>
      </c>
      <c r="Y444" s="3">
        <v>72.78</v>
      </c>
      <c r="Z444" s="3">
        <v>10521672</v>
      </c>
      <c r="AA444" s="3">
        <v>23.58</v>
      </c>
      <c r="AB444" s="3">
        <v>23.78</v>
      </c>
      <c r="AC444" s="3">
        <v>23.56</v>
      </c>
      <c r="AD444" s="3">
        <v>23.61</v>
      </c>
      <c r="AE444" s="3">
        <v>34952083</v>
      </c>
      <c r="AF444" s="3">
        <v>71.290000000000006</v>
      </c>
      <c r="AG444" s="3">
        <v>71.5</v>
      </c>
      <c r="AH444" s="3">
        <v>71.150000000000006</v>
      </c>
      <c r="AI444" s="3">
        <v>71.5</v>
      </c>
      <c r="AJ444" s="3">
        <v>11561794</v>
      </c>
      <c r="AK444" s="3">
        <v>63.58</v>
      </c>
      <c r="AL444" s="3">
        <v>63.87</v>
      </c>
      <c r="AM444" s="3">
        <v>63.49</v>
      </c>
      <c r="AN444" s="3">
        <v>63.71</v>
      </c>
      <c r="AO444" s="3">
        <v>7109341</v>
      </c>
      <c r="AP444" s="3">
        <v>51.96</v>
      </c>
      <c r="AQ444" s="3">
        <v>52.01</v>
      </c>
      <c r="AR444" s="3">
        <v>51.72</v>
      </c>
      <c r="AS444" s="3">
        <v>51.94</v>
      </c>
      <c r="AT444" s="3">
        <v>2722633</v>
      </c>
      <c r="AU444" s="3">
        <v>50.62</v>
      </c>
      <c r="AV444" s="3">
        <v>50.73</v>
      </c>
      <c r="AW444" s="3">
        <v>50.49</v>
      </c>
      <c r="AX444" s="3">
        <v>50.72</v>
      </c>
      <c r="AY444" s="3">
        <v>6726518</v>
      </c>
      <c r="AZ444" s="3">
        <v>49.09</v>
      </c>
      <c r="BA444" s="3">
        <v>49.12</v>
      </c>
      <c r="BB444" s="3">
        <v>48.75</v>
      </c>
      <c r="BC444" s="3">
        <v>48.8</v>
      </c>
      <c r="BD444" s="3">
        <v>7041999</v>
      </c>
      <c r="BE444" s="3">
        <v>30.87</v>
      </c>
      <c r="BF444" s="3">
        <v>30.95</v>
      </c>
      <c r="BG444" s="3">
        <v>30.7</v>
      </c>
      <c r="BH444" s="3">
        <v>30.74</v>
      </c>
      <c r="BI444" s="3">
        <v>1362610</v>
      </c>
    </row>
    <row r="445" spans="1:61" ht="13" x14ac:dyDescent="0.15">
      <c r="A445" s="3">
        <v>42773</v>
      </c>
      <c r="B445" s="3">
        <v>2295.87</v>
      </c>
      <c r="C445" s="3">
        <v>2299.4</v>
      </c>
      <c r="D445" s="3">
        <v>2290.16</v>
      </c>
      <c r="E445" s="3">
        <v>2293.08</v>
      </c>
      <c r="F445" s="3">
        <v>1005424404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3">
        <v>84.28</v>
      </c>
      <c r="M445" s="3">
        <v>84.41</v>
      </c>
      <c r="N445" s="3">
        <v>84.07</v>
      </c>
      <c r="O445" s="3">
        <v>84.16</v>
      </c>
      <c r="P445" s="3">
        <v>5725555</v>
      </c>
      <c r="Q445" s="3">
        <v>52.81</v>
      </c>
      <c r="R445" s="3">
        <v>53.24</v>
      </c>
      <c r="S445" s="3">
        <v>52.81</v>
      </c>
      <c r="T445" s="3">
        <v>53.14</v>
      </c>
      <c r="U445" s="3">
        <v>8364416</v>
      </c>
      <c r="V445" s="3">
        <v>72.459999999999994</v>
      </c>
      <c r="W445" s="3">
        <v>72.8</v>
      </c>
      <c r="X445" s="3">
        <v>71.37</v>
      </c>
      <c r="Y445" s="3">
        <v>71.75</v>
      </c>
      <c r="Z445" s="3">
        <v>14157752</v>
      </c>
      <c r="AA445" s="3">
        <v>23.75</v>
      </c>
      <c r="AB445" s="3">
        <v>23.76</v>
      </c>
      <c r="AC445" s="3">
        <v>23.52</v>
      </c>
      <c r="AD445" s="3">
        <v>23.55</v>
      </c>
      <c r="AE445" s="3">
        <v>50838490</v>
      </c>
      <c r="AF445" s="3">
        <v>71.55</v>
      </c>
      <c r="AG445" s="3">
        <v>71.83</v>
      </c>
      <c r="AH445" s="3">
        <v>71.33</v>
      </c>
      <c r="AI445" s="3">
        <v>71.569999999999993</v>
      </c>
      <c r="AJ445" s="3">
        <v>11278046</v>
      </c>
      <c r="AK445" s="3">
        <v>63.93</v>
      </c>
      <c r="AL445" s="3">
        <v>64.16</v>
      </c>
      <c r="AM445" s="3">
        <v>63.72</v>
      </c>
      <c r="AN445" s="3">
        <v>63.82</v>
      </c>
      <c r="AO445" s="3">
        <v>13347366</v>
      </c>
      <c r="AP445" s="3">
        <v>51.8</v>
      </c>
      <c r="AQ445" s="3">
        <v>51.88</v>
      </c>
      <c r="AR445" s="3">
        <v>51.45</v>
      </c>
      <c r="AS445" s="3">
        <v>51.53</v>
      </c>
      <c r="AT445" s="3">
        <v>4200800</v>
      </c>
      <c r="AU445" s="3">
        <v>50.82</v>
      </c>
      <c r="AV445" s="3">
        <v>50.98</v>
      </c>
      <c r="AW445" s="3">
        <v>50.78</v>
      </c>
      <c r="AX445" s="3">
        <v>50.92</v>
      </c>
      <c r="AY445" s="3">
        <v>10053184</v>
      </c>
      <c r="AZ445" s="3">
        <v>48.88</v>
      </c>
      <c r="BA445" s="3">
        <v>49</v>
      </c>
      <c r="BB445" s="3">
        <v>48.75</v>
      </c>
      <c r="BC445" s="3">
        <v>48.92</v>
      </c>
      <c r="BD445" s="3">
        <v>6109128</v>
      </c>
      <c r="BE445" s="3">
        <v>30.8</v>
      </c>
      <c r="BF445" s="3">
        <v>30.87</v>
      </c>
      <c r="BG445" s="3">
        <v>30.65</v>
      </c>
      <c r="BH445" s="3">
        <v>30.68</v>
      </c>
      <c r="BI445" s="3">
        <v>1496677</v>
      </c>
    </row>
    <row r="446" spans="1:61" ht="13" x14ac:dyDescent="0.15">
      <c r="A446" s="3">
        <v>42774</v>
      </c>
      <c r="B446" s="3">
        <v>2289.5500000000002</v>
      </c>
      <c r="C446" s="3">
        <v>2295.91</v>
      </c>
      <c r="D446" s="3">
        <v>2285.38</v>
      </c>
      <c r="E446" s="3">
        <v>2294.67</v>
      </c>
      <c r="F446" s="3">
        <v>1039738102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3">
        <v>84.16</v>
      </c>
      <c r="M446" s="3">
        <v>84.78</v>
      </c>
      <c r="N446" s="3">
        <v>84.16</v>
      </c>
      <c r="O446" s="3">
        <v>84.68</v>
      </c>
      <c r="P446" s="3">
        <v>4129895</v>
      </c>
      <c r="Q446" s="3">
        <v>53.2</v>
      </c>
      <c r="R446" s="3">
        <v>53.46</v>
      </c>
      <c r="S446" s="3">
        <v>53.12</v>
      </c>
      <c r="T446" s="3">
        <v>53.36</v>
      </c>
      <c r="U446" s="3">
        <v>8559239</v>
      </c>
      <c r="V446" s="3">
        <v>71.42</v>
      </c>
      <c r="W446" s="3">
        <v>72.08</v>
      </c>
      <c r="X446" s="3">
        <v>70.650000000000006</v>
      </c>
      <c r="Y446" s="3">
        <v>71.92</v>
      </c>
      <c r="Z446" s="3">
        <v>16148412</v>
      </c>
      <c r="AA446" s="3">
        <v>23.48</v>
      </c>
      <c r="AB446" s="3">
        <v>23.48</v>
      </c>
      <c r="AC446" s="3">
        <v>23.28</v>
      </c>
      <c r="AD446" s="3">
        <v>23.39</v>
      </c>
      <c r="AE446" s="3">
        <v>54341095</v>
      </c>
      <c r="AF446" s="3">
        <v>71.19</v>
      </c>
      <c r="AG446" s="3">
        <v>71.540000000000006</v>
      </c>
      <c r="AH446" s="3">
        <v>70.989999999999995</v>
      </c>
      <c r="AI446" s="3">
        <v>71.459999999999994</v>
      </c>
      <c r="AJ446" s="3">
        <v>6812927</v>
      </c>
      <c r="AK446" s="3">
        <v>63.77</v>
      </c>
      <c r="AL446" s="3">
        <v>63.79</v>
      </c>
      <c r="AM446" s="3">
        <v>63.52</v>
      </c>
      <c r="AN446" s="3">
        <v>63.73</v>
      </c>
      <c r="AO446" s="3">
        <v>7808374</v>
      </c>
      <c r="AP446" s="3">
        <v>51.5</v>
      </c>
      <c r="AQ446" s="3">
        <v>51.67</v>
      </c>
      <c r="AR446" s="3">
        <v>51.33</v>
      </c>
      <c r="AS446" s="3">
        <v>51.65</v>
      </c>
      <c r="AT446" s="3">
        <v>4689193</v>
      </c>
      <c r="AU446" s="3">
        <v>50.97</v>
      </c>
      <c r="AV446" s="3">
        <v>51.09</v>
      </c>
      <c r="AW446" s="3">
        <v>50.78</v>
      </c>
      <c r="AX446" s="3">
        <v>51.01</v>
      </c>
      <c r="AY446" s="3">
        <v>6353085</v>
      </c>
      <c r="AZ446" s="3">
        <v>49.04</v>
      </c>
      <c r="BA446" s="3">
        <v>49.49</v>
      </c>
      <c r="BB446" s="3">
        <v>48.95</v>
      </c>
      <c r="BC446" s="3">
        <v>49.4</v>
      </c>
      <c r="BD446" s="3">
        <v>15881993</v>
      </c>
      <c r="BE446" s="3">
        <v>30.64</v>
      </c>
      <c r="BF446" s="3">
        <v>31.01</v>
      </c>
      <c r="BG446" s="3">
        <v>30.64</v>
      </c>
      <c r="BH446" s="3">
        <v>30.94</v>
      </c>
      <c r="BI446" s="3">
        <v>1379123</v>
      </c>
    </row>
    <row r="447" spans="1:61" ht="13" x14ac:dyDescent="0.15">
      <c r="A447" s="3">
        <v>42775</v>
      </c>
      <c r="B447" s="3">
        <v>2296.6999999999998</v>
      </c>
      <c r="C447" s="3">
        <v>2311.08</v>
      </c>
      <c r="D447" s="3">
        <v>2296.61</v>
      </c>
      <c r="E447" s="3">
        <v>2307.87</v>
      </c>
      <c r="F447" s="3">
        <v>1044822284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3">
        <v>84.71</v>
      </c>
      <c r="M447" s="3">
        <v>85.42</v>
      </c>
      <c r="N447" s="3">
        <v>84.71</v>
      </c>
      <c r="O447" s="3">
        <v>85.21</v>
      </c>
      <c r="P447" s="3">
        <v>3529175</v>
      </c>
      <c r="Q447" s="3">
        <v>53.3</v>
      </c>
      <c r="R447" s="3">
        <v>53.67</v>
      </c>
      <c r="S447" s="3">
        <v>53.21</v>
      </c>
      <c r="T447" s="3">
        <v>53.58</v>
      </c>
      <c r="U447" s="3">
        <v>8840897</v>
      </c>
      <c r="V447" s="3">
        <v>72.349999999999994</v>
      </c>
      <c r="W447" s="3">
        <v>72.95</v>
      </c>
      <c r="X447" s="3">
        <v>72.349999999999994</v>
      </c>
      <c r="Y447" s="3">
        <v>72.73</v>
      </c>
      <c r="Z447" s="3">
        <v>9261602</v>
      </c>
      <c r="AA447" s="3">
        <v>23.46</v>
      </c>
      <c r="AB447" s="3">
        <v>23.74</v>
      </c>
      <c r="AC447" s="3">
        <v>23.33</v>
      </c>
      <c r="AD447" s="3">
        <v>23.71</v>
      </c>
      <c r="AE447" s="3">
        <v>76813699</v>
      </c>
      <c r="AF447" s="3">
        <v>71.45</v>
      </c>
      <c r="AG447" s="3">
        <v>71.930000000000007</v>
      </c>
      <c r="AH447" s="3">
        <v>71.39</v>
      </c>
      <c r="AI447" s="3">
        <v>71.72</v>
      </c>
      <c r="AJ447" s="3">
        <v>7869248</v>
      </c>
      <c r="AK447" s="3">
        <v>63.89</v>
      </c>
      <c r="AL447" s="3">
        <v>64.38</v>
      </c>
      <c r="AM447" s="3">
        <v>63.79</v>
      </c>
      <c r="AN447" s="3">
        <v>64.22</v>
      </c>
      <c r="AO447" s="3">
        <v>8176718</v>
      </c>
      <c r="AP447" s="3">
        <v>51.67</v>
      </c>
      <c r="AQ447" s="3">
        <v>51.79</v>
      </c>
      <c r="AR447" s="3">
        <v>51.52</v>
      </c>
      <c r="AS447" s="3">
        <v>51.63</v>
      </c>
      <c r="AT447" s="3">
        <v>8117431</v>
      </c>
      <c r="AU447" s="3">
        <v>51.04</v>
      </c>
      <c r="AV447" s="3">
        <v>51.3</v>
      </c>
      <c r="AW447" s="3">
        <v>51.01</v>
      </c>
      <c r="AX447" s="3">
        <v>51.17</v>
      </c>
      <c r="AY447" s="3">
        <v>4870022</v>
      </c>
      <c r="AZ447" s="3">
        <v>49.35</v>
      </c>
      <c r="BA447" s="3">
        <v>49.47</v>
      </c>
      <c r="BB447" s="3">
        <v>48.86</v>
      </c>
      <c r="BC447" s="3">
        <v>48.98</v>
      </c>
      <c r="BD447" s="3">
        <v>14496034</v>
      </c>
      <c r="BE447" s="3">
        <v>30.9</v>
      </c>
      <c r="BF447" s="3">
        <v>31.09</v>
      </c>
      <c r="BG447" s="3">
        <v>30.89</v>
      </c>
      <c r="BH447" s="3">
        <v>31.07</v>
      </c>
      <c r="BI447" s="3">
        <v>1821565</v>
      </c>
    </row>
    <row r="448" spans="1:61" ht="13" x14ac:dyDescent="0.15">
      <c r="A448" s="3">
        <v>42776</v>
      </c>
      <c r="B448" s="3">
        <v>2312.27</v>
      </c>
      <c r="C448" s="3">
        <v>2319.23</v>
      </c>
      <c r="D448" s="3">
        <v>2311.1</v>
      </c>
      <c r="E448" s="3">
        <v>2316.1</v>
      </c>
      <c r="F448" s="3">
        <v>993382797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3">
        <v>85.33</v>
      </c>
      <c r="M448" s="3">
        <v>85.76</v>
      </c>
      <c r="N448" s="3">
        <v>85.29</v>
      </c>
      <c r="O448" s="3">
        <v>85.73</v>
      </c>
      <c r="P448" s="3">
        <v>3826000</v>
      </c>
      <c r="Q448" s="3">
        <v>53.61</v>
      </c>
      <c r="R448" s="3">
        <v>53.69</v>
      </c>
      <c r="S448" s="3">
        <v>53.42</v>
      </c>
      <c r="T448" s="3">
        <v>53.62</v>
      </c>
      <c r="U448" s="3">
        <v>9354195</v>
      </c>
      <c r="V448" s="3">
        <v>73.31</v>
      </c>
      <c r="W448" s="3">
        <v>73.69</v>
      </c>
      <c r="X448" s="3">
        <v>73.06</v>
      </c>
      <c r="Y448" s="3">
        <v>73.28</v>
      </c>
      <c r="Z448" s="3">
        <v>10405367</v>
      </c>
      <c r="AA448" s="3">
        <v>23.85</v>
      </c>
      <c r="AB448" s="3">
        <v>23.86</v>
      </c>
      <c r="AC448" s="3">
        <v>23.69</v>
      </c>
      <c r="AD448" s="3">
        <v>23.78</v>
      </c>
      <c r="AE448" s="3">
        <v>55078737</v>
      </c>
      <c r="AF448" s="3">
        <v>71.83</v>
      </c>
      <c r="AG448" s="3">
        <v>72.02</v>
      </c>
      <c r="AH448" s="3">
        <v>71.66</v>
      </c>
      <c r="AI448" s="3">
        <v>71.86</v>
      </c>
      <c r="AJ448" s="3">
        <v>4440343</v>
      </c>
      <c r="AK448" s="3">
        <v>64.52</v>
      </c>
      <c r="AL448" s="3">
        <v>64.790000000000006</v>
      </c>
      <c r="AM448" s="3">
        <v>64.37</v>
      </c>
      <c r="AN448" s="3">
        <v>64.73</v>
      </c>
      <c r="AO448" s="3">
        <v>7445764</v>
      </c>
      <c r="AP448" s="3">
        <v>51.86</v>
      </c>
      <c r="AQ448" s="3">
        <v>52.18</v>
      </c>
      <c r="AR448" s="3">
        <v>51.83</v>
      </c>
      <c r="AS448" s="3">
        <v>52.1</v>
      </c>
      <c r="AT448" s="3">
        <v>3477481</v>
      </c>
      <c r="AU448" s="3">
        <v>51.29</v>
      </c>
      <c r="AV448" s="3">
        <v>51.4</v>
      </c>
      <c r="AW448" s="3">
        <v>51.16</v>
      </c>
      <c r="AX448" s="3">
        <v>51.32</v>
      </c>
      <c r="AY448" s="3">
        <v>4177870</v>
      </c>
      <c r="AZ448" s="3">
        <v>48.85</v>
      </c>
      <c r="BA448" s="3">
        <v>49.36</v>
      </c>
      <c r="BB448" s="3">
        <v>48.84</v>
      </c>
      <c r="BC448" s="3">
        <v>49.29</v>
      </c>
      <c r="BD448" s="3">
        <v>9479582</v>
      </c>
      <c r="BE448" s="3">
        <v>31.02</v>
      </c>
      <c r="BF448" s="3">
        <v>31.3</v>
      </c>
      <c r="BG448" s="3">
        <v>30.98</v>
      </c>
      <c r="BH448" s="3">
        <v>31.28</v>
      </c>
      <c r="BI448" s="3">
        <v>1524535</v>
      </c>
    </row>
    <row r="449" spans="1:61" ht="13" x14ac:dyDescent="0.15">
      <c r="A449" s="3">
        <v>42779</v>
      </c>
      <c r="B449" s="3">
        <v>2321.7199999999998</v>
      </c>
      <c r="C449" s="3">
        <v>2331.58</v>
      </c>
      <c r="D449" s="3">
        <v>2321.42</v>
      </c>
      <c r="E449" s="3">
        <v>2328.25</v>
      </c>
      <c r="F449" s="3">
        <v>884994768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3">
        <v>85.93</v>
      </c>
      <c r="M449" s="3">
        <v>86.05</v>
      </c>
      <c r="N449" s="3">
        <v>85.71</v>
      </c>
      <c r="O449" s="3">
        <v>85.83</v>
      </c>
      <c r="P449" s="3">
        <v>4408807</v>
      </c>
      <c r="Q449" s="3">
        <v>53.7</v>
      </c>
      <c r="R449" s="3">
        <v>53.77</v>
      </c>
      <c r="S449" s="3">
        <v>53.47</v>
      </c>
      <c r="T449" s="3">
        <v>53.62</v>
      </c>
      <c r="U449" s="3">
        <v>14059475</v>
      </c>
      <c r="V449" s="3">
        <v>73.13</v>
      </c>
      <c r="W449" s="3">
        <v>73.45</v>
      </c>
      <c r="X449" s="3">
        <v>72.989999999999995</v>
      </c>
      <c r="Y449" s="3">
        <v>73.42</v>
      </c>
      <c r="Z449" s="3">
        <v>7984938</v>
      </c>
      <c r="AA449" s="3">
        <v>23.93</v>
      </c>
      <c r="AB449" s="3">
        <v>24.16</v>
      </c>
      <c r="AC449" s="3">
        <v>23.89</v>
      </c>
      <c r="AD449" s="3">
        <v>24.05</v>
      </c>
      <c r="AE449" s="3">
        <v>76687038</v>
      </c>
      <c r="AF449" s="3">
        <v>71.930000000000007</v>
      </c>
      <c r="AG449" s="3">
        <v>72.34</v>
      </c>
      <c r="AH449" s="3">
        <v>71.930000000000007</v>
      </c>
      <c r="AI449" s="3">
        <v>72.3</v>
      </c>
      <c r="AJ449" s="3">
        <v>6465225</v>
      </c>
      <c r="AK449" s="3">
        <v>64.989999999999995</v>
      </c>
      <c r="AL449" s="3">
        <v>65.5</v>
      </c>
      <c r="AM449" s="3">
        <v>64.97</v>
      </c>
      <c r="AN449" s="3">
        <v>65.38</v>
      </c>
      <c r="AO449" s="3">
        <v>17349579</v>
      </c>
      <c r="AP449" s="3">
        <v>52.3</v>
      </c>
      <c r="AQ449" s="3">
        <v>52.67</v>
      </c>
      <c r="AR449" s="3">
        <v>52.3</v>
      </c>
      <c r="AS449" s="3">
        <v>52.53</v>
      </c>
      <c r="AT449" s="3">
        <v>3714068</v>
      </c>
      <c r="AU449" s="3">
        <v>51.41</v>
      </c>
      <c r="AV449" s="3">
        <v>51.61</v>
      </c>
      <c r="AW449" s="3">
        <v>51.34</v>
      </c>
      <c r="AX449" s="3">
        <v>51.55</v>
      </c>
      <c r="AY449" s="3">
        <v>6579703</v>
      </c>
      <c r="AZ449" s="3">
        <v>49.33</v>
      </c>
      <c r="BA449" s="3">
        <v>49.58</v>
      </c>
      <c r="BB449" s="3">
        <v>49.16</v>
      </c>
      <c r="BC449" s="3">
        <v>49.53</v>
      </c>
      <c r="BD449" s="3">
        <v>13042814</v>
      </c>
      <c r="BE449" s="3">
        <v>31.34</v>
      </c>
      <c r="BF449" s="3">
        <v>31.48</v>
      </c>
      <c r="BG449" s="3">
        <v>31.18</v>
      </c>
      <c r="BH449" s="3">
        <v>31.43</v>
      </c>
      <c r="BI449" s="3">
        <v>1896700</v>
      </c>
    </row>
    <row r="450" spans="1:61" ht="13" x14ac:dyDescent="0.15">
      <c r="A450" s="3">
        <v>42780</v>
      </c>
      <c r="B450" s="3">
        <v>2326.12</v>
      </c>
      <c r="C450" s="3">
        <v>2337.58</v>
      </c>
      <c r="D450" s="3">
        <v>2322.17</v>
      </c>
      <c r="E450" s="3">
        <v>2337.58</v>
      </c>
      <c r="F450" s="3">
        <v>2163161000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3">
        <v>85.79</v>
      </c>
      <c r="M450" s="3">
        <v>86.32</v>
      </c>
      <c r="N450" s="3">
        <v>85.76</v>
      </c>
      <c r="O450" s="3">
        <v>86.32</v>
      </c>
      <c r="P450" s="3">
        <v>3168130</v>
      </c>
      <c r="Q450" s="3">
        <v>53.49</v>
      </c>
      <c r="R450" s="3">
        <v>53.73</v>
      </c>
      <c r="S450" s="3">
        <v>53.3</v>
      </c>
      <c r="T450" s="3">
        <v>53.63</v>
      </c>
      <c r="U450" s="3">
        <v>10483346</v>
      </c>
      <c r="V450" s="3">
        <v>73.63</v>
      </c>
      <c r="W450" s="3">
        <v>73.69</v>
      </c>
      <c r="X450" s="3">
        <v>72.739999999999995</v>
      </c>
      <c r="Y450" s="3">
        <v>73.66</v>
      </c>
      <c r="Z450" s="3">
        <v>10771687</v>
      </c>
      <c r="AA450" s="3">
        <v>24.03</v>
      </c>
      <c r="AB450" s="3">
        <v>24.36</v>
      </c>
      <c r="AC450" s="3">
        <v>23.99</v>
      </c>
      <c r="AD450" s="3">
        <v>24.33</v>
      </c>
      <c r="AE450" s="3">
        <v>75954279</v>
      </c>
      <c r="AF450" s="3">
        <v>72.22</v>
      </c>
      <c r="AG450" s="3">
        <v>72.87</v>
      </c>
      <c r="AH450" s="3">
        <v>72.17</v>
      </c>
      <c r="AI450" s="3">
        <v>72.87</v>
      </c>
      <c r="AJ450" s="3">
        <v>10402997</v>
      </c>
      <c r="AK450" s="3">
        <v>65.290000000000006</v>
      </c>
      <c r="AL450" s="3">
        <v>65.41</v>
      </c>
      <c r="AM450" s="3">
        <v>65.05</v>
      </c>
      <c r="AN450" s="3">
        <v>65.41</v>
      </c>
      <c r="AO450" s="3">
        <v>8578572</v>
      </c>
      <c r="AP450" s="3">
        <v>52.44</v>
      </c>
      <c r="AQ450" s="3">
        <v>52.55</v>
      </c>
      <c r="AR450" s="3">
        <v>52.18</v>
      </c>
      <c r="AS450" s="3">
        <v>52.52</v>
      </c>
      <c r="AT450" s="3">
        <v>3662282</v>
      </c>
      <c r="AU450" s="3">
        <v>51.49</v>
      </c>
      <c r="AV450" s="3">
        <v>51.72</v>
      </c>
      <c r="AW450" s="3">
        <v>51.34</v>
      </c>
      <c r="AX450" s="3">
        <v>51.72</v>
      </c>
      <c r="AY450" s="3">
        <v>6233755</v>
      </c>
      <c r="AZ450" s="3">
        <v>49.46</v>
      </c>
      <c r="BA450" s="3">
        <v>49.48</v>
      </c>
      <c r="BB450" s="3">
        <v>48.91</v>
      </c>
      <c r="BC450" s="3">
        <v>49.17</v>
      </c>
      <c r="BD450" s="3">
        <v>18784269</v>
      </c>
      <c r="BE450" s="3">
        <v>31.35</v>
      </c>
      <c r="BF450" s="3">
        <v>31.37</v>
      </c>
      <c r="BG450" s="3">
        <v>30.99</v>
      </c>
      <c r="BH450" s="3">
        <v>31.27</v>
      </c>
      <c r="BI450" s="3">
        <v>2444835</v>
      </c>
    </row>
    <row r="451" spans="1:61" ht="13" x14ac:dyDescent="0.15">
      <c r="A451" s="3">
        <v>42781</v>
      </c>
      <c r="B451" s="3">
        <v>2335.58</v>
      </c>
      <c r="C451" s="3">
        <v>2351.3000000000002</v>
      </c>
      <c r="D451" s="3">
        <v>2334.81</v>
      </c>
      <c r="E451" s="3">
        <v>2349.25</v>
      </c>
      <c r="F451" s="3">
        <v>2251620057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3">
        <v>86.18</v>
      </c>
      <c r="M451" s="3">
        <v>86.8</v>
      </c>
      <c r="N451" s="3">
        <v>86.03</v>
      </c>
      <c r="O451" s="3">
        <v>86.77</v>
      </c>
      <c r="P451" s="3">
        <v>4754897</v>
      </c>
      <c r="Q451" s="3">
        <v>53.75</v>
      </c>
      <c r="R451" s="3">
        <v>54.16</v>
      </c>
      <c r="S451" s="3">
        <v>53.64</v>
      </c>
      <c r="T451" s="3">
        <v>54.12</v>
      </c>
      <c r="U451" s="3">
        <v>12675948</v>
      </c>
      <c r="V451" s="3">
        <v>73.44</v>
      </c>
      <c r="W451" s="3">
        <v>73.760000000000005</v>
      </c>
      <c r="X451" s="3">
        <v>73.13</v>
      </c>
      <c r="Y451" s="3">
        <v>73.37</v>
      </c>
      <c r="Z451" s="3">
        <v>8926600</v>
      </c>
      <c r="AA451" s="3">
        <v>24.45</v>
      </c>
      <c r="AB451" s="3">
        <v>24.57</v>
      </c>
      <c r="AC451" s="3">
        <v>24.27</v>
      </c>
      <c r="AD451" s="3">
        <v>24.52</v>
      </c>
      <c r="AE451" s="3">
        <v>76869353</v>
      </c>
      <c r="AF451" s="3">
        <v>72.709999999999994</v>
      </c>
      <c r="AG451" s="3">
        <v>73.8</v>
      </c>
      <c r="AH451" s="3">
        <v>72.64</v>
      </c>
      <c r="AI451" s="3">
        <v>73.66</v>
      </c>
      <c r="AJ451" s="3">
        <v>10091712</v>
      </c>
      <c r="AK451" s="3">
        <v>65.430000000000007</v>
      </c>
      <c r="AL451" s="3">
        <v>65.83</v>
      </c>
      <c r="AM451" s="3">
        <v>65.290000000000006</v>
      </c>
      <c r="AN451" s="3">
        <v>65.760000000000005</v>
      </c>
      <c r="AO451" s="3">
        <v>7845404</v>
      </c>
      <c r="AP451" s="3">
        <v>52.38</v>
      </c>
      <c r="AQ451" s="3">
        <v>52.62</v>
      </c>
      <c r="AR451" s="3">
        <v>52.35</v>
      </c>
      <c r="AS451" s="3">
        <v>52.45</v>
      </c>
      <c r="AT451" s="3">
        <v>3104904</v>
      </c>
      <c r="AU451" s="3">
        <v>51.68</v>
      </c>
      <c r="AV451" s="3">
        <v>51.93</v>
      </c>
      <c r="AW451" s="3">
        <v>51.63</v>
      </c>
      <c r="AX451" s="3">
        <v>51.89</v>
      </c>
      <c r="AY451" s="3">
        <v>5947517</v>
      </c>
      <c r="AZ451" s="3">
        <v>48.82</v>
      </c>
      <c r="BA451" s="3">
        <v>49.07</v>
      </c>
      <c r="BB451" s="3">
        <v>48.65</v>
      </c>
      <c r="BC451" s="3">
        <v>49.05</v>
      </c>
      <c r="BD451" s="3">
        <v>18925381</v>
      </c>
      <c r="BE451" s="3">
        <v>31.05</v>
      </c>
      <c r="BF451" s="3">
        <v>31.25</v>
      </c>
      <c r="BG451" s="3">
        <v>30.9</v>
      </c>
      <c r="BH451" s="3">
        <v>31.18</v>
      </c>
      <c r="BI451" s="3">
        <v>3360343</v>
      </c>
    </row>
    <row r="452" spans="1:61" ht="13" x14ac:dyDescent="0.15">
      <c r="A452" s="3">
        <v>42782</v>
      </c>
      <c r="B452" s="3">
        <v>2349.64</v>
      </c>
      <c r="C452" s="3">
        <v>2351.31</v>
      </c>
      <c r="D452" s="3">
        <v>2338.87</v>
      </c>
      <c r="E452" s="3">
        <v>2347.2199999999998</v>
      </c>
      <c r="F452" s="3">
        <v>1012302953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3">
        <v>86.68</v>
      </c>
      <c r="M452" s="3">
        <v>86.77</v>
      </c>
      <c r="N452" s="3">
        <v>86.17</v>
      </c>
      <c r="O452" s="3">
        <v>86.33</v>
      </c>
      <c r="P452" s="3">
        <v>3082517</v>
      </c>
      <c r="Q452" s="3">
        <v>54.06</v>
      </c>
      <c r="R452" s="3">
        <v>54.21</v>
      </c>
      <c r="S452" s="3">
        <v>53.81</v>
      </c>
      <c r="T452" s="3">
        <v>54.19</v>
      </c>
      <c r="U452" s="3">
        <v>11377402</v>
      </c>
      <c r="V452" s="3">
        <v>73.44</v>
      </c>
      <c r="W452" s="3">
        <v>73.540000000000006</v>
      </c>
      <c r="X452" s="3">
        <v>72.260000000000005</v>
      </c>
      <c r="Y452" s="3">
        <v>72.37</v>
      </c>
      <c r="Z452" s="3">
        <v>11375435</v>
      </c>
      <c r="AA452" s="3">
        <v>24.49</v>
      </c>
      <c r="AB452" s="3">
        <v>24.53</v>
      </c>
      <c r="AC452" s="3">
        <v>24.31</v>
      </c>
      <c r="AD452" s="3">
        <v>24.46</v>
      </c>
      <c r="AE452" s="3">
        <v>64048170</v>
      </c>
      <c r="AF452" s="3">
        <v>73.680000000000007</v>
      </c>
      <c r="AG452" s="3">
        <v>73.75</v>
      </c>
      <c r="AH452" s="3">
        <v>73.06</v>
      </c>
      <c r="AI452" s="3">
        <v>73.56</v>
      </c>
      <c r="AJ452" s="3">
        <v>11332623</v>
      </c>
      <c r="AK452" s="3">
        <v>65.760000000000005</v>
      </c>
      <c r="AL452" s="3">
        <v>65.790000000000006</v>
      </c>
      <c r="AM452" s="3">
        <v>65.34</v>
      </c>
      <c r="AN452" s="3">
        <v>65.78</v>
      </c>
      <c r="AO452" s="3">
        <v>10062432</v>
      </c>
      <c r="AP452" s="3">
        <v>52.5</v>
      </c>
      <c r="AQ452" s="3">
        <v>52.75</v>
      </c>
      <c r="AR452" s="3">
        <v>52.28</v>
      </c>
      <c r="AS452" s="3">
        <v>52.45</v>
      </c>
      <c r="AT452" s="3">
        <v>3204440</v>
      </c>
      <c r="AU452" s="3">
        <v>51.96</v>
      </c>
      <c r="AV452" s="3">
        <v>52.15</v>
      </c>
      <c r="AW452" s="3">
        <v>51.89</v>
      </c>
      <c r="AX452" s="3">
        <v>52.01</v>
      </c>
      <c r="AY452" s="3">
        <v>7061549</v>
      </c>
      <c r="AZ452" s="3">
        <v>49.06</v>
      </c>
      <c r="BA452" s="3">
        <v>49.56</v>
      </c>
      <c r="BB452" s="3">
        <v>49.06</v>
      </c>
      <c r="BC452" s="3">
        <v>49.54</v>
      </c>
      <c r="BD452" s="3">
        <v>14001079</v>
      </c>
      <c r="BE452" s="3">
        <v>31.15</v>
      </c>
      <c r="BF452" s="3">
        <v>31.55</v>
      </c>
      <c r="BG452" s="3">
        <v>31.14</v>
      </c>
      <c r="BH452" s="3">
        <v>31.31</v>
      </c>
      <c r="BI452" s="3">
        <v>3238257</v>
      </c>
    </row>
    <row r="453" spans="1:61" ht="13" x14ac:dyDescent="0.15">
      <c r="A453" s="3">
        <v>42783</v>
      </c>
      <c r="B453" s="3">
        <v>2343.0100000000002</v>
      </c>
      <c r="C453" s="3">
        <v>2351.16</v>
      </c>
      <c r="D453" s="3">
        <v>2339.58</v>
      </c>
      <c r="E453" s="3">
        <v>2351.16</v>
      </c>
      <c r="F453" s="3">
        <v>1045689889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3">
        <v>86.12</v>
      </c>
      <c r="M453" s="3">
        <v>86.61</v>
      </c>
      <c r="N453" s="3">
        <v>86.11</v>
      </c>
      <c r="O453" s="3">
        <v>86.61</v>
      </c>
      <c r="P453" s="3">
        <v>3878574</v>
      </c>
      <c r="Q453" s="3">
        <v>54.03</v>
      </c>
      <c r="R453" s="3">
        <v>54.52</v>
      </c>
      <c r="S453" s="3">
        <v>53.93</v>
      </c>
      <c r="T453" s="3">
        <v>54.46</v>
      </c>
      <c r="U453" s="3">
        <v>15581773</v>
      </c>
      <c r="V453" s="3">
        <v>72</v>
      </c>
      <c r="W453" s="3">
        <v>72.209999999999994</v>
      </c>
      <c r="X453" s="3">
        <v>71.739999999999995</v>
      </c>
      <c r="Y453" s="3">
        <v>71.97</v>
      </c>
      <c r="Z453" s="3">
        <v>11645027</v>
      </c>
      <c r="AA453" s="3">
        <v>24.28</v>
      </c>
      <c r="AB453" s="3">
        <v>24.47</v>
      </c>
      <c r="AC453" s="3">
        <v>24.25</v>
      </c>
      <c r="AD453" s="3">
        <v>24.47</v>
      </c>
      <c r="AE453" s="3">
        <v>54156555</v>
      </c>
      <c r="AF453" s="3">
        <v>73.28</v>
      </c>
      <c r="AG453" s="3">
        <v>73.7</v>
      </c>
      <c r="AH453" s="3">
        <v>73.28</v>
      </c>
      <c r="AI453" s="3">
        <v>73.66</v>
      </c>
      <c r="AJ453" s="3">
        <v>12118416</v>
      </c>
      <c r="AK453" s="3">
        <v>65.61</v>
      </c>
      <c r="AL453" s="3">
        <v>65.89</v>
      </c>
      <c r="AM453" s="3">
        <v>65.41</v>
      </c>
      <c r="AN453" s="3">
        <v>65.89</v>
      </c>
      <c r="AO453" s="3">
        <v>5194723</v>
      </c>
      <c r="AP453" s="3">
        <v>52.35</v>
      </c>
      <c r="AQ453" s="3">
        <v>52.42</v>
      </c>
      <c r="AR453" s="3">
        <v>52.11</v>
      </c>
      <c r="AS453" s="3">
        <v>52.3</v>
      </c>
      <c r="AT453" s="3">
        <v>3964137</v>
      </c>
      <c r="AU453" s="3">
        <v>51.95</v>
      </c>
      <c r="AV453" s="3">
        <v>52.19</v>
      </c>
      <c r="AW453" s="3">
        <v>51.87</v>
      </c>
      <c r="AX453" s="3">
        <v>52.19</v>
      </c>
      <c r="AY453" s="3">
        <v>7087697</v>
      </c>
      <c r="AZ453" s="3">
        <v>49.67</v>
      </c>
      <c r="BA453" s="3">
        <v>49.72</v>
      </c>
      <c r="BB453" s="3">
        <v>49.29</v>
      </c>
      <c r="BC453" s="3">
        <v>49.57</v>
      </c>
      <c r="BD453" s="3">
        <v>9973464</v>
      </c>
      <c r="BE453" s="3">
        <v>31.28</v>
      </c>
      <c r="BF453" s="3">
        <v>31.49</v>
      </c>
      <c r="BG453" s="3">
        <v>31.22</v>
      </c>
      <c r="BH453" s="3">
        <v>31.4</v>
      </c>
      <c r="BI453" s="3">
        <v>3247948</v>
      </c>
    </row>
    <row r="454" spans="1:61" ht="13" x14ac:dyDescent="0.15">
      <c r="A454" s="3">
        <v>42787</v>
      </c>
      <c r="B454" s="3">
        <v>2354.91</v>
      </c>
      <c r="C454" s="3">
        <v>2366.71</v>
      </c>
      <c r="D454" s="3">
        <v>2354.91</v>
      </c>
      <c r="E454" s="3">
        <v>2365.38</v>
      </c>
      <c r="F454" s="3">
        <v>1034890289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3">
        <v>86.99</v>
      </c>
      <c r="M454" s="3">
        <v>87.3</v>
      </c>
      <c r="N454" s="3">
        <v>86.78</v>
      </c>
      <c r="O454" s="3">
        <v>87.11</v>
      </c>
      <c r="P454" s="3">
        <v>3591388</v>
      </c>
      <c r="Q454" s="3">
        <v>54.62</v>
      </c>
      <c r="R454" s="3">
        <v>55.09</v>
      </c>
      <c r="S454" s="3">
        <v>54.56</v>
      </c>
      <c r="T454" s="3">
        <v>54.95</v>
      </c>
      <c r="U454" s="3">
        <v>16499953</v>
      </c>
      <c r="V454" s="3">
        <v>72.650000000000006</v>
      </c>
      <c r="W454" s="3">
        <v>72.849999999999994</v>
      </c>
      <c r="X454" s="3">
        <v>72.349999999999994</v>
      </c>
      <c r="Y454" s="3">
        <v>72.459999999999994</v>
      </c>
      <c r="Z454" s="3">
        <v>11802519</v>
      </c>
      <c r="AA454" s="3">
        <v>24.6</v>
      </c>
      <c r="AB454" s="3">
        <v>24.65</v>
      </c>
      <c r="AC454" s="3">
        <v>24.51</v>
      </c>
      <c r="AD454" s="3">
        <v>24.59</v>
      </c>
      <c r="AE454" s="3">
        <v>55216106</v>
      </c>
      <c r="AF454" s="3">
        <v>73.650000000000006</v>
      </c>
      <c r="AG454" s="3">
        <v>74.23</v>
      </c>
      <c r="AH454" s="3">
        <v>73.650000000000006</v>
      </c>
      <c r="AI454" s="3">
        <v>73.989999999999995</v>
      </c>
      <c r="AJ454" s="3">
        <v>10651815</v>
      </c>
      <c r="AK454" s="3">
        <v>65.989999999999995</v>
      </c>
      <c r="AL454" s="3">
        <v>66.28</v>
      </c>
      <c r="AM454" s="3">
        <v>65.900000000000006</v>
      </c>
      <c r="AN454" s="3">
        <v>66.22</v>
      </c>
      <c r="AO454" s="3">
        <v>9573858</v>
      </c>
      <c r="AP454" s="3">
        <v>52.27</v>
      </c>
      <c r="AQ454" s="3">
        <v>52.62</v>
      </c>
      <c r="AR454" s="3">
        <v>52.18</v>
      </c>
      <c r="AS454" s="3">
        <v>52.47</v>
      </c>
      <c r="AT454" s="3">
        <v>7375933</v>
      </c>
      <c r="AU454" s="3">
        <v>52.3</v>
      </c>
      <c r="AV454" s="3">
        <v>52.48</v>
      </c>
      <c r="AW454" s="3">
        <v>52.22</v>
      </c>
      <c r="AX454" s="3">
        <v>52.46</v>
      </c>
      <c r="AY454" s="3">
        <v>7618703</v>
      </c>
      <c r="AZ454" s="3">
        <v>49.5</v>
      </c>
      <c r="BA454" s="3">
        <v>50.2</v>
      </c>
      <c r="BB454" s="3">
        <v>49.33</v>
      </c>
      <c r="BC454" s="3">
        <v>50.09</v>
      </c>
      <c r="BD454" s="3">
        <v>11358452</v>
      </c>
      <c r="BE454" s="3">
        <v>31.35</v>
      </c>
      <c r="BF454" s="3">
        <v>31.87</v>
      </c>
      <c r="BG454" s="3">
        <v>31.34</v>
      </c>
      <c r="BH454" s="3">
        <v>31.83</v>
      </c>
      <c r="BI454" s="3">
        <v>4280834</v>
      </c>
    </row>
    <row r="455" spans="1:61" ht="13" x14ac:dyDescent="0.15">
      <c r="A455" s="3">
        <v>42788</v>
      </c>
      <c r="B455" s="3">
        <v>2361.11</v>
      </c>
      <c r="C455" s="3">
        <v>2365.13</v>
      </c>
      <c r="D455" s="3">
        <v>2358.34</v>
      </c>
      <c r="E455" s="3">
        <v>2362.8200000000002</v>
      </c>
      <c r="F455" s="3">
        <v>880108485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3">
        <v>87.02</v>
      </c>
      <c r="M455" s="3">
        <v>87.21</v>
      </c>
      <c r="N455" s="3">
        <v>86.93</v>
      </c>
      <c r="O455" s="3">
        <v>87.11</v>
      </c>
      <c r="P455" s="3">
        <v>2245593</v>
      </c>
      <c r="Q455" s="3">
        <v>54.9</v>
      </c>
      <c r="R455" s="3">
        <v>55.03</v>
      </c>
      <c r="S455" s="3">
        <v>54.82</v>
      </c>
      <c r="T455" s="3">
        <v>54.96</v>
      </c>
      <c r="U455" s="3">
        <v>8098986</v>
      </c>
      <c r="V455" s="3">
        <v>72.12</v>
      </c>
      <c r="W455" s="3">
        <v>72.2</v>
      </c>
      <c r="X455" s="3">
        <v>71.31</v>
      </c>
      <c r="Y455" s="3">
        <v>71.36</v>
      </c>
      <c r="Z455" s="3">
        <v>11539405</v>
      </c>
      <c r="AA455" s="3">
        <v>24.49</v>
      </c>
      <c r="AB455" s="3">
        <v>24.68</v>
      </c>
      <c r="AC455" s="3">
        <v>24.45</v>
      </c>
      <c r="AD455" s="3">
        <v>24.61</v>
      </c>
      <c r="AE455" s="3">
        <v>50438917</v>
      </c>
      <c r="AF455" s="3">
        <v>73.900000000000006</v>
      </c>
      <c r="AG455" s="3">
        <v>74.14</v>
      </c>
      <c r="AH455" s="3">
        <v>73.819999999999993</v>
      </c>
      <c r="AI455" s="3">
        <v>73.88</v>
      </c>
      <c r="AJ455" s="3">
        <v>6634265</v>
      </c>
      <c r="AK455" s="3">
        <v>66.03</v>
      </c>
      <c r="AL455" s="3">
        <v>66.14</v>
      </c>
      <c r="AM455" s="3">
        <v>65.849999999999994</v>
      </c>
      <c r="AN455" s="3">
        <v>66.040000000000006</v>
      </c>
      <c r="AO455" s="3">
        <v>10614742</v>
      </c>
      <c r="AP455" s="3">
        <v>52.26</v>
      </c>
      <c r="AQ455" s="3">
        <v>52.9</v>
      </c>
      <c r="AR455" s="3">
        <v>52.23</v>
      </c>
      <c r="AS455" s="3">
        <v>52.61</v>
      </c>
      <c r="AT455" s="3">
        <v>5114433</v>
      </c>
      <c r="AU455" s="3">
        <v>52.41</v>
      </c>
      <c r="AV455" s="3">
        <v>52.56</v>
      </c>
      <c r="AW455" s="3">
        <v>52.3</v>
      </c>
      <c r="AX455" s="3">
        <v>52.52</v>
      </c>
      <c r="AY455" s="3">
        <v>6884815</v>
      </c>
      <c r="AZ455" s="3">
        <v>50.09</v>
      </c>
      <c r="BA455" s="3">
        <v>50.4</v>
      </c>
      <c r="BB455" s="3">
        <v>49.89</v>
      </c>
      <c r="BC455" s="3">
        <v>50.3</v>
      </c>
      <c r="BD455" s="3">
        <v>16018632</v>
      </c>
      <c r="BE455" s="3">
        <v>31.84</v>
      </c>
      <c r="BF455" s="3">
        <v>31.97</v>
      </c>
      <c r="BG455" s="3">
        <v>31.58</v>
      </c>
      <c r="BH455" s="3">
        <v>31.71</v>
      </c>
      <c r="BI455" s="3">
        <v>2463190</v>
      </c>
    </row>
    <row r="456" spans="1:61" ht="13" x14ac:dyDescent="0.15">
      <c r="A456" s="3">
        <v>42789</v>
      </c>
      <c r="B456" s="3">
        <v>2367.5</v>
      </c>
      <c r="C456" s="3">
        <v>2368.2600000000002</v>
      </c>
      <c r="D456" s="3">
        <v>2355.09</v>
      </c>
      <c r="E456" s="3">
        <v>2363.81</v>
      </c>
      <c r="F456" s="3">
        <v>2200797996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3">
        <v>87.22</v>
      </c>
      <c r="M456" s="3">
        <v>87.32</v>
      </c>
      <c r="N456" s="3">
        <v>86.45</v>
      </c>
      <c r="O456" s="3">
        <v>86.52</v>
      </c>
      <c r="P456" s="3">
        <v>3468703</v>
      </c>
      <c r="Q456" s="3">
        <v>55</v>
      </c>
      <c r="R456" s="3">
        <v>55.31</v>
      </c>
      <c r="S456" s="3">
        <v>54.96</v>
      </c>
      <c r="T456" s="3">
        <v>55.09</v>
      </c>
      <c r="U456" s="3">
        <v>9790318</v>
      </c>
      <c r="V456" s="3">
        <v>72.16</v>
      </c>
      <c r="W456" s="3">
        <v>72.28</v>
      </c>
      <c r="X456" s="3">
        <v>71.209999999999994</v>
      </c>
      <c r="Y456" s="3">
        <v>71.66</v>
      </c>
      <c r="Z456" s="3">
        <v>17390145</v>
      </c>
      <c r="AA456" s="3">
        <v>24.62</v>
      </c>
      <c r="AB456" s="3">
        <v>24.67</v>
      </c>
      <c r="AC456" s="3">
        <v>24.47</v>
      </c>
      <c r="AD456" s="3">
        <v>24.61</v>
      </c>
      <c r="AE456" s="3">
        <v>53509388</v>
      </c>
      <c r="AF456" s="3">
        <v>73.959999999999994</v>
      </c>
      <c r="AG456" s="3">
        <v>74.55</v>
      </c>
      <c r="AH456" s="3">
        <v>73.87</v>
      </c>
      <c r="AI456" s="3">
        <v>74.42</v>
      </c>
      <c r="AJ456" s="3">
        <v>8685596</v>
      </c>
      <c r="AK456" s="3">
        <v>66.150000000000006</v>
      </c>
      <c r="AL456" s="3">
        <v>66.22</v>
      </c>
      <c r="AM456" s="3">
        <v>65.39</v>
      </c>
      <c r="AN456" s="3">
        <v>65.61</v>
      </c>
      <c r="AO456" s="3">
        <v>16800135</v>
      </c>
      <c r="AP456" s="3">
        <v>52.72</v>
      </c>
      <c r="AQ456" s="3">
        <v>52.91</v>
      </c>
      <c r="AR456" s="3">
        <v>52.27</v>
      </c>
      <c r="AS456" s="3">
        <v>52.32</v>
      </c>
      <c r="AT456" s="3">
        <v>3535262</v>
      </c>
      <c r="AU456" s="3">
        <v>52.59</v>
      </c>
      <c r="AV456" s="3">
        <v>52.63</v>
      </c>
      <c r="AW456" s="3">
        <v>52.28</v>
      </c>
      <c r="AX456" s="3">
        <v>52.51</v>
      </c>
      <c r="AY456" s="3">
        <v>6702668</v>
      </c>
      <c r="AZ456" s="3">
        <v>50.52</v>
      </c>
      <c r="BA456" s="3">
        <v>51</v>
      </c>
      <c r="BB456" s="3">
        <v>50.41</v>
      </c>
      <c r="BC456" s="3">
        <v>50.82</v>
      </c>
      <c r="BD456" s="3">
        <v>15003582</v>
      </c>
      <c r="BE456" s="3">
        <v>31.84</v>
      </c>
      <c r="BF456" s="3">
        <v>31.96</v>
      </c>
      <c r="BG456" s="3">
        <v>31.67</v>
      </c>
      <c r="BH456" s="3">
        <v>31.92</v>
      </c>
      <c r="BI456" s="3">
        <v>1938411</v>
      </c>
    </row>
    <row r="457" spans="1:61" ht="13" x14ac:dyDescent="0.15">
      <c r="A457" s="3">
        <v>42790</v>
      </c>
      <c r="B457" s="3">
        <v>2355.73</v>
      </c>
      <c r="C457" s="3">
        <v>2367.34</v>
      </c>
      <c r="D457" s="3">
        <v>2352.87</v>
      </c>
      <c r="E457" s="3">
        <v>2367.34</v>
      </c>
      <c r="F457" s="3">
        <v>2190395580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3">
        <v>86.37</v>
      </c>
      <c r="M457" s="3">
        <v>86.92</v>
      </c>
      <c r="N457" s="3">
        <v>86.18</v>
      </c>
      <c r="O457" s="3">
        <v>86.92</v>
      </c>
      <c r="P457" s="3">
        <v>4846313</v>
      </c>
      <c r="Q457" s="3">
        <v>55.03</v>
      </c>
      <c r="R457" s="3">
        <v>55.3</v>
      </c>
      <c r="S457" s="3">
        <v>54.99</v>
      </c>
      <c r="T457" s="3">
        <v>55.28</v>
      </c>
      <c r="U457" s="3">
        <v>7762232</v>
      </c>
      <c r="V457" s="3">
        <v>71.14</v>
      </c>
      <c r="W457" s="3">
        <v>71.41</v>
      </c>
      <c r="X457" s="3">
        <v>70.63</v>
      </c>
      <c r="Y457" s="3">
        <v>70.989999999999995</v>
      </c>
      <c r="Z457" s="3">
        <v>13997642</v>
      </c>
      <c r="AA457" s="3">
        <v>24.35</v>
      </c>
      <c r="AB457" s="3">
        <v>24.48</v>
      </c>
      <c r="AC457" s="3">
        <v>24.31</v>
      </c>
      <c r="AD457" s="3">
        <v>24.42</v>
      </c>
      <c r="AE457" s="3">
        <v>61686780</v>
      </c>
      <c r="AF457" s="3">
        <v>74.3</v>
      </c>
      <c r="AG457" s="3">
        <v>74.819999999999993</v>
      </c>
      <c r="AH457" s="3">
        <v>74.27</v>
      </c>
      <c r="AI457" s="3">
        <v>74.78</v>
      </c>
      <c r="AJ457" s="3">
        <v>9103034</v>
      </c>
      <c r="AK457" s="3">
        <v>65.260000000000005</v>
      </c>
      <c r="AL457" s="3">
        <v>65.900000000000006</v>
      </c>
      <c r="AM457" s="3">
        <v>65.17</v>
      </c>
      <c r="AN457" s="3">
        <v>65.89</v>
      </c>
      <c r="AO457" s="3">
        <v>12662950</v>
      </c>
      <c r="AP457" s="3">
        <v>52.1</v>
      </c>
      <c r="AQ457" s="3">
        <v>52.47</v>
      </c>
      <c r="AR457" s="3">
        <v>52.02</v>
      </c>
      <c r="AS457" s="3">
        <v>52.43</v>
      </c>
      <c r="AT457" s="3">
        <v>4812330</v>
      </c>
      <c r="AU457" s="3">
        <v>52.2</v>
      </c>
      <c r="AV457" s="3">
        <v>52.65</v>
      </c>
      <c r="AW457" s="3">
        <v>52.17</v>
      </c>
      <c r="AX457" s="3">
        <v>52.63</v>
      </c>
      <c r="AY457" s="3">
        <v>7772505</v>
      </c>
      <c r="AZ457" s="3">
        <v>50.99</v>
      </c>
      <c r="BA457" s="3">
        <v>51.59</v>
      </c>
      <c r="BB457" s="3">
        <v>50.99</v>
      </c>
      <c r="BC457" s="3">
        <v>51.59</v>
      </c>
      <c r="BD457" s="3">
        <v>18629698</v>
      </c>
      <c r="BE457" s="3">
        <v>31.92</v>
      </c>
      <c r="BF457" s="3">
        <v>32.1</v>
      </c>
      <c r="BG457" s="3">
        <v>31.77</v>
      </c>
      <c r="BH457" s="3">
        <v>32.08</v>
      </c>
      <c r="BI457" s="3">
        <v>2542772</v>
      </c>
    </row>
    <row r="458" spans="1:61" ht="13" x14ac:dyDescent="0.15">
      <c r="A458" s="3">
        <v>42793</v>
      </c>
      <c r="B458" s="3">
        <v>2365.23</v>
      </c>
      <c r="C458" s="3">
        <v>2371.54</v>
      </c>
      <c r="D458" s="3">
        <v>2361.87</v>
      </c>
      <c r="E458" s="3">
        <v>2369.75</v>
      </c>
      <c r="F458" s="3">
        <v>807561788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3">
        <v>86.95</v>
      </c>
      <c r="M458" s="3">
        <v>87.08</v>
      </c>
      <c r="N458" s="3">
        <v>86.66</v>
      </c>
      <c r="O458" s="3">
        <v>87.02</v>
      </c>
      <c r="P458" s="3">
        <v>3452412</v>
      </c>
      <c r="Q458" s="3">
        <v>55.19</v>
      </c>
      <c r="R458" s="3">
        <v>55.19</v>
      </c>
      <c r="S458" s="3">
        <v>54.91</v>
      </c>
      <c r="T458" s="3">
        <v>55.03</v>
      </c>
      <c r="U458" s="3">
        <v>12707464</v>
      </c>
      <c r="V458" s="3">
        <v>71.06</v>
      </c>
      <c r="W458" s="3">
        <v>71.91</v>
      </c>
      <c r="X458" s="3">
        <v>70.94</v>
      </c>
      <c r="Y458" s="3">
        <v>71.599999999999994</v>
      </c>
      <c r="Z458" s="3">
        <v>23686442</v>
      </c>
      <c r="AA458" s="3">
        <v>24.45</v>
      </c>
      <c r="AB458" s="3">
        <v>24.6</v>
      </c>
      <c r="AC458" s="3">
        <v>24.44</v>
      </c>
      <c r="AD458" s="3">
        <v>24.55</v>
      </c>
      <c r="AE458" s="3">
        <v>39655008</v>
      </c>
      <c r="AF458" s="3">
        <v>74.83</v>
      </c>
      <c r="AG458" s="3">
        <v>75.180000000000007</v>
      </c>
      <c r="AH458" s="3">
        <v>74.67</v>
      </c>
      <c r="AI458" s="3">
        <v>75.14</v>
      </c>
      <c r="AJ458" s="3">
        <v>8178202</v>
      </c>
      <c r="AK458" s="3">
        <v>65.95</v>
      </c>
      <c r="AL458" s="3">
        <v>66.180000000000007</v>
      </c>
      <c r="AM458" s="3">
        <v>65.73</v>
      </c>
      <c r="AN458" s="3">
        <v>66.13</v>
      </c>
      <c r="AO458" s="3">
        <v>10705384</v>
      </c>
      <c r="AP458" s="3">
        <v>52.43</v>
      </c>
      <c r="AQ458" s="3">
        <v>52.73</v>
      </c>
      <c r="AR458" s="3">
        <v>52.22</v>
      </c>
      <c r="AS458" s="3">
        <v>52.3</v>
      </c>
      <c r="AT458" s="3">
        <v>6297832</v>
      </c>
      <c r="AU458" s="3">
        <v>52.62</v>
      </c>
      <c r="AV458" s="3">
        <v>52.62</v>
      </c>
      <c r="AW458" s="3">
        <v>52.48</v>
      </c>
      <c r="AX458" s="3">
        <v>52.6</v>
      </c>
      <c r="AY458" s="3">
        <v>7975631</v>
      </c>
      <c r="AZ458" s="3">
        <v>51.49</v>
      </c>
      <c r="BA458" s="3">
        <v>51.53</v>
      </c>
      <c r="BB458" s="3">
        <v>51.23</v>
      </c>
      <c r="BC458" s="3">
        <v>51.3</v>
      </c>
      <c r="BD458" s="3">
        <v>13982858</v>
      </c>
      <c r="BE458" s="3">
        <v>32.090000000000003</v>
      </c>
      <c r="BF458" s="3">
        <v>32.35</v>
      </c>
      <c r="BG458" s="3">
        <v>32.090000000000003</v>
      </c>
      <c r="BH458" s="3">
        <v>32.24</v>
      </c>
      <c r="BI458" s="3">
        <v>1902354</v>
      </c>
    </row>
    <row r="459" spans="1:61" ht="13" x14ac:dyDescent="0.15">
      <c r="A459" s="3">
        <v>42794</v>
      </c>
      <c r="B459" s="3">
        <v>2366.08</v>
      </c>
      <c r="C459" s="3">
        <v>2367.79</v>
      </c>
      <c r="D459" s="3">
        <v>2358.96</v>
      </c>
      <c r="E459" s="3">
        <v>2363.64</v>
      </c>
      <c r="F459" s="3">
        <v>2538169000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3">
        <v>86.79</v>
      </c>
      <c r="M459" s="3">
        <v>86.81</v>
      </c>
      <c r="N459" s="3">
        <v>86.3</v>
      </c>
      <c r="O459" s="3">
        <v>86.37</v>
      </c>
      <c r="P459" s="3">
        <v>4089516</v>
      </c>
      <c r="Q459" s="3">
        <v>54.94</v>
      </c>
      <c r="R459" s="3">
        <v>55.22</v>
      </c>
      <c r="S459" s="3">
        <v>54.88</v>
      </c>
      <c r="T459" s="3">
        <v>55.1</v>
      </c>
      <c r="U459" s="3">
        <v>17735461</v>
      </c>
      <c r="V459" s="3">
        <v>71.39</v>
      </c>
      <c r="W459" s="3">
        <v>71.72</v>
      </c>
      <c r="X459" s="3">
        <v>71.180000000000007</v>
      </c>
      <c r="Y459" s="3">
        <v>71.38</v>
      </c>
      <c r="Z459" s="3">
        <v>14018447</v>
      </c>
      <c r="AA459" s="3">
        <v>24.46</v>
      </c>
      <c r="AB459" s="3">
        <v>24.55</v>
      </c>
      <c r="AC459" s="3">
        <v>24.38</v>
      </c>
      <c r="AD459" s="3">
        <v>24.54</v>
      </c>
      <c r="AE459" s="3">
        <v>48912989</v>
      </c>
      <c r="AF459" s="3">
        <v>74.930000000000007</v>
      </c>
      <c r="AG459" s="3">
        <v>75.23</v>
      </c>
      <c r="AH459" s="3">
        <v>74.77</v>
      </c>
      <c r="AI459" s="3">
        <v>74.989999999999995</v>
      </c>
      <c r="AJ459" s="3">
        <v>10258588</v>
      </c>
      <c r="AK459" s="3">
        <v>66.16</v>
      </c>
      <c r="AL459" s="3">
        <v>66.260000000000005</v>
      </c>
      <c r="AM459" s="3">
        <v>65.739999999999995</v>
      </c>
      <c r="AN459" s="3">
        <v>65.86</v>
      </c>
      <c r="AO459" s="3">
        <v>9629948</v>
      </c>
      <c r="AP459" s="3">
        <v>52.26</v>
      </c>
      <c r="AQ459" s="3">
        <v>52.5</v>
      </c>
      <c r="AR459" s="3">
        <v>52.17</v>
      </c>
      <c r="AS459" s="3">
        <v>52.25</v>
      </c>
      <c r="AT459" s="3">
        <v>3862245</v>
      </c>
      <c r="AU459" s="3">
        <v>52.51</v>
      </c>
      <c r="AV459" s="3">
        <v>52.56</v>
      </c>
      <c r="AW459" s="3">
        <v>52.27</v>
      </c>
      <c r="AX459" s="3">
        <v>52.35</v>
      </c>
      <c r="AY459" s="3">
        <v>7621497</v>
      </c>
      <c r="AZ459" s="3">
        <v>51.29</v>
      </c>
      <c r="BA459" s="3">
        <v>51.9</v>
      </c>
      <c r="BB459" s="3">
        <v>51.2</v>
      </c>
      <c r="BC459" s="3">
        <v>51.77</v>
      </c>
      <c r="BD459" s="3">
        <v>14410423</v>
      </c>
      <c r="BE459" s="3">
        <v>32.15</v>
      </c>
      <c r="BF459" s="3">
        <v>32.29</v>
      </c>
      <c r="BG459" s="3">
        <v>32.07</v>
      </c>
      <c r="BH459" s="3">
        <v>32.14</v>
      </c>
      <c r="BI459" s="3">
        <v>2041107</v>
      </c>
    </row>
    <row r="460" spans="1:61" ht="13" x14ac:dyDescent="0.15">
      <c r="A460" s="3">
        <v>42795</v>
      </c>
      <c r="B460" s="3">
        <v>2380.13</v>
      </c>
      <c r="C460" s="3">
        <v>2400.98</v>
      </c>
      <c r="D460" s="3">
        <v>2380.13</v>
      </c>
      <c r="E460" s="3">
        <v>2395.96</v>
      </c>
      <c r="F460" s="3">
        <v>2575918105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3">
        <v>87.3</v>
      </c>
      <c r="M460" s="3">
        <v>87.58</v>
      </c>
      <c r="N460" s="3">
        <v>87.02</v>
      </c>
      <c r="O460" s="3">
        <v>87.34</v>
      </c>
      <c r="P460" s="3">
        <v>8634802</v>
      </c>
      <c r="Q460" s="3">
        <v>55.13</v>
      </c>
      <c r="R460" s="3">
        <v>55.48</v>
      </c>
      <c r="S460" s="3">
        <v>55.05</v>
      </c>
      <c r="T460" s="3">
        <v>55.36</v>
      </c>
      <c r="U460" s="3">
        <v>16716139</v>
      </c>
      <c r="V460" s="3">
        <v>72.040000000000006</v>
      </c>
      <c r="W460" s="3">
        <v>73.14</v>
      </c>
      <c r="X460" s="3">
        <v>71.989999999999995</v>
      </c>
      <c r="Y460" s="3">
        <v>72.81</v>
      </c>
      <c r="Z460" s="3">
        <v>18997571</v>
      </c>
      <c r="AA460" s="3">
        <v>25.01</v>
      </c>
      <c r="AB460" s="3">
        <v>25.29</v>
      </c>
      <c r="AC460" s="3">
        <v>24.98</v>
      </c>
      <c r="AD460" s="3">
        <v>25.24</v>
      </c>
      <c r="AE460" s="3">
        <v>92150012</v>
      </c>
      <c r="AF460" s="3">
        <v>75.44</v>
      </c>
      <c r="AG460" s="3">
        <v>75.930000000000007</v>
      </c>
      <c r="AH460" s="3">
        <v>75.22</v>
      </c>
      <c r="AI460" s="3">
        <v>75.739999999999995</v>
      </c>
      <c r="AJ460" s="3">
        <v>15196599</v>
      </c>
      <c r="AK460" s="3">
        <v>66.430000000000007</v>
      </c>
      <c r="AL460" s="3">
        <v>67.19</v>
      </c>
      <c r="AM460" s="3">
        <v>66.42</v>
      </c>
      <c r="AN460" s="3">
        <v>66.97</v>
      </c>
      <c r="AO460" s="3">
        <v>16452551</v>
      </c>
      <c r="AP460" s="3">
        <v>52.73</v>
      </c>
      <c r="AQ460" s="3">
        <v>53.44</v>
      </c>
      <c r="AR460" s="3">
        <v>52.73</v>
      </c>
      <c r="AS460" s="3">
        <v>53.27</v>
      </c>
      <c r="AT460" s="3">
        <v>5901095</v>
      </c>
      <c r="AU460" s="3">
        <v>52.67</v>
      </c>
      <c r="AV460" s="3">
        <v>53.16</v>
      </c>
      <c r="AW460" s="3">
        <v>52.55</v>
      </c>
      <c r="AX460" s="3">
        <v>53.09</v>
      </c>
      <c r="AY460" s="3">
        <v>9095297</v>
      </c>
      <c r="AZ460" s="3">
        <v>51.03</v>
      </c>
      <c r="BA460" s="3">
        <v>51.69</v>
      </c>
      <c r="BB460" s="3">
        <v>50.98</v>
      </c>
      <c r="BC460" s="3">
        <v>51.31</v>
      </c>
      <c r="BD460" s="3">
        <v>29121553</v>
      </c>
      <c r="BE460" s="3">
        <v>32.06</v>
      </c>
      <c r="BF460" s="3">
        <v>32.25</v>
      </c>
      <c r="BG460" s="3">
        <v>31.92</v>
      </c>
      <c r="BH460" s="3">
        <v>32.06</v>
      </c>
      <c r="BI460" s="3">
        <v>3039798</v>
      </c>
    </row>
    <row r="461" spans="1:61" ht="13" x14ac:dyDescent="0.15">
      <c r="A461" s="3">
        <v>42796</v>
      </c>
      <c r="B461" s="3">
        <v>2394.75</v>
      </c>
      <c r="C461" s="3">
        <v>2394.75</v>
      </c>
      <c r="D461" s="3">
        <v>2380.17</v>
      </c>
      <c r="E461" s="3">
        <v>2381.92</v>
      </c>
      <c r="F461" s="3">
        <v>1046806171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3">
        <v>87.3</v>
      </c>
      <c r="M461" s="3">
        <v>87.43</v>
      </c>
      <c r="N461" s="3">
        <v>87.06</v>
      </c>
      <c r="O461" s="3">
        <v>87.13</v>
      </c>
      <c r="P461" s="3">
        <v>3935376</v>
      </c>
      <c r="Q461" s="3">
        <v>55.3</v>
      </c>
      <c r="R461" s="3">
        <v>55.47</v>
      </c>
      <c r="S461" s="3">
        <v>55.19</v>
      </c>
      <c r="T461" s="3">
        <v>55.35</v>
      </c>
      <c r="U461" s="3">
        <v>9988467</v>
      </c>
      <c r="V461" s="3">
        <v>72.45</v>
      </c>
      <c r="W461" s="3">
        <v>72.81</v>
      </c>
      <c r="X461" s="3">
        <v>72.09</v>
      </c>
      <c r="Y461" s="3">
        <v>72.12</v>
      </c>
      <c r="Z461" s="3">
        <v>10770279</v>
      </c>
      <c r="AA461" s="3">
        <v>25.29</v>
      </c>
      <c r="AB461" s="3">
        <v>25.3</v>
      </c>
      <c r="AC461" s="3">
        <v>24.84</v>
      </c>
      <c r="AD461" s="3">
        <v>24.85</v>
      </c>
      <c r="AE461" s="3">
        <v>69446222</v>
      </c>
      <c r="AF461" s="3">
        <v>75.62</v>
      </c>
      <c r="AG461" s="3">
        <v>75.89</v>
      </c>
      <c r="AH461" s="3">
        <v>75.489999999999995</v>
      </c>
      <c r="AI461" s="3">
        <v>75.5</v>
      </c>
      <c r="AJ461" s="3">
        <v>7889322</v>
      </c>
      <c r="AK461" s="3">
        <v>66.87</v>
      </c>
      <c r="AL461" s="3">
        <v>67.05</v>
      </c>
      <c r="AM461" s="3">
        <v>66.23</v>
      </c>
      <c r="AN461" s="3">
        <v>66.25</v>
      </c>
      <c r="AO461" s="3">
        <v>8453854</v>
      </c>
      <c r="AP461" s="3">
        <v>53.23</v>
      </c>
      <c r="AQ461" s="3">
        <v>53.25</v>
      </c>
      <c r="AR461" s="3">
        <v>52.7</v>
      </c>
      <c r="AS461" s="3">
        <v>52.7</v>
      </c>
      <c r="AT461" s="3">
        <v>4574684</v>
      </c>
      <c r="AU461" s="3">
        <v>53.04</v>
      </c>
      <c r="AV461" s="3">
        <v>53.05</v>
      </c>
      <c r="AW461" s="3">
        <v>52.71</v>
      </c>
      <c r="AX461" s="3">
        <v>52.74</v>
      </c>
      <c r="AY461" s="3">
        <v>7170112</v>
      </c>
      <c r="AZ461" s="3">
        <v>51.13</v>
      </c>
      <c r="BA461" s="3">
        <v>52</v>
      </c>
      <c r="BB461" s="3">
        <v>51.06</v>
      </c>
      <c r="BC461" s="3">
        <v>51.68</v>
      </c>
      <c r="BD461" s="3">
        <v>17372834</v>
      </c>
      <c r="BE461" s="3">
        <v>32</v>
      </c>
      <c r="BF461" s="3">
        <v>32.090000000000003</v>
      </c>
      <c r="BG461" s="3">
        <v>31.87</v>
      </c>
      <c r="BH461" s="3">
        <v>31.96</v>
      </c>
      <c r="BI461" s="3">
        <v>2142754</v>
      </c>
    </row>
    <row r="462" spans="1:61" ht="13" x14ac:dyDescent="0.15">
      <c r="A462" s="3">
        <v>42797</v>
      </c>
      <c r="B462" s="3">
        <v>2380.92</v>
      </c>
      <c r="C462" s="3">
        <v>2383.89</v>
      </c>
      <c r="D462" s="3">
        <v>2375.39</v>
      </c>
      <c r="E462" s="3">
        <v>2383.12</v>
      </c>
      <c r="F462" s="3">
        <v>759171544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3">
        <v>87.04</v>
      </c>
      <c r="M462" s="3">
        <v>87.22</v>
      </c>
      <c r="N462" s="3">
        <v>86.68</v>
      </c>
      <c r="O462" s="3">
        <v>87</v>
      </c>
      <c r="P462" s="3">
        <v>3281538</v>
      </c>
      <c r="Q462" s="3">
        <v>55.18</v>
      </c>
      <c r="R462" s="3">
        <v>55.23</v>
      </c>
      <c r="S462" s="3">
        <v>54.9</v>
      </c>
      <c r="T462" s="3">
        <v>55.14</v>
      </c>
      <c r="U462" s="3">
        <v>10083246</v>
      </c>
      <c r="V462" s="3">
        <v>72.239999999999995</v>
      </c>
      <c r="W462" s="3">
        <v>72.510000000000005</v>
      </c>
      <c r="X462" s="3">
        <v>71.83</v>
      </c>
      <c r="Y462" s="3">
        <v>71.989999999999995</v>
      </c>
      <c r="Z462" s="3">
        <v>11166488</v>
      </c>
      <c r="AA462" s="3">
        <v>24.87</v>
      </c>
      <c r="AB462" s="3">
        <v>25.03</v>
      </c>
      <c r="AC462" s="3">
        <v>24.86</v>
      </c>
      <c r="AD462" s="3">
        <v>24.97</v>
      </c>
      <c r="AE462" s="3">
        <v>57652782</v>
      </c>
      <c r="AF462" s="3">
        <v>75.39</v>
      </c>
      <c r="AG462" s="3">
        <v>75.86</v>
      </c>
      <c r="AH462" s="3">
        <v>75.36</v>
      </c>
      <c r="AI462" s="3">
        <v>75.8</v>
      </c>
      <c r="AJ462" s="3">
        <v>6635276</v>
      </c>
      <c r="AK462" s="3">
        <v>66.260000000000005</v>
      </c>
      <c r="AL462" s="3">
        <v>66.430000000000007</v>
      </c>
      <c r="AM462" s="3">
        <v>66.010000000000005</v>
      </c>
      <c r="AN462" s="3">
        <v>66.319999999999993</v>
      </c>
      <c r="AO462" s="3">
        <v>5862845</v>
      </c>
      <c r="AP462" s="3">
        <v>52.7</v>
      </c>
      <c r="AQ462" s="3">
        <v>52.87</v>
      </c>
      <c r="AR462" s="3">
        <v>52.52</v>
      </c>
      <c r="AS462" s="3">
        <v>52.66</v>
      </c>
      <c r="AT462" s="3">
        <v>2962128</v>
      </c>
      <c r="AU462" s="3">
        <v>52.7</v>
      </c>
      <c r="AV462" s="3">
        <v>52.86</v>
      </c>
      <c r="AW462" s="3">
        <v>52.59</v>
      </c>
      <c r="AX462" s="3">
        <v>52.86</v>
      </c>
      <c r="AY462" s="3">
        <v>7856975</v>
      </c>
      <c r="AZ462" s="3">
        <v>51.68</v>
      </c>
      <c r="BA462" s="3">
        <v>51.71</v>
      </c>
      <c r="BB462" s="3">
        <v>51.09</v>
      </c>
      <c r="BC462" s="3">
        <v>51.52</v>
      </c>
      <c r="BD462" s="3">
        <v>17575040</v>
      </c>
      <c r="BE462" s="3">
        <v>31.89</v>
      </c>
      <c r="BF462" s="3">
        <v>31.96</v>
      </c>
      <c r="BG462" s="3">
        <v>31.57</v>
      </c>
      <c r="BH462" s="3">
        <v>31.86</v>
      </c>
      <c r="BI462" s="3">
        <v>1804457</v>
      </c>
    </row>
    <row r="463" spans="1:61" ht="13" x14ac:dyDescent="0.15">
      <c r="A463" s="3">
        <v>42800</v>
      </c>
      <c r="B463" s="3">
        <v>2375.23</v>
      </c>
      <c r="C463" s="3">
        <v>2378.8000000000002</v>
      </c>
      <c r="D463" s="3">
        <v>2367.98</v>
      </c>
      <c r="E463" s="3">
        <v>2375.31</v>
      </c>
      <c r="F463" s="3">
        <v>815247188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3">
        <v>86.72</v>
      </c>
      <c r="M463" s="3">
        <v>86.81</v>
      </c>
      <c r="N463" s="3">
        <v>86.39</v>
      </c>
      <c r="O463" s="3">
        <v>86.72</v>
      </c>
      <c r="P463" s="3">
        <v>2602736</v>
      </c>
      <c r="Q463" s="3">
        <v>54.95</v>
      </c>
      <c r="R463" s="3">
        <v>54.98</v>
      </c>
      <c r="S463" s="3">
        <v>54.81</v>
      </c>
      <c r="T463" s="3">
        <v>54.9</v>
      </c>
      <c r="U463" s="3">
        <v>6686606</v>
      </c>
      <c r="V463" s="3">
        <v>71.87</v>
      </c>
      <c r="W463" s="3">
        <v>72.25</v>
      </c>
      <c r="X463" s="3">
        <v>71.59</v>
      </c>
      <c r="Y463" s="3">
        <v>72.150000000000006</v>
      </c>
      <c r="Z463" s="3">
        <v>8374749</v>
      </c>
      <c r="AA463" s="3">
        <v>24.82</v>
      </c>
      <c r="AB463" s="3">
        <v>24.86</v>
      </c>
      <c r="AC463" s="3">
        <v>24.67</v>
      </c>
      <c r="AD463" s="3">
        <v>24.78</v>
      </c>
      <c r="AE463" s="3">
        <v>49017181</v>
      </c>
      <c r="AF463" s="3">
        <v>75.69</v>
      </c>
      <c r="AG463" s="3">
        <v>75.75</v>
      </c>
      <c r="AH463" s="3">
        <v>75.239999999999995</v>
      </c>
      <c r="AI463" s="3">
        <v>75.510000000000005</v>
      </c>
      <c r="AJ463" s="3">
        <v>5886906</v>
      </c>
      <c r="AK463" s="3">
        <v>66</v>
      </c>
      <c r="AL463" s="3">
        <v>66.239999999999995</v>
      </c>
      <c r="AM463" s="3">
        <v>65.89</v>
      </c>
      <c r="AN463" s="3">
        <v>66.16</v>
      </c>
      <c r="AO463" s="3">
        <v>7164681</v>
      </c>
      <c r="AP463" s="3">
        <v>52.47</v>
      </c>
      <c r="AQ463" s="3">
        <v>52.61</v>
      </c>
      <c r="AR463" s="3">
        <v>52.24</v>
      </c>
      <c r="AS463" s="3">
        <v>52.32</v>
      </c>
      <c r="AT463" s="3">
        <v>3556714</v>
      </c>
      <c r="AU463" s="3">
        <v>52.64</v>
      </c>
      <c r="AV463" s="3">
        <v>52.87</v>
      </c>
      <c r="AW463" s="3">
        <v>52.55</v>
      </c>
      <c r="AX463" s="3">
        <v>52.78</v>
      </c>
      <c r="AY463" s="3">
        <v>6715162</v>
      </c>
      <c r="AZ463" s="3">
        <v>51.43</v>
      </c>
      <c r="BA463" s="3">
        <v>51.53</v>
      </c>
      <c r="BB463" s="3">
        <v>51.24</v>
      </c>
      <c r="BC463" s="3">
        <v>51.42</v>
      </c>
      <c r="BD463" s="3">
        <v>7616801</v>
      </c>
      <c r="BE463" s="3">
        <v>31.72</v>
      </c>
      <c r="BF463" s="3">
        <v>31.8</v>
      </c>
      <c r="BG463" s="3">
        <v>31.59</v>
      </c>
      <c r="BH463" s="3">
        <v>31.73</v>
      </c>
      <c r="BI463" s="3">
        <v>2279630</v>
      </c>
    </row>
    <row r="464" spans="1:61" ht="13" x14ac:dyDescent="0.15">
      <c r="A464" s="3">
        <v>42801</v>
      </c>
      <c r="B464" s="3">
        <v>2370.7399999999998</v>
      </c>
      <c r="C464" s="3">
        <v>2375.12</v>
      </c>
      <c r="D464" s="3">
        <v>2365.5100000000002</v>
      </c>
      <c r="E464" s="3">
        <v>2368.39</v>
      </c>
      <c r="F464" s="3">
        <v>839221691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3">
        <v>86.72</v>
      </c>
      <c r="M464" s="3">
        <v>86.73</v>
      </c>
      <c r="N464" s="3">
        <v>86.34</v>
      </c>
      <c r="O464" s="3">
        <v>86.44</v>
      </c>
      <c r="P464" s="3">
        <v>3073900</v>
      </c>
      <c r="Q464" s="3">
        <v>54.76</v>
      </c>
      <c r="R464" s="3">
        <v>54.94</v>
      </c>
      <c r="S464" s="3">
        <v>54.75</v>
      </c>
      <c r="T464" s="3">
        <v>54.83</v>
      </c>
      <c r="U464" s="3">
        <v>7846514</v>
      </c>
      <c r="V464" s="3">
        <v>72.41</v>
      </c>
      <c r="W464" s="3">
        <v>72.430000000000007</v>
      </c>
      <c r="X464" s="3">
        <v>71.42</v>
      </c>
      <c r="Y464" s="3">
        <v>71.510000000000005</v>
      </c>
      <c r="Z464" s="3">
        <v>11461751</v>
      </c>
      <c r="AA464" s="3">
        <v>24.82</v>
      </c>
      <c r="AB464" s="3">
        <v>24.82</v>
      </c>
      <c r="AC464" s="3">
        <v>24.65</v>
      </c>
      <c r="AD464" s="3">
        <v>24.71</v>
      </c>
      <c r="AE464" s="3">
        <v>53726499</v>
      </c>
      <c r="AF464" s="3">
        <v>74.89</v>
      </c>
      <c r="AG464" s="3">
        <v>75.36</v>
      </c>
      <c r="AH464" s="3">
        <v>74.739999999999995</v>
      </c>
      <c r="AI464" s="3">
        <v>74.98</v>
      </c>
      <c r="AJ464" s="3">
        <v>12330631</v>
      </c>
      <c r="AK464" s="3">
        <v>66.14</v>
      </c>
      <c r="AL464" s="3">
        <v>66.239999999999995</v>
      </c>
      <c r="AM464" s="3">
        <v>65.88</v>
      </c>
      <c r="AN464" s="3">
        <v>65.97</v>
      </c>
      <c r="AO464" s="3">
        <v>8790796</v>
      </c>
      <c r="AP464" s="3">
        <v>52.35</v>
      </c>
      <c r="AQ464" s="3">
        <v>52.4</v>
      </c>
      <c r="AR464" s="3">
        <v>52.01</v>
      </c>
      <c r="AS464" s="3">
        <v>52.03</v>
      </c>
      <c r="AT464" s="3">
        <v>3838142</v>
      </c>
      <c r="AU464" s="3">
        <v>52.74</v>
      </c>
      <c r="AV464" s="3">
        <v>53</v>
      </c>
      <c r="AW464" s="3">
        <v>52.7</v>
      </c>
      <c r="AX464" s="3">
        <v>52.78</v>
      </c>
      <c r="AY464" s="3">
        <v>6980447</v>
      </c>
      <c r="AZ464" s="3">
        <v>51.36</v>
      </c>
      <c r="BA464" s="3">
        <v>51.58</v>
      </c>
      <c r="BB464" s="3">
        <v>51.32</v>
      </c>
      <c r="BC464" s="3">
        <v>51.39</v>
      </c>
      <c r="BD464" s="3">
        <v>17951673</v>
      </c>
      <c r="BE464" s="3">
        <v>31.71</v>
      </c>
      <c r="BF464" s="3">
        <v>31.72</v>
      </c>
      <c r="BG464" s="3">
        <v>31.45</v>
      </c>
      <c r="BH464" s="3">
        <v>31.62</v>
      </c>
      <c r="BI464" s="3">
        <v>1645922</v>
      </c>
    </row>
    <row r="465" spans="1:61" ht="13" x14ac:dyDescent="0.15">
      <c r="A465" s="3">
        <v>42802</v>
      </c>
      <c r="B465" s="3">
        <v>2369.81</v>
      </c>
      <c r="C465" s="3">
        <v>2373.09</v>
      </c>
      <c r="D465" s="3">
        <v>2361.0100000000002</v>
      </c>
      <c r="E465" s="3">
        <v>2362.98</v>
      </c>
      <c r="F465" s="3">
        <v>1011764443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3">
        <v>86.57</v>
      </c>
      <c r="M465" s="3">
        <v>86.96</v>
      </c>
      <c r="N465" s="3">
        <v>86.54</v>
      </c>
      <c r="O465" s="3">
        <v>86.8</v>
      </c>
      <c r="P465" s="3">
        <v>2609528</v>
      </c>
      <c r="Q465" s="3">
        <v>54.69</v>
      </c>
      <c r="R465" s="3">
        <v>54.8</v>
      </c>
      <c r="S465" s="3">
        <v>54.64</v>
      </c>
      <c r="T465" s="3">
        <v>54.71</v>
      </c>
      <c r="U465" s="3">
        <v>10787982</v>
      </c>
      <c r="V465" s="3">
        <v>71.22</v>
      </c>
      <c r="W465" s="3">
        <v>71.64</v>
      </c>
      <c r="X465" s="3">
        <v>69.62</v>
      </c>
      <c r="Y465" s="3">
        <v>69.650000000000006</v>
      </c>
      <c r="Z465" s="3">
        <v>25566236</v>
      </c>
      <c r="AA465" s="3">
        <v>24.98</v>
      </c>
      <c r="AB465" s="3">
        <v>25.06</v>
      </c>
      <c r="AC465" s="3">
        <v>24.71</v>
      </c>
      <c r="AD465" s="3">
        <v>24.72</v>
      </c>
      <c r="AE465" s="3">
        <v>104601047</v>
      </c>
      <c r="AF465" s="3">
        <v>74.97</v>
      </c>
      <c r="AG465" s="3">
        <v>75.540000000000006</v>
      </c>
      <c r="AH465" s="3">
        <v>74.92</v>
      </c>
      <c r="AI465" s="3">
        <v>75.28</v>
      </c>
      <c r="AJ465" s="3">
        <v>8130032</v>
      </c>
      <c r="AK465" s="3">
        <v>66.06</v>
      </c>
      <c r="AL465" s="3">
        <v>66.099999999999994</v>
      </c>
      <c r="AM465" s="3">
        <v>65.63</v>
      </c>
      <c r="AN465" s="3">
        <v>65.739999999999995</v>
      </c>
      <c r="AO465" s="3">
        <v>10728959</v>
      </c>
      <c r="AP465" s="3">
        <v>52.07</v>
      </c>
      <c r="AQ465" s="3">
        <v>52.57</v>
      </c>
      <c r="AR465" s="3">
        <v>51.95</v>
      </c>
      <c r="AS465" s="3">
        <v>52.03</v>
      </c>
      <c r="AT465" s="3">
        <v>5089134</v>
      </c>
      <c r="AU465" s="3">
        <v>52.84</v>
      </c>
      <c r="AV465" s="3">
        <v>53</v>
      </c>
      <c r="AW465" s="3">
        <v>52.77</v>
      </c>
      <c r="AX465" s="3">
        <v>52.84</v>
      </c>
      <c r="AY465" s="3">
        <v>5680931</v>
      </c>
      <c r="AZ465" s="3">
        <v>50.95</v>
      </c>
      <c r="BA465" s="3">
        <v>51</v>
      </c>
      <c r="BB465" s="3">
        <v>50.55</v>
      </c>
      <c r="BC465" s="3">
        <v>50.65</v>
      </c>
      <c r="BD465" s="3">
        <v>18393940</v>
      </c>
      <c r="BE465" s="3">
        <v>31.45</v>
      </c>
      <c r="BF465" s="3">
        <v>31.54</v>
      </c>
      <c r="BG465" s="3">
        <v>31.14</v>
      </c>
      <c r="BH465" s="3">
        <v>31.15</v>
      </c>
      <c r="BI465" s="3">
        <v>1665941</v>
      </c>
    </row>
    <row r="466" spans="1:61" ht="13" x14ac:dyDescent="0.15">
      <c r="A466" s="3">
        <v>42803</v>
      </c>
      <c r="B466" s="3">
        <v>2363.4899999999998</v>
      </c>
      <c r="C466" s="3">
        <v>2369.08</v>
      </c>
      <c r="D466" s="3">
        <v>2354.54</v>
      </c>
      <c r="E466" s="3">
        <v>2364.87</v>
      </c>
      <c r="F466" s="3">
        <v>945423548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3">
        <v>86.72</v>
      </c>
      <c r="M466" s="3">
        <v>86.97</v>
      </c>
      <c r="N466" s="3">
        <v>86.47</v>
      </c>
      <c r="O466" s="3">
        <v>86.72</v>
      </c>
      <c r="P466" s="3">
        <v>2746929</v>
      </c>
      <c r="Q466" s="3">
        <v>54.69</v>
      </c>
      <c r="R466" s="3">
        <v>54.89</v>
      </c>
      <c r="S466" s="3">
        <v>54.69</v>
      </c>
      <c r="T466" s="3">
        <v>54.8</v>
      </c>
      <c r="U466" s="3">
        <v>7025304</v>
      </c>
      <c r="V466" s="3">
        <v>69.3</v>
      </c>
      <c r="W466" s="3">
        <v>70.150000000000006</v>
      </c>
      <c r="X466" s="3">
        <v>68.89</v>
      </c>
      <c r="Y466" s="3">
        <v>70.11</v>
      </c>
      <c r="Z466" s="3">
        <v>27770650</v>
      </c>
      <c r="AA466" s="3">
        <v>24.82</v>
      </c>
      <c r="AB466" s="3">
        <v>24.94</v>
      </c>
      <c r="AC466" s="3">
        <v>24.7</v>
      </c>
      <c r="AD466" s="3">
        <v>24.81</v>
      </c>
      <c r="AE466" s="3">
        <v>60804082</v>
      </c>
      <c r="AF466" s="3">
        <v>75.27</v>
      </c>
      <c r="AG466" s="3">
        <v>75.790000000000006</v>
      </c>
      <c r="AH466" s="3">
        <v>75.22</v>
      </c>
      <c r="AI466" s="3">
        <v>75.69</v>
      </c>
      <c r="AJ466" s="3">
        <v>8451394</v>
      </c>
      <c r="AK466" s="3">
        <v>65.7</v>
      </c>
      <c r="AL466" s="3">
        <v>65.86</v>
      </c>
      <c r="AM466" s="3">
        <v>65.16</v>
      </c>
      <c r="AN466" s="3">
        <v>65.44</v>
      </c>
      <c r="AO466" s="3">
        <v>9976098</v>
      </c>
      <c r="AP466" s="3">
        <v>52.1</v>
      </c>
      <c r="AQ466" s="3">
        <v>52.17</v>
      </c>
      <c r="AR466" s="3">
        <v>51.62</v>
      </c>
      <c r="AS466" s="3">
        <v>51.87</v>
      </c>
      <c r="AT466" s="3">
        <v>4519840</v>
      </c>
      <c r="AU466" s="3">
        <v>52.85</v>
      </c>
      <c r="AV466" s="3">
        <v>52.91</v>
      </c>
      <c r="AW466" s="3">
        <v>52.57</v>
      </c>
      <c r="AX466" s="3">
        <v>52.83</v>
      </c>
      <c r="AY466" s="3">
        <v>7650187</v>
      </c>
      <c r="AZ466" s="3">
        <v>50.77</v>
      </c>
      <c r="BA466" s="3">
        <v>50.95</v>
      </c>
      <c r="BB466" s="3">
        <v>50.5</v>
      </c>
      <c r="BC466" s="3">
        <v>50.54</v>
      </c>
      <c r="BD466" s="3">
        <v>12842758</v>
      </c>
      <c r="BE466" s="3">
        <v>31.14</v>
      </c>
      <c r="BF466" s="3">
        <v>31.27</v>
      </c>
      <c r="BG466" s="3">
        <v>30.7</v>
      </c>
      <c r="BH466" s="3">
        <v>30.75</v>
      </c>
      <c r="BI466" s="3">
        <v>3171586</v>
      </c>
    </row>
    <row r="467" spans="1:61" ht="13" x14ac:dyDescent="0.15">
      <c r="A467" s="3">
        <v>42804</v>
      </c>
      <c r="B467" s="3">
        <v>2372.52</v>
      </c>
      <c r="C467" s="3">
        <v>2376.86</v>
      </c>
      <c r="D467" s="3">
        <v>2363.04</v>
      </c>
      <c r="E467" s="3">
        <v>2372.6</v>
      </c>
      <c r="F467" s="3">
        <v>944187975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3">
        <v>87.1</v>
      </c>
      <c r="M467" s="3">
        <v>87.18</v>
      </c>
      <c r="N467" s="3">
        <v>86.67</v>
      </c>
      <c r="O467" s="3">
        <v>86.85</v>
      </c>
      <c r="P467" s="3">
        <v>3506602</v>
      </c>
      <c r="Q467" s="3">
        <v>55.03</v>
      </c>
      <c r="R467" s="3">
        <v>55.12</v>
      </c>
      <c r="S467" s="3">
        <v>54.9</v>
      </c>
      <c r="T467" s="3">
        <v>55.05</v>
      </c>
      <c r="U467" s="3">
        <v>6530445</v>
      </c>
      <c r="V467" s="3">
        <v>70.56</v>
      </c>
      <c r="W467" s="3">
        <v>70.650000000000006</v>
      </c>
      <c r="X467" s="3">
        <v>69.599999999999994</v>
      </c>
      <c r="Y467" s="3">
        <v>70.010000000000005</v>
      </c>
      <c r="Z467" s="3">
        <v>17479266</v>
      </c>
      <c r="AA467" s="3">
        <v>24.93</v>
      </c>
      <c r="AB467" s="3">
        <v>24.95</v>
      </c>
      <c r="AC467" s="3">
        <v>24.63</v>
      </c>
      <c r="AD467" s="3">
        <v>24.79</v>
      </c>
      <c r="AE467" s="3">
        <v>62148618</v>
      </c>
      <c r="AF467" s="3">
        <v>76.010000000000005</v>
      </c>
      <c r="AG467" s="3">
        <v>76.09</v>
      </c>
      <c r="AH467" s="3">
        <v>75.7</v>
      </c>
      <c r="AI467" s="3">
        <v>75.98</v>
      </c>
      <c r="AJ467" s="3">
        <v>10455762</v>
      </c>
      <c r="AK467" s="3">
        <v>65.790000000000006</v>
      </c>
      <c r="AL467" s="3">
        <v>65.84</v>
      </c>
      <c r="AM467" s="3">
        <v>65.319999999999993</v>
      </c>
      <c r="AN467" s="3">
        <v>65.84</v>
      </c>
      <c r="AO467" s="3">
        <v>9780496</v>
      </c>
      <c r="AP467" s="3">
        <v>52.15</v>
      </c>
      <c r="AQ467" s="3">
        <v>52.28</v>
      </c>
      <c r="AR467" s="3">
        <v>51.87</v>
      </c>
      <c r="AS467" s="3">
        <v>52.11</v>
      </c>
      <c r="AT467" s="3">
        <v>4769091</v>
      </c>
      <c r="AU467" s="3">
        <v>53.08</v>
      </c>
      <c r="AV467" s="3">
        <v>53.22</v>
      </c>
      <c r="AW467" s="3">
        <v>52.89</v>
      </c>
      <c r="AX467" s="3">
        <v>53.11</v>
      </c>
      <c r="AY467" s="3">
        <v>7354788</v>
      </c>
      <c r="AZ467" s="3">
        <v>50.81</v>
      </c>
      <c r="BA467" s="3">
        <v>51.06</v>
      </c>
      <c r="BB467" s="3">
        <v>50.64</v>
      </c>
      <c r="BC467" s="3">
        <v>50.96</v>
      </c>
      <c r="BD467" s="3">
        <v>11491797</v>
      </c>
      <c r="BE467" s="3">
        <v>30.91</v>
      </c>
      <c r="BF467" s="3">
        <v>31.16</v>
      </c>
      <c r="BG467" s="3">
        <v>30.54</v>
      </c>
      <c r="BH467" s="3">
        <v>30.72</v>
      </c>
      <c r="BI467" s="3">
        <v>1691120</v>
      </c>
    </row>
    <row r="468" spans="1:61" ht="13" x14ac:dyDescent="0.15">
      <c r="A468" s="3">
        <v>42807</v>
      </c>
      <c r="B468" s="3">
        <v>2371.56</v>
      </c>
      <c r="C468" s="3">
        <v>2374.42</v>
      </c>
      <c r="D468" s="3">
        <v>2368.52</v>
      </c>
      <c r="E468" s="3">
        <v>2373.4699999999998</v>
      </c>
      <c r="F468" s="3">
        <v>748522349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3">
        <v>86.9</v>
      </c>
      <c r="M468" s="3">
        <v>87.11</v>
      </c>
      <c r="N468" s="3">
        <v>86.8</v>
      </c>
      <c r="O468" s="3">
        <v>87.08</v>
      </c>
      <c r="P468" s="3">
        <v>2491102</v>
      </c>
      <c r="Q468" s="3">
        <v>55</v>
      </c>
      <c r="R468" s="3">
        <v>55.16</v>
      </c>
      <c r="S468" s="3">
        <v>54.93</v>
      </c>
      <c r="T468" s="3">
        <v>55.09</v>
      </c>
      <c r="U468" s="3">
        <v>10657995</v>
      </c>
      <c r="V468" s="3">
        <v>69.94</v>
      </c>
      <c r="W468" s="3">
        <v>70.36</v>
      </c>
      <c r="X468" s="3">
        <v>69.78</v>
      </c>
      <c r="Y468" s="3">
        <v>70.02</v>
      </c>
      <c r="Z468" s="3">
        <v>13078803</v>
      </c>
      <c r="AA468" s="3">
        <v>24.82</v>
      </c>
      <c r="AB468" s="3">
        <v>24.88</v>
      </c>
      <c r="AC468" s="3">
        <v>24.7</v>
      </c>
      <c r="AD468" s="3">
        <v>24.85</v>
      </c>
      <c r="AE468" s="3">
        <v>49418405</v>
      </c>
      <c r="AF468" s="3">
        <v>76.05</v>
      </c>
      <c r="AG468" s="3">
        <v>76.05</v>
      </c>
      <c r="AH468" s="3">
        <v>75.62</v>
      </c>
      <c r="AI468" s="3">
        <v>75.92</v>
      </c>
      <c r="AJ468" s="3">
        <v>6898546</v>
      </c>
      <c r="AK468" s="3">
        <v>65.77</v>
      </c>
      <c r="AL468" s="3">
        <v>65.930000000000007</v>
      </c>
      <c r="AM468" s="3">
        <v>65.61</v>
      </c>
      <c r="AN468" s="3">
        <v>65.8</v>
      </c>
      <c r="AO468" s="3">
        <v>11620274</v>
      </c>
      <c r="AP468" s="3">
        <v>52.17</v>
      </c>
      <c r="AQ468" s="3">
        <v>52.27</v>
      </c>
      <c r="AR468" s="3">
        <v>52.03</v>
      </c>
      <c r="AS468" s="3">
        <v>52.26</v>
      </c>
      <c r="AT468" s="3">
        <v>3535187</v>
      </c>
      <c r="AU468" s="3">
        <v>53.11</v>
      </c>
      <c r="AV468" s="3">
        <v>53.22</v>
      </c>
      <c r="AW468" s="3">
        <v>53.06</v>
      </c>
      <c r="AX468" s="3">
        <v>53.16</v>
      </c>
      <c r="AY468" s="3">
        <v>7461245</v>
      </c>
      <c r="AZ468" s="3">
        <v>50.92</v>
      </c>
      <c r="BA468" s="3">
        <v>51.14</v>
      </c>
      <c r="BB468" s="3">
        <v>50.86</v>
      </c>
      <c r="BC468" s="3">
        <v>51.11</v>
      </c>
      <c r="BD468" s="3">
        <v>14057982</v>
      </c>
      <c r="BE468" s="3">
        <v>30.72</v>
      </c>
      <c r="BF468" s="3">
        <v>30.91</v>
      </c>
      <c r="BG468" s="3">
        <v>30.67</v>
      </c>
      <c r="BH468" s="3">
        <v>30.76</v>
      </c>
      <c r="BI468" s="3">
        <v>1929393</v>
      </c>
    </row>
    <row r="469" spans="1:61" ht="13" x14ac:dyDescent="0.15">
      <c r="A469" s="3">
        <v>42808</v>
      </c>
      <c r="B469" s="3">
        <v>2368.5500000000002</v>
      </c>
      <c r="C469" s="3">
        <v>2368.5500000000002</v>
      </c>
      <c r="D469" s="3">
        <v>2358.1799999999998</v>
      </c>
      <c r="E469" s="3">
        <v>2365.4499999999998</v>
      </c>
      <c r="F469" s="3">
        <v>611348401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3">
        <v>86.99</v>
      </c>
      <c r="M469" s="3">
        <v>87.2</v>
      </c>
      <c r="N469" s="3">
        <v>86.77</v>
      </c>
      <c r="O469" s="3">
        <v>87.06</v>
      </c>
      <c r="P469" s="3">
        <v>3892828</v>
      </c>
      <c r="Q469" s="3">
        <v>55.02</v>
      </c>
      <c r="R469" s="3">
        <v>55.14</v>
      </c>
      <c r="S469" s="3">
        <v>54.9</v>
      </c>
      <c r="T469" s="3">
        <v>54.93</v>
      </c>
      <c r="U469" s="3">
        <v>7890811</v>
      </c>
      <c r="V469" s="3">
        <v>69.48</v>
      </c>
      <c r="W469" s="3">
        <v>69.489999999999995</v>
      </c>
      <c r="X469" s="3">
        <v>68.62</v>
      </c>
      <c r="Y469" s="3">
        <v>69.23</v>
      </c>
      <c r="Z469" s="3">
        <v>26384761</v>
      </c>
      <c r="AA469" s="3">
        <v>24.75</v>
      </c>
      <c r="AB469" s="3">
        <v>24.8</v>
      </c>
      <c r="AC469" s="3">
        <v>24.6</v>
      </c>
      <c r="AD469" s="3">
        <v>24.78</v>
      </c>
      <c r="AE469" s="3">
        <v>49511126</v>
      </c>
      <c r="AF469" s="3">
        <v>75.709999999999994</v>
      </c>
      <c r="AG469" s="3">
        <v>75.959999999999994</v>
      </c>
      <c r="AH469" s="3">
        <v>75.56</v>
      </c>
      <c r="AI469" s="3">
        <v>75.64</v>
      </c>
      <c r="AJ469" s="3">
        <v>7296332</v>
      </c>
      <c r="AK469" s="3">
        <v>65.58</v>
      </c>
      <c r="AL469" s="3">
        <v>65.66</v>
      </c>
      <c r="AM469" s="3">
        <v>65.05</v>
      </c>
      <c r="AN469" s="3">
        <v>65.180000000000007</v>
      </c>
      <c r="AO469" s="3">
        <v>10810671</v>
      </c>
      <c r="AP469" s="3">
        <v>52.05</v>
      </c>
      <c r="AQ469" s="3">
        <v>52.09</v>
      </c>
      <c r="AR469" s="3">
        <v>51.75</v>
      </c>
      <c r="AS469" s="3">
        <v>51.81</v>
      </c>
      <c r="AT469" s="3">
        <v>5656510</v>
      </c>
      <c r="AU469" s="3">
        <v>53.12</v>
      </c>
      <c r="AV469" s="3">
        <v>53.12</v>
      </c>
      <c r="AW469" s="3">
        <v>52.84</v>
      </c>
      <c r="AX469" s="3">
        <v>53.04</v>
      </c>
      <c r="AY469" s="3">
        <v>7239872</v>
      </c>
      <c r="AZ469" s="3">
        <v>51.05</v>
      </c>
      <c r="BA469" s="3">
        <v>51.2</v>
      </c>
      <c r="BB469" s="3">
        <v>50.89</v>
      </c>
      <c r="BC469" s="3">
        <v>51.06</v>
      </c>
      <c r="BD469" s="3">
        <v>11670519</v>
      </c>
      <c r="BE469" s="3">
        <v>30.72</v>
      </c>
      <c r="BF469" s="3">
        <v>30.82</v>
      </c>
      <c r="BG469" s="3">
        <v>30.6</v>
      </c>
      <c r="BH469" s="3">
        <v>30.72</v>
      </c>
      <c r="BI469" s="3">
        <v>2139581</v>
      </c>
    </row>
    <row r="470" spans="1:61" ht="13" x14ac:dyDescent="0.15">
      <c r="A470" s="3">
        <v>42809</v>
      </c>
      <c r="B470" s="3">
        <v>2370.34</v>
      </c>
      <c r="C470" s="3">
        <v>2390.0100000000002</v>
      </c>
      <c r="D470" s="3">
        <v>2368.94</v>
      </c>
      <c r="E470" s="3">
        <v>2385.2600000000002</v>
      </c>
      <c r="F470" s="3">
        <v>1051135929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3">
        <v>87.23</v>
      </c>
      <c r="M470" s="3">
        <v>87.69</v>
      </c>
      <c r="N470" s="3">
        <v>86.95</v>
      </c>
      <c r="O470" s="3">
        <v>87.52</v>
      </c>
      <c r="P470" s="3">
        <v>3736900</v>
      </c>
      <c r="Q470" s="3">
        <v>55</v>
      </c>
      <c r="R470" s="3">
        <v>55.5</v>
      </c>
      <c r="S470" s="3">
        <v>55</v>
      </c>
      <c r="T470" s="3">
        <v>55.34</v>
      </c>
      <c r="U470" s="3">
        <v>14102871</v>
      </c>
      <c r="V470" s="3">
        <v>69.819999999999993</v>
      </c>
      <c r="W470" s="3">
        <v>70.930000000000007</v>
      </c>
      <c r="X470" s="3">
        <v>69.48</v>
      </c>
      <c r="Y470" s="3">
        <v>70.77</v>
      </c>
      <c r="Z470" s="3">
        <v>23205014</v>
      </c>
      <c r="AA470" s="3">
        <v>24.82</v>
      </c>
      <c r="AB470" s="3">
        <v>24.92</v>
      </c>
      <c r="AC470" s="3">
        <v>24.63</v>
      </c>
      <c r="AD470" s="3">
        <v>24.74</v>
      </c>
      <c r="AE470" s="3">
        <v>86455125</v>
      </c>
      <c r="AF470" s="3">
        <v>75.75</v>
      </c>
      <c r="AG470" s="3">
        <v>76.75</v>
      </c>
      <c r="AH470" s="3">
        <v>75.75</v>
      </c>
      <c r="AI470" s="3">
        <v>76.59</v>
      </c>
      <c r="AJ470" s="3">
        <v>11044878</v>
      </c>
      <c r="AK470" s="3">
        <v>65.33</v>
      </c>
      <c r="AL470" s="3">
        <v>66.14</v>
      </c>
      <c r="AM470" s="3">
        <v>65.25</v>
      </c>
      <c r="AN470" s="3">
        <v>65.92</v>
      </c>
      <c r="AO470" s="3">
        <v>14737224</v>
      </c>
      <c r="AP470" s="3">
        <v>52.03</v>
      </c>
      <c r="AQ470" s="3">
        <v>52.73</v>
      </c>
      <c r="AR470" s="3">
        <v>51.99</v>
      </c>
      <c r="AS470" s="3">
        <v>52.64</v>
      </c>
      <c r="AT470" s="3">
        <v>5699045</v>
      </c>
      <c r="AU470" s="3">
        <v>53.12</v>
      </c>
      <c r="AV470" s="3">
        <v>53.49</v>
      </c>
      <c r="AW470" s="3">
        <v>52.96</v>
      </c>
      <c r="AX470" s="3">
        <v>53.4</v>
      </c>
      <c r="AY470" s="3">
        <v>8933564</v>
      </c>
      <c r="AZ470" s="3">
        <v>51.24</v>
      </c>
      <c r="BA470" s="3">
        <v>52.14</v>
      </c>
      <c r="BB470" s="3">
        <v>51.14</v>
      </c>
      <c r="BC470" s="3">
        <v>51.88</v>
      </c>
      <c r="BD470" s="3">
        <v>22619164</v>
      </c>
      <c r="BE470" s="3">
        <v>30.79</v>
      </c>
      <c r="BF470" s="3">
        <v>31.45</v>
      </c>
      <c r="BG470" s="3">
        <v>30.79</v>
      </c>
      <c r="BH470" s="3">
        <v>31.31</v>
      </c>
      <c r="BI470" s="3">
        <v>3130235</v>
      </c>
    </row>
    <row r="471" spans="1:61" ht="13" x14ac:dyDescent="0.15">
      <c r="A471" s="3">
        <v>42810</v>
      </c>
      <c r="B471" s="3">
        <v>2387.71</v>
      </c>
      <c r="C471" s="3">
        <v>2388.1</v>
      </c>
      <c r="D471" s="3">
        <v>2377.1799999999998</v>
      </c>
      <c r="E471" s="3">
        <v>2381.38</v>
      </c>
      <c r="F471" s="3">
        <v>804297342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3">
        <v>87.58</v>
      </c>
      <c r="M471" s="3">
        <v>87.75</v>
      </c>
      <c r="N471" s="3">
        <v>87.41</v>
      </c>
      <c r="O471" s="3">
        <v>87.51</v>
      </c>
      <c r="P471" s="3">
        <v>6264710</v>
      </c>
      <c r="Q471" s="3">
        <v>55.35</v>
      </c>
      <c r="R471" s="3">
        <v>55.42</v>
      </c>
      <c r="S471" s="3">
        <v>55.23</v>
      </c>
      <c r="T471" s="3">
        <v>55.42</v>
      </c>
      <c r="U471" s="3">
        <v>8727176</v>
      </c>
      <c r="V471" s="3">
        <v>70.92</v>
      </c>
      <c r="W471" s="3">
        <v>70.92</v>
      </c>
      <c r="X471" s="3">
        <v>70.069999999999993</v>
      </c>
      <c r="Y471" s="3">
        <v>70.27</v>
      </c>
      <c r="Z471" s="3">
        <v>16277545</v>
      </c>
      <c r="AA471" s="3">
        <v>24.84</v>
      </c>
      <c r="AB471" s="3">
        <v>24.97</v>
      </c>
      <c r="AC471" s="3">
        <v>24.77</v>
      </c>
      <c r="AD471" s="3">
        <v>24.78</v>
      </c>
      <c r="AE471" s="3">
        <v>89233679</v>
      </c>
      <c r="AF471" s="3">
        <v>76.400000000000006</v>
      </c>
      <c r="AG471" s="3">
        <v>76.400000000000006</v>
      </c>
      <c r="AH471" s="3">
        <v>75.56</v>
      </c>
      <c r="AI471" s="3">
        <v>75.849999999999994</v>
      </c>
      <c r="AJ471" s="3">
        <v>12129389</v>
      </c>
      <c r="AK471" s="3">
        <v>66.03</v>
      </c>
      <c r="AL471" s="3">
        <v>66.150000000000006</v>
      </c>
      <c r="AM471" s="3">
        <v>65.569999999999993</v>
      </c>
      <c r="AN471" s="3">
        <v>65.62</v>
      </c>
      <c r="AO471" s="3">
        <v>14152405</v>
      </c>
      <c r="AP471" s="3">
        <v>52.76</v>
      </c>
      <c r="AQ471" s="3">
        <v>52.83</v>
      </c>
      <c r="AR471" s="3">
        <v>52.2</v>
      </c>
      <c r="AS471" s="3">
        <v>52.28</v>
      </c>
      <c r="AT471" s="3">
        <v>6540079</v>
      </c>
      <c r="AU471" s="3">
        <v>53.6</v>
      </c>
      <c r="AV471" s="3">
        <v>53.62</v>
      </c>
      <c r="AW471" s="3">
        <v>53.37</v>
      </c>
      <c r="AX471" s="3">
        <v>53.43</v>
      </c>
      <c r="AY471" s="3">
        <v>10977953</v>
      </c>
      <c r="AZ471" s="3">
        <v>51.78</v>
      </c>
      <c r="BA471" s="3">
        <v>51.78</v>
      </c>
      <c r="BB471" s="3">
        <v>51.21</v>
      </c>
      <c r="BC471" s="3">
        <v>51.31</v>
      </c>
      <c r="BD471" s="3">
        <v>18728354</v>
      </c>
      <c r="BE471" s="3">
        <v>31.3</v>
      </c>
      <c r="BF471" s="3">
        <v>31.44</v>
      </c>
      <c r="BG471" s="3">
        <v>31.16</v>
      </c>
      <c r="BH471" s="3">
        <v>31.24</v>
      </c>
      <c r="BI471" s="3">
        <v>1667726</v>
      </c>
    </row>
    <row r="472" spans="1:61" ht="13" x14ac:dyDescent="0.15">
      <c r="A472" s="3">
        <v>42811</v>
      </c>
      <c r="B472" s="3">
        <v>2383.71</v>
      </c>
      <c r="C472" s="3">
        <v>2385.71</v>
      </c>
      <c r="D472" s="3">
        <v>2377.64</v>
      </c>
      <c r="E472" s="3">
        <v>2378.25</v>
      </c>
      <c r="F472" s="3">
        <v>3398204726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3">
        <v>87.35</v>
      </c>
      <c r="M472" s="3">
        <v>87.53</v>
      </c>
      <c r="N472" s="3">
        <v>87.1</v>
      </c>
      <c r="O472" s="3">
        <v>87.36</v>
      </c>
      <c r="P472" s="3">
        <v>4714252</v>
      </c>
      <c r="Q472" s="3">
        <v>55.17</v>
      </c>
      <c r="R472" s="3">
        <v>55.36</v>
      </c>
      <c r="S472" s="3">
        <v>54.98</v>
      </c>
      <c r="T472" s="3">
        <v>54.98</v>
      </c>
      <c r="U472" s="3">
        <v>16469401</v>
      </c>
      <c r="V472" s="3">
        <v>70.14</v>
      </c>
      <c r="W472" s="3">
        <v>70.290000000000006</v>
      </c>
      <c r="X472" s="3">
        <v>69.8</v>
      </c>
      <c r="Y472" s="3">
        <v>69.8</v>
      </c>
      <c r="Z472" s="3">
        <v>14243909</v>
      </c>
      <c r="AA472" s="3">
        <v>24.75</v>
      </c>
      <c r="AB472" s="3">
        <v>24.76</v>
      </c>
      <c r="AC472" s="3">
        <v>22</v>
      </c>
      <c r="AD472" s="3">
        <v>24.45</v>
      </c>
      <c r="AE472" s="3">
        <v>83056828</v>
      </c>
      <c r="AF472" s="3">
        <v>75.39</v>
      </c>
      <c r="AG472" s="3">
        <v>75.53</v>
      </c>
      <c r="AH472" s="3">
        <v>75.12</v>
      </c>
      <c r="AI472" s="3">
        <v>75.16</v>
      </c>
      <c r="AJ472" s="3">
        <v>10400969</v>
      </c>
      <c r="AK472" s="3">
        <v>65.52</v>
      </c>
      <c r="AL472" s="3">
        <v>65.849999999999994</v>
      </c>
      <c r="AM472" s="3">
        <v>65.39</v>
      </c>
      <c r="AN472" s="3">
        <v>65.680000000000007</v>
      </c>
      <c r="AO472" s="3">
        <v>10880067</v>
      </c>
      <c r="AP472" s="3">
        <v>52.36</v>
      </c>
      <c r="AQ472" s="3">
        <v>52.53</v>
      </c>
      <c r="AR472" s="3">
        <v>52.29</v>
      </c>
      <c r="AS472" s="3">
        <v>52.34</v>
      </c>
      <c r="AT472" s="3">
        <v>5130588</v>
      </c>
      <c r="AU472" s="3">
        <v>53.43</v>
      </c>
      <c r="AV472" s="3">
        <v>53.51</v>
      </c>
      <c r="AW472" s="3">
        <v>53.32</v>
      </c>
      <c r="AX472" s="3">
        <v>53.34</v>
      </c>
      <c r="AY472" s="3">
        <v>6895356</v>
      </c>
      <c r="AZ472" s="3">
        <v>51.1</v>
      </c>
      <c r="BA472" s="3">
        <v>51.52</v>
      </c>
      <c r="BB472" s="3">
        <v>51.04</v>
      </c>
      <c r="BC472" s="3">
        <v>51.23</v>
      </c>
      <c r="BD472" s="3">
        <v>15128544</v>
      </c>
      <c r="BE472" s="3">
        <v>31.08</v>
      </c>
      <c r="BF472" s="3">
        <v>31.25</v>
      </c>
      <c r="BG472" s="3">
        <v>31.01</v>
      </c>
      <c r="BH472" s="3">
        <v>31.1</v>
      </c>
      <c r="BI472" s="3">
        <v>2376280</v>
      </c>
    </row>
    <row r="473" spans="1:61" ht="13" x14ac:dyDescent="0.15">
      <c r="A473" s="3">
        <v>42814</v>
      </c>
      <c r="B473" s="3">
        <v>2378.2399999999998</v>
      </c>
      <c r="C473" s="3">
        <v>2379.5500000000002</v>
      </c>
      <c r="D473" s="3">
        <v>2369.66</v>
      </c>
      <c r="E473" s="3">
        <v>2373.4699999999998</v>
      </c>
      <c r="F473" s="3">
        <v>748721673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3">
        <v>87.43</v>
      </c>
      <c r="M473" s="3">
        <v>87.45</v>
      </c>
      <c r="N473" s="3">
        <v>86.98</v>
      </c>
      <c r="O473" s="3">
        <v>87.15</v>
      </c>
      <c r="P473" s="3">
        <v>2639009</v>
      </c>
      <c r="Q473" s="3">
        <v>55.03</v>
      </c>
      <c r="R473" s="3">
        <v>55.16</v>
      </c>
      <c r="S473" s="3">
        <v>54.99</v>
      </c>
      <c r="T473" s="3">
        <v>55.08</v>
      </c>
      <c r="U473" s="3">
        <v>6559189</v>
      </c>
      <c r="V473" s="3">
        <v>69.569999999999993</v>
      </c>
      <c r="W473" s="3">
        <v>69.849999999999994</v>
      </c>
      <c r="X473" s="3">
        <v>69.150000000000006</v>
      </c>
      <c r="Y473" s="3">
        <v>69.75</v>
      </c>
      <c r="Z473" s="3">
        <v>12218665</v>
      </c>
      <c r="AA473" s="3">
        <v>24.4</v>
      </c>
      <c r="AB473" s="3">
        <v>24.47</v>
      </c>
      <c r="AC473" s="3">
        <v>24.25</v>
      </c>
      <c r="AD473" s="3">
        <v>24.27</v>
      </c>
      <c r="AE473" s="3">
        <v>78676416</v>
      </c>
      <c r="AF473" s="3">
        <v>75.180000000000007</v>
      </c>
      <c r="AG473" s="3">
        <v>75.290000000000006</v>
      </c>
      <c r="AH473" s="3">
        <v>74.900000000000006</v>
      </c>
      <c r="AI473" s="3">
        <v>75.040000000000006</v>
      </c>
      <c r="AJ473" s="3">
        <v>4728301</v>
      </c>
      <c r="AK473" s="3">
        <v>65.739999999999995</v>
      </c>
      <c r="AL473" s="3">
        <v>65.819999999999993</v>
      </c>
      <c r="AM473" s="3">
        <v>65.489999999999995</v>
      </c>
      <c r="AN473" s="3">
        <v>65.56</v>
      </c>
      <c r="AO473" s="3">
        <v>5752608</v>
      </c>
      <c r="AP473" s="3">
        <v>52.38</v>
      </c>
      <c r="AQ473" s="3">
        <v>52.66</v>
      </c>
      <c r="AR473" s="3">
        <v>52.18</v>
      </c>
      <c r="AS473" s="3">
        <v>52.62</v>
      </c>
      <c r="AT473" s="3">
        <v>2755200</v>
      </c>
      <c r="AU473" s="3">
        <v>53.35</v>
      </c>
      <c r="AV473" s="3">
        <v>53.51</v>
      </c>
      <c r="AW473" s="3">
        <v>53.24</v>
      </c>
      <c r="AX473" s="3">
        <v>53.37</v>
      </c>
      <c r="AY473" s="3">
        <v>4541841</v>
      </c>
      <c r="AZ473" s="3">
        <v>51.35</v>
      </c>
      <c r="BA473" s="3">
        <v>51.45</v>
      </c>
      <c r="BB473" s="3">
        <v>50.75</v>
      </c>
      <c r="BC473" s="3">
        <v>50.9</v>
      </c>
      <c r="BD473" s="3">
        <v>7148024</v>
      </c>
      <c r="BE473" s="3">
        <v>31.1</v>
      </c>
      <c r="BF473" s="3">
        <v>31.25</v>
      </c>
      <c r="BG473" s="3">
        <v>31.05</v>
      </c>
      <c r="BH473" s="3">
        <v>31.13</v>
      </c>
      <c r="BI473" s="3">
        <v>1573310</v>
      </c>
    </row>
    <row r="474" spans="1:61" ht="13" x14ac:dyDescent="0.15">
      <c r="A474" s="3">
        <v>42815</v>
      </c>
      <c r="B474" s="3">
        <v>2379.3200000000002</v>
      </c>
      <c r="C474" s="3">
        <v>2381.9299999999998</v>
      </c>
      <c r="D474" s="3">
        <v>2341.9</v>
      </c>
      <c r="E474" s="3">
        <v>2344.02</v>
      </c>
      <c r="F474" s="3">
        <v>2637087666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3">
        <v>87.36</v>
      </c>
      <c r="M474" s="3">
        <v>87.49</v>
      </c>
      <c r="N474" s="3">
        <v>85.99</v>
      </c>
      <c r="O474" s="3">
        <v>86.05</v>
      </c>
      <c r="P474" s="3">
        <v>4645729</v>
      </c>
      <c r="Q474" s="3">
        <v>55.11</v>
      </c>
      <c r="R474" s="3">
        <v>55.27</v>
      </c>
      <c r="S474" s="3">
        <v>54.97</v>
      </c>
      <c r="T474" s="3">
        <v>55.04</v>
      </c>
      <c r="U474" s="3">
        <v>13135495</v>
      </c>
      <c r="V474" s="3">
        <v>70.03</v>
      </c>
      <c r="W474" s="3">
        <v>70.08</v>
      </c>
      <c r="X474" s="3">
        <v>68.95</v>
      </c>
      <c r="Y474" s="3">
        <v>69.209999999999994</v>
      </c>
      <c r="Z474" s="3">
        <v>16717185</v>
      </c>
      <c r="AA474" s="3">
        <v>24.36</v>
      </c>
      <c r="AB474" s="3">
        <v>24.38</v>
      </c>
      <c r="AC474" s="3">
        <v>23.51</v>
      </c>
      <c r="AD474" s="3">
        <v>23.57</v>
      </c>
      <c r="AE474" s="3">
        <v>192257047</v>
      </c>
      <c r="AF474" s="3">
        <v>75.13</v>
      </c>
      <c r="AG474" s="3">
        <v>75.39</v>
      </c>
      <c r="AH474" s="3">
        <v>72.33</v>
      </c>
      <c r="AI474" s="3">
        <v>74.459999999999994</v>
      </c>
      <c r="AJ474" s="3">
        <v>16650419</v>
      </c>
      <c r="AK474" s="3">
        <v>65.739999999999995</v>
      </c>
      <c r="AL474" s="3">
        <v>65.790000000000006</v>
      </c>
      <c r="AM474" s="3">
        <v>64.47</v>
      </c>
      <c r="AN474" s="3">
        <v>64.56</v>
      </c>
      <c r="AO474" s="3">
        <v>12661009</v>
      </c>
      <c r="AP474" s="3">
        <v>52.67</v>
      </c>
      <c r="AQ474" s="3">
        <v>52.78</v>
      </c>
      <c r="AR474" s="3">
        <v>51.67</v>
      </c>
      <c r="AS474" s="3">
        <v>51.75</v>
      </c>
      <c r="AT474" s="3">
        <v>7339681</v>
      </c>
      <c r="AU474" s="3">
        <v>53.53</v>
      </c>
      <c r="AV474" s="3">
        <v>53.66</v>
      </c>
      <c r="AW474" s="3">
        <v>52.59</v>
      </c>
      <c r="AX474" s="3">
        <v>52.61</v>
      </c>
      <c r="AY474" s="3">
        <v>14905546</v>
      </c>
      <c r="AZ474" s="3">
        <v>50.92</v>
      </c>
      <c r="BA474" s="3">
        <v>51.8</v>
      </c>
      <c r="BB474" s="3">
        <v>50.89</v>
      </c>
      <c r="BC474" s="3">
        <v>51.61</v>
      </c>
      <c r="BD474" s="3">
        <v>25417115</v>
      </c>
      <c r="BE474" s="3">
        <v>31.2</v>
      </c>
      <c r="BF474" s="3">
        <v>31.34</v>
      </c>
      <c r="BG474" s="3">
        <v>31.07</v>
      </c>
      <c r="BH474" s="3">
        <v>31.08</v>
      </c>
      <c r="BI474" s="3">
        <v>3225158</v>
      </c>
    </row>
    <row r="475" spans="1:61" ht="13" x14ac:dyDescent="0.15">
      <c r="A475" s="3">
        <v>42816</v>
      </c>
      <c r="B475" s="3">
        <v>2343</v>
      </c>
      <c r="C475" s="3">
        <v>2351.81</v>
      </c>
      <c r="D475" s="3">
        <v>2336.4499999999998</v>
      </c>
      <c r="E475" s="3">
        <v>2348.4499999999998</v>
      </c>
      <c r="F475" s="3">
        <v>1064812901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3">
        <v>85.98</v>
      </c>
      <c r="M475" s="3">
        <v>86.27</v>
      </c>
      <c r="N475" s="3">
        <v>85.65</v>
      </c>
      <c r="O475" s="3">
        <v>86.15</v>
      </c>
      <c r="P475" s="3">
        <v>6101146</v>
      </c>
      <c r="Q475" s="3">
        <v>55.12</v>
      </c>
      <c r="R475" s="3">
        <v>55.21</v>
      </c>
      <c r="S475" s="3">
        <v>54.8</v>
      </c>
      <c r="T475" s="3">
        <v>54.93</v>
      </c>
      <c r="U475" s="3">
        <v>7094715</v>
      </c>
      <c r="V475" s="3">
        <v>69</v>
      </c>
      <c r="W475" s="3">
        <v>69.430000000000007</v>
      </c>
      <c r="X475" s="3">
        <v>68.72</v>
      </c>
      <c r="Y475" s="3">
        <v>69.11</v>
      </c>
      <c r="Z475" s="3">
        <v>12419612</v>
      </c>
      <c r="AA475" s="3">
        <v>23.4</v>
      </c>
      <c r="AB475" s="3">
        <v>23.63</v>
      </c>
      <c r="AC475" s="3">
        <v>23.23</v>
      </c>
      <c r="AD475" s="3">
        <v>23.52</v>
      </c>
      <c r="AE475" s="3">
        <v>133199544</v>
      </c>
      <c r="AF475" s="3">
        <v>74.569999999999993</v>
      </c>
      <c r="AG475" s="3">
        <v>74.67</v>
      </c>
      <c r="AH475" s="3">
        <v>74.11</v>
      </c>
      <c r="AI475" s="3">
        <v>74.48</v>
      </c>
      <c r="AJ475" s="3">
        <v>9954250</v>
      </c>
      <c r="AK475" s="3">
        <v>64.58</v>
      </c>
      <c r="AL475" s="3">
        <v>64.92</v>
      </c>
      <c r="AM475" s="3">
        <v>64.33</v>
      </c>
      <c r="AN475" s="3">
        <v>64.790000000000006</v>
      </c>
      <c r="AO475" s="3">
        <v>12266304</v>
      </c>
      <c r="AP475" s="3">
        <v>51.71</v>
      </c>
      <c r="AQ475" s="3">
        <v>51.94</v>
      </c>
      <c r="AR475" s="3">
        <v>51.37</v>
      </c>
      <c r="AS475" s="3">
        <v>51.9</v>
      </c>
      <c r="AT475" s="3">
        <v>5651396</v>
      </c>
      <c r="AU475" s="3">
        <v>52.62</v>
      </c>
      <c r="AV475" s="3">
        <v>53.02</v>
      </c>
      <c r="AW475" s="3">
        <v>52.55</v>
      </c>
      <c r="AX475" s="3">
        <v>52.94</v>
      </c>
      <c r="AY475" s="3">
        <v>11383320</v>
      </c>
      <c r="AZ475" s="3">
        <v>51.82</v>
      </c>
      <c r="BA475" s="3">
        <v>52.23</v>
      </c>
      <c r="BB475" s="3">
        <v>51.65</v>
      </c>
      <c r="BC475" s="3">
        <v>51.86</v>
      </c>
      <c r="BD475" s="3">
        <v>25252761</v>
      </c>
      <c r="BE475" s="3">
        <v>31.14</v>
      </c>
      <c r="BF475" s="3">
        <v>31.18</v>
      </c>
      <c r="BG475" s="3">
        <v>30.86</v>
      </c>
      <c r="BH475" s="3">
        <v>31.15</v>
      </c>
      <c r="BI475" s="3">
        <v>3095471</v>
      </c>
    </row>
    <row r="476" spans="1:61" ht="13" x14ac:dyDescent="0.15">
      <c r="A476" s="3">
        <v>42817</v>
      </c>
      <c r="B476" s="3">
        <v>2345.9699999999998</v>
      </c>
      <c r="C476" s="3">
        <v>2358.92</v>
      </c>
      <c r="D476" s="3">
        <v>2342.13</v>
      </c>
      <c r="E476" s="3">
        <v>2345.96</v>
      </c>
      <c r="F476" s="3">
        <v>844974813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3">
        <v>86.3</v>
      </c>
      <c r="M476" s="3">
        <v>86.8</v>
      </c>
      <c r="N476" s="3">
        <v>86.1</v>
      </c>
      <c r="O476" s="3">
        <v>86.35</v>
      </c>
      <c r="P476" s="3">
        <v>3636969</v>
      </c>
      <c r="Q476" s="3">
        <v>54.88</v>
      </c>
      <c r="R476" s="3">
        <v>55.08</v>
      </c>
      <c r="S476" s="3">
        <v>54.72</v>
      </c>
      <c r="T476" s="3">
        <v>54.81</v>
      </c>
      <c r="U476" s="3">
        <v>7474716</v>
      </c>
      <c r="V476" s="3">
        <v>68.91</v>
      </c>
      <c r="W476" s="3">
        <v>69.42</v>
      </c>
      <c r="X476" s="3">
        <v>68.760000000000005</v>
      </c>
      <c r="Y476" s="3">
        <v>68.83</v>
      </c>
      <c r="Z476" s="3">
        <v>11800443</v>
      </c>
      <c r="AA476" s="3">
        <v>23.49</v>
      </c>
      <c r="AB476" s="3">
        <v>23.84</v>
      </c>
      <c r="AC476" s="3">
        <v>23.44</v>
      </c>
      <c r="AD476" s="3">
        <v>23.57</v>
      </c>
      <c r="AE476" s="3">
        <v>85238878</v>
      </c>
      <c r="AF476" s="3">
        <v>74.39</v>
      </c>
      <c r="AG476" s="3">
        <v>74.77</v>
      </c>
      <c r="AH476" s="3">
        <v>74.11</v>
      </c>
      <c r="AI476" s="3">
        <v>74.25</v>
      </c>
      <c r="AJ476" s="3">
        <v>13250456</v>
      </c>
      <c r="AK476" s="3">
        <v>64.86</v>
      </c>
      <c r="AL476" s="3">
        <v>65.13</v>
      </c>
      <c r="AM476" s="3">
        <v>64.569999999999993</v>
      </c>
      <c r="AN476" s="3">
        <v>64.7</v>
      </c>
      <c r="AO476" s="3">
        <v>10682508</v>
      </c>
      <c r="AP476" s="3">
        <v>51.82</v>
      </c>
      <c r="AQ476" s="3">
        <v>52.28</v>
      </c>
      <c r="AR476" s="3">
        <v>51.7</v>
      </c>
      <c r="AS476" s="3">
        <v>52.12</v>
      </c>
      <c r="AT476" s="3">
        <v>4766377</v>
      </c>
      <c r="AU476" s="3">
        <v>52.86</v>
      </c>
      <c r="AV476" s="3">
        <v>53.02</v>
      </c>
      <c r="AW476" s="3">
        <v>52.72</v>
      </c>
      <c r="AX476" s="3">
        <v>52.8</v>
      </c>
      <c r="AY476" s="3">
        <v>11359352</v>
      </c>
      <c r="AZ476" s="3">
        <v>51.85</v>
      </c>
      <c r="BA476" s="3">
        <v>52.17</v>
      </c>
      <c r="BB476" s="3">
        <v>51.56</v>
      </c>
      <c r="BC476" s="3">
        <v>51.7</v>
      </c>
      <c r="BD476" s="3">
        <v>22565328</v>
      </c>
      <c r="BE476" s="3">
        <v>31.1</v>
      </c>
      <c r="BF476" s="3">
        <v>31.57</v>
      </c>
      <c r="BG476" s="3">
        <v>31.1</v>
      </c>
      <c r="BH476" s="3">
        <v>31.38</v>
      </c>
      <c r="BI476" s="3">
        <v>2233398</v>
      </c>
    </row>
    <row r="477" spans="1:61" ht="13" x14ac:dyDescent="0.15">
      <c r="A477" s="3">
        <v>42818</v>
      </c>
      <c r="B477" s="3">
        <v>2350.42</v>
      </c>
      <c r="C477" s="3">
        <v>2356.2199999999998</v>
      </c>
      <c r="D477" s="3">
        <v>2335.7399999999998</v>
      </c>
      <c r="E477" s="3">
        <v>2343.98</v>
      </c>
      <c r="F477" s="3">
        <v>846511854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3">
        <v>86.44</v>
      </c>
      <c r="M477" s="3">
        <v>86.84</v>
      </c>
      <c r="N477" s="3">
        <v>86.19</v>
      </c>
      <c r="O477" s="3">
        <v>86.56</v>
      </c>
      <c r="P477" s="3">
        <v>3311136</v>
      </c>
      <c r="Q477" s="3">
        <v>54.81</v>
      </c>
      <c r="R477" s="3">
        <v>54.89</v>
      </c>
      <c r="S477" s="3">
        <v>54.52</v>
      </c>
      <c r="T477" s="3">
        <v>54.7</v>
      </c>
      <c r="U477" s="3">
        <v>8343294</v>
      </c>
      <c r="V477" s="3">
        <v>68.930000000000007</v>
      </c>
      <c r="W477" s="3">
        <v>69.08</v>
      </c>
      <c r="X477" s="3">
        <v>68.430000000000007</v>
      </c>
      <c r="Y477" s="3">
        <v>68.56</v>
      </c>
      <c r="Z477" s="3">
        <v>10442476</v>
      </c>
      <c r="AA477" s="3">
        <v>23.61</v>
      </c>
      <c r="AB477" s="3">
        <v>23.73</v>
      </c>
      <c r="AC477" s="3">
        <v>23.38</v>
      </c>
      <c r="AD477" s="3">
        <v>23.54</v>
      </c>
      <c r="AE477" s="3">
        <v>97583434</v>
      </c>
      <c r="AF477" s="3">
        <v>74.290000000000006</v>
      </c>
      <c r="AG477" s="3">
        <v>74.62</v>
      </c>
      <c r="AH477" s="3">
        <v>73.98</v>
      </c>
      <c r="AI477" s="3">
        <v>74.290000000000006</v>
      </c>
      <c r="AJ477" s="3">
        <v>9229473</v>
      </c>
      <c r="AK477" s="3">
        <v>64.680000000000007</v>
      </c>
      <c r="AL477" s="3">
        <v>64.95</v>
      </c>
      <c r="AM477" s="3">
        <v>64.25</v>
      </c>
      <c r="AN477" s="3">
        <v>64.53</v>
      </c>
      <c r="AO477" s="3">
        <v>9924626</v>
      </c>
      <c r="AP477" s="3">
        <v>52.09</v>
      </c>
      <c r="AQ477" s="3">
        <v>52.23</v>
      </c>
      <c r="AR477" s="3">
        <v>51.44</v>
      </c>
      <c r="AS477" s="3">
        <v>51.66</v>
      </c>
      <c r="AT477" s="3">
        <v>6020295</v>
      </c>
      <c r="AU477" s="3">
        <v>52.98</v>
      </c>
      <c r="AV477" s="3">
        <v>53.16</v>
      </c>
      <c r="AW477" s="3">
        <v>52.66</v>
      </c>
      <c r="AX477" s="3">
        <v>52.84</v>
      </c>
      <c r="AY477" s="3">
        <v>13140900</v>
      </c>
      <c r="AZ477" s="3">
        <v>51.73</v>
      </c>
      <c r="BA477" s="3">
        <v>52.08</v>
      </c>
      <c r="BB477" s="3">
        <v>51.6</v>
      </c>
      <c r="BC477" s="3">
        <v>51.89</v>
      </c>
      <c r="BD477" s="3">
        <v>12407130</v>
      </c>
      <c r="BE477" s="3">
        <v>31.44</v>
      </c>
      <c r="BF477" s="3">
        <v>31.53</v>
      </c>
      <c r="BG477" s="3">
        <v>31.27</v>
      </c>
      <c r="BH477" s="3">
        <v>31.35</v>
      </c>
      <c r="BI477" s="3">
        <v>3880551</v>
      </c>
    </row>
    <row r="478" spans="1:61" ht="13" x14ac:dyDescent="0.15">
      <c r="A478" s="3">
        <v>42821</v>
      </c>
      <c r="B478" s="3">
        <v>2329.11</v>
      </c>
      <c r="C478" s="3">
        <v>2344.9</v>
      </c>
      <c r="D478" s="3">
        <v>2322.25</v>
      </c>
      <c r="E478" s="3">
        <v>2341.59</v>
      </c>
      <c r="F478" s="3">
        <v>858018011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3">
        <v>86.04</v>
      </c>
      <c r="M478" s="3">
        <v>86.68</v>
      </c>
      <c r="N478" s="3">
        <v>85.71</v>
      </c>
      <c r="O478" s="3">
        <v>86.53</v>
      </c>
      <c r="P478" s="3">
        <v>4904103</v>
      </c>
      <c r="Q478" s="3">
        <v>54.5</v>
      </c>
      <c r="R478" s="3">
        <v>54.72</v>
      </c>
      <c r="S478" s="3">
        <v>54.41</v>
      </c>
      <c r="T478" s="3">
        <v>54.65</v>
      </c>
      <c r="U478" s="3">
        <v>5739464</v>
      </c>
      <c r="V478" s="3">
        <v>67.91</v>
      </c>
      <c r="W478" s="3">
        <v>68.430000000000007</v>
      </c>
      <c r="X478" s="3">
        <v>67.86</v>
      </c>
      <c r="Y478" s="3">
        <v>68.239999999999995</v>
      </c>
      <c r="Z478" s="3">
        <v>11491252</v>
      </c>
      <c r="AA478" s="3">
        <v>23.04</v>
      </c>
      <c r="AB478" s="3">
        <v>23.46</v>
      </c>
      <c r="AC478" s="3">
        <v>22.98</v>
      </c>
      <c r="AD478" s="3">
        <v>23.45</v>
      </c>
      <c r="AE478" s="3">
        <v>103962988</v>
      </c>
      <c r="AF478" s="3">
        <v>73.760000000000005</v>
      </c>
      <c r="AG478" s="3">
        <v>74.62</v>
      </c>
      <c r="AH478" s="3">
        <v>73.62</v>
      </c>
      <c r="AI478" s="3">
        <v>74.489999999999995</v>
      </c>
      <c r="AJ478" s="3">
        <v>6946344</v>
      </c>
      <c r="AK478" s="3">
        <v>63.91</v>
      </c>
      <c r="AL478" s="3">
        <v>64.42</v>
      </c>
      <c r="AM478" s="3">
        <v>63.55</v>
      </c>
      <c r="AN478" s="3">
        <v>64.3</v>
      </c>
      <c r="AO478" s="3">
        <v>11711951</v>
      </c>
      <c r="AP478" s="3">
        <v>51.17</v>
      </c>
      <c r="AQ478" s="3">
        <v>51.87</v>
      </c>
      <c r="AR478" s="3">
        <v>51.04</v>
      </c>
      <c r="AS478" s="3">
        <v>51.77</v>
      </c>
      <c r="AT478" s="3">
        <v>4288885</v>
      </c>
      <c r="AU478" s="3">
        <v>52.4</v>
      </c>
      <c r="AV478" s="3">
        <v>52.95</v>
      </c>
      <c r="AW478" s="3">
        <v>52.33</v>
      </c>
      <c r="AX478" s="3">
        <v>52.84</v>
      </c>
      <c r="AY478" s="3">
        <v>6845008</v>
      </c>
      <c r="AZ478" s="3">
        <v>52.1</v>
      </c>
      <c r="BA478" s="3">
        <v>52.21</v>
      </c>
      <c r="BB478" s="3">
        <v>51.49</v>
      </c>
      <c r="BC478" s="3">
        <v>51.69</v>
      </c>
      <c r="BD478" s="3">
        <v>11821399</v>
      </c>
      <c r="BE478" s="3">
        <v>31.28</v>
      </c>
      <c r="BF478" s="3">
        <v>31.4</v>
      </c>
      <c r="BG478" s="3">
        <v>31.04</v>
      </c>
      <c r="BH478" s="3">
        <v>31.1</v>
      </c>
      <c r="BI478" s="3">
        <v>3656425</v>
      </c>
    </row>
    <row r="479" spans="1:61" ht="13" x14ac:dyDescent="0.15">
      <c r="A479" s="3">
        <v>42822</v>
      </c>
      <c r="B479" s="3">
        <v>2339.79</v>
      </c>
      <c r="C479" s="3">
        <v>2363.7800000000002</v>
      </c>
      <c r="D479" s="3">
        <v>2337.63</v>
      </c>
      <c r="E479" s="3">
        <v>2358.5700000000002</v>
      </c>
      <c r="F479" s="3">
        <v>877571724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3">
        <v>86.52</v>
      </c>
      <c r="M479" s="3">
        <v>87.38</v>
      </c>
      <c r="N479" s="3">
        <v>86.37</v>
      </c>
      <c r="O479" s="3">
        <v>87.19</v>
      </c>
      <c r="P479" s="3">
        <v>4155009</v>
      </c>
      <c r="Q479" s="3">
        <v>54.45</v>
      </c>
      <c r="R479" s="3">
        <v>54.89</v>
      </c>
      <c r="S479" s="3">
        <v>54.45</v>
      </c>
      <c r="T479" s="3">
        <v>54.75</v>
      </c>
      <c r="U479" s="3">
        <v>8810225</v>
      </c>
      <c r="V479" s="3">
        <v>68.34</v>
      </c>
      <c r="W479" s="3">
        <v>69.38</v>
      </c>
      <c r="X479" s="3">
        <v>68.180000000000007</v>
      </c>
      <c r="Y479" s="3">
        <v>69.209999999999994</v>
      </c>
      <c r="Z479" s="3">
        <v>27922593</v>
      </c>
      <c r="AA479" s="3">
        <v>23.37</v>
      </c>
      <c r="AB479" s="3">
        <v>23.86</v>
      </c>
      <c r="AC479" s="3">
        <v>23.37</v>
      </c>
      <c r="AD479" s="3">
        <v>23.77</v>
      </c>
      <c r="AE479" s="3">
        <v>82301069</v>
      </c>
      <c r="AF479" s="3">
        <v>74.34</v>
      </c>
      <c r="AG479" s="3">
        <v>74.64</v>
      </c>
      <c r="AH479" s="3">
        <v>74.11</v>
      </c>
      <c r="AI479" s="3">
        <v>74.540000000000006</v>
      </c>
      <c r="AJ479" s="3">
        <v>7392285</v>
      </c>
      <c r="AK479" s="3">
        <v>64.099999999999994</v>
      </c>
      <c r="AL479" s="3">
        <v>65.19</v>
      </c>
      <c r="AM479" s="3">
        <v>64.099999999999994</v>
      </c>
      <c r="AN479" s="3">
        <v>64.98</v>
      </c>
      <c r="AO479" s="3">
        <v>8972986</v>
      </c>
      <c r="AP479" s="3">
        <v>51.84</v>
      </c>
      <c r="AQ479" s="3">
        <v>52.55</v>
      </c>
      <c r="AR479" s="3">
        <v>51.71</v>
      </c>
      <c r="AS479" s="3">
        <v>52.37</v>
      </c>
      <c r="AT479" s="3">
        <v>3933585</v>
      </c>
      <c r="AU479" s="3">
        <v>52.79</v>
      </c>
      <c r="AV479" s="3">
        <v>53.34</v>
      </c>
      <c r="AW479" s="3">
        <v>52.7</v>
      </c>
      <c r="AX479" s="3">
        <v>53.22</v>
      </c>
      <c r="AY479" s="3">
        <v>8453958</v>
      </c>
      <c r="AZ479" s="3">
        <v>51.68</v>
      </c>
      <c r="BA479" s="3">
        <v>51.74</v>
      </c>
      <c r="BB479" s="3">
        <v>51.42</v>
      </c>
      <c r="BC479" s="3">
        <v>51.65</v>
      </c>
      <c r="BD479" s="3">
        <v>8477840</v>
      </c>
      <c r="BE479" s="3">
        <v>31.08</v>
      </c>
      <c r="BF479" s="3">
        <v>31.32</v>
      </c>
      <c r="BG479" s="3">
        <v>30.94</v>
      </c>
      <c r="BH479" s="3">
        <v>31.28</v>
      </c>
      <c r="BI479" s="3">
        <v>2237107</v>
      </c>
    </row>
    <row r="480" spans="1:61" ht="13" x14ac:dyDescent="0.15">
      <c r="A480" s="3">
        <v>42823</v>
      </c>
      <c r="B480" s="3">
        <v>2356.54</v>
      </c>
      <c r="C480" s="3">
        <v>2363.36</v>
      </c>
      <c r="D480" s="3">
        <v>2352.94</v>
      </c>
      <c r="E480" s="3">
        <v>2361.13</v>
      </c>
      <c r="F480" s="3">
        <v>660401033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3">
        <v>87.19</v>
      </c>
      <c r="M480" s="3">
        <v>87.77</v>
      </c>
      <c r="N480" s="3">
        <v>87.1</v>
      </c>
      <c r="O480" s="3">
        <v>87.71</v>
      </c>
      <c r="P480" s="3">
        <v>4561723</v>
      </c>
      <c r="Q480" s="3">
        <v>54.7</v>
      </c>
      <c r="R480" s="3">
        <v>54.92</v>
      </c>
      <c r="S480" s="3">
        <v>54.66</v>
      </c>
      <c r="T480" s="3">
        <v>54.85</v>
      </c>
      <c r="U480" s="3">
        <v>5558224</v>
      </c>
      <c r="V480" s="3">
        <v>69.2</v>
      </c>
      <c r="W480" s="3">
        <v>70.28</v>
      </c>
      <c r="X480" s="3">
        <v>69.010000000000005</v>
      </c>
      <c r="Y480" s="3">
        <v>70.16</v>
      </c>
      <c r="Z480" s="3">
        <v>18575200</v>
      </c>
      <c r="AA480" s="3">
        <v>23.73</v>
      </c>
      <c r="AB480" s="3">
        <v>23.77</v>
      </c>
      <c r="AC480" s="3">
        <v>23.6</v>
      </c>
      <c r="AD480" s="3">
        <v>23.62</v>
      </c>
      <c r="AE480" s="3">
        <v>76524085</v>
      </c>
      <c r="AF480" s="3">
        <v>74.569999999999993</v>
      </c>
      <c r="AG480" s="3">
        <v>74.739999999999995</v>
      </c>
      <c r="AH480" s="3">
        <v>74.39</v>
      </c>
      <c r="AI480" s="3">
        <v>74.56</v>
      </c>
      <c r="AJ480" s="3">
        <v>4357827</v>
      </c>
      <c r="AK480" s="3">
        <v>64.91</v>
      </c>
      <c r="AL480" s="3">
        <v>65.03</v>
      </c>
      <c r="AM480" s="3">
        <v>64.739999999999995</v>
      </c>
      <c r="AN480" s="3">
        <v>64.97</v>
      </c>
      <c r="AO480" s="3">
        <v>8300971</v>
      </c>
      <c r="AP480" s="3">
        <v>52.29</v>
      </c>
      <c r="AQ480" s="3">
        <v>52.55</v>
      </c>
      <c r="AR480" s="3">
        <v>52.23</v>
      </c>
      <c r="AS480" s="3">
        <v>52.41</v>
      </c>
      <c r="AT480" s="3">
        <v>3011362</v>
      </c>
      <c r="AU480" s="3">
        <v>53.2</v>
      </c>
      <c r="AV480" s="3">
        <v>53.34</v>
      </c>
      <c r="AW480" s="3">
        <v>53.08</v>
      </c>
      <c r="AX480" s="3">
        <v>53.31</v>
      </c>
      <c r="AY480" s="3">
        <v>5705132</v>
      </c>
      <c r="AZ480" s="3">
        <v>51.63</v>
      </c>
      <c r="BA480" s="3">
        <v>51.68</v>
      </c>
      <c r="BB480" s="3">
        <v>51.29</v>
      </c>
      <c r="BC480" s="3">
        <v>51.51</v>
      </c>
      <c r="BD480" s="3">
        <v>6955498</v>
      </c>
      <c r="BE480" s="3">
        <v>31.2</v>
      </c>
      <c r="BF480" s="3">
        <v>31.4</v>
      </c>
      <c r="BG480" s="3">
        <v>31.16</v>
      </c>
      <c r="BH480" s="3">
        <v>31.39</v>
      </c>
      <c r="BI480" s="3">
        <v>1632291</v>
      </c>
    </row>
    <row r="481" spans="1:61" ht="13" x14ac:dyDescent="0.15">
      <c r="A481" s="3">
        <v>42824</v>
      </c>
      <c r="B481" s="3">
        <v>2361.31</v>
      </c>
      <c r="C481" s="3">
        <v>2370.42</v>
      </c>
      <c r="D481" s="3">
        <v>2358.58</v>
      </c>
      <c r="E481" s="3">
        <v>2368.06</v>
      </c>
      <c r="F481" s="3">
        <v>775154439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3">
        <v>87.55</v>
      </c>
      <c r="M481" s="3">
        <v>87.95</v>
      </c>
      <c r="N481" s="3">
        <v>87.47</v>
      </c>
      <c r="O481" s="3">
        <v>87.94</v>
      </c>
      <c r="P481" s="3">
        <v>4682572</v>
      </c>
      <c r="Q481" s="3">
        <v>54.8</v>
      </c>
      <c r="R481" s="3">
        <v>54.9</v>
      </c>
      <c r="S481" s="3">
        <v>54.69</v>
      </c>
      <c r="T481" s="3">
        <v>54.74</v>
      </c>
      <c r="U481" s="3">
        <v>5399136</v>
      </c>
      <c r="V481" s="3">
        <v>70.599999999999994</v>
      </c>
      <c r="W481" s="3">
        <v>70.77</v>
      </c>
      <c r="X481" s="3">
        <v>69.959999999999994</v>
      </c>
      <c r="Y481" s="3">
        <v>70.14</v>
      </c>
      <c r="Z481" s="3">
        <v>15912323</v>
      </c>
      <c r="AA481" s="3">
        <v>23.64</v>
      </c>
      <c r="AB481" s="3">
        <v>23.99</v>
      </c>
      <c r="AC481" s="3">
        <v>23.61</v>
      </c>
      <c r="AD481" s="3">
        <v>23.93</v>
      </c>
      <c r="AE481" s="3">
        <v>92566017</v>
      </c>
      <c r="AF481" s="3">
        <v>74.47</v>
      </c>
      <c r="AG481" s="3">
        <v>74.72</v>
      </c>
      <c r="AH481" s="3">
        <v>74.27</v>
      </c>
      <c r="AI481" s="3">
        <v>74.569999999999993</v>
      </c>
      <c r="AJ481" s="3">
        <v>7137422</v>
      </c>
      <c r="AK481" s="3">
        <v>64.94</v>
      </c>
      <c r="AL481" s="3">
        <v>65.41</v>
      </c>
      <c r="AM481" s="3">
        <v>64.900000000000006</v>
      </c>
      <c r="AN481" s="3">
        <v>65.33</v>
      </c>
      <c r="AO481" s="3">
        <v>12838010</v>
      </c>
      <c r="AP481" s="3">
        <v>52.38</v>
      </c>
      <c r="AQ481" s="3">
        <v>52.7</v>
      </c>
      <c r="AR481" s="3">
        <v>52.36</v>
      </c>
      <c r="AS481" s="3">
        <v>52.42</v>
      </c>
      <c r="AT481" s="3">
        <v>2991586</v>
      </c>
      <c r="AU481" s="3">
        <v>53.27</v>
      </c>
      <c r="AV481" s="3">
        <v>53.48</v>
      </c>
      <c r="AW481" s="3">
        <v>53.23</v>
      </c>
      <c r="AX481" s="3">
        <v>53.41</v>
      </c>
      <c r="AY481" s="3">
        <v>8754343</v>
      </c>
      <c r="AZ481" s="3">
        <v>51.43</v>
      </c>
      <c r="BA481" s="3">
        <v>51.43</v>
      </c>
      <c r="BB481" s="3">
        <v>50.97</v>
      </c>
      <c r="BC481" s="3">
        <v>51.11</v>
      </c>
      <c r="BD481" s="3">
        <v>19711220</v>
      </c>
      <c r="BE481" s="3">
        <v>31.32</v>
      </c>
      <c r="BF481" s="3">
        <v>31.49</v>
      </c>
      <c r="BG481" s="3">
        <v>31.13</v>
      </c>
      <c r="BH481" s="3">
        <v>31.46</v>
      </c>
      <c r="BI481" s="3">
        <v>1888606</v>
      </c>
    </row>
    <row r="482" spans="1:61" ht="13" x14ac:dyDescent="0.15">
      <c r="A482" s="3">
        <v>42825</v>
      </c>
      <c r="B482" s="3">
        <v>2364.8200000000002</v>
      </c>
      <c r="C482" s="3">
        <v>2370.35</v>
      </c>
      <c r="D482" s="3">
        <v>2362.6</v>
      </c>
      <c r="E482" s="3">
        <v>2362.7199999999998</v>
      </c>
      <c r="F482" s="3">
        <v>923302112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3">
        <v>87.8</v>
      </c>
      <c r="M482" s="3">
        <v>88.17</v>
      </c>
      <c r="N482" s="3">
        <v>87.77</v>
      </c>
      <c r="O482" s="3">
        <v>87.95</v>
      </c>
      <c r="P482" s="3">
        <v>2379291</v>
      </c>
      <c r="Q482" s="3">
        <v>54.67</v>
      </c>
      <c r="R482" s="3">
        <v>54.81</v>
      </c>
      <c r="S482" s="3">
        <v>54.58</v>
      </c>
      <c r="T482" s="3">
        <v>54.58</v>
      </c>
      <c r="U482" s="3">
        <v>4762285</v>
      </c>
      <c r="V482" s="3">
        <v>69.91</v>
      </c>
      <c r="W482" s="3">
        <v>70.34</v>
      </c>
      <c r="X482" s="3">
        <v>69.58</v>
      </c>
      <c r="Y482" s="3">
        <v>69.900000000000006</v>
      </c>
      <c r="Z482" s="3">
        <v>19861199</v>
      </c>
      <c r="AA482" s="3">
        <v>23.84</v>
      </c>
      <c r="AB482" s="3">
        <v>23.91</v>
      </c>
      <c r="AC482" s="3">
        <v>23.73</v>
      </c>
      <c r="AD482" s="3">
        <v>23.73</v>
      </c>
      <c r="AE482" s="3">
        <v>70540021</v>
      </c>
      <c r="AF482" s="3">
        <v>74.39</v>
      </c>
      <c r="AG482" s="3">
        <v>74.56</v>
      </c>
      <c r="AH482" s="3">
        <v>74.28</v>
      </c>
      <c r="AI482" s="3">
        <v>74.36</v>
      </c>
      <c r="AJ482" s="3">
        <v>5895356</v>
      </c>
      <c r="AK482" s="3">
        <v>65.16</v>
      </c>
      <c r="AL482" s="3">
        <v>65.38</v>
      </c>
      <c r="AM482" s="3">
        <v>65.06</v>
      </c>
      <c r="AN482" s="3">
        <v>65.06</v>
      </c>
      <c r="AO482" s="3">
        <v>7736081</v>
      </c>
      <c r="AP482" s="3">
        <v>52.46</v>
      </c>
      <c r="AQ482" s="3">
        <v>52.7</v>
      </c>
      <c r="AR482" s="3">
        <v>52.36</v>
      </c>
      <c r="AS482" s="3">
        <v>52.41</v>
      </c>
      <c r="AT482" s="3">
        <v>3712696</v>
      </c>
      <c r="AU482" s="3">
        <v>53.36</v>
      </c>
      <c r="AV482" s="3">
        <v>53.49</v>
      </c>
      <c r="AW482" s="3">
        <v>53.25</v>
      </c>
      <c r="AX482" s="3">
        <v>53.31</v>
      </c>
      <c r="AY482" s="3">
        <v>6103498</v>
      </c>
      <c r="AZ482" s="3">
        <v>51.17</v>
      </c>
      <c r="BA482" s="3">
        <v>51.56</v>
      </c>
      <c r="BB482" s="3">
        <v>51.13</v>
      </c>
      <c r="BC482" s="3">
        <v>51.31</v>
      </c>
      <c r="BD482" s="3">
        <v>9991039</v>
      </c>
      <c r="BE482" s="3">
        <v>31.42</v>
      </c>
      <c r="BF482" s="3">
        <v>31.7</v>
      </c>
      <c r="BG482" s="3">
        <v>31.38</v>
      </c>
      <c r="BH482" s="3">
        <v>31.6</v>
      </c>
      <c r="BI482" s="3">
        <v>2067006</v>
      </c>
    </row>
    <row r="483" spans="1:61" ht="13" x14ac:dyDescent="0.15">
      <c r="A483" s="3">
        <v>42828</v>
      </c>
      <c r="B483" s="3">
        <v>2362.34</v>
      </c>
      <c r="C483" s="3">
        <v>2365.87</v>
      </c>
      <c r="D483" s="3">
        <v>2344.73</v>
      </c>
      <c r="E483" s="3">
        <v>2358.84</v>
      </c>
      <c r="F483" s="3">
        <v>2182258164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3">
        <v>87.96</v>
      </c>
      <c r="M483" s="3">
        <v>88.01</v>
      </c>
      <c r="N483" s="3">
        <v>87.1</v>
      </c>
      <c r="O483" s="3">
        <v>87.6</v>
      </c>
      <c r="P483" s="3">
        <v>6155978</v>
      </c>
      <c r="Q483" s="3">
        <v>54.66</v>
      </c>
      <c r="R483" s="3">
        <v>54.72</v>
      </c>
      <c r="S483" s="3">
        <v>54.4</v>
      </c>
      <c r="T483" s="3">
        <v>54.49</v>
      </c>
      <c r="U483" s="3">
        <v>10666615</v>
      </c>
      <c r="V483" s="3">
        <v>70.010000000000005</v>
      </c>
      <c r="W483" s="3">
        <v>70.06</v>
      </c>
      <c r="X483" s="3">
        <v>69.08</v>
      </c>
      <c r="Y483" s="3">
        <v>69.78</v>
      </c>
      <c r="Z483" s="3">
        <v>13133305</v>
      </c>
      <c r="AA483" s="3">
        <v>23.77</v>
      </c>
      <c r="AB483" s="3">
        <v>23.83</v>
      </c>
      <c r="AC483" s="3">
        <v>23.4</v>
      </c>
      <c r="AD483" s="3">
        <v>23.68</v>
      </c>
      <c r="AE483" s="3">
        <v>93489066</v>
      </c>
      <c r="AF483" s="3">
        <v>74.44</v>
      </c>
      <c r="AG483" s="3">
        <v>74.790000000000006</v>
      </c>
      <c r="AH483" s="3">
        <v>74.13</v>
      </c>
      <c r="AI483" s="3">
        <v>74.42</v>
      </c>
      <c r="AJ483" s="3">
        <v>12354819</v>
      </c>
      <c r="AK483" s="3">
        <v>65.09</v>
      </c>
      <c r="AL483" s="3">
        <v>65.3</v>
      </c>
      <c r="AM483" s="3">
        <v>64.510000000000005</v>
      </c>
      <c r="AN483" s="3">
        <v>64.92</v>
      </c>
      <c r="AO483" s="3">
        <v>10474812</v>
      </c>
      <c r="AP483" s="3">
        <v>52.43</v>
      </c>
      <c r="AQ483" s="3">
        <v>52.64</v>
      </c>
      <c r="AR483" s="3">
        <v>51.79</v>
      </c>
      <c r="AS483" s="3">
        <v>52.21</v>
      </c>
      <c r="AT483" s="3">
        <v>4515467</v>
      </c>
      <c r="AU483" s="3">
        <v>53.36</v>
      </c>
      <c r="AV483" s="3">
        <v>53.44</v>
      </c>
      <c r="AW483" s="3">
        <v>52.94</v>
      </c>
      <c r="AX483" s="3">
        <v>53.26</v>
      </c>
      <c r="AY483" s="3">
        <v>13017947</v>
      </c>
      <c r="AZ483" s="3">
        <v>51.31</v>
      </c>
      <c r="BA483" s="3">
        <v>51.31</v>
      </c>
      <c r="BB483" s="3">
        <v>50.83</v>
      </c>
      <c r="BC483" s="3">
        <v>51.3</v>
      </c>
      <c r="BD483" s="3">
        <v>15475829</v>
      </c>
      <c r="BE483" s="3">
        <v>31.66</v>
      </c>
      <c r="BF483" s="3">
        <v>31.7</v>
      </c>
      <c r="BG483" s="3">
        <v>31.52</v>
      </c>
      <c r="BH483" s="3">
        <v>31.64</v>
      </c>
      <c r="BI483" s="3">
        <v>1877371</v>
      </c>
    </row>
    <row r="484" spans="1:61" ht="13" x14ac:dyDescent="0.15">
      <c r="A484" s="3">
        <v>42829</v>
      </c>
      <c r="B484" s="3">
        <v>2354.7600000000002</v>
      </c>
      <c r="C484" s="3">
        <v>2360.5300000000002</v>
      </c>
      <c r="D484" s="3">
        <v>2350.7199999999998</v>
      </c>
      <c r="E484" s="3">
        <v>2360.16</v>
      </c>
      <c r="F484" s="3">
        <v>746663640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3">
        <v>87.35</v>
      </c>
      <c r="M484" s="3">
        <v>87.59</v>
      </c>
      <c r="N484" s="3">
        <v>87.27</v>
      </c>
      <c r="O484" s="3">
        <v>87.46</v>
      </c>
      <c r="P484" s="3">
        <v>4324377</v>
      </c>
      <c r="Q484" s="3">
        <v>54.53</v>
      </c>
      <c r="R484" s="3">
        <v>54.66</v>
      </c>
      <c r="S484" s="3">
        <v>54.43</v>
      </c>
      <c r="T484" s="3">
        <v>54.65</v>
      </c>
      <c r="U484" s="3">
        <v>5283980</v>
      </c>
      <c r="V484" s="3">
        <v>69.930000000000007</v>
      </c>
      <c r="W484" s="3">
        <v>70.349999999999994</v>
      </c>
      <c r="X484" s="3">
        <v>69.260000000000005</v>
      </c>
      <c r="Y484" s="3">
        <v>70.290000000000006</v>
      </c>
      <c r="Z484" s="3">
        <v>12973967</v>
      </c>
      <c r="AA484" s="3">
        <v>23.58</v>
      </c>
      <c r="AB484" s="3">
        <v>23.7</v>
      </c>
      <c r="AC484" s="3">
        <v>23.54</v>
      </c>
      <c r="AD484" s="3">
        <v>23.65</v>
      </c>
      <c r="AE484" s="3">
        <v>105795928</v>
      </c>
      <c r="AF484" s="3">
        <v>74.400000000000006</v>
      </c>
      <c r="AG484" s="3">
        <v>74.48</v>
      </c>
      <c r="AH484" s="3">
        <v>74.17</v>
      </c>
      <c r="AI484" s="3">
        <v>74.38</v>
      </c>
      <c r="AJ484" s="3">
        <v>5228588</v>
      </c>
      <c r="AK484" s="3">
        <v>64.91</v>
      </c>
      <c r="AL484" s="3">
        <v>65.09</v>
      </c>
      <c r="AM484" s="3">
        <v>64.77</v>
      </c>
      <c r="AN484" s="3">
        <v>65.09</v>
      </c>
      <c r="AO484" s="3">
        <v>9239723</v>
      </c>
      <c r="AP484" s="3">
        <v>52.17</v>
      </c>
      <c r="AQ484" s="3">
        <v>52.42</v>
      </c>
      <c r="AR484" s="3">
        <v>52.03</v>
      </c>
      <c r="AS484" s="3">
        <v>52.4</v>
      </c>
      <c r="AT484" s="3">
        <v>3263334</v>
      </c>
      <c r="AU484" s="3">
        <v>53.04</v>
      </c>
      <c r="AV484" s="3">
        <v>53.3</v>
      </c>
      <c r="AW484" s="3">
        <v>53.02</v>
      </c>
      <c r="AX484" s="3">
        <v>53.3</v>
      </c>
      <c r="AY484" s="3">
        <v>7520797</v>
      </c>
      <c r="AZ484" s="3">
        <v>51.25</v>
      </c>
      <c r="BA484" s="3">
        <v>51.65</v>
      </c>
      <c r="BB484" s="3">
        <v>51.15</v>
      </c>
      <c r="BC484" s="3">
        <v>51.46</v>
      </c>
      <c r="BD484" s="3">
        <v>10134305</v>
      </c>
      <c r="BE484" s="3">
        <v>31.64</v>
      </c>
      <c r="BF484" s="3">
        <v>31.8</v>
      </c>
      <c r="BG484" s="3">
        <v>31.53</v>
      </c>
      <c r="BH484" s="3">
        <v>31.55</v>
      </c>
      <c r="BI484" s="3">
        <v>1737462</v>
      </c>
    </row>
    <row r="485" spans="1:61" ht="13" x14ac:dyDescent="0.15">
      <c r="A485" s="3">
        <v>42830</v>
      </c>
      <c r="B485" s="3">
        <v>2366.59</v>
      </c>
      <c r="C485" s="3">
        <v>2378.36</v>
      </c>
      <c r="D485" s="3">
        <v>2350.52</v>
      </c>
      <c r="E485" s="3">
        <v>2352.9499999999998</v>
      </c>
      <c r="F485" s="3">
        <v>1031056095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3">
        <v>87.79</v>
      </c>
      <c r="M485" s="3">
        <v>88.26</v>
      </c>
      <c r="N485" s="3">
        <v>87.13</v>
      </c>
      <c r="O485" s="3">
        <v>87.25</v>
      </c>
      <c r="P485" s="3">
        <v>4350940</v>
      </c>
      <c r="Q485" s="3">
        <v>54.66</v>
      </c>
      <c r="R485" s="3">
        <v>54.9</v>
      </c>
      <c r="S485" s="3">
        <v>54.48</v>
      </c>
      <c r="T485" s="3">
        <v>54.55</v>
      </c>
      <c r="U485" s="3">
        <v>7268060</v>
      </c>
      <c r="V485" s="3">
        <v>70.88</v>
      </c>
      <c r="W485" s="3">
        <v>71.489999999999995</v>
      </c>
      <c r="X485" s="3">
        <v>69.97</v>
      </c>
      <c r="Y485" s="3">
        <v>70.069999999999993</v>
      </c>
      <c r="Z485" s="3">
        <v>22733722</v>
      </c>
      <c r="AA485" s="3">
        <v>23.87</v>
      </c>
      <c r="AB485" s="3">
        <v>23.96</v>
      </c>
      <c r="AC485" s="3">
        <v>23.47</v>
      </c>
      <c r="AD485" s="3">
        <v>23.47</v>
      </c>
      <c r="AE485" s="3">
        <v>104651195</v>
      </c>
      <c r="AF485" s="3">
        <v>74.48</v>
      </c>
      <c r="AG485" s="3">
        <v>74.92</v>
      </c>
      <c r="AH485" s="3">
        <v>74.099999999999994</v>
      </c>
      <c r="AI485" s="3">
        <v>74.150000000000006</v>
      </c>
      <c r="AJ485" s="3">
        <v>6470120</v>
      </c>
      <c r="AK485" s="3">
        <v>65.319999999999993</v>
      </c>
      <c r="AL485" s="3">
        <v>65.88</v>
      </c>
      <c r="AM485" s="3">
        <v>64.790000000000006</v>
      </c>
      <c r="AN485" s="3">
        <v>64.88</v>
      </c>
      <c r="AO485" s="3">
        <v>11422628</v>
      </c>
      <c r="AP485" s="3">
        <v>52.56</v>
      </c>
      <c r="AQ485" s="3">
        <v>52.99</v>
      </c>
      <c r="AR485" s="3">
        <v>52.31</v>
      </c>
      <c r="AS485" s="3">
        <v>52.36</v>
      </c>
      <c r="AT485" s="3">
        <v>5004881</v>
      </c>
      <c r="AU485" s="3">
        <v>53.35</v>
      </c>
      <c r="AV485" s="3">
        <v>53.71</v>
      </c>
      <c r="AW485" s="3">
        <v>53.03</v>
      </c>
      <c r="AX485" s="3">
        <v>53.08</v>
      </c>
      <c r="AY485" s="3">
        <v>10477873</v>
      </c>
      <c r="AZ485" s="3">
        <v>51.4</v>
      </c>
      <c r="BA485" s="3">
        <v>51.8</v>
      </c>
      <c r="BB485" s="3">
        <v>51.29</v>
      </c>
      <c r="BC485" s="3">
        <v>51.75</v>
      </c>
      <c r="BD485" s="3">
        <v>12649545</v>
      </c>
      <c r="BE485" s="3">
        <v>31.58</v>
      </c>
      <c r="BF485" s="3">
        <v>31.77</v>
      </c>
      <c r="BG485" s="3">
        <v>31.55</v>
      </c>
      <c r="BH485" s="3">
        <v>31.6</v>
      </c>
      <c r="BI485" s="3">
        <v>2115238</v>
      </c>
    </row>
    <row r="486" spans="1:61" ht="13" x14ac:dyDescent="0.15">
      <c r="A486" s="3">
        <v>42831</v>
      </c>
      <c r="B486" s="3">
        <v>2353.79</v>
      </c>
      <c r="C486" s="3">
        <v>2364.16</v>
      </c>
      <c r="D486" s="3">
        <v>2348.9</v>
      </c>
      <c r="E486" s="3">
        <v>2357.4899999999998</v>
      </c>
      <c r="F486" s="3">
        <v>863231831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3">
        <v>87.3</v>
      </c>
      <c r="M486" s="3">
        <v>87.8</v>
      </c>
      <c r="N486" s="3">
        <v>87.27</v>
      </c>
      <c r="O486" s="3">
        <v>87.52</v>
      </c>
      <c r="P486" s="3">
        <v>2913884</v>
      </c>
      <c r="Q486" s="3">
        <v>54.6</v>
      </c>
      <c r="R486" s="3">
        <v>54.77</v>
      </c>
      <c r="S486" s="3">
        <v>54.51</v>
      </c>
      <c r="T486" s="3">
        <v>54.55</v>
      </c>
      <c r="U486" s="3">
        <v>5061030</v>
      </c>
      <c r="V486" s="3">
        <v>70.349999999999994</v>
      </c>
      <c r="W486" s="3">
        <v>70.83</v>
      </c>
      <c r="X486" s="3">
        <v>70.16</v>
      </c>
      <c r="Y486" s="3">
        <v>70.63</v>
      </c>
      <c r="Z486" s="3">
        <v>13124705</v>
      </c>
      <c r="AA486" s="3">
        <v>23.45</v>
      </c>
      <c r="AB486" s="3">
        <v>23.72</v>
      </c>
      <c r="AC486" s="3">
        <v>23.33</v>
      </c>
      <c r="AD486" s="3">
        <v>23.62</v>
      </c>
      <c r="AE486" s="3">
        <v>80802117</v>
      </c>
      <c r="AF486" s="3">
        <v>74.17</v>
      </c>
      <c r="AG486" s="3">
        <v>74.42</v>
      </c>
      <c r="AH486" s="3">
        <v>73.95</v>
      </c>
      <c r="AI486" s="3">
        <v>74.28</v>
      </c>
      <c r="AJ486" s="3">
        <v>5253261</v>
      </c>
      <c r="AK486" s="3">
        <v>64.92</v>
      </c>
      <c r="AL486" s="3">
        <v>65.36</v>
      </c>
      <c r="AM486" s="3">
        <v>64.8</v>
      </c>
      <c r="AN486" s="3">
        <v>65.06</v>
      </c>
      <c r="AO486" s="3">
        <v>7633721</v>
      </c>
      <c r="AP486" s="3">
        <v>52.41</v>
      </c>
      <c r="AQ486" s="3">
        <v>52.84</v>
      </c>
      <c r="AR486" s="3">
        <v>52.24</v>
      </c>
      <c r="AS486" s="3">
        <v>52.64</v>
      </c>
      <c r="AT486" s="3">
        <v>3081999</v>
      </c>
      <c r="AU486" s="3">
        <v>53.14</v>
      </c>
      <c r="AV486" s="3">
        <v>53.25</v>
      </c>
      <c r="AW486" s="3">
        <v>52.96</v>
      </c>
      <c r="AX486" s="3">
        <v>53.09</v>
      </c>
      <c r="AY486" s="3">
        <v>6935088</v>
      </c>
      <c r="AZ486" s="3">
        <v>51.69</v>
      </c>
      <c r="BA486" s="3">
        <v>51.71</v>
      </c>
      <c r="BB486" s="3">
        <v>51.42</v>
      </c>
      <c r="BC486" s="3">
        <v>51.62</v>
      </c>
      <c r="BD486" s="3">
        <v>9388774</v>
      </c>
      <c r="BE486" s="3">
        <v>31.58</v>
      </c>
      <c r="BF486" s="3">
        <v>31.8</v>
      </c>
      <c r="BG486" s="3">
        <v>31.45</v>
      </c>
      <c r="BH486" s="3">
        <v>31.78</v>
      </c>
      <c r="BI486" s="3">
        <v>1374695</v>
      </c>
    </row>
    <row r="487" spans="1:61" ht="13" x14ac:dyDescent="0.15">
      <c r="A487" s="3">
        <v>42832</v>
      </c>
      <c r="B487" s="3">
        <v>2356.59</v>
      </c>
      <c r="C487" s="3">
        <v>2363.7600000000002</v>
      </c>
      <c r="D487" s="3">
        <v>2350.7399999999998</v>
      </c>
      <c r="E487" s="3">
        <v>2355.54</v>
      </c>
      <c r="F487" s="3">
        <v>656990521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3">
        <v>87.3</v>
      </c>
      <c r="M487" s="3">
        <v>87.56</v>
      </c>
      <c r="N487" s="3">
        <v>87.14</v>
      </c>
      <c r="O487" s="3">
        <v>87.26</v>
      </c>
      <c r="P487" s="3">
        <v>3908262</v>
      </c>
      <c r="Q487" s="3">
        <v>54.6</v>
      </c>
      <c r="R487" s="3">
        <v>54.85</v>
      </c>
      <c r="S487" s="3">
        <v>54.58</v>
      </c>
      <c r="T487" s="3">
        <v>54.7</v>
      </c>
      <c r="U487" s="3">
        <v>7629874</v>
      </c>
      <c r="V487" s="3">
        <v>70.67</v>
      </c>
      <c r="W487" s="3">
        <v>70.86</v>
      </c>
      <c r="X487" s="3">
        <v>70.25</v>
      </c>
      <c r="Y487" s="3">
        <v>70.36</v>
      </c>
      <c r="Z487" s="3">
        <v>12580298</v>
      </c>
      <c r="AA487" s="3">
        <v>23.44</v>
      </c>
      <c r="AB487" s="3">
        <v>23.68</v>
      </c>
      <c r="AC487" s="3">
        <v>23.4</v>
      </c>
      <c r="AD487" s="3">
        <v>23.52</v>
      </c>
      <c r="AE487" s="3">
        <v>61525690</v>
      </c>
      <c r="AF487" s="3">
        <v>74.33</v>
      </c>
      <c r="AG487" s="3">
        <v>74.599999999999994</v>
      </c>
      <c r="AH487" s="3">
        <v>74.13</v>
      </c>
      <c r="AI487" s="3">
        <v>74.41</v>
      </c>
      <c r="AJ487" s="3">
        <v>5638152</v>
      </c>
      <c r="AK487" s="3">
        <v>65.09</v>
      </c>
      <c r="AL487" s="3">
        <v>65.400000000000006</v>
      </c>
      <c r="AM487" s="3">
        <v>65</v>
      </c>
      <c r="AN487" s="3">
        <v>65.13</v>
      </c>
      <c r="AO487" s="3">
        <v>7522655</v>
      </c>
      <c r="AP487" s="3">
        <v>52.49</v>
      </c>
      <c r="AQ487" s="3">
        <v>52.77</v>
      </c>
      <c r="AR487" s="3">
        <v>52.43</v>
      </c>
      <c r="AS487" s="3">
        <v>52.59</v>
      </c>
      <c r="AT487" s="3">
        <v>2530906</v>
      </c>
      <c r="AU487" s="3">
        <v>53.01</v>
      </c>
      <c r="AV487" s="3">
        <v>53.2</v>
      </c>
      <c r="AW487" s="3">
        <v>52.87</v>
      </c>
      <c r="AX487" s="3">
        <v>53.06</v>
      </c>
      <c r="AY487" s="3">
        <v>6469388</v>
      </c>
      <c r="AZ487" s="3">
        <v>51.82</v>
      </c>
      <c r="BA487" s="3">
        <v>51.89</v>
      </c>
      <c r="BB487" s="3">
        <v>51.36</v>
      </c>
      <c r="BC487" s="3">
        <v>51.4</v>
      </c>
      <c r="BD487" s="3">
        <v>19917957</v>
      </c>
      <c r="BE487" s="3">
        <v>31.78</v>
      </c>
      <c r="BF487" s="3">
        <v>31.94</v>
      </c>
      <c r="BG487" s="3">
        <v>31.73</v>
      </c>
      <c r="BH487" s="3">
        <v>31.82</v>
      </c>
      <c r="BI487" s="3">
        <v>1401026</v>
      </c>
    </row>
    <row r="488" spans="1:61" ht="13" x14ac:dyDescent="0.15">
      <c r="A488" s="3">
        <v>42835</v>
      </c>
      <c r="B488" s="3">
        <v>2357.16</v>
      </c>
      <c r="C488" s="3">
        <v>2366.37</v>
      </c>
      <c r="D488" s="3">
        <v>2351.5</v>
      </c>
      <c r="E488" s="3">
        <v>2357.16</v>
      </c>
      <c r="F488" s="3">
        <v>546587089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3">
        <v>87.29</v>
      </c>
      <c r="M488" s="3">
        <v>87.88</v>
      </c>
      <c r="N488" s="3">
        <v>87.26</v>
      </c>
      <c r="O488" s="3">
        <v>87.58</v>
      </c>
      <c r="P488" s="3">
        <v>2398145</v>
      </c>
      <c r="Q488" s="3">
        <v>54.72</v>
      </c>
      <c r="R488" s="3">
        <v>54.95</v>
      </c>
      <c r="S488" s="3">
        <v>54.62</v>
      </c>
      <c r="T488" s="3">
        <v>54.86</v>
      </c>
      <c r="U488" s="3">
        <v>5260614</v>
      </c>
      <c r="V488" s="3">
        <v>70.75</v>
      </c>
      <c r="W488" s="3">
        <v>71.209999999999994</v>
      </c>
      <c r="X488" s="3">
        <v>70.599999999999994</v>
      </c>
      <c r="Y488" s="3">
        <v>70.89</v>
      </c>
      <c r="Z488" s="3">
        <v>10820941</v>
      </c>
      <c r="AA488" s="3">
        <v>23.52</v>
      </c>
      <c r="AB488" s="3">
        <v>23.67</v>
      </c>
      <c r="AC488" s="3">
        <v>23.38</v>
      </c>
      <c r="AD488" s="3">
        <v>23.46</v>
      </c>
      <c r="AE488" s="3">
        <v>60428984</v>
      </c>
      <c r="AF488" s="3">
        <v>74.39</v>
      </c>
      <c r="AG488" s="3">
        <v>74.64</v>
      </c>
      <c r="AH488" s="3">
        <v>74.2</v>
      </c>
      <c r="AI488" s="3">
        <v>74.27</v>
      </c>
      <c r="AJ488" s="3">
        <v>4529953</v>
      </c>
      <c r="AK488" s="3">
        <v>65.17</v>
      </c>
      <c r="AL488" s="3">
        <v>65.67</v>
      </c>
      <c r="AM488" s="3">
        <v>65.150000000000006</v>
      </c>
      <c r="AN488" s="3">
        <v>65.290000000000006</v>
      </c>
      <c r="AO488" s="3">
        <v>6330948</v>
      </c>
      <c r="AP488" s="3">
        <v>52.59</v>
      </c>
      <c r="AQ488" s="3">
        <v>52.75</v>
      </c>
      <c r="AR488" s="3">
        <v>52.4</v>
      </c>
      <c r="AS488" s="3">
        <v>52.6</v>
      </c>
      <c r="AT488" s="3">
        <v>3461507</v>
      </c>
      <c r="AU488" s="3">
        <v>53.09</v>
      </c>
      <c r="AV488" s="3">
        <v>53.22</v>
      </c>
      <c r="AW488" s="3">
        <v>52.85</v>
      </c>
      <c r="AX488" s="3">
        <v>52.96</v>
      </c>
      <c r="AY488" s="3">
        <v>4843637</v>
      </c>
      <c r="AZ488" s="3">
        <v>51.43</v>
      </c>
      <c r="BA488" s="3">
        <v>51.55</v>
      </c>
      <c r="BB488" s="3">
        <v>51.14</v>
      </c>
      <c r="BC488" s="3">
        <v>51.49</v>
      </c>
      <c r="BD488" s="3">
        <v>8484887</v>
      </c>
      <c r="BE488" s="3">
        <v>31.9</v>
      </c>
      <c r="BF488" s="3">
        <v>32.08</v>
      </c>
      <c r="BG488" s="3">
        <v>31.79</v>
      </c>
      <c r="BH488" s="3">
        <v>32.04</v>
      </c>
      <c r="BI488" s="3">
        <v>1474157</v>
      </c>
    </row>
    <row r="489" spans="1:61" ht="13" x14ac:dyDescent="0.15">
      <c r="A489" s="3">
        <v>42836</v>
      </c>
      <c r="B489" s="3">
        <v>2353.92</v>
      </c>
      <c r="C489" s="3">
        <v>2355.2199999999998</v>
      </c>
      <c r="D489" s="3">
        <v>2337.25</v>
      </c>
      <c r="E489" s="3">
        <v>2353.7800000000002</v>
      </c>
      <c r="F489" s="3">
        <v>743787790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3">
        <v>87.55</v>
      </c>
      <c r="M489" s="3">
        <v>87.69</v>
      </c>
      <c r="N489" s="3">
        <v>86.88</v>
      </c>
      <c r="O489" s="3">
        <v>87.51</v>
      </c>
      <c r="P489" s="3">
        <v>5469075</v>
      </c>
      <c r="Q489" s="3">
        <v>54.87</v>
      </c>
      <c r="R489" s="3">
        <v>54.93</v>
      </c>
      <c r="S489" s="3">
        <v>54.69</v>
      </c>
      <c r="T489" s="3">
        <v>54.88</v>
      </c>
      <c r="U489" s="3">
        <v>6325114</v>
      </c>
      <c r="V489" s="3">
        <v>71</v>
      </c>
      <c r="W489" s="3">
        <v>71.03</v>
      </c>
      <c r="X489" s="3">
        <v>70.14</v>
      </c>
      <c r="Y489" s="3">
        <v>70.900000000000006</v>
      </c>
      <c r="Z489" s="3">
        <v>13891468</v>
      </c>
      <c r="AA489" s="3">
        <v>23.34</v>
      </c>
      <c r="AB489" s="3">
        <v>23.43</v>
      </c>
      <c r="AC489" s="3">
        <v>23.15</v>
      </c>
      <c r="AD489" s="3">
        <v>23.39</v>
      </c>
      <c r="AE489" s="3">
        <v>83801181</v>
      </c>
      <c r="AF489" s="3">
        <v>74.150000000000006</v>
      </c>
      <c r="AG489" s="3">
        <v>74.34</v>
      </c>
      <c r="AH489" s="3">
        <v>73.760000000000005</v>
      </c>
      <c r="AI489" s="3">
        <v>74.17</v>
      </c>
      <c r="AJ489" s="3">
        <v>5472621</v>
      </c>
      <c r="AK489" s="3">
        <v>65.180000000000007</v>
      </c>
      <c r="AL489" s="3">
        <v>65.400000000000006</v>
      </c>
      <c r="AM489" s="3">
        <v>64.77</v>
      </c>
      <c r="AN489" s="3">
        <v>65.38</v>
      </c>
      <c r="AO489" s="3">
        <v>10172904</v>
      </c>
      <c r="AP489" s="3">
        <v>52.44</v>
      </c>
      <c r="AQ489" s="3">
        <v>52.56</v>
      </c>
      <c r="AR489" s="3">
        <v>52.16</v>
      </c>
      <c r="AS489" s="3">
        <v>52.46</v>
      </c>
      <c r="AT489" s="3">
        <v>3915723</v>
      </c>
      <c r="AU489" s="3">
        <v>52.87</v>
      </c>
      <c r="AV489" s="3">
        <v>52.95</v>
      </c>
      <c r="AW489" s="3">
        <v>52.33</v>
      </c>
      <c r="AX489" s="3">
        <v>52.76</v>
      </c>
      <c r="AY489" s="3">
        <v>8457135</v>
      </c>
      <c r="AZ489" s="3">
        <v>51.52</v>
      </c>
      <c r="BA489" s="3">
        <v>51.57</v>
      </c>
      <c r="BB489" s="3">
        <v>51.13</v>
      </c>
      <c r="BC489" s="3">
        <v>51.47</v>
      </c>
      <c r="BD489" s="3">
        <v>9844223</v>
      </c>
      <c r="BE489" s="3">
        <v>32.06</v>
      </c>
      <c r="BF489" s="3">
        <v>32.25</v>
      </c>
      <c r="BG489" s="3">
        <v>32.03</v>
      </c>
      <c r="BH489" s="3">
        <v>32.19</v>
      </c>
      <c r="BI489" s="3">
        <v>1626680</v>
      </c>
    </row>
    <row r="490" spans="1:61" ht="13" x14ac:dyDescent="0.15">
      <c r="A490" s="3">
        <v>42837</v>
      </c>
      <c r="B490" s="3">
        <v>2352.15</v>
      </c>
      <c r="C490" s="3">
        <v>2352.7199999999998</v>
      </c>
      <c r="D490" s="3">
        <v>2341.1799999999998</v>
      </c>
      <c r="E490" s="3">
        <v>2344.9299999999998</v>
      </c>
      <c r="F490" s="3">
        <v>824168461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3">
        <v>87.44</v>
      </c>
      <c r="M490" s="3">
        <v>87.55</v>
      </c>
      <c r="N490" s="3">
        <v>87.09</v>
      </c>
      <c r="O490" s="3">
        <v>87.16</v>
      </c>
      <c r="P490" s="3">
        <v>2461603</v>
      </c>
      <c r="Q490" s="3">
        <v>54.84</v>
      </c>
      <c r="R490" s="3">
        <v>55.12</v>
      </c>
      <c r="S490" s="3">
        <v>54.81</v>
      </c>
      <c r="T490" s="3">
        <v>55.09</v>
      </c>
      <c r="U490" s="3">
        <v>7377375</v>
      </c>
      <c r="V490" s="3">
        <v>70.97</v>
      </c>
      <c r="W490" s="3">
        <v>71.42</v>
      </c>
      <c r="X490" s="3">
        <v>70.38</v>
      </c>
      <c r="Y490" s="3">
        <v>70.599999999999994</v>
      </c>
      <c r="Z490" s="3">
        <v>11453569</v>
      </c>
      <c r="AA490" s="3">
        <v>23.36</v>
      </c>
      <c r="AB490" s="3">
        <v>23.38</v>
      </c>
      <c r="AC490" s="3">
        <v>23.14</v>
      </c>
      <c r="AD490" s="3">
        <v>23.2</v>
      </c>
      <c r="AE490" s="3">
        <v>74023032</v>
      </c>
      <c r="AF490" s="3">
        <v>74.09</v>
      </c>
      <c r="AG490" s="3">
        <v>74.290000000000006</v>
      </c>
      <c r="AH490" s="3">
        <v>73.87</v>
      </c>
      <c r="AI490" s="3">
        <v>74.17</v>
      </c>
      <c r="AJ490" s="3">
        <v>3782186</v>
      </c>
      <c r="AK490" s="3">
        <v>65.319999999999993</v>
      </c>
      <c r="AL490" s="3">
        <v>65.44</v>
      </c>
      <c r="AM490" s="3">
        <v>64.44</v>
      </c>
      <c r="AN490" s="3">
        <v>64.48</v>
      </c>
      <c r="AO490" s="3">
        <v>11281502</v>
      </c>
      <c r="AP490" s="3">
        <v>52.39</v>
      </c>
      <c r="AQ490" s="3">
        <v>52.48</v>
      </c>
      <c r="AR490" s="3">
        <v>51.78</v>
      </c>
      <c r="AS490" s="3">
        <v>51.81</v>
      </c>
      <c r="AT490" s="3">
        <v>3889809</v>
      </c>
      <c r="AU490" s="3">
        <v>52.71</v>
      </c>
      <c r="AV490" s="3">
        <v>52.77</v>
      </c>
      <c r="AW490" s="3">
        <v>52.48</v>
      </c>
      <c r="AX490" s="3">
        <v>52.58</v>
      </c>
      <c r="AY490" s="3">
        <v>8684215</v>
      </c>
      <c r="AZ490" s="3">
        <v>51.4</v>
      </c>
      <c r="BA490" s="3">
        <v>51.88</v>
      </c>
      <c r="BB490" s="3">
        <v>51.24</v>
      </c>
      <c r="BC490" s="3">
        <v>51.85</v>
      </c>
      <c r="BD490" s="3">
        <v>10520961</v>
      </c>
      <c r="BE490" s="3">
        <v>32.14</v>
      </c>
      <c r="BF490" s="3">
        <v>32.28</v>
      </c>
      <c r="BG490" s="3">
        <v>32.08</v>
      </c>
      <c r="BH490" s="3">
        <v>32.14</v>
      </c>
      <c r="BI490" s="3">
        <v>1814224</v>
      </c>
    </row>
    <row r="491" spans="1:61" ht="13" x14ac:dyDescent="0.15">
      <c r="A491" s="3">
        <v>42838</v>
      </c>
      <c r="B491" s="3">
        <v>2341.98</v>
      </c>
      <c r="C491" s="3">
        <v>2348.2600000000002</v>
      </c>
      <c r="D491" s="3">
        <v>2328.9499999999998</v>
      </c>
      <c r="E491" s="3">
        <v>2328.9499999999998</v>
      </c>
      <c r="F491" s="3">
        <v>691005538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3">
        <v>87.03</v>
      </c>
      <c r="M491" s="3">
        <v>87.33</v>
      </c>
      <c r="N491" s="3">
        <v>86.55</v>
      </c>
      <c r="O491" s="3">
        <v>86.55</v>
      </c>
      <c r="P491" s="3">
        <v>4688801</v>
      </c>
      <c r="Q491" s="3">
        <v>55.05</v>
      </c>
      <c r="R491" s="3">
        <v>55.1</v>
      </c>
      <c r="S491" s="3">
        <v>54.82</v>
      </c>
      <c r="T491" s="3">
        <v>54.84</v>
      </c>
      <c r="U491" s="3">
        <v>6719143</v>
      </c>
      <c r="V491" s="3">
        <v>70.540000000000006</v>
      </c>
      <c r="W491" s="3">
        <v>70.59</v>
      </c>
      <c r="X491" s="3">
        <v>69.150000000000006</v>
      </c>
      <c r="Y491" s="3">
        <v>69.31</v>
      </c>
      <c r="Z491" s="3">
        <v>17655959</v>
      </c>
      <c r="AA491" s="3">
        <v>23.11</v>
      </c>
      <c r="AB491" s="3">
        <v>23.37</v>
      </c>
      <c r="AC491" s="3">
        <v>22.9</v>
      </c>
      <c r="AD491" s="3">
        <v>22.9</v>
      </c>
      <c r="AE491" s="3">
        <v>120159316</v>
      </c>
      <c r="AF491" s="3">
        <v>74.08</v>
      </c>
      <c r="AG491" s="3">
        <v>74.33</v>
      </c>
      <c r="AH491" s="3">
        <v>73.98</v>
      </c>
      <c r="AI491" s="3">
        <v>73.98</v>
      </c>
      <c r="AJ491" s="3">
        <v>6671107</v>
      </c>
      <c r="AK491" s="3">
        <v>64.430000000000007</v>
      </c>
      <c r="AL491" s="3">
        <v>64.64</v>
      </c>
      <c r="AM491" s="3">
        <v>64.02</v>
      </c>
      <c r="AN491" s="3">
        <v>64.02</v>
      </c>
      <c r="AO491" s="3">
        <v>10118274</v>
      </c>
      <c r="AP491" s="3">
        <v>51.71</v>
      </c>
      <c r="AQ491" s="3">
        <v>51.81</v>
      </c>
      <c r="AR491" s="3">
        <v>51.27</v>
      </c>
      <c r="AS491" s="3">
        <v>51.31</v>
      </c>
      <c r="AT491" s="3">
        <v>4193478</v>
      </c>
      <c r="AU491" s="3">
        <v>52.52</v>
      </c>
      <c r="AV491" s="3">
        <v>52.87</v>
      </c>
      <c r="AW491" s="3">
        <v>52.37</v>
      </c>
      <c r="AX491" s="3">
        <v>52.37</v>
      </c>
      <c r="AY491" s="3">
        <v>9766588</v>
      </c>
      <c r="AZ491" s="3">
        <v>51.91</v>
      </c>
      <c r="BA491" s="3">
        <v>51.92</v>
      </c>
      <c r="BB491" s="3">
        <v>51.45</v>
      </c>
      <c r="BC491" s="3">
        <v>51.68</v>
      </c>
      <c r="BD491" s="3">
        <v>10856111</v>
      </c>
      <c r="BE491" s="3">
        <v>32.14</v>
      </c>
      <c r="BF491" s="3">
        <v>32.22</v>
      </c>
      <c r="BG491" s="3">
        <v>32.049999999999997</v>
      </c>
      <c r="BH491" s="3">
        <v>32.07</v>
      </c>
      <c r="BI491" s="3">
        <v>2051998</v>
      </c>
    </row>
    <row r="492" spans="1:61" ht="13" x14ac:dyDescent="0.15">
      <c r="A492" s="3">
        <v>42842</v>
      </c>
      <c r="B492" s="3">
        <v>2332.62</v>
      </c>
      <c r="C492" s="3">
        <v>2349.14</v>
      </c>
      <c r="D492" s="3">
        <v>2332.5100000000002</v>
      </c>
      <c r="E492" s="3">
        <v>2349.0100000000002</v>
      </c>
      <c r="F492" s="3">
        <v>552521898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3">
        <v>86.77</v>
      </c>
      <c r="M492" s="3">
        <v>87.44</v>
      </c>
      <c r="N492" s="3">
        <v>86.77</v>
      </c>
      <c r="O492" s="3">
        <v>87.44</v>
      </c>
      <c r="P492" s="3">
        <v>3477605</v>
      </c>
      <c r="Q492" s="3">
        <v>54.93</v>
      </c>
      <c r="R492" s="3">
        <v>55.23</v>
      </c>
      <c r="S492" s="3">
        <v>54.92</v>
      </c>
      <c r="T492" s="3">
        <v>55.23</v>
      </c>
      <c r="U492" s="3">
        <v>10585810</v>
      </c>
      <c r="V492" s="3">
        <v>69.290000000000006</v>
      </c>
      <c r="W492" s="3">
        <v>69.53</v>
      </c>
      <c r="X492" s="3">
        <v>69.12</v>
      </c>
      <c r="Y492" s="3">
        <v>69.459999999999994</v>
      </c>
      <c r="Z492" s="3">
        <v>8012191</v>
      </c>
      <c r="AA492" s="3">
        <v>22.96</v>
      </c>
      <c r="AB492" s="3">
        <v>23.31</v>
      </c>
      <c r="AC492" s="3">
        <v>22.89</v>
      </c>
      <c r="AD492" s="3">
        <v>23.3</v>
      </c>
      <c r="AE492" s="3">
        <v>86681175</v>
      </c>
      <c r="AF492" s="3">
        <v>73.89</v>
      </c>
      <c r="AG492" s="3">
        <v>74.27</v>
      </c>
      <c r="AH492" s="3">
        <v>73.83</v>
      </c>
      <c r="AI492" s="3">
        <v>74.25</v>
      </c>
      <c r="AJ492" s="3">
        <v>6149877</v>
      </c>
      <c r="AK492" s="3">
        <v>64.22</v>
      </c>
      <c r="AL492" s="3">
        <v>64.75</v>
      </c>
      <c r="AM492" s="3">
        <v>64.14</v>
      </c>
      <c r="AN492" s="3">
        <v>64.72</v>
      </c>
      <c r="AO492" s="3">
        <v>8852403</v>
      </c>
      <c r="AP492" s="3">
        <v>51.45</v>
      </c>
      <c r="AQ492" s="3">
        <v>51.7</v>
      </c>
      <c r="AR492" s="3">
        <v>51.35</v>
      </c>
      <c r="AS492" s="3">
        <v>51.68</v>
      </c>
      <c r="AT492" s="3">
        <v>3850971</v>
      </c>
      <c r="AU492" s="3">
        <v>52.53</v>
      </c>
      <c r="AV492" s="3">
        <v>52.87</v>
      </c>
      <c r="AW492" s="3">
        <v>52.53</v>
      </c>
      <c r="AX492" s="3">
        <v>52.85</v>
      </c>
      <c r="AY492" s="3">
        <v>7066033</v>
      </c>
      <c r="AZ492" s="3">
        <v>51.8</v>
      </c>
      <c r="BA492" s="3">
        <v>51.93</v>
      </c>
      <c r="BB492" s="3">
        <v>51.66</v>
      </c>
      <c r="BC492" s="3">
        <v>51.91</v>
      </c>
      <c r="BD492" s="3">
        <v>7272573</v>
      </c>
      <c r="BE492" s="3">
        <v>32.1</v>
      </c>
      <c r="BF492" s="3">
        <v>32.450000000000003</v>
      </c>
      <c r="BG492" s="3">
        <v>32.1</v>
      </c>
      <c r="BH492" s="3">
        <v>32.44</v>
      </c>
      <c r="BI492" s="3">
        <v>2002806</v>
      </c>
    </row>
    <row r="493" spans="1:61" ht="13" x14ac:dyDescent="0.15">
      <c r="A493" s="3">
        <v>42843</v>
      </c>
      <c r="B493" s="3">
        <v>2342.5300000000002</v>
      </c>
      <c r="C493" s="3">
        <v>2348.35</v>
      </c>
      <c r="D493" s="3">
        <v>2334.54</v>
      </c>
      <c r="E493" s="3">
        <v>2342.19</v>
      </c>
      <c r="F493" s="3">
        <v>829728921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3">
        <v>87.23</v>
      </c>
      <c r="M493" s="3">
        <v>87.59</v>
      </c>
      <c r="N493" s="3">
        <v>87.01</v>
      </c>
      <c r="O493" s="3">
        <v>87.45</v>
      </c>
      <c r="P493" s="3">
        <v>2554196</v>
      </c>
      <c r="Q493" s="3">
        <v>55.16</v>
      </c>
      <c r="R493" s="3">
        <v>55.64</v>
      </c>
      <c r="S493" s="3">
        <v>55.06</v>
      </c>
      <c r="T493" s="3">
        <v>55.48</v>
      </c>
      <c r="U493" s="3">
        <v>11085516</v>
      </c>
      <c r="V493" s="3">
        <v>69.150000000000006</v>
      </c>
      <c r="W493" s="3">
        <v>69.61</v>
      </c>
      <c r="X493" s="3">
        <v>68.67</v>
      </c>
      <c r="Y493" s="3">
        <v>68.81</v>
      </c>
      <c r="Z493" s="3">
        <v>14750282</v>
      </c>
      <c r="AA493" s="3">
        <v>23.14</v>
      </c>
      <c r="AB493" s="3">
        <v>23.25</v>
      </c>
      <c r="AC493" s="3">
        <v>22.94</v>
      </c>
      <c r="AD493" s="3">
        <v>23.08</v>
      </c>
      <c r="AE493" s="3">
        <v>74890353</v>
      </c>
      <c r="AF493" s="3">
        <v>73.84</v>
      </c>
      <c r="AG493" s="3">
        <v>73.84</v>
      </c>
      <c r="AH493" s="3">
        <v>73.16</v>
      </c>
      <c r="AI493" s="3">
        <v>73.44</v>
      </c>
      <c r="AJ493" s="3">
        <v>7519486</v>
      </c>
      <c r="AK493" s="3">
        <v>64.400000000000006</v>
      </c>
      <c r="AL493" s="3">
        <v>64.77</v>
      </c>
      <c r="AM493" s="3">
        <v>64.239999999999995</v>
      </c>
      <c r="AN493" s="3">
        <v>64.510000000000005</v>
      </c>
      <c r="AO493" s="3">
        <v>7502841</v>
      </c>
      <c r="AP493" s="3">
        <v>51.45</v>
      </c>
      <c r="AQ493" s="3">
        <v>51.78</v>
      </c>
      <c r="AR493" s="3">
        <v>51.39</v>
      </c>
      <c r="AS493" s="3">
        <v>51.62</v>
      </c>
      <c r="AT493" s="3">
        <v>2536904</v>
      </c>
      <c r="AU493" s="3">
        <v>52.71</v>
      </c>
      <c r="AV493" s="3">
        <v>52.94</v>
      </c>
      <c r="AW493" s="3">
        <v>52.63</v>
      </c>
      <c r="AX493" s="3">
        <v>52.84</v>
      </c>
      <c r="AY493" s="3">
        <v>6243585</v>
      </c>
      <c r="AZ493" s="3">
        <v>51.99</v>
      </c>
      <c r="BA493" s="3">
        <v>52.14</v>
      </c>
      <c r="BB493" s="3">
        <v>51.83</v>
      </c>
      <c r="BC493" s="3">
        <v>52.03</v>
      </c>
      <c r="BD493" s="3">
        <v>14707362</v>
      </c>
      <c r="BE493" s="3">
        <v>32.36</v>
      </c>
      <c r="BF493" s="3">
        <v>32.56</v>
      </c>
      <c r="BG493" s="3">
        <v>32.29</v>
      </c>
      <c r="BH493" s="3">
        <v>32.520000000000003</v>
      </c>
      <c r="BI493" s="3">
        <v>4023270</v>
      </c>
    </row>
    <row r="494" spans="1:61" ht="13" x14ac:dyDescent="0.15">
      <c r="A494" s="3">
        <v>42844</v>
      </c>
      <c r="B494" s="3">
        <v>2346.79</v>
      </c>
      <c r="C494" s="3">
        <v>2352.63</v>
      </c>
      <c r="D494" s="3">
        <v>2335.0500000000002</v>
      </c>
      <c r="E494" s="3">
        <v>2338.17</v>
      </c>
      <c r="F494" s="3">
        <v>873090926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3">
        <v>87.74</v>
      </c>
      <c r="M494" s="3">
        <v>88.09</v>
      </c>
      <c r="N494" s="3">
        <v>87.46</v>
      </c>
      <c r="O494" s="3">
        <v>87.53</v>
      </c>
      <c r="P494" s="3">
        <v>3736547</v>
      </c>
      <c r="Q494" s="3">
        <v>55.55</v>
      </c>
      <c r="R494" s="3">
        <v>55.59</v>
      </c>
      <c r="S494" s="3">
        <v>55.19</v>
      </c>
      <c r="T494" s="3">
        <v>55.27</v>
      </c>
      <c r="U494" s="3">
        <v>7254574</v>
      </c>
      <c r="V494" s="3">
        <v>68.98</v>
      </c>
      <c r="W494" s="3">
        <v>69.11</v>
      </c>
      <c r="X494" s="3">
        <v>67.62</v>
      </c>
      <c r="Y494" s="3">
        <v>67.8</v>
      </c>
      <c r="Z494" s="3">
        <v>18125404</v>
      </c>
      <c r="AA494" s="3">
        <v>23.23</v>
      </c>
      <c r="AB494" s="3">
        <v>23.32</v>
      </c>
      <c r="AC494" s="3">
        <v>22.98</v>
      </c>
      <c r="AD494" s="3">
        <v>23.01</v>
      </c>
      <c r="AE494" s="3">
        <v>55583806</v>
      </c>
      <c r="AF494" s="3">
        <v>73.680000000000007</v>
      </c>
      <c r="AG494" s="3">
        <v>73.87</v>
      </c>
      <c r="AH494" s="3">
        <v>73.53</v>
      </c>
      <c r="AI494" s="3">
        <v>73.66</v>
      </c>
      <c r="AJ494" s="3">
        <v>5023119</v>
      </c>
      <c r="AK494" s="3">
        <v>64.739999999999995</v>
      </c>
      <c r="AL494" s="3">
        <v>64.97</v>
      </c>
      <c r="AM494" s="3">
        <v>64.45</v>
      </c>
      <c r="AN494" s="3">
        <v>64.569999999999993</v>
      </c>
      <c r="AO494" s="3">
        <v>9455266</v>
      </c>
      <c r="AP494" s="3">
        <v>51.8</v>
      </c>
      <c r="AQ494" s="3">
        <v>51.95</v>
      </c>
      <c r="AR494" s="3">
        <v>51.6</v>
      </c>
      <c r="AS494" s="3">
        <v>51.69</v>
      </c>
      <c r="AT494" s="3">
        <v>3130224</v>
      </c>
      <c r="AU494" s="3">
        <v>52.92</v>
      </c>
      <c r="AV494" s="3">
        <v>53.11</v>
      </c>
      <c r="AW494" s="3">
        <v>52.7</v>
      </c>
      <c r="AX494" s="3">
        <v>52.8</v>
      </c>
      <c r="AY494" s="3">
        <v>7260503</v>
      </c>
      <c r="AZ494" s="3">
        <v>51.97</v>
      </c>
      <c r="BA494" s="3">
        <v>51.99</v>
      </c>
      <c r="BB494" s="3">
        <v>51.49</v>
      </c>
      <c r="BC494" s="3">
        <v>51.67</v>
      </c>
      <c r="BD494" s="3">
        <v>12517048</v>
      </c>
      <c r="BE494" s="3">
        <v>32.549999999999997</v>
      </c>
      <c r="BF494" s="3">
        <v>32.590000000000003</v>
      </c>
      <c r="BG494" s="3">
        <v>32.409999999999997</v>
      </c>
      <c r="BH494" s="3">
        <v>32.450000000000003</v>
      </c>
      <c r="BI494" s="3">
        <v>1692757</v>
      </c>
    </row>
    <row r="495" spans="1:61" ht="13" x14ac:dyDescent="0.15">
      <c r="A495" s="3">
        <v>42845</v>
      </c>
      <c r="B495" s="3">
        <v>2342.69</v>
      </c>
      <c r="C495" s="3">
        <v>2361.37</v>
      </c>
      <c r="D495" s="3">
        <v>2340.91</v>
      </c>
      <c r="E495" s="3">
        <v>2355.84</v>
      </c>
      <c r="F495" s="3">
        <v>1015974407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3">
        <v>87.9</v>
      </c>
      <c r="M495" s="3">
        <v>88.62</v>
      </c>
      <c r="N495" s="3">
        <v>87.87</v>
      </c>
      <c r="O495" s="3">
        <v>88.45</v>
      </c>
      <c r="P495" s="3">
        <v>4386207</v>
      </c>
      <c r="Q495" s="3">
        <v>55.08</v>
      </c>
      <c r="R495" s="3">
        <v>55.25</v>
      </c>
      <c r="S495" s="3">
        <v>54.97</v>
      </c>
      <c r="T495" s="3">
        <v>55.16</v>
      </c>
      <c r="U495" s="3">
        <v>9738220</v>
      </c>
      <c r="V495" s="3">
        <v>68</v>
      </c>
      <c r="W495" s="3">
        <v>68.63</v>
      </c>
      <c r="X495" s="3">
        <v>67.930000000000007</v>
      </c>
      <c r="Y495" s="3">
        <v>68.13</v>
      </c>
      <c r="Z495" s="3">
        <v>16235421</v>
      </c>
      <c r="AA495" s="3">
        <v>23.18</v>
      </c>
      <c r="AB495" s="3">
        <v>23.45</v>
      </c>
      <c r="AC495" s="3">
        <v>23.09</v>
      </c>
      <c r="AD495" s="3">
        <v>23.4</v>
      </c>
      <c r="AE495" s="3">
        <v>85720393</v>
      </c>
      <c r="AF495" s="3">
        <v>73.81</v>
      </c>
      <c r="AG495" s="3">
        <v>74.27</v>
      </c>
      <c r="AH495" s="3">
        <v>73.47</v>
      </c>
      <c r="AI495" s="3">
        <v>74.12</v>
      </c>
      <c r="AJ495" s="3">
        <v>7307251</v>
      </c>
      <c r="AK495" s="3">
        <v>64.91</v>
      </c>
      <c r="AL495" s="3">
        <v>65.569999999999993</v>
      </c>
      <c r="AM495" s="3">
        <v>64.88</v>
      </c>
      <c r="AN495" s="3">
        <v>65.349999999999994</v>
      </c>
      <c r="AO495" s="3">
        <v>9492503</v>
      </c>
      <c r="AP495" s="3">
        <v>51.92</v>
      </c>
      <c r="AQ495" s="3">
        <v>52.47</v>
      </c>
      <c r="AR495" s="3">
        <v>51.88</v>
      </c>
      <c r="AS495" s="3">
        <v>52.26</v>
      </c>
      <c r="AT495" s="3">
        <v>4069392</v>
      </c>
      <c r="AU495" s="3">
        <v>52.94</v>
      </c>
      <c r="AV495" s="3">
        <v>53.37</v>
      </c>
      <c r="AW495" s="3">
        <v>52.86</v>
      </c>
      <c r="AX495" s="3">
        <v>53.28</v>
      </c>
      <c r="AY495" s="3">
        <v>7581852</v>
      </c>
      <c r="AZ495" s="3">
        <v>51.61</v>
      </c>
      <c r="BA495" s="3">
        <v>51.61</v>
      </c>
      <c r="BB495" s="3">
        <v>51.1</v>
      </c>
      <c r="BC495" s="3">
        <v>51.47</v>
      </c>
      <c r="BD495" s="3">
        <v>13482336</v>
      </c>
      <c r="BE495" s="3">
        <v>32.42</v>
      </c>
      <c r="BF495" s="3">
        <v>32.479999999999997</v>
      </c>
      <c r="BG495" s="3">
        <v>32.28</v>
      </c>
      <c r="BH495" s="3">
        <v>32.44</v>
      </c>
      <c r="BI495" s="3">
        <v>2695039</v>
      </c>
    </row>
    <row r="496" spans="1:61" ht="13" x14ac:dyDescent="0.15">
      <c r="A496" s="3">
        <v>42846</v>
      </c>
      <c r="B496" s="3">
        <v>2354.7399999999998</v>
      </c>
      <c r="C496" s="3">
        <v>2356.1799999999998</v>
      </c>
      <c r="D496" s="3">
        <v>2344.5100000000002</v>
      </c>
      <c r="E496" s="3">
        <v>2348.69</v>
      </c>
      <c r="F496" s="3">
        <v>2071759000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3">
        <v>88.33</v>
      </c>
      <c r="M496" s="3">
        <v>88.42</v>
      </c>
      <c r="N496" s="3">
        <v>88.03</v>
      </c>
      <c r="O496" s="3">
        <v>88.25</v>
      </c>
      <c r="P496" s="3">
        <v>3852436</v>
      </c>
      <c r="Q496" s="3">
        <v>55.13</v>
      </c>
      <c r="R496" s="3">
        <v>55.17</v>
      </c>
      <c r="S496" s="3">
        <v>54.97</v>
      </c>
      <c r="T496" s="3">
        <v>55</v>
      </c>
      <c r="U496" s="3">
        <v>8435717</v>
      </c>
      <c r="V496" s="3">
        <v>67.84</v>
      </c>
      <c r="W496" s="3">
        <v>68.13</v>
      </c>
      <c r="X496" s="3">
        <v>67.45</v>
      </c>
      <c r="Y496" s="3">
        <v>67.790000000000006</v>
      </c>
      <c r="Z496" s="3">
        <v>14116058</v>
      </c>
      <c r="AA496" s="3">
        <v>23.34</v>
      </c>
      <c r="AB496" s="3">
        <v>23.43</v>
      </c>
      <c r="AC496" s="3">
        <v>23.15</v>
      </c>
      <c r="AD496" s="3">
        <v>23.16</v>
      </c>
      <c r="AE496" s="3">
        <v>94675256</v>
      </c>
      <c r="AF496" s="3">
        <v>73.989999999999995</v>
      </c>
      <c r="AG496" s="3">
        <v>74.06</v>
      </c>
      <c r="AH496" s="3">
        <v>73.510000000000005</v>
      </c>
      <c r="AI496" s="3">
        <v>73.680000000000007</v>
      </c>
      <c r="AJ496" s="3">
        <v>6762958</v>
      </c>
      <c r="AK496" s="3">
        <v>65.37</v>
      </c>
      <c r="AL496" s="3">
        <v>65.61</v>
      </c>
      <c r="AM496" s="3">
        <v>65.22</v>
      </c>
      <c r="AN496" s="3">
        <v>65.41</v>
      </c>
      <c r="AO496" s="3">
        <v>10211435</v>
      </c>
      <c r="AP496" s="3">
        <v>52.22</v>
      </c>
      <c r="AQ496" s="3">
        <v>52.34</v>
      </c>
      <c r="AR496" s="3">
        <v>52.06</v>
      </c>
      <c r="AS496" s="3">
        <v>52.2</v>
      </c>
      <c r="AT496" s="3">
        <v>3591645</v>
      </c>
      <c r="AU496" s="3">
        <v>53.3</v>
      </c>
      <c r="AV496" s="3">
        <v>53.31</v>
      </c>
      <c r="AW496" s="3">
        <v>53.07</v>
      </c>
      <c r="AX496" s="3">
        <v>53.17</v>
      </c>
      <c r="AY496" s="3">
        <v>7616549</v>
      </c>
      <c r="AZ496" s="3">
        <v>51.4</v>
      </c>
      <c r="BA496" s="3">
        <v>51.95</v>
      </c>
      <c r="BB496" s="3">
        <v>51.4</v>
      </c>
      <c r="BC496" s="3">
        <v>51.73</v>
      </c>
      <c r="BD496" s="3">
        <v>13259067</v>
      </c>
      <c r="BE496" s="3">
        <v>32.4</v>
      </c>
      <c r="BF496" s="3">
        <v>32.54</v>
      </c>
      <c r="BG496" s="3">
        <v>32.25</v>
      </c>
      <c r="BH496" s="3">
        <v>32.33</v>
      </c>
      <c r="BI496" s="3">
        <v>2376719</v>
      </c>
    </row>
    <row r="497" spans="1:61" ht="13" x14ac:dyDescent="0.15">
      <c r="A497" s="3">
        <v>42849</v>
      </c>
      <c r="B497" s="3">
        <v>2370.33</v>
      </c>
      <c r="C497" s="3">
        <v>2376.98</v>
      </c>
      <c r="D497" s="3">
        <v>2369.19</v>
      </c>
      <c r="E497" s="3">
        <v>2374.15</v>
      </c>
      <c r="F497" s="3">
        <v>2248662130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3">
        <v>89.18</v>
      </c>
      <c r="M497" s="3">
        <v>89.21</v>
      </c>
      <c r="N497" s="3">
        <v>88.72</v>
      </c>
      <c r="O497" s="3">
        <v>88.82</v>
      </c>
      <c r="P497" s="3">
        <v>4243034</v>
      </c>
      <c r="Q497" s="3">
        <v>55.16</v>
      </c>
      <c r="R497" s="3">
        <v>55.59</v>
      </c>
      <c r="S497" s="3">
        <v>55.16</v>
      </c>
      <c r="T497" s="3">
        <v>55.5</v>
      </c>
      <c r="U497" s="3">
        <v>9831677</v>
      </c>
      <c r="V497" s="3">
        <v>68.290000000000006</v>
      </c>
      <c r="W497" s="3">
        <v>68.47</v>
      </c>
      <c r="X497" s="3">
        <v>67.98</v>
      </c>
      <c r="Y497" s="3">
        <v>68.19</v>
      </c>
      <c r="Z497" s="3">
        <v>13350678</v>
      </c>
      <c r="AA497" s="3">
        <v>23.69</v>
      </c>
      <c r="AB497" s="3">
        <v>23.81</v>
      </c>
      <c r="AC497" s="3">
        <v>23.59</v>
      </c>
      <c r="AD497" s="3">
        <v>23.68</v>
      </c>
      <c r="AE497" s="3">
        <v>98770606</v>
      </c>
      <c r="AF497" s="3">
        <v>74.39</v>
      </c>
      <c r="AG497" s="3">
        <v>74.59</v>
      </c>
      <c r="AH497" s="3">
        <v>74.31</v>
      </c>
      <c r="AI497" s="3">
        <v>74.41</v>
      </c>
      <c r="AJ497" s="3">
        <v>5450018</v>
      </c>
      <c r="AK497" s="3">
        <v>66.31</v>
      </c>
      <c r="AL497" s="3">
        <v>66.430000000000007</v>
      </c>
      <c r="AM497" s="3">
        <v>66.099999999999994</v>
      </c>
      <c r="AN497" s="3">
        <v>66.34</v>
      </c>
      <c r="AO497" s="3">
        <v>10498252</v>
      </c>
      <c r="AP497" s="3">
        <v>52.77</v>
      </c>
      <c r="AQ497" s="3">
        <v>52.94</v>
      </c>
      <c r="AR497" s="3">
        <v>52.68</v>
      </c>
      <c r="AS497" s="3">
        <v>52.8</v>
      </c>
      <c r="AT497" s="3">
        <v>5566796</v>
      </c>
      <c r="AU497" s="3">
        <v>53.75</v>
      </c>
      <c r="AV497" s="3">
        <v>53.84</v>
      </c>
      <c r="AW497" s="3">
        <v>53.63</v>
      </c>
      <c r="AX497" s="3">
        <v>53.8</v>
      </c>
      <c r="AY497" s="3">
        <v>8104989</v>
      </c>
      <c r="AZ497" s="3">
        <v>51.78</v>
      </c>
      <c r="BA497" s="3">
        <v>52.06</v>
      </c>
      <c r="BB497" s="3">
        <v>51.43</v>
      </c>
      <c r="BC497" s="3">
        <v>52</v>
      </c>
      <c r="BD497" s="3">
        <v>18106693</v>
      </c>
      <c r="BE497" s="3">
        <v>32.46</v>
      </c>
      <c r="BF497" s="3">
        <v>32.5</v>
      </c>
      <c r="BG497" s="3">
        <v>31.77</v>
      </c>
      <c r="BH497" s="3">
        <v>32.01</v>
      </c>
      <c r="BI497" s="3">
        <v>1928038</v>
      </c>
    </row>
    <row r="498" spans="1:61" ht="13" x14ac:dyDescent="0.15">
      <c r="A498" s="3">
        <v>42850</v>
      </c>
      <c r="B498" s="3">
        <v>2381.5100000000002</v>
      </c>
      <c r="C498" s="3">
        <v>2392.48</v>
      </c>
      <c r="D498" s="3">
        <v>2381.15</v>
      </c>
      <c r="E498" s="3">
        <v>2388.61</v>
      </c>
      <c r="F498" s="3">
        <v>2304916837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3">
        <v>89.12</v>
      </c>
      <c r="M498" s="3">
        <v>89.65</v>
      </c>
      <c r="N498" s="3">
        <v>89.12</v>
      </c>
      <c r="O498" s="3">
        <v>89.52</v>
      </c>
      <c r="P498" s="3">
        <v>5404552</v>
      </c>
      <c r="Q498" s="3">
        <v>55.53</v>
      </c>
      <c r="R498" s="3">
        <v>55.8</v>
      </c>
      <c r="S498" s="3">
        <v>55.51</v>
      </c>
      <c r="T498" s="3">
        <v>55.72</v>
      </c>
      <c r="U498" s="3">
        <v>7292892</v>
      </c>
      <c r="V498" s="3">
        <v>68.36</v>
      </c>
      <c r="W498" s="3">
        <v>68.930000000000007</v>
      </c>
      <c r="X498" s="3">
        <v>68.150000000000006</v>
      </c>
      <c r="Y498" s="3">
        <v>68.77</v>
      </c>
      <c r="Z498" s="3">
        <v>15590964</v>
      </c>
      <c r="AA498" s="3">
        <v>23.89</v>
      </c>
      <c r="AB498" s="3">
        <v>24.01</v>
      </c>
      <c r="AC498" s="3">
        <v>23.86</v>
      </c>
      <c r="AD498" s="3">
        <v>23.89</v>
      </c>
      <c r="AE498" s="3">
        <v>71026149</v>
      </c>
      <c r="AF498" s="3">
        <v>74.709999999999994</v>
      </c>
      <c r="AG498" s="3">
        <v>74.94</v>
      </c>
      <c r="AH498" s="3">
        <v>74.5</v>
      </c>
      <c r="AI498" s="3">
        <v>74.73</v>
      </c>
      <c r="AJ498" s="3">
        <v>9035698</v>
      </c>
      <c r="AK498" s="3">
        <v>66.62</v>
      </c>
      <c r="AL498" s="3">
        <v>66.84</v>
      </c>
      <c r="AM498" s="3">
        <v>66.44</v>
      </c>
      <c r="AN498" s="3">
        <v>66.66</v>
      </c>
      <c r="AO498" s="3">
        <v>12385030</v>
      </c>
      <c r="AP498" s="3">
        <v>53.26</v>
      </c>
      <c r="AQ498" s="3">
        <v>53.72</v>
      </c>
      <c r="AR498" s="3">
        <v>53.23</v>
      </c>
      <c r="AS498" s="3">
        <v>53.65</v>
      </c>
      <c r="AT498" s="3">
        <v>7942257</v>
      </c>
      <c r="AU498" s="3">
        <v>54.02</v>
      </c>
      <c r="AV498" s="3">
        <v>54.19</v>
      </c>
      <c r="AW498" s="3">
        <v>53.93</v>
      </c>
      <c r="AX498" s="3">
        <v>54.08</v>
      </c>
      <c r="AY498" s="3">
        <v>10044772</v>
      </c>
      <c r="AZ498" s="3">
        <v>51.85</v>
      </c>
      <c r="BA498" s="3">
        <v>52.01</v>
      </c>
      <c r="BB498" s="3">
        <v>51.64</v>
      </c>
      <c r="BC498" s="3">
        <v>51.93</v>
      </c>
      <c r="BD498" s="3">
        <v>10891641</v>
      </c>
      <c r="BE498" s="3">
        <v>32.07</v>
      </c>
      <c r="BF498" s="3">
        <v>32.130000000000003</v>
      </c>
      <c r="BG498" s="3">
        <v>31.96</v>
      </c>
      <c r="BH498" s="3">
        <v>32.08</v>
      </c>
      <c r="BI498" s="3">
        <v>1458486</v>
      </c>
    </row>
    <row r="499" spans="1:61" ht="13" x14ac:dyDescent="0.15">
      <c r="A499" s="3">
        <v>42851</v>
      </c>
      <c r="B499" s="3">
        <v>2388.98</v>
      </c>
      <c r="C499" s="3">
        <v>2398.16</v>
      </c>
      <c r="D499" s="3">
        <v>2386.7600000000002</v>
      </c>
      <c r="E499" s="3">
        <v>2387.4499999999998</v>
      </c>
      <c r="F499" s="3">
        <v>2223615893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3">
        <v>89.75</v>
      </c>
      <c r="M499" s="3">
        <v>90.32</v>
      </c>
      <c r="N499" s="3">
        <v>89.63</v>
      </c>
      <c r="O499" s="3">
        <v>89.94</v>
      </c>
      <c r="P499" s="3">
        <v>4082207</v>
      </c>
      <c r="Q499" s="3">
        <v>55.74</v>
      </c>
      <c r="R499" s="3">
        <v>55.74</v>
      </c>
      <c r="S499" s="3">
        <v>55.24</v>
      </c>
      <c r="T499" s="3">
        <v>55.27</v>
      </c>
      <c r="U499" s="3">
        <v>7930815</v>
      </c>
      <c r="V499" s="3">
        <v>68.45</v>
      </c>
      <c r="W499" s="3">
        <v>69.47</v>
      </c>
      <c r="X499" s="3">
        <v>68.42</v>
      </c>
      <c r="Y499" s="3">
        <v>68.540000000000006</v>
      </c>
      <c r="Z499" s="3">
        <v>18737578</v>
      </c>
      <c r="AA499" s="3">
        <v>23.86</v>
      </c>
      <c r="AB499" s="3">
        <v>24.09</v>
      </c>
      <c r="AC499" s="3">
        <v>23.82</v>
      </c>
      <c r="AD499" s="3">
        <v>23.87</v>
      </c>
      <c r="AE499" s="3">
        <v>71691249</v>
      </c>
      <c r="AF499" s="3">
        <v>75</v>
      </c>
      <c r="AG499" s="3">
        <v>75.44</v>
      </c>
      <c r="AH499" s="3">
        <v>74.94</v>
      </c>
      <c r="AI499" s="3">
        <v>75.14</v>
      </c>
      <c r="AJ499" s="3">
        <v>6240415</v>
      </c>
      <c r="AK499" s="3">
        <v>66.77</v>
      </c>
      <c r="AL499" s="3">
        <v>67.040000000000006</v>
      </c>
      <c r="AM499" s="3">
        <v>66.61</v>
      </c>
      <c r="AN499" s="3">
        <v>66.67</v>
      </c>
      <c r="AO499" s="3">
        <v>12033107</v>
      </c>
      <c r="AP499" s="3">
        <v>53.57</v>
      </c>
      <c r="AQ499" s="3">
        <v>53.82</v>
      </c>
      <c r="AR499" s="3">
        <v>53.44</v>
      </c>
      <c r="AS499" s="3">
        <v>53.64</v>
      </c>
      <c r="AT499" s="3">
        <v>3166945</v>
      </c>
      <c r="AU499" s="3">
        <v>54.12</v>
      </c>
      <c r="AV499" s="3">
        <v>54.21</v>
      </c>
      <c r="AW499" s="3">
        <v>53.97</v>
      </c>
      <c r="AX499" s="3">
        <v>54.02</v>
      </c>
      <c r="AY499" s="3">
        <v>8147176</v>
      </c>
      <c r="AZ499" s="3">
        <v>51.92</v>
      </c>
      <c r="BA499" s="3">
        <v>52.16</v>
      </c>
      <c r="BB499" s="3">
        <v>51.72</v>
      </c>
      <c r="BC499" s="3">
        <v>51.77</v>
      </c>
      <c r="BD499" s="3">
        <v>9597402</v>
      </c>
      <c r="BE499" s="3">
        <v>32.020000000000003</v>
      </c>
      <c r="BF499" s="3">
        <v>32.090000000000003</v>
      </c>
      <c r="BG499" s="3">
        <v>31.78</v>
      </c>
      <c r="BH499" s="3">
        <v>31.81</v>
      </c>
      <c r="BI499" s="3">
        <v>1489440</v>
      </c>
    </row>
    <row r="500" spans="1:61" ht="13" x14ac:dyDescent="0.15">
      <c r="A500" s="3">
        <v>42852</v>
      </c>
      <c r="B500" s="3">
        <v>2389.6999999999998</v>
      </c>
      <c r="C500" s="3">
        <v>2392.1</v>
      </c>
      <c r="D500" s="3">
        <v>2382.6799999999998</v>
      </c>
      <c r="E500" s="3">
        <v>2388.77</v>
      </c>
      <c r="F500" s="3">
        <v>2205559179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3">
        <v>90.4</v>
      </c>
      <c r="M500" s="3">
        <v>90.55</v>
      </c>
      <c r="N500" s="3">
        <v>90.17</v>
      </c>
      <c r="O500" s="3">
        <v>90.42</v>
      </c>
      <c r="P500" s="3">
        <v>3663998</v>
      </c>
      <c r="Q500" s="3">
        <v>55.35</v>
      </c>
      <c r="R500" s="3">
        <v>55.38</v>
      </c>
      <c r="S500" s="3">
        <v>55.11</v>
      </c>
      <c r="T500" s="3">
        <v>55.2</v>
      </c>
      <c r="U500" s="3">
        <v>5861399</v>
      </c>
      <c r="V500" s="3">
        <v>68.010000000000005</v>
      </c>
      <c r="W500" s="3">
        <v>68.08</v>
      </c>
      <c r="X500" s="3">
        <v>67.11</v>
      </c>
      <c r="Y500" s="3">
        <v>67.790000000000006</v>
      </c>
      <c r="Z500" s="3">
        <v>20547721</v>
      </c>
      <c r="AA500" s="3">
        <v>23.92</v>
      </c>
      <c r="AB500" s="3">
        <v>23.92</v>
      </c>
      <c r="AC500" s="3">
        <v>23.62</v>
      </c>
      <c r="AD500" s="3">
        <v>23.76</v>
      </c>
      <c r="AE500" s="3">
        <v>68871770</v>
      </c>
      <c r="AF500" s="3">
        <v>75.16</v>
      </c>
      <c r="AG500" s="3">
        <v>75.650000000000006</v>
      </c>
      <c r="AH500" s="3">
        <v>75.010000000000005</v>
      </c>
      <c r="AI500" s="3">
        <v>75.3</v>
      </c>
      <c r="AJ500" s="3">
        <v>6962756</v>
      </c>
      <c r="AK500" s="3">
        <v>66.62</v>
      </c>
      <c r="AL500" s="3">
        <v>66.87</v>
      </c>
      <c r="AM500" s="3">
        <v>66.39</v>
      </c>
      <c r="AN500" s="3">
        <v>66.650000000000006</v>
      </c>
      <c r="AO500" s="3">
        <v>8111444</v>
      </c>
      <c r="AP500" s="3">
        <v>53.57</v>
      </c>
      <c r="AQ500" s="3">
        <v>53.68</v>
      </c>
      <c r="AR500" s="3">
        <v>53.17</v>
      </c>
      <c r="AS500" s="3">
        <v>53.52</v>
      </c>
      <c r="AT500" s="3">
        <v>4604985</v>
      </c>
      <c r="AU500" s="3">
        <v>54.16</v>
      </c>
      <c r="AV500" s="3">
        <v>54.28</v>
      </c>
      <c r="AW500" s="3">
        <v>54.11</v>
      </c>
      <c r="AX500" s="3">
        <v>54.24</v>
      </c>
      <c r="AY500" s="3">
        <v>8591719</v>
      </c>
      <c r="AZ500" s="3">
        <v>51.75</v>
      </c>
      <c r="BA500" s="3">
        <v>52.2</v>
      </c>
      <c r="BB500" s="3">
        <v>51.71</v>
      </c>
      <c r="BC500" s="3">
        <v>51.95</v>
      </c>
      <c r="BD500" s="3">
        <v>9466542</v>
      </c>
      <c r="BE500" s="3">
        <v>31.82</v>
      </c>
      <c r="BF500" s="3">
        <v>32.020000000000003</v>
      </c>
      <c r="BG500" s="3">
        <v>31.77</v>
      </c>
      <c r="BH500" s="3">
        <v>31.83</v>
      </c>
      <c r="BI500" s="3">
        <v>1436546</v>
      </c>
    </row>
    <row r="501" spans="1:61" ht="13" x14ac:dyDescent="0.15">
      <c r="A501" s="3">
        <v>42853</v>
      </c>
      <c r="B501" s="3">
        <v>2393.6799999999998</v>
      </c>
      <c r="C501" s="3">
        <v>2393.6799999999998</v>
      </c>
      <c r="D501" s="3">
        <v>2382.36</v>
      </c>
      <c r="E501" s="3">
        <v>2384.1999999999998</v>
      </c>
      <c r="F501" s="3">
        <v>2239464723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3">
        <v>90.61</v>
      </c>
      <c r="M501" s="3">
        <v>90.78</v>
      </c>
      <c r="N501" s="3">
        <v>89.95</v>
      </c>
      <c r="O501" s="3">
        <v>90.06</v>
      </c>
      <c r="P501" s="3">
        <v>5059755</v>
      </c>
      <c r="Q501" s="3">
        <v>55.04</v>
      </c>
      <c r="R501" s="3">
        <v>55.2</v>
      </c>
      <c r="S501" s="3">
        <v>54.89</v>
      </c>
      <c r="T501" s="3">
        <v>55.18</v>
      </c>
      <c r="U501" s="3">
        <v>7034843</v>
      </c>
      <c r="V501" s="3">
        <v>68.37</v>
      </c>
      <c r="W501" s="3">
        <v>68.489999999999995</v>
      </c>
      <c r="X501" s="3">
        <v>67.739999999999995</v>
      </c>
      <c r="Y501" s="3">
        <v>67.84</v>
      </c>
      <c r="Z501" s="3">
        <v>14425964</v>
      </c>
      <c r="AA501" s="3">
        <v>23.77</v>
      </c>
      <c r="AB501" s="3">
        <v>23.79</v>
      </c>
      <c r="AC501" s="3">
        <v>23.53</v>
      </c>
      <c r="AD501" s="3">
        <v>23.53</v>
      </c>
      <c r="AE501" s="3">
        <v>64091925</v>
      </c>
      <c r="AF501" s="3">
        <v>75.36</v>
      </c>
      <c r="AG501" s="3">
        <v>75.540000000000006</v>
      </c>
      <c r="AH501" s="3">
        <v>75.239999999999995</v>
      </c>
      <c r="AI501" s="3">
        <v>75.5</v>
      </c>
      <c r="AJ501" s="3">
        <v>5781071</v>
      </c>
      <c r="AK501" s="3">
        <v>66.75</v>
      </c>
      <c r="AL501" s="3">
        <v>66.89</v>
      </c>
      <c r="AM501" s="3">
        <v>66.260000000000005</v>
      </c>
      <c r="AN501" s="3">
        <v>66.34</v>
      </c>
      <c r="AO501" s="3">
        <v>10386329</v>
      </c>
      <c r="AP501" s="3">
        <v>53.41</v>
      </c>
      <c r="AQ501" s="3">
        <v>53.57</v>
      </c>
      <c r="AR501" s="3">
        <v>53.07</v>
      </c>
      <c r="AS501" s="3">
        <v>53.07</v>
      </c>
      <c r="AT501" s="3">
        <v>4040002</v>
      </c>
      <c r="AU501" s="3">
        <v>54.41</v>
      </c>
      <c r="AV501" s="3">
        <v>54.49</v>
      </c>
      <c r="AW501" s="3">
        <v>54.25</v>
      </c>
      <c r="AX501" s="3">
        <v>54.38</v>
      </c>
      <c r="AY501" s="3">
        <v>11418367</v>
      </c>
      <c r="AZ501" s="3">
        <v>51.88</v>
      </c>
      <c r="BA501" s="3">
        <v>51.95</v>
      </c>
      <c r="BB501" s="3">
        <v>51.54</v>
      </c>
      <c r="BC501" s="3">
        <v>51.7</v>
      </c>
      <c r="BD501" s="3">
        <v>9405749</v>
      </c>
      <c r="BE501" s="3">
        <v>31.79</v>
      </c>
      <c r="BF501" s="3">
        <v>31.82</v>
      </c>
      <c r="BG501" s="3">
        <v>31.49</v>
      </c>
      <c r="BH501" s="3">
        <v>31.65</v>
      </c>
      <c r="BI501" s="3">
        <v>1816717</v>
      </c>
    </row>
    <row r="502" spans="1:61" ht="13" x14ac:dyDescent="0.15">
      <c r="A502" s="3">
        <v>42856</v>
      </c>
      <c r="B502" s="3">
        <v>2388.5</v>
      </c>
      <c r="C502" s="3">
        <v>2394.4899999999998</v>
      </c>
      <c r="D502" s="3">
        <v>2384.83</v>
      </c>
      <c r="E502" s="3">
        <v>2388.33</v>
      </c>
      <c r="F502" s="3">
        <v>819261658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3">
        <v>90.26</v>
      </c>
      <c r="M502" s="3">
        <v>90.52</v>
      </c>
      <c r="N502" s="3">
        <v>90.07</v>
      </c>
      <c r="O502" s="3">
        <v>90.18</v>
      </c>
      <c r="P502" s="3">
        <v>5913870</v>
      </c>
      <c r="Q502" s="3">
        <v>55.26</v>
      </c>
      <c r="R502" s="3">
        <v>55.26</v>
      </c>
      <c r="S502" s="3">
        <v>54.92</v>
      </c>
      <c r="T502" s="3">
        <v>54.97</v>
      </c>
      <c r="U502" s="3">
        <v>8353940</v>
      </c>
      <c r="V502" s="3">
        <v>67.819999999999993</v>
      </c>
      <c r="W502" s="3">
        <v>68.010000000000005</v>
      </c>
      <c r="X502" s="3">
        <v>67.5</v>
      </c>
      <c r="Y502" s="3">
        <v>67.650000000000006</v>
      </c>
      <c r="Z502" s="3">
        <v>9419426</v>
      </c>
      <c r="AA502" s="3">
        <v>23.65</v>
      </c>
      <c r="AB502" s="3">
        <v>23.8</v>
      </c>
      <c r="AC502" s="3">
        <v>23.55</v>
      </c>
      <c r="AD502" s="3">
        <v>23.68</v>
      </c>
      <c r="AE502" s="3">
        <v>69086646</v>
      </c>
      <c r="AF502" s="3">
        <v>75.63</v>
      </c>
      <c r="AG502" s="3">
        <v>75.819999999999993</v>
      </c>
      <c r="AH502" s="3">
        <v>75.5</v>
      </c>
      <c r="AI502" s="3">
        <v>75.67</v>
      </c>
      <c r="AJ502" s="3">
        <v>7182033</v>
      </c>
      <c r="AK502" s="3">
        <v>66.48</v>
      </c>
      <c r="AL502" s="3">
        <v>66.48</v>
      </c>
      <c r="AM502" s="3">
        <v>65.989999999999995</v>
      </c>
      <c r="AN502" s="3">
        <v>66.14</v>
      </c>
      <c r="AO502" s="3">
        <v>11234074</v>
      </c>
      <c r="AP502" s="3">
        <v>53.32</v>
      </c>
      <c r="AQ502" s="3">
        <v>53.32</v>
      </c>
      <c r="AR502" s="3">
        <v>52.95</v>
      </c>
      <c r="AS502" s="3">
        <v>53.1</v>
      </c>
      <c r="AT502" s="3">
        <v>3974782</v>
      </c>
      <c r="AU502" s="3">
        <v>54.58</v>
      </c>
      <c r="AV502" s="3">
        <v>54.86</v>
      </c>
      <c r="AW502" s="3">
        <v>54.48</v>
      </c>
      <c r="AX502" s="3">
        <v>54.79</v>
      </c>
      <c r="AY502" s="3">
        <v>7562960</v>
      </c>
      <c r="AZ502" s="3">
        <v>51.82</v>
      </c>
      <c r="BA502" s="3">
        <v>51.82</v>
      </c>
      <c r="BB502" s="3">
        <v>51.26</v>
      </c>
      <c r="BC502" s="3">
        <v>51.39</v>
      </c>
      <c r="BD502" s="3">
        <v>10692520</v>
      </c>
      <c r="BE502" s="3">
        <v>31.7</v>
      </c>
      <c r="BF502" s="3">
        <v>31.91</v>
      </c>
      <c r="BG502" s="3">
        <v>31.58</v>
      </c>
      <c r="BH502" s="3">
        <v>31.85</v>
      </c>
      <c r="BI502" s="3">
        <v>2636705</v>
      </c>
    </row>
    <row r="503" spans="1:61" ht="13" x14ac:dyDescent="0.15">
      <c r="A503" s="3">
        <v>42857</v>
      </c>
      <c r="B503" s="3">
        <v>2391.0500000000002</v>
      </c>
      <c r="C503" s="3">
        <v>2392.9299999999998</v>
      </c>
      <c r="D503" s="3">
        <v>2385.8200000000002</v>
      </c>
      <c r="E503" s="3">
        <v>2391.17</v>
      </c>
      <c r="F503" s="3">
        <v>2371688652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3">
        <v>90.23</v>
      </c>
      <c r="M503" s="3">
        <v>90.28</v>
      </c>
      <c r="N503" s="3">
        <v>89.75</v>
      </c>
      <c r="O503" s="3">
        <v>90.28</v>
      </c>
      <c r="P503" s="3">
        <v>3960601</v>
      </c>
      <c r="Q503" s="3">
        <v>54.85</v>
      </c>
      <c r="R503" s="3">
        <v>54.96</v>
      </c>
      <c r="S503" s="3">
        <v>54.55</v>
      </c>
      <c r="T503" s="3">
        <v>54.6</v>
      </c>
      <c r="U503" s="3">
        <v>7672102</v>
      </c>
      <c r="V503" s="3">
        <v>67.790000000000006</v>
      </c>
      <c r="W503" s="3">
        <v>68.010000000000005</v>
      </c>
      <c r="X503" s="3">
        <v>67.03</v>
      </c>
      <c r="Y503" s="3">
        <v>67.31</v>
      </c>
      <c r="Z503" s="3">
        <v>16435642</v>
      </c>
      <c r="AA503" s="3">
        <v>23.68</v>
      </c>
      <c r="AB503" s="3">
        <v>23.71</v>
      </c>
      <c r="AC503" s="3">
        <v>23.52</v>
      </c>
      <c r="AD503" s="3">
        <v>23.65</v>
      </c>
      <c r="AE503" s="3">
        <v>76511460</v>
      </c>
      <c r="AF503" s="3">
        <v>75.739999999999995</v>
      </c>
      <c r="AG503" s="3">
        <v>75.900000000000006</v>
      </c>
      <c r="AH503" s="3">
        <v>75.3</v>
      </c>
      <c r="AI503" s="3">
        <v>75.88</v>
      </c>
      <c r="AJ503" s="3">
        <v>5243780</v>
      </c>
      <c r="AK503" s="3">
        <v>66.319999999999993</v>
      </c>
      <c r="AL503" s="3">
        <v>66.5</v>
      </c>
      <c r="AM503" s="3">
        <v>66.180000000000007</v>
      </c>
      <c r="AN503" s="3">
        <v>66.459999999999994</v>
      </c>
      <c r="AO503" s="3">
        <v>9450916</v>
      </c>
      <c r="AP503" s="3">
        <v>53.12</v>
      </c>
      <c r="AQ503" s="3">
        <v>53.27</v>
      </c>
      <c r="AR503" s="3">
        <v>52.95</v>
      </c>
      <c r="AS503" s="3">
        <v>53.19</v>
      </c>
      <c r="AT503" s="3">
        <v>3465819</v>
      </c>
      <c r="AU503" s="3">
        <v>54.9</v>
      </c>
      <c r="AV503" s="3">
        <v>54.99</v>
      </c>
      <c r="AW503" s="3">
        <v>54.71</v>
      </c>
      <c r="AX503" s="3">
        <v>54.91</v>
      </c>
      <c r="AY503" s="3">
        <v>7535068</v>
      </c>
      <c r="AZ503" s="3">
        <v>51.45</v>
      </c>
      <c r="BA503" s="3">
        <v>51.64</v>
      </c>
      <c r="BB503" s="3">
        <v>51.24</v>
      </c>
      <c r="BC503" s="3">
        <v>51.45</v>
      </c>
      <c r="BD503" s="3">
        <v>9438626</v>
      </c>
      <c r="BE503" s="3">
        <v>31.82</v>
      </c>
      <c r="BF503" s="3">
        <v>31.97</v>
      </c>
      <c r="BG503" s="3">
        <v>31.72</v>
      </c>
      <c r="BH503" s="3">
        <v>31.86</v>
      </c>
      <c r="BI503" s="3">
        <v>1845637</v>
      </c>
    </row>
    <row r="504" spans="1:61" ht="13" x14ac:dyDescent="0.15">
      <c r="A504" s="3">
        <v>42858</v>
      </c>
      <c r="B504" s="3">
        <v>2386.5</v>
      </c>
      <c r="C504" s="3">
        <v>2389.8200000000002</v>
      </c>
      <c r="D504" s="3">
        <v>2379.75</v>
      </c>
      <c r="E504" s="3">
        <v>2388.13</v>
      </c>
      <c r="F504" s="3">
        <v>2270224276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3">
        <v>90.21</v>
      </c>
      <c r="M504" s="3">
        <v>90.45</v>
      </c>
      <c r="N504" s="3">
        <v>89.49</v>
      </c>
      <c r="O504" s="3">
        <v>89.75</v>
      </c>
      <c r="P504" s="3">
        <v>2816743</v>
      </c>
      <c r="Q504" s="3">
        <v>54.65</v>
      </c>
      <c r="R504" s="3">
        <v>54.74</v>
      </c>
      <c r="S504" s="3">
        <v>54.48</v>
      </c>
      <c r="T504" s="3">
        <v>54.65</v>
      </c>
      <c r="U504" s="3">
        <v>10973846</v>
      </c>
      <c r="V504" s="3">
        <v>67.16</v>
      </c>
      <c r="W504" s="3">
        <v>67.819999999999993</v>
      </c>
      <c r="X504" s="3">
        <v>66.97</v>
      </c>
      <c r="Y504" s="3">
        <v>67.5</v>
      </c>
      <c r="Z504" s="3">
        <v>16934781</v>
      </c>
      <c r="AA504" s="3">
        <v>23.57</v>
      </c>
      <c r="AB504" s="3">
        <v>23.84</v>
      </c>
      <c r="AC504" s="3">
        <v>23.55</v>
      </c>
      <c r="AD504" s="3">
        <v>23.84</v>
      </c>
      <c r="AE504" s="3">
        <v>78115437</v>
      </c>
      <c r="AF504" s="3">
        <v>75.650000000000006</v>
      </c>
      <c r="AG504" s="3">
        <v>75.709999999999994</v>
      </c>
      <c r="AH504" s="3">
        <v>75.34</v>
      </c>
      <c r="AI504" s="3">
        <v>75.510000000000005</v>
      </c>
      <c r="AJ504" s="3">
        <v>8094141</v>
      </c>
      <c r="AK504" s="3">
        <v>66.27</v>
      </c>
      <c r="AL504" s="3">
        <v>66.61</v>
      </c>
      <c r="AM504" s="3">
        <v>66.14</v>
      </c>
      <c r="AN504" s="3">
        <v>66.510000000000005</v>
      </c>
      <c r="AO504" s="3">
        <v>8729178</v>
      </c>
      <c r="AP504" s="3">
        <v>52.97</v>
      </c>
      <c r="AQ504" s="3">
        <v>53.09</v>
      </c>
      <c r="AR504" s="3">
        <v>52.52</v>
      </c>
      <c r="AS504" s="3">
        <v>52.67</v>
      </c>
      <c r="AT504" s="3">
        <v>6598859</v>
      </c>
      <c r="AU504" s="3">
        <v>54.73</v>
      </c>
      <c r="AV504" s="3">
        <v>54.85</v>
      </c>
      <c r="AW504" s="3">
        <v>54.56</v>
      </c>
      <c r="AX504" s="3">
        <v>54.81</v>
      </c>
      <c r="AY504" s="3">
        <v>7154453</v>
      </c>
      <c r="AZ504" s="3">
        <v>51.52</v>
      </c>
      <c r="BA504" s="3">
        <v>51.58</v>
      </c>
      <c r="BB504" s="3">
        <v>51.24</v>
      </c>
      <c r="BC504" s="3">
        <v>51.27</v>
      </c>
      <c r="BD504" s="3">
        <v>10507208</v>
      </c>
      <c r="BE504" s="3">
        <v>31.81</v>
      </c>
      <c r="BF504" s="3">
        <v>31.93</v>
      </c>
      <c r="BG504" s="3">
        <v>31.39</v>
      </c>
      <c r="BH504" s="3">
        <v>31.47</v>
      </c>
      <c r="BI504" s="3">
        <v>2193432</v>
      </c>
    </row>
    <row r="505" spans="1:61" ht="13" x14ac:dyDescent="0.15">
      <c r="A505" s="3">
        <v>42859</v>
      </c>
      <c r="B505" s="3">
        <v>2389.79</v>
      </c>
      <c r="C505" s="3">
        <v>2391.4299999999998</v>
      </c>
      <c r="D505" s="3">
        <v>2380.35</v>
      </c>
      <c r="E505" s="3">
        <v>2389.52</v>
      </c>
      <c r="F505" s="3">
        <v>2236620277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3">
        <v>89.82</v>
      </c>
      <c r="M505" s="3">
        <v>89.82</v>
      </c>
      <c r="N505" s="3">
        <v>89.27</v>
      </c>
      <c r="O505" s="3">
        <v>89.61</v>
      </c>
      <c r="P505" s="3">
        <v>5339638</v>
      </c>
      <c r="Q505" s="3">
        <v>54.79</v>
      </c>
      <c r="R505" s="3">
        <v>55.36</v>
      </c>
      <c r="S505" s="3">
        <v>54.74</v>
      </c>
      <c r="T505" s="3">
        <v>55.07</v>
      </c>
      <c r="U505" s="3">
        <v>11587680</v>
      </c>
      <c r="V505" s="3">
        <v>67.03</v>
      </c>
      <c r="W505" s="3">
        <v>67.11</v>
      </c>
      <c r="X505" s="3">
        <v>65.83</v>
      </c>
      <c r="Y505" s="3">
        <v>66.260000000000005</v>
      </c>
      <c r="Z505" s="3">
        <v>33944538</v>
      </c>
      <c r="AA505" s="3">
        <v>23.99</v>
      </c>
      <c r="AB505" s="3">
        <v>24.07</v>
      </c>
      <c r="AC505" s="3">
        <v>23.78</v>
      </c>
      <c r="AD505" s="3">
        <v>23.88</v>
      </c>
      <c r="AE505" s="3">
        <v>64482819</v>
      </c>
      <c r="AF505" s="3">
        <v>75.77</v>
      </c>
      <c r="AG505" s="3">
        <v>76.010000000000005</v>
      </c>
      <c r="AH505" s="3">
        <v>75.66</v>
      </c>
      <c r="AI505" s="3">
        <v>76.010000000000005</v>
      </c>
      <c r="AJ505" s="3">
        <v>4275352</v>
      </c>
      <c r="AK505" s="3">
        <v>66.69</v>
      </c>
      <c r="AL505" s="3">
        <v>66.760000000000005</v>
      </c>
      <c r="AM505" s="3">
        <v>66.2</v>
      </c>
      <c r="AN505" s="3">
        <v>66.58</v>
      </c>
      <c r="AO505" s="3">
        <v>8143571</v>
      </c>
      <c r="AP505" s="3">
        <v>52.82</v>
      </c>
      <c r="AQ505" s="3">
        <v>52.86</v>
      </c>
      <c r="AR505" s="3">
        <v>52.56</v>
      </c>
      <c r="AS505" s="3">
        <v>52.73</v>
      </c>
      <c r="AT505" s="3">
        <v>3743801</v>
      </c>
      <c r="AU505" s="3">
        <v>54.83</v>
      </c>
      <c r="AV505" s="3">
        <v>54.86</v>
      </c>
      <c r="AW505" s="3">
        <v>54.59</v>
      </c>
      <c r="AX505" s="3">
        <v>54.77</v>
      </c>
      <c r="AY505" s="3">
        <v>7579850</v>
      </c>
      <c r="AZ505" s="3">
        <v>51.12</v>
      </c>
      <c r="BA505" s="3">
        <v>51.51</v>
      </c>
      <c r="BB505" s="3">
        <v>51.11</v>
      </c>
      <c r="BC505" s="3">
        <v>51.45</v>
      </c>
      <c r="BD505" s="3">
        <v>14039080</v>
      </c>
      <c r="BE505" s="3">
        <v>31.31</v>
      </c>
      <c r="BF505" s="3">
        <v>31.53</v>
      </c>
      <c r="BG505" s="3">
        <v>31.14</v>
      </c>
      <c r="BH505" s="3">
        <v>31.5</v>
      </c>
      <c r="BI505" s="3">
        <v>1428508</v>
      </c>
    </row>
    <row r="506" spans="1:61" ht="13" x14ac:dyDescent="0.15">
      <c r="A506" s="3">
        <v>42860</v>
      </c>
      <c r="B506" s="3">
        <v>2392.37</v>
      </c>
      <c r="C506" s="3">
        <v>2399.29</v>
      </c>
      <c r="D506" s="3">
        <v>2389.38</v>
      </c>
      <c r="E506" s="3">
        <v>2399.29</v>
      </c>
      <c r="F506" s="3">
        <v>750048053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3">
        <v>89.97</v>
      </c>
      <c r="M506" s="3">
        <v>90.17</v>
      </c>
      <c r="N506" s="3">
        <v>89.53</v>
      </c>
      <c r="O506" s="3">
        <v>90.17</v>
      </c>
      <c r="P506" s="3">
        <v>3219275</v>
      </c>
      <c r="Q506" s="3">
        <v>55.22</v>
      </c>
      <c r="R506" s="3">
        <v>55.28</v>
      </c>
      <c r="S506" s="3">
        <v>55.05</v>
      </c>
      <c r="T506" s="3">
        <v>55.22</v>
      </c>
      <c r="U506" s="3">
        <v>8539495</v>
      </c>
      <c r="V506" s="3">
        <v>66.3</v>
      </c>
      <c r="W506" s="3">
        <v>67.42</v>
      </c>
      <c r="X506" s="3">
        <v>66.27</v>
      </c>
      <c r="Y506" s="3">
        <v>67.31</v>
      </c>
      <c r="Z506" s="3">
        <v>18743753</v>
      </c>
      <c r="AA506" s="3">
        <v>23.95</v>
      </c>
      <c r="AB506" s="3">
        <v>23.96</v>
      </c>
      <c r="AC506" s="3">
        <v>23.76</v>
      </c>
      <c r="AD506" s="3">
        <v>23.84</v>
      </c>
      <c r="AE506" s="3">
        <v>46881451</v>
      </c>
      <c r="AF506" s="3">
        <v>76.180000000000007</v>
      </c>
      <c r="AG506" s="3">
        <v>76.2</v>
      </c>
      <c r="AH506" s="3">
        <v>75.66</v>
      </c>
      <c r="AI506" s="3">
        <v>75.97</v>
      </c>
      <c r="AJ506" s="3">
        <v>5720072</v>
      </c>
      <c r="AK506" s="3">
        <v>66.67</v>
      </c>
      <c r="AL506" s="3">
        <v>66.94</v>
      </c>
      <c r="AM506" s="3">
        <v>66.53</v>
      </c>
      <c r="AN506" s="3">
        <v>66.92</v>
      </c>
      <c r="AO506" s="3">
        <v>7110794</v>
      </c>
      <c r="AP506" s="3">
        <v>52.83</v>
      </c>
      <c r="AQ506" s="3">
        <v>53.52</v>
      </c>
      <c r="AR506" s="3">
        <v>52.83</v>
      </c>
      <c r="AS506" s="3">
        <v>53.48</v>
      </c>
      <c r="AT506" s="3">
        <v>5723720</v>
      </c>
      <c r="AU506" s="3">
        <v>54.86</v>
      </c>
      <c r="AV506" s="3">
        <v>54.99</v>
      </c>
      <c r="AW506" s="3">
        <v>54.73</v>
      </c>
      <c r="AX506" s="3">
        <v>54.97</v>
      </c>
      <c r="AY506" s="3">
        <v>6825813</v>
      </c>
      <c r="AZ506" s="3">
        <v>51.6</v>
      </c>
      <c r="BA506" s="3">
        <v>51.92</v>
      </c>
      <c r="BB506" s="3">
        <v>51.55</v>
      </c>
      <c r="BC506" s="3">
        <v>51.73</v>
      </c>
      <c r="BD506" s="3">
        <v>10785296</v>
      </c>
      <c r="BE506" s="3">
        <v>31.53</v>
      </c>
      <c r="BF506" s="3">
        <v>31.76</v>
      </c>
      <c r="BG506" s="3">
        <v>31.53</v>
      </c>
      <c r="BH506" s="3">
        <v>31.75</v>
      </c>
      <c r="BI506" s="3">
        <v>1717402</v>
      </c>
    </row>
    <row r="507" spans="1:61" ht="13" x14ac:dyDescent="0.15">
      <c r="A507" s="3">
        <v>42863</v>
      </c>
      <c r="B507" s="3">
        <v>2399.94</v>
      </c>
      <c r="C507" s="3">
        <v>2401.36</v>
      </c>
      <c r="D507" s="3">
        <v>2393.92</v>
      </c>
      <c r="E507" s="3">
        <v>2399.38</v>
      </c>
      <c r="F507" s="3">
        <v>1845375125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3">
        <v>90.49</v>
      </c>
      <c r="M507" s="3">
        <v>90.51</v>
      </c>
      <c r="N507" s="3">
        <v>90.02</v>
      </c>
      <c r="O507" s="3">
        <v>90.34</v>
      </c>
      <c r="P507" s="3">
        <v>2506161</v>
      </c>
      <c r="Q507" s="3">
        <v>55.26</v>
      </c>
      <c r="R507" s="3">
        <v>55.26</v>
      </c>
      <c r="S507" s="3">
        <v>55.09</v>
      </c>
      <c r="T507" s="3">
        <v>55.2</v>
      </c>
      <c r="U507" s="3">
        <v>5323425</v>
      </c>
      <c r="V507" s="3">
        <v>67.3</v>
      </c>
      <c r="W507" s="3">
        <v>67.91</v>
      </c>
      <c r="X507" s="3">
        <v>67.239999999999995</v>
      </c>
      <c r="Y507" s="3">
        <v>67.790000000000006</v>
      </c>
      <c r="Z507" s="3">
        <v>18948732</v>
      </c>
      <c r="AA507" s="3">
        <v>23.87</v>
      </c>
      <c r="AB507" s="3">
        <v>23.91</v>
      </c>
      <c r="AC507" s="3">
        <v>23.78</v>
      </c>
      <c r="AD507" s="3">
        <v>23.82</v>
      </c>
      <c r="AE507" s="3">
        <v>45893018</v>
      </c>
      <c r="AF507" s="3">
        <v>75.91</v>
      </c>
      <c r="AG507" s="3">
        <v>75.97</v>
      </c>
      <c r="AH507" s="3">
        <v>75.39</v>
      </c>
      <c r="AI507" s="3">
        <v>75.5</v>
      </c>
      <c r="AJ507" s="3">
        <v>6558505</v>
      </c>
      <c r="AK507" s="3">
        <v>66.900000000000006</v>
      </c>
      <c r="AL507" s="3">
        <v>66.97</v>
      </c>
      <c r="AM507" s="3">
        <v>66.64</v>
      </c>
      <c r="AN507" s="3">
        <v>66.739999999999995</v>
      </c>
      <c r="AO507" s="3">
        <v>6078185</v>
      </c>
      <c r="AP507" s="3">
        <v>53.36</v>
      </c>
      <c r="AQ507" s="3">
        <v>53.43</v>
      </c>
      <c r="AR507" s="3">
        <v>52.94</v>
      </c>
      <c r="AS507" s="3">
        <v>53.05</v>
      </c>
      <c r="AT507" s="3">
        <v>5108129</v>
      </c>
      <c r="AU507" s="3">
        <v>55.01</v>
      </c>
      <c r="AV507" s="3">
        <v>55.24</v>
      </c>
      <c r="AW507" s="3">
        <v>54.91</v>
      </c>
      <c r="AX507" s="3">
        <v>55.21</v>
      </c>
      <c r="AY507" s="3">
        <v>6070112</v>
      </c>
      <c r="AZ507" s="3">
        <v>51.77</v>
      </c>
      <c r="BA507" s="3">
        <v>51.83</v>
      </c>
      <c r="BB507" s="3">
        <v>51.45</v>
      </c>
      <c r="BC507" s="3">
        <v>51.71</v>
      </c>
      <c r="BD507" s="3">
        <v>8789722</v>
      </c>
      <c r="BE507" s="3">
        <v>31.71</v>
      </c>
      <c r="BF507" s="3">
        <v>31.83</v>
      </c>
      <c r="BG507" s="3">
        <v>31.42</v>
      </c>
      <c r="BH507" s="3">
        <v>31.58</v>
      </c>
      <c r="BI507" s="3">
        <v>1279826</v>
      </c>
    </row>
    <row r="508" spans="1:61" ht="13" x14ac:dyDescent="0.15">
      <c r="A508" s="3">
        <v>42864</v>
      </c>
      <c r="B508" s="3">
        <v>2401.58</v>
      </c>
      <c r="C508" s="3">
        <v>2403.87</v>
      </c>
      <c r="D508" s="3">
        <v>2392.44</v>
      </c>
      <c r="E508" s="3">
        <v>2396.92</v>
      </c>
      <c r="F508" s="3">
        <v>1855962757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3">
        <v>90.54</v>
      </c>
      <c r="M508" s="3">
        <v>90.93</v>
      </c>
      <c r="N508" s="3">
        <v>90.37</v>
      </c>
      <c r="O508" s="3">
        <v>90.86</v>
      </c>
      <c r="P508" s="3">
        <v>10257768</v>
      </c>
      <c r="Q508" s="3">
        <v>55.18</v>
      </c>
      <c r="R508" s="3">
        <v>55.28</v>
      </c>
      <c r="S508" s="3">
        <v>54.91</v>
      </c>
      <c r="T508" s="3">
        <v>55</v>
      </c>
      <c r="U508" s="3">
        <v>7256877</v>
      </c>
      <c r="V508" s="3">
        <v>67.930000000000007</v>
      </c>
      <c r="W508" s="3">
        <v>67.930000000000007</v>
      </c>
      <c r="X508" s="3">
        <v>67.03</v>
      </c>
      <c r="Y508" s="3">
        <v>67.23</v>
      </c>
      <c r="Z508" s="3">
        <v>10719714</v>
      </c>
      <c r="AA508" s="3">
        <v>23.88</v>
      </c>
      <c r="AB508" s="3">
        <v>23.96</v>
      </c>
      <c r="AC508" s="3">
        <v>23.65</v>
      </c>
      <c r="AD508" s="3">
        <v>23.73</v>
      </c>
      <c r="AE508" s="3">
        <v>65737851</v>
      </c>
      <c r="AF508" s="3">
        <v>75.540000000000006</v>
      </c>
      <c r="AG508" s="3">
        <v>75.73</v>
      </c>
      <c r="AH508" s="3">
        <v>75.45</v>
      </c>
      <c r="AI508" s="3">
        <v>75.59</v>
      </c>
      <c r="AJ508" s="3">
        <v>3830157</v>
      </c>
      <c r="AK508" s="3">
        <v>66.790000000000006</v>
      </c>
      <c r="AL508" s="3">
        <v>67</v>
      </c>
      <c r="AM508" s="3">
        <v>66.75</v>
      </c>
      <c r="AN508" s="3">
        <v>66.83</v>
      </c>
      <c r="AO508" s="3">
        <v>5968980</v>
      </c>
      <c r="AP508" s="3">
        <v>53</v>
      </c>
      <c r="AQ508" s="3">
        <v>53.1</v>
      </c>
      <c r="AR508" s="3">
        <v>52.58</v>
      </c>
      <c r="AS508" s="3">
        <v>52.65</v>
      </c>
      <c r="AT508" s="3">
        <v>4693230</v>
      </c>
      <c r="AU508" s="3">
        <v>55.27</v>
      </c>
      <c r="AV508" s="3">
        <v>55.43</v>
      </c>
      <c r="AW508" s="3">
        <v>55.17</v>
      </c>
      <c r="AX508" s="3">
        <v>55.28</v>
      </c>
      <c r="AY508" s="3">
        <v>7694281</v>
      </c>
      <c r="AZ508" s="3">
        <v>51.67</v>
      </c>
      <c r="BA508" s="3">
        <v>51.71</v>
      </c>
      <c r="BB508" s="3">
        <v>51.24</v>
      </c>
      <c r="BC508" s="3">
        <v>51.33</v>
      </c>
      <c r="BD508" s="3">
        <v>7758919</v>
      </c>
      <c r="BE508" s="3">
        <v>31.54</v>
      </c>
      <c r="BF508" s="3">
        <v>31.59</v>
      </c>
      <c r="BG508" s="3">
        <v>31.35</v>
      </c>
      <c r="BH508" s="3">
        <v>31.46</v>
      </c>
      <c r="BI508" s="3">
        <v>1770226</v>
      </c>
    </row>
    <row r="509" spans="1:61" ht="13" x14ac:dyDescent="0.15">
      <c r="A509" s="3">
        <v>42865</v>
      </c>
      <c r="B509" s="3">
        <v>2396.79</v>
      </c>
      <c r="C509" s="3">
        <v>2399.7399999999998</v>
      </c>
      <c r="D509" s="3">
        <v>2392.79</v>
      </c>
      <c r="E509" s="3">
        <v>2399.63</v>
      </c>
      <c r="F509" s="3">
        <v>1985193441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3">
        <v>90.49</v>
      </c>
      <c r="M509" s="3">
        <v>90.58</v>
      </c>
      <c r="N509" s="3">
        <v>90.22</v>
      </c>
      <c r="O509" s="3">
        <v>90.55</v>
      </c>
      <c r="P509" s="3">
        <v>3518774</v>
      </c>
      <c r="Q509" s="3">
        <v>55.03</v>
      </c>
      <c r="R509" s="3">
        <v>55.11</v>
      </c>
      <c r="S509" s="3">
        <v>54.96</v>
      </c>
      <c r="T509" s="3">
        <v>55.04</v>
      </c>
      <c r="U509" s="3">
        <v>5232283</v>
      </c>
      <c r="V509" s="3">
        <v>67.62</v>
      </c>
      <c r="W509" s="3">
        <v>68.44</v>
      </c>
      <c r="X509" s="3">
        <v>67.56</v>
      </c>
      <c r="Y509" s="3">
        <v>68.12</v>
      </c>
      <c r="Z509" s="3">
        <v>18259170</v>
      </c>
      <c r="AA509" s="3">
        <v>23.69</v>
      </c>
      <c r="AB509" s="3">
        <v>23.81</v>
      </c>
      <c r="AC509" s="3">
        <v>23.65</v>
      </c>
      <c r="AD509" s="3">
        <v>23.81</v>
      </c>
      <c r="AE509" s="3">
        <v>51192670</v>
      </c>
      <c r="AF509" s="3">
        <v>75.47</v>
      </c>
      <c r="AG509" s="3">
        <v>75.48</v>
      </c>
      <c r="AH509" s="3">
        <v>75.06</v>
      </c>
      <c r="AI509" s="3">
        <v>75.37</v>
      </c>
      <c r="AJ509" s="3">
        <v>4314913</v>
      </c>
      <c r="AK509" s="3">
        <v>66.87</v>
      </c>
      <c r="AL509" s="3">
        <v>66.87</v>
      </c>
      <c r="AM509" s="3">
        <v>66.41</v>
      </c>
      <c r="AN509" s="3">
        <v>66.69</v>
      </c>
      <c r="AO509" s="3">
        <v>7471407</v>
      </c>
      <c r="AP509" s="3">
        <v>52.73</v>
      </c>
      <c r="AQ509" s="3">
        <v>52.89</v>
      </c>
      <c r="AR509" s="3">
        <v>52.6</v>
      </c>
      <c r="AS509" s="3">
        <v>52.82</v>
      </c>
      <c r="AT509" s="3">
        <v>3194017</v>
      </c>
      <c r="AU509" s="3">
        <v>55.34</v>
      </c>
      <c r="AV509" s="3">
        <v>55.53</v>
      </c>
      <c r="AW509" s="3">
        <v>55.22</v>
      </c>
      <c r="AX509" s="3">
        <v>55.49</v>
      </c>
      <c r="AY509" s="3">
        <v>5302044</v>
      </c>
      <c r="AZ509" s="3">
        <v>51.37</v>
      </c>
      <c r="BA509" s="3">
        <v>51.52</v>
      </c>
      <c r="BB509" s="3">
        <v>51.13</v>
      </c>
      <c r="BC509" s="3">
        <v>51.41</v>
      </c>
      <c r="BD509" s="3">
        <v>8439821</v>
      </c>
      <c r="BE509" s="3">
        <v>31.46</v>
      </c>
      <c r="BF509" s="3">
        <v>31.74</v>
      </c>
      <c r="BG509" s="3">
        <v>31.4</v>
      </c>
      <c r="BH509" s="3">
        <v>31.63</v>
      </c>
      <c r="BI509" s="3">
        <v>1520304</v>
      </c>
    </row>
    <row r="510" spans="1:61" ht="13" x14ac:dyDescent="0.15">
      <c r="A510" s="3">
        <v>42866</v>
      </c>
      <c r="B510" s="3">
        <v>2394.84</v>
      </c>
      <c r="C510" s="3">
        <v>2395.7199999999998</v>
      </c>
      <c r="D510" s="3">
        <v>2381.7399999999998</v>
      </c>
      <c r="E510" s="3">
        <v>2394.44</v>
      </c>
      <c r="F510" s="3">
        <v>2024699568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3">
        <v>90.38</v>
      </c>
      <c r="M510" s="3">
        <v>90.38</v>
      </c>
      <c r="N510" s="3">
        <v>89.46</v>
      </c>
      <c r="O510" s="3">
        <v>90.01</v>
      </c>
      <c r="P510" s="3">
        <v>4351558</v>
      </c>
      <c r="Q510" s="3">
        <v>54.97</v>
      </c>
      <c r="R510" s="3">
        <v>55.12</v>
      </c>
      <c r="S510" s="3">
        <v>54.88</v>
      </c>
      <c r="T510" s="3">
        <v>55.12</v>
      </c>
      <c r="U510" s="3">
        <v>5058934</v>
      </c>
      <c r="V510" s="3">
        <v>68.36</v>
      </c>
      <c r="W510" s="3">
        <v>68.48</v>
      </c>
      <c r="X510" s="3">
        <v>67.88</v>
      </c>
      <c r="Y510" s="3">
        <v>67.98</v>
      </c>
      <c r="Z510" s="3">
        <v>11968679</v>
      </c>
      <c r="AA510" s="3">
        <v>23.72</v>
      </c>
      <c r="AB510" s="3">
        <v>23.76</v>
      </c>
      <c r="AC510" s="3">
        <v>23.47</v>
      </c>
      <c r="AD510" s="3">
        <v>23.66</v>
      </c>
      <c r="AE510" s="3">
        <v>77266708</v>
      </c>
      <c r="AF510" s="3">
        <v>75.25</v>
      </c>
      <c r="AG510" s="3">
        <v>75.44</v>
      </c>
      <c r="AH510" s="3">
        <v>75.03</v>
      </c>
      <c r="AI510" s="3">
        <v>75.41</v>
      </c>
      <c r="AJ510" s="3">
        <v>6791572</v>
      </c>
      <c r="AK510" s="3">
        <v>66.48</v>
      </c>
      <c r="AL510" s="3">
        <v>66.760000000000005</v>
      </c>
      <c r="AM510" s="3">
        <v>66.08</v>
      </c>
      <c r="AN510" s="3">
        <v>66.67</v>
      </c>
      <c r="AO510" s="3">
        <v>8400034</v>
      </c>
      <c r="AP510" s="3">
        <v>52.68</v>
      </c>
      <c r="AQ510" s="3">
        <v>52.86</v>
      </c>
      <c r="AR510" s="3">
        <v>52.26</v>
      </c>
      <c r="AS510" s="3">
        <v>52.74</v>
      </c>
      <c r="AT510" s="3">
        <v>3340290</v>
      </c>
      <c r="AU510" s="3">
        <v>55.32</v>
      </c>
      <c r="AV510" s="3">
        <v>55.45</v>
      </c>
      <c r="AW510" s="3">
        <v>55.1</v>
      </c>
      <c r="AX510" s="3">
        <v>55.42</v>
      </c>
      <c r="AY510" s="3">
        <v>9098048</v>
      </c>
      <c r="AZ510" s="3">
        <v>51.28</v>
      </c>
      <c r="BA510" s="3">
        <v>51.48</v>
      </c>
      <c r="BB510" s="3">
        <v>51.07</v>
      </c>
      <c r="BC510" s="3">
        <v>51.48</v>
      </c>
      <c r="BD510" s="3">
        <v>7699155</v>
      </c>
      <c r="BE510" s="3">
        <v>31.49</v>
      </c>
      <c r="BF510" s="3">
        <v>31.51</v>
      </c>
      <c r="BG510" s="3">
        <v>31.23</v>
      </c>
      <c r="BH510" s="3">
        <v>31.48</v>
      </c>
      <c r="BI510" s="3">
        <v>1999056</v>
      </c>
    </row>
    <row r="511" spans="1:61" ht="13" x14ac:dyDescent="0.15">
      <c r="A511" s="3">
        <v>42867</v>
      </c>
      <c r="B511" s="3">
        <v>2392.44</v>
      </c>
      <c r="C511" s="3">
        <v>2392.44</v>
      </c>
      <c r="D511" s="3">
        <v>2387.19</v>
      </c>
      <c r="E511" s="3">
        <v>2390.9</v>
      </c>
      <c r="F511" s="3">
        <v>1786639028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3">
        <v>90.1</v>
      </c>
      <c r="M511" s="3">
        <v>90.1</v>
      </c>
      <c r="N511" s="3">
        <v>89.77</v>
      </c>
      <c r="O511" s="3">
        <v>89.88</v>
      </c>
      <c r="P511" s="3">
        <v>3230814</v>
      </c>
      <c r="Q511" s="3">
        <v>55.07</v>
      </c>
      <c r="R511" s="3">
        <v>55.11</v>
      </c>
      <c r="S511" s="3">
        <v>54.93</v>
      </c>
      <c r="T511" s="3">
        <v>54.96</v>
      </c>
      <c r="U511" s="3">
        <v>5478808</v>
      </c>
      <c r="V511" s="3">
        <v>67.930000000000007</v>
      </c>
      <c r="W511" s="3">
        <v>68.06</v>
      </c>
      <c r="X511" s="3">
        <v>67.55</v>
      </c>
      <c r="Y511" s="3">
        <v>67.75</v>
      </c>
      <c r="Z511" s="3">
        <v>10708604</v>
      </c>
      <c r="AA511" s="3">
        <v>23.55</v>
      </c>
      <c r="AB511" s="3">
        <v>23.57</v>
      </c>
      <c r="AC511" s="3">
        <v>23.43</v>
      </c>
      <c r="AD511" s="3">
        <v>23.56</v>
      </c>
      <c r="AE511" s="3">
        <v>55787188</v>
      </c>
      <c r="AF511" s="3">
        <v>75.38</v>
      </c>
      <c r="AG511" s="3">
        <v>75.489999999999995</v>
      </c>
      <c r="AH511" s="3">
        <v>75.23</v>
      </c>
      <c r="AI511" s="3">
        <v>75.28</v>
      </c>
      <c r="AJ511" s="3">
        <v>2638025</v>
      </c>
      <c r="AK511" s="3">
        <v>66.5</v>
      </c>
      <c r="AL511" s="3">
        <v>66.5</v>
      </c>
      <c r="AM511" s="3">
        <v>66.14</v>
      </c>
      <c r="AN511" s="3">
        <v>66.3</v>
      </c>
      <c r="AO511" s="3">
        <v>7186375</v>
      </c>
      <c r="AP511" s="3">
        <v>52.7</v>
      </c>
      <c r="AQ511" s="3">
        <v>52.77</v>
      </c>
      <c r="AR511" s="3">
        <v>52.57</v>
      </c>
      <c r="AS511" s="3">
        <v>52.61</v>
      </c>
      <c r="AT511" s="3">
        <v>2359174</v>
      </c>
      <c r="AU511" s="3">
        <v>55.47</v>
      </c>
      <c r="AV511" s="3">
        <v>55.59</v>
      </c>
      <c r="AW511" s="3">
        <v>55.41</v>
      </c>
      <c r="AX511" s="3">
        <v>55.56</v>
      </c>
      <c r="AY511" s="3">
        <v>4653845</v>
      </c>
      <c r="AZ511" s="3">
        <v>51.6</v>
      </c>
      <c r="BA511" s="3">
        <v>51.84</v>
      </c>
      <c r="BB511" s="3">
        <v>51.53</v>
      </c>
      <c r="BC511" s="3">
        <v>51.73</v>
      </c>
      <c r="BD511" s="3">
        <v>7523074</v>
      </c>
      <c r="BE511" s="3">
        <v>31.47</v>
      </c>
      <c r="BF511" s="3">
        <v>31.51</v>
      </c>
      <c r="BG511" s="3">
        <v>31.32</v>
      </c>
      <c r="BH511" s="3">
        <v>31.36</v>
      </c>
      <c r="BI511" s="3">
        <v>1506755</v>
      </c>
    </row>
    <row r="512" spans="1:61" ht="13" x14ac:dyDescent="0.15">
      <c r="A512" s="3">
        <v>42870</v>
      </c>
      <c r="B512" s="3">
        <v>2393.98</v>
      </c>
      <c r="C512" s="3">
        <v>2404.0500000000002</v>
      </c>
      <c r="D512" s="3">
        <v>2393.94</v>
      </c>
      <c r="E512" s="3">
        <v>2402.3200000000002</v>
      </c>
      <c r="F512" s="3">
        <v>1896371278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3">
        <v>89.9</v>
      </c>
      <c r="M512" s="3">
        <v>90.28</v>
      </c>
      <c r="N512" s="3">
        <v>89.8</v>
      </c>
      <c r="O512" s="3">
        <v>89.9</v>
      </c>
      <c r="P512" s="3">
        <v>3952248</v>
      </c>
      <c r="Q512" s="3">
        <v>54.93</v>
      </c>
      <c r="R512" s="3">
        <v>55.2</v>
      </c>
      <c r="S512" s="3">
        <v>54.93</v>
      </c>
      <c r="T512" s="3">
        <v>55.14</v>
      </c>
      <c r="U512" s="3">
        <v>7303665</v>
      </c>
      <c r="V512" s="3">
        <v>68.760000000000005</v>
      </c>
      <c r="W512" s="3">
        <v>68.87</v>
      </c>
      <c r="X512" s="3">
        <v>68.06</v>
      </c>
      <c r="Y512" s="3">
        <v>68.28</v>
      </c>
      <c r="Z512" s="3">
        <v>13206867</v>
      </c>
      <c r="AA512" s="3">
        <v>23.61</v>
      </c>
      <c r="AB512" s="3">
        <v>23.79</v>
      </c>
      <c r="AC512" s="3">
        <v>23.6</v>
      </c>
      <c r="AD512" s="3">
        <v>23.74</v>
      </c>
      <c r="AE512" s="3">
        <v>52192101</v>
      </c>
      <c r="AF512" s="3">
        <v>75.319999999999993</v>
      </c>
      <c r="AG512" s="3">
        <v>75.81</v>
      </c>
      <c r="AH512" s="3">
        <v>75.25</v>
      </c>
      <c r="AI512" s="3">
        <v>75.77</v>
      </c>
      <c r="AJ512" s="3">
        <v>7320754</v>
      </c>
      <c r="AK512" s="3">
        <v>66.3</v>
      </c>
      <c r="AL512" s="3">
        <v>66.66</v>
      </c>
      <c r="AM512" s="3">
        <v>66.3</v>
      </c>
      <c r="AN512" s="3">
        <v>66.61</v>
      </c>
      <c r="AO512" s="3">
        <v>8413529</v>
      </c>
      <c r="AP512" s="3">
        <v>52.77</v>
      </c>
      <c r="AQ512" s="3">
        <v>53.23</v>
      </c>
      <c r="AR512" s="3">
        <v>52.77</v>
      </c>
      <c r="AS512" s="3">
        <v>53.07</v>
      </c>
      <c r="AT512" s="3">
        <v>3263078</v>
      </c>
      <c r="AU512" s="3">
        <v>55.63</v>
      </c>
      <c r="AV512" s="3">
        <v>55.87</v>
      </c>
      <c r="AW512" s="3">
        <v>55.6</v>
      </c>
      <c r="AX512" s="3">
        <v>55.87</v>
      </c>
      <c r="AY512" s="3">
        <v>9949265</v>
      </c>
      <c r="AZ512" s="3">
        <v>51.74</v>
      </c>
      <c r="BA512" s="3">
        <v>52.04</v>
      </c>
      <c r="BB512" s="3">
        <v>51.68</v>
      </c>
      <c r="BC512" s="3">
        <v>51.95</v>
      </c>
      <c r="BD512" s="3">
        <v>6351125</v>
      </c>
      <c r="BE512" s="3">
        <v>31.36</v>
      </c>
      <c r="BF512" s="3">
        <v>31.66</v>
      </c>
      <c r="BG512" s="3">
        <v>31.35</v>
      </c>
      <c r="BH512" s="3">
        <v>31.5</v>
      </c>
      <c r="BI512" s="3">
        <v>2380075</v>
      </c>
    </row>
    <row r="513" spans="1:61" ht="13" x14ac:dyDescent="0.15">
      <c r="A513" s="3">
        <v>42871</v>
      </c>
      <c r="B513" s="3">
        <v>2404.5500000000002</v>
      </c>
      <c r="C513" s="3">
        <v>2405.77</v>
      </c>
      <c r="D513" s="3">
        <v>2396.0500000000002</v>
      </c>
      <c r="E513" s="3">
        <v>2400.67</v>
      </c>
      <c r="F513" s="3">
        <v>2039120191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3">
        <v>89.95</v>
      </c>
      <c r="M513" s="3">
        <v>90.02</v>
      </c>
      <c r="N513" s="3">
        <v>89.53</v>
      </c>
      <c r="O513" s="3">
        <v>89.59</v>
      </c>
      <c r="P513" s="3">
        <v>4198330</v>
      </c>
      <c r="Q513" s="3">
        <v>55.31</v>
      </c>
      <c r="R513" s="3">
        <v>55.39</v>
      </c>
      <c r="S513" s="3">
        <v>55.05</v>
      </c>
      <c r="T513" s="3">
        <v>55.09</v>
      </c>
      <c r="U513" s="3">
        <v>4797112</v>
      </c>
      <c r="V513" s="3">
        <v>68.599999999999994</v>
      </c>
      <c r="W513" s="3">
        <v>68.599999999999994</v>
      </c>
      <c r="X513" s="3">
        <v>67.7</v>
      </c>
      <c r="Y513" s="3">
        <v>67.94</v>
      </c>
      <c r="Z513" s="3">
        <v>11693390</v>
      </c>
      <c r="AA513" s="3">
        <v>23.79</v>
      </c>
      <c r="AB513" s="3">
        <v>23.83</v>
      </c>
      <c r="AC513" s="3">
        <v>23.67</v>
      </c>
      <c r="AD513" s="3">
        <v>23.81</v>
      </c>
      <c r="AE513" s="3">
        <v>51529642</v>
      </c>
      <c r="AF513" s="3">
        <v>75.69</v>
      </c>
      <c r="AG513" s="3">
        <v>75.760000000000005</v>
      </c>
      <c r="AH513" s="3">
        <v>75.27</v>
      </c>
      <c r="AI513" s="3">
        <v>75.48</v>
      </c>
      <c r="AJ513" s="3">
        <v>5471675</v>
      </c>
      <c r="AK513" s="3">
        <v>66.69</v>
      </c>
      <c r="AL513" s="3">
        <v>66.75</v>
      </c>
      <c r="AM513" s="3">
        <v>66.28</v>
      </c>
      <c r="AN513" s="3">
        <v>66.540000000000006</v>
      </c>
      <c r="AO513" s="3">
        <v>5848784</v>
      </c>
      <c r="AP513" s="3">
        <v>53.09</v>
      </c>
      <c r="AQ513" s="3">
        <v>53.21</v>
      </c>
      <c r="AR513" s="3">
        <v>53.01</v>
      </c>
      <c r="AS513" s="3">
        <v>53.08</v>
      </c>
      <c r="AT513" s="3">
        <v>3034408</v>
      </c>
      <c r="AU513" s="3">
        <v>56</v>
      </c>
      <c r="AV513" s="3">
        <v>56.13</v>
      </c>
      <c r="AW513" s="3">
        <v>55.81</v>
      </c>
      <c r="AX513" s="3">
        <v>56.13</v>
      </c>
      <c r="AY513" s="3">
        <v>9061070</v>
      </c>
      <c r="AZ513" s="3">
        <v>51.87</v>
      </c>
      <c r="BA513" s="3">
        <v>52.02</v>
      </c>
      <c r="BB513" s="3">
        <v>51.51</v>
      </c>
      <c r="BC513" s="3">
        <v>51.57</v>
      </c>
      <c r="BD513" s="3">
        <v>7653070</v>
      </c>
      <c r="BE513" s="3">
        <v>31.48</v>
      </c>
      <c r="BF513" s="3">
        <v>31.49</v>
      </c>
      <c r="BG513" s="3">
        <v>31.27</v>
      </c>
      <c r="BH513" s="3">
        <v>31.34</v>
      </c>
      <c r="BI513" s="3">
        <v>1369108</v>
      </c>
    </row>
    <row r="514" spans="1:61" ht="13" x14ac:dyDescent="0.15">
      <c r="A514" s="3">
        <v>42872</v>
      </c>
      <c r="B514" s="3">
        <v>2382.9499999999998</v>
      </c>
      <c r="C514" s="3">
        <v>2384.87</v>
      </c>
      <c r="D514" s="3">
        <v>2356.21</v>
      </c>
      <c r="E514" s="3">
        <v>2357.0300000000002</v>
      </c>
      <c r="F514" s="3">
        <v>2717638993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3">
        <v>89.04</v>
      </c>
      <c r="M514" s="3">
        <v>89.27</v>
      </c>
      <c r="N514" s="3">
        <v>88.13</v>
      </c>
      <c r="O514" s="3">
        <v>88.14</v>
      </c>
      <c r="P514" s="3">
        <v>8289390</v>
      </c>
      <c r="Q514" s="3">
        <v>55</v>
      </c>
      <c r="R514" s="3">
        <v>55.2</v>
      </c>
      <c r="S514" s="3">
        <v>54.86</v>
      </c>
      <c r="T514" s="3">
        <v>55.01</v>
      </c>
      <c r="U514" s="3">
        <v>14021743</v>
      </c>
      <c r="V514" s="3">
        <v>67.540000000000006</v>
      </c>
      <c r="W514" s="3">
        <v>68.12</v>
      </c>
      <c r="X514" s="3">
        <v>67.239999999999995</v>
      </c>
      <c r="Y514" s="3">
        <v>67.27</v>
      </c>
      <c r="Z514" s="3">
        <v>15606751</v>
      </c>
      <c r="AA514" s="3">
        <v>23.31</v>
      </c>
      <c r="AB514" s="3">
        <v>23.49</v>
      </c>
      <c r="AC514" s="3">
        <v>22.97</v>
      </c>
      <c r="AD514" s="3">
        <v>23.06</v>
      </c>
      <c r="AE514" s="3">
        <v>141192783</v>
      </c>
      <c r="AF514" s="3">
        <v>74.87</v>
      </c>
      <c r="AG514" s="3">
        <v>75.08</v>
      </c>
      <c r="AH514" s="3">
        <v>74.489999999999995</v>
      </c>
      <c r="AI514" s="3">
        <v>74.489999999999995</v>
      </c>
      <c r="AJ514" s="3">
        <v>11434049</v>
      </c>
      <c r="AK514" s="3">
        <v>65.91</v>
      </c>
      <c r="AL514" s="3">
        <v>66.010000000000005</v>
      </c>
      <c r="AM514" s="3">
        <v>65.19</v>
      </c>
      <c r="AN514" s="3">
        <v>65.209999999999994</v>
      </c>
      <c r="AO514" s="3">
        <v>15221012</v>
      </c>
      <c r="AP514" s="3">
        <v>52.71</v>
      </c>
      <c r="AQ514" s="3">
        <v>52.75</v>
      </c>
      <c r="AR514" s="3">
        <v>51.95</v>
      </c>
      <c r="AS514" s="3">
        <v>51.96</v>
      </c>
      <c r="AT514" s="3">
        <v>8132436</v>
      </c>
      <c r="AU514" s="3">
        <v>55.69</v>
      </c>
      <c r="AV514" s="3">
        <v>55.74</v>
      </c>
      <c r="AW514" s="3">
        <v>54.57</v>
      </c>
      <c r="AX514" s="3">
        <v>54.6</v>
      </c>
      <c r="AY514" s="3">
        <v>18544954</v>
      </c>
      <c r="AZ514" s="3">
        <v>51.7</v>
      </c>
      <c r="BA514" s="3">
        <v>51.94</v>
      </c>
      <c r="BB514" s="3">
        <v>51.47</v>
      </c>
      <c r="BC514" s="3">
        <v>51.7</v>
      </c>
      <c r="BD514" s="3">
        <v>15032839</v>
      </c>
      <c r="BE514" s="3">
        <v>31.25</v>
      </c>
      <c r="BF514" s="3">
        <v>31.69</v>
      </c>
      <c r="BG514" s="3">
        <v>31.25</v>
      </c>
      <c r="BH514" s="3">
        <v>31.54</v>
      </c>
      <c r="BI514" s="3">
        <v>2978798</v>
      </c>
    </row>
    <row r="515" spans="1:61" ht="13" x14ac:dyDescent="0.15">
      <c r="A515" s="3">
        <v>42873</v>
      </c>
      <c r="B515" s="3">
        <v>2354.69</v>
      </c>
      <c r="C515" s="3">
        <v>2375.7399999999998</v>
      </c>
      <c r="D515" s="3">
        <v>2352.7199999999998</v>
      </c>
      <c r="E515" s="3">
        <v>2365.7199999999998</v>
      </c>
      <c r="F515" s="3">
        <v>2308543266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3">
        <v>88.14</v>
      </c>
      <c r="M515" s="3">
        <v>89.06</v>
      </c>
      <c r="N515" s="3">
        <v>88.14</v>
      </c>
      <c r="O515" s="3">
        <v>88.65</v>
      </c>
      <c r="P515" s="3">
        <v>6521757</v>
      </c>
      <c r="Q515" s="3">
        <v>55.03</v>
      </c>
      <c r="R515" s="3">
        <v>55.18</v>
      </c>
      <c r="S515" s="3">
        <v>54.87</v>
      </c>
      <c r="T515" s="3">
        <v>55.05</v>
      </c>
      <c r="U515" s="3">
        <v>7906570</v>
      </c>
      <c r="V515" s="3">
        <v>66.97</v>
      </c>
      <c r="W515" s="3">
        <v>67.58</v>
      </c>
      <c r="X515" s="3">
        <v>66.72</v>
      </c>
      <c r="Y515" s="3">
        <v>67.25</v>
      </c>
      <c r="Z515" s="3">
        <v>14114950</v>
      </c>
      <c r="AA515" s="3">
        <v>23.03</v>
      </c>
      <c r="AB515" s="3">
        <v>23.29</v>
      </c>
      <c r="AC515" s="3">
        <v>23</v>
      </c>
      <c r="AD515" s="3">
        <v>23.15</v>
      </c>
      <c r="AE515" s="3">
        <v>101656920</v>
      </c>
      <c r="AF515" s="3">
        <v>74.45</v>
      </c>
      <c r="AG515" s="3">
        <v>75.25</v>
      </c>
      <c r="AH515" s="3">
        <v>74.45</v>
      </c>
      <c r="AI515" s="3">
        <v>74.819999999999993</v>
      </c>
      <c r="AJ515" s="3">
        <v>10690543</v>
      </c>
      <c r="AK515" s="3">
        <v>65.010000000000005</v>
      </c>
      <c r="AL515" s="3">
        <v>65.69</v>
      </c>
      <c r="AM515" s="3">
        <v>64.650000000000006</v>
      </c>
      <c r="AN515" s="3">
        <v>65.3</v>
      </c>
      <c r="AO515" s="3">
        <v>15260085</v>
      </c>
      <c r="AP515" s="3">
        <v>51.76</v>
      </c>
      <c r="AQ515" s="3">
        <v>52.12</v>
      </c>
      <c r="AR515" s="3">
        <v>51.35</v>
      </c>
      <c r="AS515" s="3">
        <v>51.99</v>
      </c>
      <c r="AT515" s="3">
        <v>6963348</v>
      </c>
      <c r="AU515" s="3">
        <v>54.46</v>
      </c>
      <c r="AV515" s="3">
        <v>55.13</v>
      </c>
      <c r="AW515" s="3">
        <v>54.37</v>
      </c>
      <c r="AX515" s="3">
        <v>54.92</v>
      </c>
      <c r="AY515" s="3">
        <v>16822248</v>
      </c>
      <c r="AZ515" s="3">
        <v>51.81</v>
      </c>
      <c r="BA515" s="3">
        <v>52.15</v>
      </c>
      <c r="BB515" s="3">
        <v>51.44</v>
      </c>
      <c r="BC515" s="3">
        <v>51.88</v>
      </c>
      <c r="BD515" s="3">
        <v>16875978</v>
      </c>
      <c r="BE515" s="3">
        <v>31.45</v>
      </c>
      <c r="BF515" s="3">
        <v>31.67</v>
      </c>
      <c r="BG515" s="3">
        <v>31.29</v>
      </c>
      <c r="BH515" s="3">
        <v>31.6</v>
      </c>
      <c r="BI515" s="3">
        <v>2455843</v>
      </c>
    </row>
    <row r="516" spans="1:61" ht="13" x14ac:dyDescent="0.15">
      <c r="A516" s="3">
        <v>42874</v>
      </c>
      <c r="B516" s="3">
        <v>2371.37</v>
      </c>
      <c r="C516" s="3">
        <v>2389.06</v>
      </c>
      <c r="D516" s="3">
        <v>2370.4299999999998</v>
      </c>
      <c r="E516" s="3">
        <v>2381.73</v>
      </c>
      <c r="F516" s="3">
        <v>2249727653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3">
        <v>88.8</v>
      </c>
      <c r="M516" s="3">
        <v>89.54</v>
      </c>
      <c r="N516" s="3">
        <v>88.7</v>
      </c>
      <c r="O516" s="3">
        <v>89.25</v>
      </c>
      <c r="P516" s="3">
        <v>3694974</v>
      </c>
      <c r="Q516" s="3">
        <v>55.07</v>
      </c>
      <c r="R516" s="3">
        <v>55.45</v>
      </c>
      <c r="S516" s="3">
        <v>54.99</v>
      </c>
      <c r="T516" s="3">
        <v>55.35</v>
      </c>
      <c r="U516" s="3">
        <v>6277618</v>
      </c>
      <c r="V516" s="3">
        <v>67.58</v>
      </c>
      <c r="W516" s="3">
        <v>68.22</v>
      </c>
      <c r="X516" s="3">
        <v>67.42</v>
      </c>
      <c r="Y516" s="3">
        <v>68.08</v>
      </c>
      <c r="Z516" s="3">
        <v>15624505</v>
      </c>
      <c r="AA516" s="3">
        <v>23.19</v>
      </c>
      <c r="AB516" s="3">
        <v>23.48</v>
      </c>
      <c r="AC516" s="3">
        <v>23.18</v>
      </c>
      <c r="AD516" s="3">
        <v>23.35</v>
      </c>
      <c r="AE516" s="3">
        <v>69775647</v>
      </c>
      <c r="AF516" s="3">
        <v>74.95</v>
      </c>
      <c r="AG516" s="3">
        <v>75.27</v>
      </c>
      <c r="AH516" s="3">
        <v>74.849999999999994</v>
      </c>
      <c r="AI516" s="3">
        <v>75.03</v>
      </c>
      <c r="AJ516" s="3">
        <v>9209758</v>
      </c>
      <c r="AK516" s="3">
        <v>65.510000000000005</v>
      </c>
      <c r="AL516" s="3">
        <v>66.459999999999994</v>
      </c>
      <c r="AM516" s="3">
        <v>65.510000000000005</v>
      </c>
      <c r="AN516" s="3">
        <v>66.16</v>
      </c>
      <c r="AO516" s="3">
        <v>10322281</v>
      </c>
      <c r="AP516" s="3">
        <v>52.09</v>
      </c>
      <c r="AQ516" s="3">
        <v>52.66</v>
      </c>
      <c r="AR516" s="3">
        <v>52.08</v>
      </c>
      <c r="AS516" s="3">
        <v>52.44</v>
      </c>
      <c r="AT516" s="3">
        <v>4989333</v>
      </c>
      <c r="AU516" s="3">
        <v>55.22</v>
      </c>
      <c r="AV516" s="3">
        <v>55.41</v>
      </c>
      <c r="AW516" s="3">
        <v>55.16</v>
      </c>
      <c r="AX516" s="3">
        <v>55.24</v>
      </c>
      <c r="AY516" s="3">
        <v>10219114</v>
      </c>
      <c r="AZ516" s="3">
        <v>51.87</v>
      </c>
      <c r="BA516" s="3">
        <v>52.08</v>
      </c>
      <c r="BB516" s="3">
        <v>51.58</v>
      </c>
      <c r="BC516" s="3">
        <v>52.08</v>
      </c>
      <c r="BD516" s="3">
        <v>9901328</v>
      </c>
      <c r="BE516" s="3">
        <v>31.57</v>
      </c>
      <c r="BF516" s="3">
        <v>31.93</v>
      </c>
      <c r="BG516" s="3">
        <v>31.44</v>
      </c>
      <c r="BH516" s="3">
        <v>31.78</v>
      </c>
      <c r="BI516" s="3">
        <v>1397266</v>
      </c>
    </row>
    <row r="517" spans="1:61" ht="13" x14ac:dyDescent="0.15">
      <c r="A517" s="3">
        <v>42877</v>
      </c>
      <c r="B517" s="3">
        <v>2387.21</v>
      </c>
      <c r="C517" s="3">
        <v>2395.46</v>
      </c>
      <c r="D517" s="3">
        <v>2386.92</v>
      </c>
      <c r="E517" s="3">
        <v>2394.02</v>
      </c>
      <c r="F517" s="3">
        <v>1858438550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3">
        <v>89.42</v>
      </c>
      <c r="M517" s="3">
        <v>89.8</v>
      </c>
      <c r="N517" s="3">
        <v>89.37</v>
      </c>
      <c r="O517" s="3">
        <v>89.7</v>
      </c>
      <c r="P517" s="3">
        <v>2946716</v>
      </c>
      <c r="Q517" s="3">
        <v>55.36</v>
      </c>
      <c r="R517" s="3">
        <v>55.74</v>
      </c>
      <c r="S517" s="3">
        <v>55.35</v>
      </c>
      <c r="T517" s="3">
        <v>55.66</v>
      </c>
      <c r="U517" s="3">
        <v>7101778</v>
      </c>
      <c r="V517" s="3">
        <v>68.44</v>
      </c>
      <c r="W517" s="3">
        <v>68.48</v>
      </c>
      <c r="X517" s="3">
        <v>67.69</v>
      </c>
      <c r="Y517" s="3">
        <v>67.930000000000007</v>
      </c>
      <c r="Z517" s="3">
        <v>10339245</v>
      </c>
      <c r="AA517" s="3">
        <v>23.48</v>
      </c>
      <c r="AB517" s="3">
        <v>23.48</v>
      </c>
      <c r="AC517" s="3">
        <v>23.25</v>
      </c>
      <c r="AD517" s="3">
        <v>23.41</v>
      </c>
      <c r="AE517" s="3">
        <v>79181862</v>
      </c>
      <c r="AF517" s="3">
        <v>74.959999999999994</v>
      </c>
      <c r="AG517" s="3">
        <v>75.319999999999993</v>
      </c>
      <c r="AH517" s="3">
        <v>74.8</v>
      </c>
      <c r="AI517" s="3">
        <v>75.23</v>
      </c>
      <c r="AJ517" s="3">
        <v>4999072</v>
      </c>
      <c r="AK517" s="3">
        <v>66.66</v>
      </c>
      <c r="AL517" s="3">
        <v>66.760000000000005</v>
      </c>
      <c r="AM517" s="3">
        <v>66.47</v>
      </c>
      <c r="AN517" s="3">
        <v>66.67</v>
      </c>
      <c r="AO517" s="3">
        <v>6506192</v>
      </c>
      <c r="AP517" s="3">
        <v>52.62</v>
      </c>
      <c r="AQ517" s="3">
        <v>52.75</v>
      </c>
      <c r="AR517" s="3">
        <v>52.35</v>
      </c>
      <c r="AS517" s="3">
        <v>52.5</v>
      </c>
      <c r="AT517" s="3">
        <v>2871593</v>
      </c>
      <c r="AU517" s="3">
        <v>55.37</v>
      </c>
      <c r="AV517" s="3">
        <v>55.75</v>
      </c>
      <c r="AW517" s="3">
        <v>55.36</v>
      </c>
      <c r="AX517" s="3">
        <v>55.68</v>
      </c>
      <c r="AY517" s="3">
        <v>10510254</v>
      </c>
      <c r="AZ517" s="3">
        <v>52</v>
      </c>
      <c r="BA517" s="3">
        <v>52.61</v>
      </c>
      <c r="BB517" s="3">
        <v>51.97</v>
      </c>
      <c r="BC517" s="3">
        <v>52.53</v>
      </c>
      <c r="BD517" s="3">
        <v>7779269</v>
      </c>
      <c r="BE517" s="3">
        <v>31.78</v>
      </c>
      <c r="BF517" s="3">
        <v>31.97</v>
      </c>
      <c r="BG517" s="3">
        <v>31.72</v>
      </c>
      <c r="BH517" s="3">
        <v>31.86</v>
      </c>
      <c r="BI517" s="3">
        <v>1371299</v>
      </c>
    </row>
    <row r="518" spans="1:61" ht="13" x14ac:dyDescent="0.15">
      <c r="A518" s="3">
        <v>42878</v>
      </c>
      <c r="B518" s="3">
        <v>2397.04</v>
      </c>
      <c r="C518" s="3">
        <v>2400.85</v>
      </c>
      <c r="D518" s="3">
        <v>2393.88</v>
      </c>
      <c r="E518" s="3">
        <v>2398.42</v>
      </c>
      <c r="F518" s="3">
        <v>1770956038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3">
        <v>89.77</v>
      </c>
      <c r="M518" s="3">
        <v>89.96</v>
      </c>
      <c r="N518" s="3">
        <v>89.22</v>
      </c>
      <c r="O518" s="3">
        <v>89.36</v>
      </c>
      <c r="P518" s="3">
        <v>2089011</v>
      </c>
      <c r="Q518" s="3">
        <v>55.74</v>
      </c>
      <c r="R518" s="3">
        <v>55.98</v>
      </c>
      <c r="S518" s="3">
        <v>55.69</v>
      </c>
      <c r="T518" s="3">
        <v>55.72</v>
      </c>
      <c r="U518" s="3">
        <v>7518524</v>
      </c>
      <c r="V518" s="3">
        <v>68.11</v>
      </c>
      <c r="W518" s="3">
        <v>68.180000000000007</v>
      </c>
      <c r="X518" s="3">
        <v>67.73</v>
      </c>
      <c r="Y518" s="3">
        <v>68.09</v>
      </c>
      <c r="Z518" s="3">
        <v>9086831</v>
      </c>
      <c r="AA518" s="3">
        <v>23.43</v>
      </c>
      <c r="AB518" s="3">
        <v>23.66</v>
      </c>
      <c r="AC518" s="3">
        <v>23.32</v>
      </c>
      <c r="AD518" s="3">
        <v>23.59</v>
      </c>
      <c r="AE518" s="3">
        <v>65577828</v>
      </c>
      <c r="AF518" s="3">
        <v>75.33</v>
      </c>
      <c r="AG518" s="3">
        <v>75.64</v>
      </c>
      <c r="AH518" s="3">
        <v>75.27</v>
      </c>
      <c r="AI518" s="3">
        <v>75.48</v>
      </c>
      <c r="AJ518" s="3">
        <v>4216096</v>
      </c>
      <c r="AK518" s="3">
        <v>66.78</v>
      </c>
      <c r="AL518" s="3">
        <v>66.87</v>
      </c>
      <c r="AM518" s="3">
        <v>66.5</v>
      </c>
      <c r="AN518" s="3">
        <v>66.81</v>
      </c>
      <c r="AO518" s="3">
        <v>7856044</v>
      </c>
      <c r="AP518" s="3">
        <v>52.61</v>
      </c>
      <c r="AQ518" s="3">
        <v>52.74</v>
      </c>
      <c r="AR518" s="3">
        <v>52.47</v>
      </c>
      <c r="AS518" s="3">
        <v>52.54</v>
      </c>
      <c r="AT518" s="3">
        <v>3547953</v>
      </c>
      <c r="AU518" s="3">
        <v>55.91</v>
      </c>
      <c r="AV518" s="3">
        <v>55.97</v>
      </c>
      <c r="AW518" s="3">
        <v>55.63</v>
      </c>
      <c r="AX518" s="3">
        <v>55.78</v>
      </c>
      <c r="AY518" s="3">
        <v>6610474</v>
      </c>
      <c r="AZ518" s="3">
        <v>52.62</v>
      </c>
      <c r="BA518" s="3">
        <v>52.98</v>
      </c>
      <c r="BB518" s="3">
        <v>52.53</v>
      </c>
      <c r="BC518" s="3">
        <v>52.67</v>
      </c>
      <c r="BD518" s="3">
        <v>15290193</v>
      </c>
      <c r="BE518" s="3">
        <v>31.89</v>
      </c>
      <c r="BF518" s="3">
        <v>32.03</v>
      </c>
      <c r="BG518" s="3">
        <v>31.85</v>
      </c>
      <c r="BH518" s="3">
        <v>31.9</v>
      </c>
      <c r="BI518" s="3">
        <v>1995037</v>
      </c>
    </row>
    <row r="519" spans="1:61" ht="13" x14ac:dyDescent="0.15">
      <c r="A519" s="3">
        <v>42879</v>
      </c>
      <c r="B519" s="3">
        <v>2401.41</v>
      </c>
      <c r="C519" s="3">
        <v>2405.58</v>
      </c>
      <c r="D519" s="3">
        <v>2397.9899999999998</v>
      </c>
      <c r="E519" s="3">
        <v>2404.39</v>
      </c>
      <c r="F519" s="3">
        <v>1797590258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3">
        <v>89.33</v>
      </c>
      <c r="M519" s="3">
        <v>89.71</v>
      </c>
      <c r="N519" s="3">
        <v>89.01</v>
      </c>
      <c r="O519" s="3">
        <v>89.68</v>
      </c>
      <c r="P519" s="3">
        <v>3871101</v>
      </c>
      <c r="Q519" s="3">
        <v>55.76</v>
      </c>
      <c r="R519" s="3">
        <v>55.98</v>
      </c>
      <c r="S519" s="3">
        <v>55.69</v>
      </c>
      <c r="T519" s="3">
        <v>55.94</v>
      </c>
      <c r="U519" s="3">
        <v>5152943</v>
      </c>
      <c r="V519" s="3">
        <v>68.010000000000005</v>
      </c>
      <c r="W519" s="3">
        <v>68.22</v>
      </c>
      <c r="X519" s="3">
        <v>67.42</v>
      </c>
      <c r="Y519" s="3">
        <v>67.73</v>
      </c>
      <c r="Z519" s="3">
        <v>13591535</v>
      </c>
      <c r="AA519" s="3">
        <v>23.62</v>
      </c>
      <c r="AB519" s="3">
        <v>23.64</v>
      </c>
      <c r="AC519" s="3">
        <v>23.48</v>
      </c>
      <c r="AD519" s="3">
        <v>23.58</v>
      </c>
      <c r="AE519" s="3">
        <v>60004715</v>
      </c>
      <c r="AF519" s="3">
        <v>75.52</v>
      </c>
      <c r="AG519" s="3">
        <v>75.73</v>
      </c>
      <c r="AH519" s="3">
        <v>75.34</v>
      </c>
      <c r="AI519" s="3">
        <v>75.67</v>
      </c>
      <c r="AJ519" s="3">
        <v>5215731</v>
      </c>
      <c r="AK519" s="3">
        <v>66.89</v>
      </c>
      <c r="AL519" s="3">
        <v>67.13</v>
      </c>
      <c r="AM519" s="3">
        <v>66.67</v>
      </c>
      <c r="AN519" s="3">
        <v>66.89</v>
      </c>
      <c r="AO519" s="3">
        <v>7889472</v>
      </c>
      <c r="AP519" s="3">
        <v>52.65</v>
      </c>
      <c r="AQ519" s="3">
        <v>53.01</v>
      </c>
      <c r="AR519" s="3">
        <v>52.64</v>
      </c>
      <c r="AS519" s="3">
        <v>52.89</v>
      </c>
      <c r="AT519" s="3">
        <v>3149903</v>
      </c>
      <c r="AU519" s="3">
        <v>55.93</v>
      </c>
      <c r="AV519" s="3">
        <v>56.02</v>
      </c>
      <c r="AW519" s="3">
        <v>55.8</v>
      </c>
      <c r="AX519" s="3">
        <v>56.01</v>
      </c>
      <c r="AY519" s="3">
        <v>9427733</v>
      </c>
      <c r="AZ519" s="3">
        <v>52.72</v>
      </c>
      <c r="BA519" s="3">
        <v>53.06</v>
      </c>
      <c r="BB519" s="3">
        <v>52.67</v>
      </c>
      <c r="BC519" s="3">
        <v>52.97</v>
      </c>
      <c r="BD519" s="3">
        <v>7602342</v>
      </c>
      <c r="BE519" s="3">
        <v>31.87</v>
      </c>
      <c r="BF519" s="3">
        <v>32.130000000000003</v>
      </c>
      <c r="BG519" s="3">
        <v>31.87</v>
      </c>
      <c r="BH519" s="3">
        <v>32.08</v>
      </c>
      <c r="BI519" s="3">
        <v>1051724</v>
      </c>
    </row>
    <row r="520" spans="1:61" ht="13" x14ac:dyDescent="0.15">
      <c r="A520" s="3">
        <v>42880</v>
      </c>
      <c r="B520" s="3">
        <v>2409.54</v>
      </c>
      <c r="C520" s="3">
        <v>2418.71</v>
      </c>
      <c r="D520" s="3">
        <v>2408.0100000000002</v>
      </c>
      <c r="E520" s="3">
        <v>2415.0700000000002</v>
      </c>
      <c r="F520" s="3">
        <v>2010590494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3">
        <v>89.97</v>
      </c>
      <c r="M520" s="3">
        <v>90.75</v>
      </c>
      <c r="N520" s="3">
        <v>89.97</v>
      </c>
      <c r="O520" s="3">
        <v>90.47</v>
      </c>
      <c r="P520" s="3">
        <v>3301914</v>
      </c>
      <c r="Q520" s="3">
        <v>56.02</v>
      </c>
      <c r="R520" s="3">
        <v>56.44</v>
      </c>
      <c r="S520" s="3">
        <v>56</v>
      </c>
      <c r="T520" s="3">
        <v>56.29</v>
      </c>
      <c r="U520" s="3">
        <v>6036649</v>
      </c>
      <c r="V520" s="3">
        <v>67.56</v>
      </c>
      <c r="W520" s="3">
        <v>68.23</v>
      </c>
      <c r="X520" s="3">
        <v>66.260000000000005</v>
      </c>
      <c r="Y520" s="3">
        <v>66.5</v>
      </c>
      <c r="Z520" s="3">
        <v>23329248</v>
      </c>
      <c r="AA520" s="3">
        <v>23.63</v>
      </c>
      <c r="AB520" s="3">
        <v>23.73</v>
      </c>
      <c r="AC520" s="3">
        <v>23.56</v>
      </c>
      <c r="AD520" s="3">
        <v>23.62</v>
      </c>
      <c r="AE520" s="3">
        <v>49362388</v>
      </c>
      <c r="AF520" s="3">
        <v>75.84</v>
      </c>
      <c r="AG520" s="3">
        <v>76.180000000000007</v>
      </c>
      <c r="AH520" s="3">
        <v>75.66</v>
      </c>
      <c r="AI520" s="3">
        <v>76.03</v>
      </c>
      <c r="AJ520" s="3">
        <v>4479364</v>
      </c>
      <c r="AK520" s="3">
        <v>67.040000000000006</v>
      </c>
      <c r="AL520" s="3">
        <v>67.42</v>
      </c>
      <c r="AM520" s="3">
        <v>66.989999999999995</v>
      </c>
      <c r="AN520" s="3">
        <v>67.33</v>
      </c>
      <c r="AO520" s="3">
        <v>6840816</v>
      </c>
      <c r="AP520" s="3">
        <v>53.08</v>
      </c>
      <c r="AQ520" s="3">
        <v>53.21</v>
      </c>
      <c r="AR520" s="3">
        <v>52.71</v>
      </c>
      <c r="AS520" s="3">
        <v>52.83</v>
      </c>
      <c r="AT520" s="3">
        <v>4853767</v>
      </c>
      <c r="AU520" s="3">
        <v>56.19</v>
      </c>
      <c r="AV520" s="3">
        <v>56.53</v>
      </c>
      <c r="AW520" s="3">
        <v>56.08</v>
      </c>
      <c r="AX520" s="3">
        <v>56.41</v>
      </c>
      <c r="AY520" s="3">
        <v>6113536</v>
      </c>
      <c r="AZ520" s="3">
        <v>53.08</v>
      </c>
      <c r="BA520" s="3">
        <v>53.49</v>
      </c>
      <c r="BB520" s="3">
        <v>52.95</v>
      </c>
      <c r="BC520" s="3">
        <v>53.4</v>
      </c>
      <c r="BD520" s="3">
        <v>16777277</v>
      </c>
      <c r="BE520" s="3">
        <v>32.14</v>
      </c>
      <c r="BF520" s="3">
        <v>32.35</v>
      </c>
      <c r="BG520" s="3">
        <v>32.03</v>
      </c>
      <c r="BH520" s="3">
        <v>32.200000000000003</v>
      </c>
      <c r="BI520" s="3">
        <v>1042874</v>
      </c>
    </row>
    <row r="521" spans="1:61" ht="13" x14ac:dyDescent="0.15">
      <c r="A521" s="3">
        <v>42881</v>
      </c>
      <c r="B521" s="3">
        <v>2414.5</v>
      </c>
      <c r="C521" s="3">
        <v>2416.6799999999998</v>
      </c>
      <c r="D521" s="3">
        <v>2412.1999999999998</v>
      </c>
      <c r="E521" s="3">
        <v>2415.8200000000002</v>
      </c>
      <c r="F521" s="3">
        <v>1524512471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3">
        <v>90.59</v>
      </c>
      <c r="M521" s="3">
        <v>90.79</v>
      </c>
      <c r="N521" s="3">
        <v>90.49</v>
      </c>
      <c r="O521" s="3">
        <v>90.74</v>
      </c>
      <c r="P521" s="3">
        <v>2324013</v>
      </c>
      <c r="Q521" s="3">
        <v>56.33</v>
      </c>
      <c r="R521" s="3">
        <v>56.51</v>
      </c>
      <c r="S521" s="3">
        <v>56.32</v>
      </c>
      <c r="T521" s="3">
        <v>56.5</v>
      </c>
      <c r="U521" s="3">
        <v>4207602</v>
      </c>
      <c r="V521" s="3">
        <v>66.5</v>
      </c>
      <c r="W521" s="3">
        <v>66.67</v>
      </c>
      <c r="X521" s="3">
        <v>66.180000000000007</v>
      </c>
      <c r="Y521" s="3">
        <v>66.61</v>
      </c>
      <c r="Z521" s="3">
        <v>13199144</v>
      </c>
      <c r="AA521" s="3">
        <v>23.56</v>
      </c>
      <c r="AB521" s="3">
        <v>23.68</v>
      </c>
      <c r="AC521" s="3">
        <v>23.56</v>
      </c>
      <c r="AD521" s="3">
        <v>23.61</v>
      </c>
      <c r="AE521" s="3">
        <v>42601706</v>
      </c>
      <c r="AF521" s="3">
        <v>75.97</v>
      </c>
      <c r="AG521" s="3">
        <v>76.19</v>
      </c>
      <c r="AH521" s="3">
        <v>75.81</v>
      </c>
      <c r="AI521" s="3">
        <v>75.89</v>
      </c>
      <c r="AJ521" s="3">
        <v>4507362</v>
      </c>
      <c r="AK521" s="3">
        <v>67.239999999999995</v>
      </c>
      <c r="AL521" s="3">
        <v>67.5</v>
      </c>
      <c r="AM521" s="3">
        <v>67.22</v>
      </c>
      <c r="AN521" s="3">
        <v>67.41</v>
      </c>
      <c r="AO521" s="3">
        <v>5991008</v>
      </c>
      <c r="AP521" s="3">
        <v>52.75</v>
      </c>
      <c r="AQ521" s="3">
        <v>52.98</v>
      </c>
      <c r="AR521" s="3">
        <v>52.69</v>
      </c>
      <c r="AS521" s="3">
        <v>52.93</v>
      </c>
      <c r="AT521" s="3">
        <v>2120070</v>
      </c>
      <c r="AU521" s="3">
        <v>56.36</v>
      </c>
      <c r="AV521" s="3">
        <v>56.45</v>
      </c>
      <c r="AW521" s="3">
        <v>56.24</v>
      </c>
      <c r="AX521" s="3">
        <v>56.38</v>
      </c>
      <c r="AY521" s="3">
        <v>36282202</v>
      </c>
      <c r="AZ521" s="3">
        <v>53.43</v>
      </c>
      <c r="BA521" s="3">
        <v>53.52</v>
      </c>
      <c r="BB521" s="3">
        <v>53.3</v>
      </c>
      <c r="BC521" s="3">
        <v>53.4</v>
      </c>
      <c r="BD521" s="3">
        <v>7649643</v>
      </c>
      <c r="BE521" s="3">
        <v>32.21</v>
      </c>
      <c r="BF521" s="3">
        <v>32.270000000000003</v>
      </c>
      <c r="BG521" s="3">
        <v>31.92</v>
      </c>
      <c r="BH521" s="3">
        <v>32</v>
      </c>
      <c r="BI521" s="3">
        <v>1352143</v>
      </c>
    </row>
    <row r="522" spans="1:61" ht="13" x14ac:dyDescent="0.15">
      <c r="A522" s="3">
        <v>42885</v>
      </c>
      <c r="B522" s="3">
        <v>2411.67</v>
      </c>
      <c r="C522" s="3">
        <v>2415.2600000000002</v>
      </c>
      <c r="D522" s="3">
        <v>2409.4299999999998</v>
      </c>
      <c r="E522" s="3">
        <v>2412.91</v>
      </c>
      <c r="F522" s="3">
        <v>1776698945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3">
        <v>90.74</v>
      </c>
      <c r="M522" s="3">
        <v>91.03</v>
      </c>
      <c r="N522" s="3">
        <v>90.73</v>
      </c>
      <c r="O522" s="3">
        <v>90.81</v>
      </c>
      <c r="P522" s="3">
        <v>2638884</v>
      </c>
      <c r="Q522" s="3">
        <v>56.38</v>
      </c>
      <c r="R522" s="3">
        <v>56.53</v>
      </c>
      <c r="S522" s="3">
        <v>56.29</v>
      </c>
      <c r="T522" s="3">
        <v>56.48</v>
      </c>
      <c r="U522" s="3">
        <v>4250927</v>
      </c>
      <c r="V522" s="3">
        <v>66.260000000000005</v>
      </c>
      <c r="W522" s="3">
        <v>66.260000000000005</v>
      </c>
      <c r="X522" s="3">
        <v>65.69</v>
      </c>
      <c r="Y522" s="3">
        <v>65.72</v>
      </c>
      <c r="Z522" s="3">
        <v>14529107</v>
      </c>
      <c r="AA522" s="3">
        <v>23.54</v>
      </c>
      <c r="AB522" s="3">
        <v>23.57</v>
      </c>
      <c r="AC522" s="3">
        <v>23.4</v>
      </c>
      <c r="AD522" s="3">
        <v>23.45</v>
      </c>
      <c r="AE522" s="3">
        <v>46584183</v>
      </c>
      <c r="AF522" s="3">
        <v>75.650000000000006</v>
      </c>
      <c r="AG522" s="3">
        <v>75.97</v>
      </c>
      <c r="AH522" s="3">
        <v>75.650000000000006</v>
      </c>
      <c r="AI522" s="3">
        <v>75.78</v>
      </c>
      <c r="AJ522" s="3">
        <v>4651153</v>
      </c>
      <c r="AK522" s="3">
        <v>67.22</v>
      </c>
      <c r="AL522" s="3">
        <v>67.48</v>
      </c>
      <c r="AM522" s="3">
        <v>67.13</v>
      </c>
      <c r="AN522" s="3">
        <v>67.39</v>
      </c>
      <c r="AO522" s="3">
        <v>6092540</v>
      </c>
      <c r="AP522" s="3">
        <v>52.85</v>
      </c>
      <c r="AQ522" s="3">
        <v>53.02</v>
      </c>
      <c r="AR522" s="3">
        <v>52.74</v>
      </c>
      <c r="AS522" s="3">
        <v>52.92</v>
      </c>
      <c r="AT522" s="3">
        <v>2798812</v>
      </c>
      <c r="AU522" s="3">
        <v>56.4</v>
      </c>
      <c r="AV522" s="3">
        <v>56.68</v>
      </c>
      <c r="AW522" s="3">
        <v>56.33</v>
      </c>
      <c r="AX522" s="3">
        <v>56.62</v>
      </c>
      <c r="AY522" s="3">
        <v>5925282</v>
      </c>
      <c r="AZ522" s="3">
        <v>53.44</v>
      </c>
      <c r="BA522" s="3">
        <v>53.7</v>
      </c>
      <c r="BB522" s="3">
        <v>53.29</v>
      </c>
      <c r="BC522" s="3">
        <v>53.57</v>
      </c>
      <c r="BD522" s="3">
        <v>6292291</v>
      </c>
      <c r="BE522" s="3">
        <v>31.99</v>
      </c>
      <c r="BF522" s="3">
        <v>32.06</v>
      </c>
      <c r="BG522" s="3">
        <v>31.9</v>
      </c>
      <c r="BH522" s="3">
        <v>31.91</v>
      </c>
      <c r="BI522" s="3">
        <v>898798</v>
      </c>
    </row>
    <row r="523" spans="1:61" ht="13" x14ac:dyDescent="0.15">
      <c r="A523" s="3">
        <v>42886</v>
      </c>
      <c r="B523" s="3">
        <v>2415.63</v>
      </c>
      <c r="C523" s="3">
        <v>2415.9899999999998</v>
      </c>
      <c r="D523" s="3">
        <v>2403.59</v>
      </c>
      <c r="E523" s="3">
        <v>2411.8000000000002</v>
      </c>
      <c r="F523" s="3">
        <v>2610801638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3">
        <v>90.97</v>
      </c>
      <c r="M523" s="3">
        <v>91.09</v>
      </c>
      <c r="N523" s="3">
        <v>90.33</v>
      </c>
      <c r="O523" s="3">
        <v>91.05</v>
      </c>
      <c r="P523" s="3">
        <v>5103647</v>
      </c>
      <c r="Q523" s="3">
        <v>56.53</v>
      </c>
      <c r="R523" s="3">
        <v>56.8</v>
      </c>
      <c r="S523" s="3">
        <v>56.53</v>
      </c>
      <c r="T523" s="3">
        <v>56.64</v>
      </c>
      <c r="U523" s="3">
        <v>9780138</v>
      </c>
      <c r="V523" s="3">
        <v>65.2</v>
      </c>
      <c r="W523" s="3">
        <v>65.64</v>
      </c>
      <c r="X523" s="3">
        <v>65.099999999999994</v>
      </c>
      <c r="Y523" s="3">
        <v>65.44</v>
      </c>
      <c r="Z523" s="3">
        <v>16093028</v>
      </c>
      <c r="AA523" s="3">
        <v>23.45</v>
      </c>
      <c r="AB523" s="3">
        <v>23.46</v>
      </c>
      <c r="AC523" s="3">
        <v>23.1</v>
      </c>
      <c r="AD523" s="3">
        <v>23.25</v>
      </c>
      <c r="AE523" s="3">
        <v>115877876</v>
      </c>
      <c r="AF523" s="3">
        <v>75.930000000000007</v>
      </c>
      <c r="AG523" s="3">
        <v>76.25</v>
      </c>
      <c r="AH523" s="3">
        <v>75.86</v>
      </c>
      <c r="AI523" s="3">
        <v>76.08</v>
      </c>
      <c r="AJ523" s="3">
        <v>5884380</v>
      </c>
      <c r="AK523" s="3">
        <v>67.47</v>
      </c>
      <c r="AL523" s="3">
        <v>67.540000000000006</v>
      </c>
      <c r="AM523" s="3">
        <v>67.06</v>
      </c>
      <c r="AN523" s="3">
        <v>67.52</v>
      </c>
      <c r="AO523" s="3">
        <v>10518804</v>
      </c>
      <c r="AP523" s="3">
        <v>52.99</v>
      </c>
      <c r="AQ523" s="3">
        <v>53.09</v>
      </c>
      <c r="AR523" s="3">
        <v>52.57</v>
      </c>
      <c r="AS523" s="3">
        <v>53.08</v>
      </c>
      <c r="AT523" s="3">
        <v>6169455</v>
      </c>
      <c r="AU523" s="3">
        <v>56.83</v>
      </c>
      <c r="AV523" s="3">
        <v>56.85</v>
      </c>
      <c r="AW523" s="3">
        <v>56.34</v>
      </c>
      <c r="AX523" s="3">
        <v>56.53</v>
      </c>
      <c r="AY523" s="3">
        <v>14246143</v>
      </c>
      <c r="AZ523" s="3">
        <v>53.63</v>
      </c>
      <c r="BA523" s="3">
        <v>54.03</v>
      </c>
      <c r="BB523" s="3">
        <v>53.57</v>
      </c>
      <c r="BC523" s="3">
        <v>53.84</v>
      </c>
      <c r="BD523" s="3">
        <v>12620691</v>
      </c>
      <c r="BE523" s="3">
        <v>31.95</v>
      </c>
      <c r="BF523" s="3">
        <v>32.06</v>
      </c>
      <c r="BG523" s="3">
        <v>31.81</v>
      </c>
      <c r="BH523" s="3">
        <v>31.86</v>
      </c>
      <c r="BI523" s="3">
        <v>1616250</v>
      </c>
    </row>
    <row r="524" spans="1:61" ht="13" x14ac:dyDescent="0.15">
      <c r="A524" s="3">
        <v>42887</v>
      </c>
      <c r="B524" s="3">
        <v>2415.65</v>
      </c>
      <c r="C524" s="3">
        <v>2430.06</v>
      </c>
      <c r="D524" s="3">
        <v>2413.54</v>
      </c>
      <c r="E524" s="3">
        <v>2430.06</v>
      </c>
      <c r="F524" s="3">
        <v>2156064796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3">
        <v>91.28</v>
      </c>
      <c r="M524" s="3">
        <v>91.91</v>
      </c>
      <c r="N524" s="3">
        <v>91.01</v>
      </c>
      <c r="O524" s="3">
        <v>91.91</v>
      </c>
      <c r="P524" s="3">
        <v>5147498</v>
      </c>
      <c r="Q524" s="3">
        <v>56.71</v>
      </c>
      <c r="R524" s="3">
        <v>57.1</v>
      </c>
      <c r="S524" s="3">
        <v>56.53</v>
      </c>
      <c r="T524" s="3">
        <v>57.1</v>
      </c>
      <c r="U524" s="3">
        <v>23243909</v>
      </c>
      <c r="V524" s="3">
        <v>65.47</v>
      </c>
      <c r="W524" s="3">
        <v>66.09</v>
      </c>
      <c r="X524" s="3">
        <v>65.260000000000005</v>
      </c>
      <c r="Y524" s="3">
        <v>65.849999999999994</v>
      </c>
      <c r="Z524" s="3">
        <v>17983673</v>
      </c>
      <c r="AA524" s="3">
        <v>23.38</v>
      </c>
      <c r="AB524" s="3">
        <v>23.56</v>
      </c>
      <c r="AC524" s="3">
        <v>23.22</v>
      </c>
      <c r="AD524" s="3">
        <v>23.54</v>
      </c>
      <c r="AE524" s="3">
        <v>81187583</v>
      </c>
      <c r="AF524" s="3">
        <v>76.209999999999994</v>
      </c>
      <c r="AG524" s="3">
        <v>76.98</v>
      </c>
      <c r="AH524" s="3">
        <v>76.13</v>
      </c>
      <c r="AI524" s="3">
        <v>76.92</v>
      </c>
      <c r="AJ524" s="3">
        <v>9149905</v>
      </c>
      <c r="AK524" s="3">
        <v>67.7</v>
      </c>
      <c r="AL524" s="3">
        <v>68.12</v>
      </c>
      <c r="AM524" s="3">
        <v>67.48</v>
      </c>
      <c r="AN524" s="3">
        <v>67.94</v>
      </c>
      <c r="AO524" s="3">
        <v>16117970</v>
      </c>
      <c r="AP524" s="3">
        <v>53.05</v>
      </c>
      <c r="AQ524" s="3">
        <v>53.78</v>
      </c>
      <c r="AR524" s="3">
        <v>53.04</v>
      </c>
      <c r="AS524" s="3">
        <v>53.72</v>
      </c>
      <c r="AT524" s="3">
        <v>7904058</v>
      </c>
      <c r="AU524" s="3">
        <v>56.65</v>
      </c>
      <c r="AV524" s="3">
        <v>56.67</v>
      </c>
      <c r="AW524" s="3">
        <v>56.32</v>
      </c>
      <c r="AX524" s="3">
        <v>56.67</v>
      </c>
      <c r="AY524" s="3">
        <v>8436237</v>
      </c>
      <c r="AZ524" s="3">
        <v>53.7</v>
      </c>
      <c r="BA524" s="3">
        <v>54.23</v>
      </c>
      <c r="BB524" s="3">
        <v>53.64</v>
      </c>
      <c r="BC524" s="3">
        <v>54.22</v>
      </c>
      <c r="BD524" s="3">
        <v>11118558</v>
      </c>
      <c r="BE524" s="3">
        <v>31.87</v>
      </c>
      <c r="BF524" s="3">
        <v>32.01</v>
      </c>
      <c r="BG524" s="3">
        <v>31.72</v>
      </c>
      <c r="BH524" s="3">
        <v>31.96</v>
      </c>
      <c r="BI524" s="3">
        <v>1563040</v>
      </c>
    </row>
    <row r="525" spans="1:61" ht="13" x14ac:dyDescent="0.15">
      <c r="A525" s="3">
        <v>42888</v>
      </c>
      <c r="B525" s="3">
        <v>2431.2800000000002</v>
      </c>
      <c r="C525" s="3">
        <v>2440.23</v>
      </c>
      <c r="D525" s="3">
        <v>2427.71</v>
      </c>
      <c r="E525" s="3">
        <v>2439.0700000000002</v>
      </c>
      <c r="F525" s="3">
        <v>2017388178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3">
        <v>91.96</v>
      </c>
      <c r="M525" s="3">
        <v>92.35</v>
      </c>
      <c r="N525" s="3">
        <v>91.83</v>
      </c>
      <c r="O525" s="3">
        <v>92.24</v>
      </c>
      <c r="P525" s="3">
        <v>3134363</v>
      </c>
      <c r="Q525" s="3">
        <v>57.25</v>
      </c>
      <c r="R525" s="3">
        <v>57.29</v>
      </c>
      <c r="S525" s="3">
        <v>56.98</v>
      </c>
      <c r="T525" s="3">
        <v>57.27</v>
      </c>
      <c r="U525" s="3">
        <v>17247921</v>
      </c>
      <c r="V525" s="3">
        <v>65.55</v>
      </c>
      <c r="W525" s="3">
        <v>65.569999999999993</v>
      </c>
      <c r="X525" s="3">
        <v>64.81</v>
      </c>
      <c r="Y525" s="3">
        <v>65.09</v>
      </c>
      <c r="Z525" s="3">
        <v>16542548</v>
      </c>
      <c r="AA525" s="3">
        <v>23.37</v>
      </c>
      <c r="AB525" s="3">
        <v>23.57</v>
      </c>
      <c r="AC525" s="3">
        <v>23.32</v>
      </c>
      <c r="AD525" s="3">
        <v>23.45</v>
      </c>
      <c r="AE525" s="3">
        <v>83704479</v>
      </c>
      <c r="AF525" s="3">
        <v>77.14</v>
      </c>
      <c r="AG525" s="3">
        <v>77.52</v>
      </c>
      <c r="AH525" s="3">
        <v>77.069999999999993</v>
      </c>
      <c r="AI525" s="3">
        <v>77.42</v>
      </c>
      <c r="AJ525" s="3">
        <v>4832974</v>
      </c>
      <c r="AK525" s="3">
        <v>68.06</v>
      </c>
      <c r="AL525" s="3">
        <v>68.58</v>
      </c>
      <c r="AM525" s="3">
        <v>68.05</v>
      </c>
      <c r="AN525" s="3">
        <v>68.209999999999994</v>
      </c>
      <c r="AO525" s="3">
        <v>17769606</v>
      </c>
      <c r="AP525" s="3">
        <v>53.7</v>
      </c>
      <c r="AQ525" s="3">
        <v>53.97</v>
      </c>
      <c r="AR525" s="3">
        <v>53.59</v>
      </c>
      <c r="AS525" s="3">
        <v>53.85</v>
      </c>
      <c r="AT525" s="3">
        <v>4905434</v>
      </c>
      <c r="AU525" s="3">
        <v>56.88</v>
      </c>
      <c r="AV525" s="3">
        <v>57.2</v>
      </c>
      <c r="AW525" s="3">
        <v>56.7</v>
      </c>
      <c r="AX525" s="3">
        <v>57.19</v>
      </c>
      <c r="AY525" s="3">
        <v>8491012</v>
      </c>
      <c r="AZ525" s="3">
        <v>54.63</v>
      </c>
      <c r="BA525" s="3">
        <v>54.63</v>
      </c>
      <c r="BB525" s="3">
        <v>54.12</v>
      </c>
      <c r="BC525" s="3">
        <v>54.28</v>
      </c>
      <c r="BD525" s="3">
        <v>9956578</v>
      </c>
      <c r="BE525" s="3">
        <v>32.14</v>
      </c>
      <c r="BF525" s="3">
        <v>32.31</v>
      </c>
      <c r="BG525" s="3">
        <v>32.07</v>
      </c>
      <c r="BH525" s="3">
        <v>32.24</v>
      </c>
      <c r="BI525" s="3">
        <v>1224855</v>
      </c>
    </row>
    <row r="526" spans="1:61" ht="13" x14ac:dyDescent="0.15">
      <c r="A526" s="3">
        <v>42891</v>
      </c>
      <c r="B526" s="3">
        <v>2437.83</v>
      </c>
      <c r="C526" s="3">
        <v>2439.5500000000002</v>
      </c>
      <c r="D526" s="3">
        <v>2434.3200000000002</v>
      </c>
      <c r="E526" s="3">
        <v>2436.1</v>
      </c>
      <c r="F526" s="3">
        <v>1742362529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3">
        <v>92.34</v>
      </c>
      <c r="M526" s="3">
        <v>92.42</v>
      </c>
      <c r="N526" s="3">
        <v>91.82</v>
      </c>
      <c r="O526" s="3">
        <v>91.99</v>
      </c>
      <c r="P526" s="3">
        <v>5499327</v>
      </c>
      <c r="Q526" s="3">
        <v>57.2</v>
      </c>
      <c r="R526" s="3">
        <v>57.36</v>
      </c>
      <c r="S526" s="3">
        <v>57.03</v>
      </c>
      <c r="T526" s="3">
        <v>57.33</v>
      </c>
      <c r="U526" s="3">
        <v>17359552</v>
      </c>
      <c r="V526" s="3">
        <v>64.89</v>
      </c>
      <c r="W526" s="3">
        <v>65.45</v>
      </c>
      <c r="X526" s="3">
        <v>64.87</v>
      </c>
      <c r="Y526" s="3">
        <v>65.209999999999994</v>
      </c>
      <c r="Z526" s="3">
        <v>12552466</v>
      </c>
      <c r="AA526" s="3">
        <v>23.46</v>
      </c>
      <c r="AB526" s="3">
        <v>23.64</v>
      </c>
      <c r="AC526" s="3">
        <v>23.46</v>
      </c>
      <c r="AD526" s="3">
        <v>23.49</v>
      </c>
      <c r="AE526" s="3">
        <v>44055796</v>
      </c>
      <c r="AF526" s="3">
        <v>77.42</v>
      </c>
      <c r="AG526" s="3">
        <v>77.5</v>
      </c>
      <c r="AH526" s="3">
        <v>77.02</v>
      </c>
      <c r="AI526" s="3">
        <v>77.2</v>
      </c>
      <c r="AJ526" s="3">
        <v>5558935</v>
      </c>
      <c r="AK526" s="3">
        <v>68.13</v>
      </c>
      <c r="AL526" s="3">
        <v>68.319999999999993</v>
      </c>
      <c r="AM526" s="3">
        <v>67.94</v>
      </c>
      <c r="AN526" s="3">
        <v>67.97</v>
      </c>
      <c r="AO526" s="3">
        <v>16550717</v>
      </c>
      <c r="AP526" s="3">
        <v>53.8</v>
      </c>
      <c r="AQ526" s="3">
        <v>53.91</v>
      </c>
      <c r="AR526" s="3">
        <v>53.61</v>
      </c>
      <c r="AS526" s="3">
        <v>53.68</v>
      </c>
      <c r="AT526" s="3">
        <v>2829321</v>
      </c>
      <c r="AU526" s="3">
        <v>57.19</v>
      </c>
      <c r="AV526" s="3">
        <v>57.39</v>
      </c>
      <c r="AW526" s="3">
        <v>57.12</v>
      </c>
      <c r="AX526" s="3">
        <v>57.24</v>
      </c>
      <c r="AY526" s="3">
        <v>6765833</v>
      </c>
      <c r="AZ526" s="3">
        <v>54.28</v>
      </c>
      <c r="BA526" s="3">
        <v>54.33</v>
      </c>
      <c r="BB526" s="3">
        <v>54.03</v>
      </c>
      <c r="BC526" s="3">
        <v>54.11</v>
      </c>
      <c r="BD526" s="3">
        <v>7350014</v>
      </c>
      <c r="BE526" s="3">
        <v>32.19</v>
      </c>
      <c r="BF526" s="3">
        <v>32.24</v>
      </c>
      <c r="BG526" s="3">
        <v>32</v>
      </c>
      <c r="BH526" s="3">
        <v>32.159999999999997</v>
      </c>
      <c r="BI526" s="3">
        <v>1287594</v>
      </c>
    </row>
    <row r="527" spans="1:61" ht="13" x14ac:dyDescent="0.15">
      <c r="A527" s="3">
        <v>42892</v>
      </c>
      <c r="B527" s="3">
        <v>2431.92</v>
      </c>
      <c r="C527" s="3">
        <v>2436.21</v>
      </c>
      <c r="D527" s="3">
        <v>2428.12</v>
      </c>
      <c r="E527" s="3">
        <v>2429.33</v>
      </c>
      <c r="F527" s="3">
        <v>1972388344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3">
        <v>91.67</v>
      </c>
      <c r="M527" s="3">
        <v>91.86</v>
      </c>
      <c r="N527" s="3">
        <v>91.13</v>
      </c>
      <c r="O527" s="3">
        <v>91.2</v>
      </c>
      <c r="P527" s="3">
        <v>3563744</v>
      </c>
      <c r="Q527" s="3">
        <v>57.28</v>
      </c>
      <c r="R527" s="3">
        <v>57.33</v>
      </c>
      <c r="S527" s="3">
        <v>57.08</v>
      </c>
      <c r="T527" s="3">
        <v>57.19</v>
      </c>
      <c r="U527" s="3">
        <v>14846461</v>
      </c>
      <c r="V527" s="3">
        <v>65.17</v>
      </c>
      <c r="W527" s="3">
        <v>66.09</v>
      </c>
      <c r="X527" s="3">
        <v>65.02</v>
      </c>
      <c r="Y527" s="3">
        <v>65.98</v>
      </c>
      <c r="Z527" s="3">
        <v>14835282</v>
      </c>
      <c r="AA527" s="3">
        <v>23.31</v>
      </c>
      <c r="AB527" s="3">
        <v>23.45</v>
      </c>
      <c r="AC527" s="3">
        <v>23.26</v>
      </c>
      <c r="AD527" s="3">
        <v>23.39</v>
      </c>
      <c r="AE527" s="3">
        <v>60397338</v>
      </c>
      <c r="AF527" s="3">
        <v>77.05</v>
      </c>
      <c r="AG527" s="3">
        <v>77.290000000000006</v>
      </c>
      <c r="AH527" s="3">
        <v>76.88</v>
      </c>
      <c r="AI527" s="3">
        <v>77.010000000000005</v>
      </c>
      <c r="AJ527" s="3">
        <v>4316464</v>
      </c>
      <c r="AK527" s="3">
        <v>67.72</v>
      </c>
      <c r="AL527" s="3">
        <v>67.849999999999994</v>
      </c>
      <c r="AM527" s="3">
        <v>67.510000000000005</v>
      </c>
      <c r="AN527" s="3">
        <v>67.510000000000005</v>
      </c>
      <c r="AO527" s="3">
        <v>15201411</v>
      </c>
      <c r="AP527" s="3">
        <v>53.53</v>
      </c>
      <c r="AQ527" s="3">
        <v>53.86</v>
      </c>
      <c r="AR527" s="3">
        <v>53.41</v>
      </c>
      <c r="AS527" s="3">
        <v>53.71</v>
      </c>
      <c r="AT527" s="3">
        <v>4128611</v>
      </c>
      <c r="AU527" s="3">
        <v>57.17</v>
      </c>
      <c r="AV527" s="3">
        <v>57.42</v>
      </c>
      <c r="AW527" s="3">
        <v>57.06</v>
      </c>
      <c r="AX527" s="3">
        <v>57.13</v>
      </c>
      <c r="AY527" s="3">
        <v>7685189</v>
      </c>
      <c r="AZ527" s="3">
        <v>54.23</v>
      </c>
      <c r="BA527" s="3">
        <v>54.23</v>
      </c>
      <c r="BB527" s="3">
        <v>53.92</v>
      </c>
      <c r="BC527" s="3">
        <v>53.99</v>
      </c>
      <c r="BD527" s="3">
        <v>7501231</v>
      </c>
      <c r="BE527" s="3">
        <v>32.17</v>
      </c>
      <c r="BF527" s="3">
        <v>32.17</v>
      </c>
      <c r="BG527" s="3">
        <v>31.98</v>
      </c>
      <c r="BH527" s="3">
        <v>32.01</v>
      </c>
      <c r="BI527" s="3">
        <v>1316520</v>
      </c>
    </row>
    <row r="528" spans="1:61" ht="13" x14ac:dyDescent="0.15">
      <c r="A528" s="3">
        <v>42893</v>
      </c>
      <c r="B528" s="3">
        <v>2432.0300000000002</v>
      </c>
      <c r="C528" s="3">
        <v>2435.2800000000002</v>
      </c>
      <c r="D528" s="3">
        <v>2424.75</v>
      </c>
      <c r="E528" s="3">
        <v>2433.14</v>
      </c>
      <c r="F528" s="3">
        <v>2087405916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3">
        <v>91.34</v>
      </c>
      <c r="M528" s="3">
        <v>91.52</v>
      </c>
      <c r="N528" s="3">
        <v>91.15</v>
      </c>
      <c r="O528" s="3">
        <v>91.36</v>
      </c>
      <c r="P528" s="3">
        <v>4671512</v>
      </c>
      <c r="Q528" s="3">
        <v>57.07</v>
      </c>
      <c r="R528" s="3">
        <v>57.25</v>
      </c>
      <c r="S528" s="3">
        <v>57.05</v>
      </c>
      <c r="T528" s="3">
        <v>57.17</v>
      </c>
      <c r="U528" s="3">
        <v>10077731</v>
      </c>
      <c r="V528" s="3">
        <v>65.709999999999994</v>
      </c>
      <c r="W528" s="3">
        <v>66.03</v>
      </c>
      <c r="X528" s="3">
        <v>64.599999999999994</v>
      </c>
      <c r="Y528" s="3">
        <v>65.05</v>
      </c>
      <c r="Z528" s="3">
        <v>22942134</v>
      </c>
      <c r="AA528" s="3">
        <v>23.43</v>
      </c>
      <c r="AB528" s="3">
        <v>23.63</v>
      </c>
      <c r="AC528" s="3">
        <v>23.39</v>
      </c>
      <c r="AD528" s="3">
        <v>23.57</v>
      </c>
      <c r="AE528" s="3">
        <v>83049054</v>
      </c>
      <c r="AF528" s="3">
        <v>77.11</v>
      </c>
      <c r="AG528" s="3">
        <v>77.3</v>
      </c>
      <c r="AH528" s="3">
        <v>76.97</v>
      </c>
      <c r="AI528" s="3">
        <v>77.22</v>
      </c>
      <c r="AJ528" s="3">
        <v>4415681</v>
      </c>
      <c r="AK528" s="3">
        <v>67.650000000000006</v>
      </c>
      <c r="AL528" s="3">
        <v>67.650000000000006</v>
      </c>
      <c r="AM528" s="3">
        <v>67.13</v>
      </c>
      <c r="AN528" s="3">
        <v>67.430000000000007</v>
      </c>
      <c r="AO528" s="3">
        <v>8342447</v>
      </c>
      <c r="AP528" s="3">
        <v>53.88</v>
      </c>
      <c r="AQ528" s="3">
        <v>53.97</v>
      </c>
      <c r="AR528" s="3">
        <v>53.61</v>
      </c>
      <c r="AS528" s="3">
        <v>53.78</v>
      </c>
      <c r="AT528" s="3">
        <v>4166014</v>
      </c>
      <c r="AU528" s="3">
        <v>57.26</v>
      </c>
      <c r="AV528" s="3">
        <v>57.41</v>
      </c>
      <c r="AW528" s="3">
        <v>57.01</v>
      </c>
      <c r="AX528" s="3">
        <v>57.31</v>
      </c>
      <c r="AY528" s="3">
        <v>8703668</v>
      </c>
      <c r="AZ528" s="3">
        <v>53.99</v>
      </c>
      <c r="BA528" s="3">
        <v>54.3</v>
      </c>
      <c r="BB528" s="3">
        <v>53.9</v>
      </c>
      <c r="BC528" s="3">
        <v>54.17</v>
      </c>
      <c r="BD528" s="3">
        <v>7881330</v>
      </c>
      <c r="BE528" s="3">
        <v>32.049999999999997</v>
      </c>
      <c r="BF528" s="3">
        <v>32.21</v>
      </c>
      <c r="BG528" s="3">
        <v>31.95</v>
      </c>
      <c r="BH528" s="3">
        <v>32.18</v>
      </c>
      <c r="BI528" s="3">
        <v>1078788</v>
      </c>
    </row>
    <row r="529" spans="1:61" ht="13" x14ac:dyDescent="0.15">
      <c r="A529" s="3">
        <v>42894</v>
      </c>
      <c r="B529" s="3">
        <v>2434.27</v>
      </c>
      <c r="C529" s="3">
        <v>2439.27</v>
      </c>
      <c r="D529" s="3">
        <v>2427.94</v>
      </c>
      <c r="E529" s="3">
        <v>2433.79</v>
      </c>
      <c r="F529" s="3">
        <v>2247662987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3">
        <v>91.37</v>
      </c>
      <c r="M529" s="3">
        <v>91.47</v>
      </c>
      <c r="N529" s="3">
        <v>90.65</v>
      </c>
      <c r="O529" s="3">
        <v>90.77</v>
      </c>
      <c r="P529" s="3">
        <v>5198798</v>
      </c>
      <c r="Q529" s="3">
        <v>57.14</v>
      </c>
      <c r="R529" s="3">
        <v>57.15</v>
      </c>
      <c r="S529" s="3">
        <v>56.58</v>
      </c>
      <c r="T529" s="3">
        <v>56.74</v>
      </c>
      <c r="U529" s="3">
        <v>10593403</v>
      </c>
      <c r="V529" s="3">
        <v>64.739999999999995</v>
      </c>
      <c r="W529" s="3">
        <v>65.34</v>
      </c>
      <c r="X529" s="3">
        <v>64.72</v>
      </c>
      <c r="Y529" s="3">
        <v>64.86</v>
      </c>
      <c r="Z529" s="3">
        <v>19569341</v>
      </c>
      <c r="AA529" s="3">
        <v>23.57</v>
      </c>
      <c r="AB529" s="3">
        <v>24.01</v>
      </c>
      <c r="AC529" s="3">
        <v>23.55</v>
      </c>
      <c r="AD529" s="3">
        <v>23.84</v>
      </c>
      <c r="AE529" s="3">
        <v>77986983</v>
      </c>
      <c r="AF529" s="3">
        <v>77.17</v>
      </c>
      <c r="AG529" s="3">
        <v>77.36</v>
      </c>
      <c r="AH529" s="3">
        <v>76.8</v>
      </c>
      <c r="AI529" s="3">
        <v>77</v>
      </c>
      <c r="AJ529" s="3">
        <v>6304426</v>
      </c>
      <c r="AK529" s="3">
        <v>67.39</v>
      </c>
      <c r="AL529" s="3">
        <v>67.8</v>
      </c>
      <c r="AM529" s="3">
        <v>67.34</v>
      </c>
      <c r="AN529" s="3">
        <v>67.650000000000006</v>
      </c>
      <c r="AO529" s="3">
        <v>7040075</v>
      </c>
      <c r="AP529" s="3">
        <v>53.69</v>
      </c>
      <c r="AQ529" s="3">
        <v>54.11</v>
      </c>
      <c r="AR529" s="3">
        <v>53.68</v>
      </c>
      <c r="AS529" s="3">
        <v>53.94</v>
      </c>
      <c r="AT529" s="3">
        <v>3576218</v>
      </c>
      <c r="AU529" s="3">
        <v>57.41</v>
      </c>
      <c r="AV529" s="3">
        <v>57.48</v>
      </c>
      <c r="AW529" s="3">
        <v>57.12</v>
      </c>
      <c r="AX529" s="3">
        <v>57.44</v>
      </c>
      <c r="AY529" s="3">
        <v>7102430</v>
      </c>
      <c r="AZ529" s="3">
        <v>54.06</v>
      </c>
      <c r="BA529" s="3">
        <v>54.1</v>
      </c>
      <c r="BB529" s="3">
        <v>53.39</v>
      </c>
      <c r="BC529" s="3">
        <v>53.72</v>
      </c>
      <c r="BD529" s="3">
        <v>13292648</v>
      </c>
      <c r="BE529" s="3">
        <v>32.17</v>
      </c>
      <c r="BF529" s="3">
        <v>32.229999999999997</v>
      </c>
      <c r="BG529" s="3">
        <v>31.77</v>
      </c>
      <c r="BH529" s="3">
        <v>32.03</v>
      </c>
      <c r="BI529" s="3">
        <v>2293788</v>
      </c>
    </row>
    <row r="530" spans="1:61" ht="13" x14ac:dyDescent="0.15">
      <c r="A530" s="3">
        <v>42895</v>
      </c>
      <c r="B530" s="3">
        <v>2436.39</v>
      </c>
      <c r="C530" s="3">
        <v>2446.1999999999998</v>
      </c>
      <c r="D530" s="3">
        <v>2415.6999999999998</v>
      </c>
      <c r="E530" s="3">
        <v>2431.77</v>
      </c>
      <c r="F530" s="3">
        <v>2624857734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3">
        <v>90.86</v>
      </c>
      <c r="M530" s="3">
        <v>90.99</v>
      </c>
      <c r="N530" s="3">
        <v>89.56</v>
      </c>
      <c r="O530" s="3">
        <v>90.37</v>
      </c>
      <c r="P530" s="3">
        <v>10989006</v>
      </c>
      <c r="Q530" s="3">
        <v>56.7</v>
      </c>
      <c r="R530" s="3">
        <v>56.83</v>
      </c>
      <c r="S530" s="3">
        <v>56.52</v>
      </c>
      <c r="T530" s="3">
        <v>56.67</v>
      </c>
      <c r="U530" s="3">
        <v>13410191</v>
      </c>
      <c r="V530" s="3">
        <v>65.010000000000005</v>
      </c>
      <c r="W530" s="3">
        <v>66.64</v>
      </c>
      <c r="X530" s="3">
        <v>65</v>
      </c>
      <c r="Y530" s="3">
        <v>66.42</v>
      </c>
      <c r="Z530" s="3">
        <v>23184200</v>
      </c>
      <c r="AA530" s="3">
        <v>23.99</v>
      </c>
      <c r="AB530" s="3">
        <v>24.33</v>
      </c>
      <c r="AC530" s="3">
        <v>23.97</v>
      </c>
      <c r="AD530" s="3">
        <v>24.29</v>
      </c>
      <c r="AE530" s="3">
        <v>133216200</v>
      </c>
      <c r="AF530" s="3">
        <v>77.099999999999994</v>
      </c>
      <c r="AG530" s="3">
        <v>77.760000000000005</v>
      </c>
      <c r="AH530" s="3">
        <v>77</v>
      </c>
      <c r="AI530" s="3">
        <v>77.52</v>
      </c>
      <c r="AJ530" s="3">
        <v>13418971</v>
      </c>
      <c r="AK530" s="3">
        <v>67.72</v>
      </c>
      <c r="AL530" s="3">
        <v>68.010000000000005</v>
      </c>
      <c r="AM530" s="3">
        <v>67.56</v>
      </c>
      <c r="AN530" s="3">
        <v>67.91</v>
      </c>
      <c r="AO530" s="3">
        <v>10433658</v>
      </c>
      <c r="AP530" s="3">
        <v>54.06</v>
      </c>
      <c r="AQ530" s="3">
        <v>54.69</v>
      </c>
      <c r="AR530" s="3">
        <v>54.06</v>
      </c>
      <c r="AS530" s="3">
        <v>54.63</v>
      </c>
      <c r="AT530" s="3">
        <v>7498298</v>
      </c>
      <c r="AU530" s="3">
        <v>57.52</v>
      </c>
      <c r="AV530" s="3">
        <v>57.62</v>
      </c>
      <c r="AW530" s="3">
        <v>55.22</v>
      </c>
      <c r="AX530" s="3">
        <v>56.02</v>
      </c>
      <c r="AY530" s="3">
        <v>35142479</v>
      </c>
      <c r="AZ530" s="3">
        <v>53.55</v>
      </c>
      <c r="BA530" s="3">
        <v>53.71</v>
      </c>
      <c r="BB530" s="3">
        <v>53.29</v>
      </c>
      <c r="BC530" s="3">
        <v>53.67</v>
      </c>
      <c r="BD530" s="3">
        <v>13938193</v>
      </c>
      <c r="BE530" s="3">
        <v>31.98</v>
      </c>
      <c r="BF530" s="3">
        <v>32.26</v>
      </c>
      <c r="BG530" s="3">
        <v>31.89</v>
      </c>
      <c r="BH530" s="3">
        <v>32.18</v>
      </c>
      <c r="BI530" s="3">
        <v>1787648</v>
      </c>
    </row>
    <row r="531" spans="1:61" ht="13" x14ac:dyDescent="0.15">
      <c r="A531" s="3">
        <v>42898</v>
      </c>
      <c r="B531" s="3">
        <v>2425.88</v>
      </c>
      <c r="C531" s="3">
        <v>2430.38</v>
      </c>
      <c r="D531" s="3">
        <v>2419.9699999999998</v>
      </c>
      <c r="E531" s="3">
        <v>2429.39</v>
      </c>
      <c r="F531" s="3">
        <v>2715835496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3">
        <v>90.08</v>
      </c>
      <c r="M531" s="3">
        <v>90.56</v>
      </c>
      <c r="N531" s="3">
        <v>89.95</v>
      </c>
      <c r="O531" s="3">
        <v>90.32</v>
      </c>
      <c r="P531" s="3">
        <v>6436554</v>
      </c>
      <c r="Q531" s="3">
        <v>56.69</v>
      </c>
      <c r="R531" s="3">
        <v>56.92</v>
      </c>
      <c r="S531" s="3">
        <v>56.53</v>
      </c>
      <c r="T531" s="3">
        <v>56.66</v>
      </c>
      <c r="U531" s="3">
        <v>11442372</v>
      </c>
      <c r="V531" s="3">
        <v>67.010000000000005</v>
      </c>
      <c r="W531" s="3">
        <v>67.55</v>
      </c>
      <c r="X531" s="3">
        <v>66.75</v>
      </c>
      <c r="Y531" s="3">
        <v>66.89</v>
      </c>
      <c r="Z531" s="3">
        <v>22924386</v>
      </c>
      <c r="AA531" s="3">
        <v>24.34</v>
      </c>
      <c r="AB531" s="3">
        <v>24.51</v>
      </c>
      <c r="AC531" s="3">
        <v>24.2</v>
      </c>
      <c r="AD531" s="3">
        <v>24.34</v>
      </c>
      <c r="AE531" s="3">
        <v>86644404</v>
      </c>
      <c r="AF531" s="3">
        <v>77.459999999999994</v>
      </c>
      <c r="AG531" s="3">
        <v>77.739999999999995</v>
      </c>
      <c r="AH531" s="3">
        <v>77.05</v>
      </c>
      <c r="AI531" s="3">
        <v>77.42</v>
      </c>
      <c r="AJ531" s="3">
        <v>7700644</v>
      </c>
      <c r="AK531" s="3">
        <v>68.069999999999993</v>
      </c>
      <c r="AL531" s="3">
        <v>68.25</v>
      </c>
      <c r="AM531" s="3">
        <v>67.709999999999994</v>
      </c>
      <c r="AN531" s="3">
        <v>68.16</v>
      </c>
      <c r="AO531" s="3">
        <v>13889236</v>
      </c>
      <c r="AP531" s="3">
        <v>54.56</v>
      </c>
      <c r="AQ531" s="3">
        <v>54.86</v>
      </c>
      <c r="AR531" s="3">
        <v>54.3</v>
      </c>
      <c r="AS531" s="3">
        <v>54.42</v>
      </c>
      <c r="AT531" s="3">
        <v>5760444</v>
      </c>
      <c r="AU531" s="3">
        <v>55.44</v>
      </c>
      <c r="AV531" s="3">
        <v>55.78</v>
      </c>
      <c r="AW531" s="3">
        <v>54.77</v>
      </c>
      <c r="AX531" s="3">
        <v>55.69</v>
      </c>
      <c r="AY531" s="3">
        <v>35706388</v>
      </c>
      <c r="AZ531" s="3">
        <v>53.74</v>
      </c>
      <c r="BA531" s="3">
        <v>53.96</v>
      </c>
      <c r="BB531" s="3">
        <v>53.27</v>
      </c>
      <c r="BC531" s="3">
        <v>53.57</v>
      </c>
      <c r="BD531" s="3">
        <v>12821145</v>
      </c>
      <c r="BE531" s="3">
        <v>32.090000000000003</v>
      </c>
      <c r="BF531" s="3">
        <v>32.4</v>
      </c>
      <c r="BG531" s="3">
        <v>32.01</v>
      </c>
      <c r="BH531" s="3">
        <v>32.39</v>
      </c>
      <c r="BI531" s="3">
        <v>3135988</v>
      </c>
    </row>
    <row r="532" spans="1:61" ht="13" x14ac:dyDescent="0.15">
      <c r="A532" s="3">
        <v>42899</v>
      </c>
      <c r="B532" s="3">
        <v>2434.15</v>
      </c>
      <c r="C532" s="3">
        <v>2441.4899999999998</v>
      </c>
      <c r="D532" s="3">
        <v>2431.2800000000002</v>
      </c>
      <c r="E532" s="3">
        <v>2440.35</v>
      </c>
      <c r="F532" s="3">
        <v>2078679924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3">
        <v>90.53</v>
      </c>
      <c r="M532" s="3">
        <v>91.01</v>
      </c>
      <c r="N532" s="3">
        <v>90.5</v>
      </c>
      <c r="O532" s="3">
        <v>90.88</v>
      </c>
      <c r="P532" s="3">
        <v>4164849</v>
      </c>
      <c r="Q532" s="3">
        <v>56.66</v>
      </c>
      <c r="R532" s="3">
        <v>56.8</v>
      </c>
      <c r="S532" s="3">
        <v>56.44</v>
      </c>
      <c r="T532" s="3">
        <v>56.75</v>
      </c>
      <c r="U532" s="3">
        <v>9520637</v>
      </c>
      <c r="V532" s="3">
        <v>67.09</v>
      </c>
      <c r="W532" s="3">
        <v>67.48</v>
      </c>
      <c r="X532" s="3">
        <v>66.77</v>
      </c>
      <c r="Y532" s="3">
        <v>67.39</v>
      </c>
      <c r="Z532" s="3">
        <v>15807855</v>
      </c>
      <c r="AA532" s="3">
        <v>24.47</v>
      </c>
      <c r="AB532" s="3">
        <v>24.55</v>
      </c>
      <c r="AC532" s="3">
        <v>24.4</v>
      </c>
      <c r="AD532" s="3">
        <v>24.47</v>
      </c>
      <c r="AE532" s="3">
        <v>94978649</v>
      </c>
      <c r="AF532" s="3">
        <v>77.489999999999995</v>
      </c>
      <c r="AG532" s="3">
        <v>77.680000000000007</v>
      </c>
      <c r="AH532" s="3">
        <v>77.31</v>
      </c>
      <c r="AI532" s="3">
        <v>77.58</v>
      </c>
      <c r="AJ532" s="3">
        <v>5592460</v>
      </c>
      <c r="AK532" s="3">
        <v>68.260000000000005</v>
      </c>
      <c r="AL532" s="3">
        <v>68.47</v>
      </c>
      <c r="AM532" s="3">
        <v>68.16</v>
      </c>
      <c r="AN532" s="3">
        <v>68.44</v>
      </c>
      <c r="AO532" s="3">
        <v>6723498</v>
      </c>
      <c r="AP532" s="3">
        <v>54.39</v>
      </c>
      <c r="AQ532" s="3">
        <v>55.12</v>
      </c>
      <c r="AR532" s="3">
        <v>54.39</v>
      </c>
      <c r="AS532" s="3">
        <v>55.1</v>
      </c>
      <c r="AT532" s="3">
        <v>3362501</v>
      </c>
      <c r="AU532" s="3">
        <v>55.96</v>
      </c>
      <c r="AV532" s="3">
        <v>56.27</v>
      </c>
      <c r="AW532" s="3">
        <v>55.68</v>
      </c>
      <c r="AX532" s="3">
        <v>56.09</v>
      </c>
      <c r="AY532" s="3">
        <v>18293443</v>
      </c>
      <c r="AZ532" s="3">
        <v>53.51</v>
      </c>
      <c r="BA532" s="3">
        <v>53.74</v>
      </c>
      <c r="BB532" s="3">
        <v>53.38</v>
      </c>
      <c r="BC532" s="3">
        <v>53.7</v>
      </c>
      <c r="BD532" s="3">
        <v>8914879</v>
      </c>
      <c r="BE532" s="3">
        <v>32.450000000000003</v>
      </c>
      <c r="BF532" s="3">
        <v>32.49</v>
      </c>
      <c r="BG532" s="3">
        <v>32.270000000000003</v>
      </c>
      <c r="BH532" s="3">
        <v>32.47</v>
      </c>
      <c r="BI532" s="3">
        <v>1567290</v>
      </c>
    </row>
    <row r="533" spans="1:61" ht="13" x14ac:dyDescent="0.15">
      <c r="A533" s="3">
        <v>42900</v>
      </c>
      <c r="B533" s="3">
        <v>2443.75</v>
      </c>
      <c r="C533" s="3">
        <v>2443.75</v>
      </c>
      <c r="D533" s="3">
        <v>2428.34</v>
      </c>
      <c r="E533" s="3">
        <v>2437.92</v>
      </c>
      <c r="F533" s="3">
        <v>2077560864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3">
        <v>91.21</v>
      </c>
      <c r="M533" s="3">
        <v>91.35</v>
      </c>
      <c r="N533" s="3">
        <v>90.36</v>
      </c>
      <c r="O533" s="3">
        <v>90.83</v>
      </c>
      <c r="P533" s="3">
        <v>4809407</v>
      </c>
      <c r="Q533" s="3">
        <v>56.98</v>
      </c>
      <c r="R533" s="3">
        <v>57.23</v>
      </c>
      <c r="S533" s="3">
        <v>56.91</v>
      </c>
      <c r="T533" s="3">
        <v>57.11</v>
      </c>
      <c r="U533" s="3">
        <v>16040224</v>
      </c>
      <c r="V533" s="3">
        <v>67.209999999999994</v>
      </c>
      <c r="W533" s="3">
        <v>67.209999999999994</v>
      </c>
      <c r="X533" s="3">
        <v>65.66</v>
      </c>
      <c r="Y533" s="3">
        <v>66.17</v>
      </c>
      <c r="Z533" s="3">
        <v>30280222</v>
      </c>
      <c r="AA533" s="3">
        <v>24.26</v>
      </c>
      <c r="AB533" s="3">
        <v>24.54</v>
      </c>
      <c r="AC533" s="3">
        <v>24.13</v>
      </c>
      <c r="AD533" s="3">
        <v>24.51</v>
      </c>
      <c r="AE533" s="3">
        <v>117605841</v>
      </c>
      <c r="AF533" s="3">
        <v>77.709999999999994</v>
      </c>
      <c r="AG533" s="3">
        <v>78.17</v>
      </c>
      <c r="AH533" s="3">
        <v>77.680000000000007</v>
      </c>
      <c r="AI533" s="3">
        <v>77.95</v>
      </c>
      <c r="AJ533" s="3">
        <v>6782257</v>
      </c>
      <c r="AK533" s="3">
        <v>68.599999999999994</v>
      </c>
      <c r="AL533" s="3">
        <v>68.599999999999994</v>
      </c>
      <c r="AM533" s="3">
        <v>68.14</v>
      </c>
      <c r="AN533" s="3">
        <v>68.37</v>
      </c>
      <c r="AO533" s="3">
        <v>8892757</v>
      </c>
      <c r="AP533" s="3">
        <v>55.18</v>
      </c>
      <c r="AQ533" s="3">
        <v>55.22</v>
      </c>
      <c r="AR533" s="3">
        <v>54.37</v>
      </c>
      <c r="AS533" s="3">
        <v>54.52</v>
      </c>
      <c r="AT533" s="3">
        <v>5591171</v>
      </c>
      <c r="AU533" s="3">
        <v>56.31</v>
      </c>
      <c r="AV533" s="3">
        <v>56.32</v>
      </c>
      <c r="AW533" s="3">
        <v>55.36</v>
      </c>
      <c r="AX533" s="3">
        <v>55.82</v>
      </c>
      <c r="AY533" s="3">
        <v>16180604</v>
      </c>
      <c r="AZ533" s="3">
        <v>54.04</v>
      </c>
      <c r="BA533" s="3">
        <v>54.28</v>
      </c>
      <c r="BB533" s="3">
        <v>53.82</v>
      </c>
      <c r="BC533" s="3">
        <v>53.99</v>
      </c>
      <c r="BD533" s="3">
        <v>15832103</v>
      </c>
      <c r="BE533" s="3">
        <v>32.74</v>
      </c>
      <c r="BF533" s="3">
        <v>32.79</v>
      </c>
      <c r="BG533" s="3">
        <v>32.47</v>
      </c>
      <c r="BH533" s="3">
        <v>32.57</v>
      </c>
      <c r="BI533" s="3">
        <v>2232920</v>
      </c>
    </row>
    <row r="534" spans="1:61" ht="13" x14ac:dyDescent="0.15">
      <c r="A534" s="3">
        <v>42901</v>
      </c>
      <c r="B534" s="3">
        <v>2424.14</v>
      </c>
      <c r="C534" s="3">
        <v>2433.9499999999998</v>
      </c>
      <c r="D534" s="3">
        <v>2418.5300000000002</v>
      </c>
      <c r="E534" s="3">
        <v>2432.46</v>
      </c>
      <c r="F534" s="3">
        <v>2056413023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3">
        <v>90.16</v>
      </c>
      <c r="M534" s="3">
        <v>90.52</v>
      </c>
      <c r="N534" s="3">
        <v>89.72</v>
      </c>
      <c r="O534" s="3">
        <v>90.45</v>
      </c>
      <c r="P534" s="3">
        <v>3585054</v>
      </c>
      <c r="Q534" s="3">
        <v>56.83</v>
      </c>
      <c r="R534" s="3">
        <v>57.07</v>
      </c>
      <c r="S534" s="3">
        <v>56.63</v>
      </c>
      <c r="T534" s="3">
        <v>56.98</v>
      </c>
      <c r="U534" s="3">
        <v>10361114</v>
      </c>
      <c r="V534" s="3">
        <v>65.87</v>
      </c>
      <c r="W534" s="3">
        <v>66.2</v>
      </c>
      <c r="X534" s="3">
        <v>65.38</v>
      </c>
      <c r="Y534" s="3">
        <v>65.67</v>
      </c>
      <c r="Z534" s="3">
        <v>19258894</v>
      </c>
      <c r="AA534" s="3">
        <v>24.33</v>
      </c>
      <c r="AB534" s="3">
        <v>24.54</v>
      </c>
      <c r="AC534" s="3">
        <v>24.31</v>
      </c>
      <c r="AD534" s="3">
        <v>24.41</v>
      </c>
      <c r="AE534" s="3">
        <v>59547702</v>
      </c>
      <c r="AF534" s="3">
        <v>77.650000000000006</v>
      </c>
      <c r="AG534" s="3">
        <v>77.930000000000007</v>
      </c>
      <c r="AH534" s="3">
        <v>77.44</v>
      </c>
      <c r="AI534" s="3">
        <v>77.87</v>
      </c>
      <c r="AJ534" s="3">
        <v>8185992</v>
      </c>
      <c r="AK534" s="3">
        <v>67.97</v>
      </c>
      <c r="AL534" s="3">
        <v>68.78</v>
      </c>
      <c r="AM534" s="3">
        <v>67.95</v>
      </c>
      <c r="AN534" s="3">
        <v>68.78</v>
      </c>
      <c r="AO534" s="3">
        <v>20188089</v>
      </c>
      <c r="AP534" s="3">
        <v>54.14</v>
      </c>
      <c r="AQ534" s="3">
        <v>54.34</v>
      </c>
      <c r="AR534" s="3">
        <v>53.81</v>
      </c>
      <c r="AS534" s="3">
        <v>54.04</v>
      </c>
      <c r="AT534" s="3">
        <v>4860124</v>
      </c>
      <c r="AU534" s="3">
        <v>55.19</v>
      </c>
      <c r="AV534" s="3">
        <v>55.65</v>
      </c>
      <c r="AW534" s="3">
        <v>54.95</v>
      </c>
      <c r="AX534" s="3">
        <v>55.57</v>
      </c>
      <c r="AY534" s="3">
        <v>14750458</v>
      </c>
      <c r="AZ534" s="3">
        <v>53.84</v>
      </c>
      <c r="BA534" s="3">
        <v>54.36</v>
      </c>
      <c r="BB534" s="3">
        <v>53.84</v>
      </c>
      <c r="BC534" s="3">
        <v>54.3</v>
      </c>
      <c r="BD534" s="3">
        <v>15549451</v>
      </c>
      <c r="BE534" s="3">
        <v>32.43</v>
      </c>
      <c r="BF534" s="3">
        <v>32.82</v>
      </c>
      <c r="BG534" s="3">
        <v>32.35</v>
      </c>
      <c r="BH534" s="3">
        <v>32.729999999999997</v>
      </c>
      <c r="BI534" s="3">
        <v>1347254</v>
      </c>
    </row>
    <row r="535" spans="1:61" ht="13" x14ac:dyDescent="0.15">
      <c r="A535" s="3">
        <v>42902</v>
      </c>
      <c r="B535" s="3">
        <v>2431.2399999999998</v>
      </c>
      <c r="C535" s="3">
        <v>2433.15</v>
      </c>
      <c r="D535" s="3">
        <v>2422.88</v>
      </c>
      <c r="E535" s="3">
        <v>2433.15</v>
      </c>
      <c r="F535" s="3">
        <v>3474905593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3">
        <v>90.5</v>
      </c>
      <c r="M535" s="3">
        <v>90.5</v>
      </c>
      <c r="N535" s="3">
        <v>89.64</v>
      </c>
      <c r="O535" s="3">
        <v>90.15</v>
      </c>
      <c r="P535" s="3">
        <v>7711618</v>
      </c>
      <c r="Q535" s="3">
        <v>56.05</v>
      </c>
      <c r="R535" s="3">
        <v>56.07</v>
      </c>
      <c r="S535" s="3">
        <v>55.45</v>
      </c>
      <c r="T535" s="3">
        <v>55.95</v>
      </c>
      <c r="U535" s="3">
        <v>26268033</v>
      </c>
      <c r="V535" s="3">
        <v>65.61</v>
      </c>
      <c r="W535" s="3">
        <v>66.33</v>
      </c>
      <c r="X535" s="3">
        <v>65.19</v>
      </c>
      <c r="Y535" s="3">
        <v>66.3</v>
      </c>
      <c r="Z535" s="3">
        <v>24621013</v>
      </c>
      <c r="AA535" s="3">
        <v>24.31</v>
      </c>
      <c r="AB535" s="3">
        <v>24.37</v>
      </c>
      <c r="AC535" s="3">
        <v>24.22</v>
      </c>
      <c r="AD535" s="3">
        <v>24.29</v>
      </c>
      <c r="AE535" s="3">
        <v>53818768</v>
      </c>
      <c r="AF535" s="3">
        <v>77.66</v>
      </c>
      <c r="AG535" s="3">
        <v>77.849999999999994</v>
      </c>
      <c r="AH535" s="3">
        <v>77.28</v>
      </c>
      <c r="AI535" s="3">
        <v>77.69</v>
      </c>
      <c r="AJ535" s="3">
        <v>14165188</v>
      </c>
      <c r="AK535" s="3">
        <v>68.59</v>
      </c>
      <c r="AL535" s="3">
        <v>68.72</v>
      </c>
      <c r="AM535" s="3">
        <v>68.430000000000007</v>
      </c>
      <c r="AN535" s="3">
        <v>68.680000000000007</v>
      </c>
      <c r="AO535" s="3">
        <v>12871568</v>
      </c>
      <c r="AP535" s="3">
        <v>54.04</v>
      </c>
      <c r="AQ535" s="3">
        <v>54.05</v>
      </c>
      <c r="AR535" s="3">
        <v>53.72</v>
      </c>
      <c r="AS535" s="3">
        <v>54.02</v>
      </c>
      <c r="AT535" s="3">
        <v>4575143</v>
      </c>
      <c r="AU535" s="3">
        <v>55.35</v>
      </c>
      <c r="AV535" s="3">
        <v>55.37</v>
      </c>
      <c r="AW535" s="3">
        <v>55.02</v>
      </c>
      <c r="AX535" s="3">
        <v>55.25</v>
      </c>
      <c r="AY535" s="3">
        <v>21611258</v>
      </c>
      <c r="AZ535" s="3">
        <v>54.02</v>
      </c>
      <c r="BA535" s="3">
        <v>54.22</v>
      </c>
      <c r="BB535" s="3">
        <v>53.92</v>
      </c>
      <c r="BC535" s="3">
        <v>54.11</v>
      </c>
      <c r="BD535" s="3">
        <v>17695762</v>
      </c>
      <c r="BE535" s="3">
        <v>32.51</v>
      </c>
      <c r="BF535" s="3">
        <v>32.53</v>
      </c>
      <c r="BG535" s="3">
        <v>32.31</v>
      </c>
      <c r="BH535" s="3">
        <v>32.44</v>
      </c>
      <c r="BI535" s="3">
        <v>1754130</v>
      </c>
    </row>
    <row r="536" spans="1:61" ht="13" x14ac:dyDescent="0.15">
      <c r="A536" s="3">
        <v>42905</v>
      </c>
      <c r="B536" s="3">
        <v>2442.5500000000002</v>
      </c>
      <c r="C536" s="3">
        <v>2453.8200000000002</v>
      </c>
      <c r="D536" s="3">
        <v>2441.79</v>
      </c>
      <c r="E536" s="3">
        <v>2453.46</v>
      </c>
      <c r="F536" s="3">
        <v>1881642580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3">
        <v>90.53</v>
      </c>
      <c r="M536" s="3">
        <v>90.98</v>
      </c>
      <c r="N536" s="3">
        <v>90.3</v>
      </c>
      <c r="O536" s="3">
        <v>90.84</v>
      </c>
      <c r="P536" s="3">
        <v>3419785</v>
      </c>
      <c r="Q536" s="3">
        <v>56.08</v>
      </c>
      <c r="R536" s="3">
        <v>56.22</v>
      </c>
      <c r="S536" s="3">
        <v>55.71</v>
      </c>
      <c r="T536" s="3">
        <v>56.22</v>
      </c>
      <c r="U536" s="3">
        <v>7883114</v>
      </c>
      <c r="V536" s="3">
        <v>66.150000000000006</v>
      </c>
      <c r="W536" s="3">
        <v>66.290000000000006</v>
      </c>
      <c r="X536" s="3">
        <v>65.709999999999994</v>
      </c>
      <c r="Y536" s="3">
        <v>65.88</v>
      </c>
      <c r="Z536" s="3">
        <v>15678381</v>
      </c>
      <c r="AA536" s="3">
        <v>24.45</v>
      </c>
      <c r="AB536" s="3">
        <v>24.59</v>
      </c>
      <c r="AC536" s="3">
        <v>24.42</v>
      </c>
      <c r="AD536" s="3">
        <v>24.54</v>
      </c>
      <c r="AE536" s="3">
        <v>58041293</v>
      </c>
      <c r="AF536" s="3">
        <v>77.8</v>
      </c>
      <c r="AG536" s="3">
        <v>78.569999999999993</v>
      </c>
      <c r="AH536" s="3">
        <v>77.760000000000005</v>
      </c>
      <c r="AI536" s="3">
        <v>78.5</v>
      </c>
      <c r="AJ536" s="3">
        <v>8294402</v>
      </c>
      <c r="AK536" s="3">
        <v>69.02</v>
      </c>
      <c r="AL536" s="3">
        <v>69.19</v>
      </c>
      <c r="AM536" s="3">
        <v>68.819999999999993</v>
      </c>
      <c r="AN536" s="3">
        <v>69.099999999999994</v>
      </c>
      <c r="AO536" s="3">
        <v>6867011</v>
      </c>
      <c r="AP536" s="3">
        <v>54.29</v>
      </c>
      <c r="AQ536" s="3">
        <v>54.52</v>
      </c>
      <c r="AR536" s="3">
        <v>54.22</v>
      </c>
      <c r="AS536" s="3">
        <v>54.45</v>
      </c>
      <c r="AT536" s="3">
        <v>2506414</v>
      </c>
      <c r="AU536" s="3">
        <v>55.67</v>
      </c>
      <c r="AV536" s="3">
        <v>56.11</v>
      </c>
      <c r="AW536" s="3">
        <v>55.64</v>
      </c>
      <c r="AX536" s="3">
        <v>56.07</v>
      </c>
      <c r="AY536" s="3">
        <v>9929199</v>
      </c>
      <c r="AZ536" s="3">
        <v>54.16</v>
      </c>
      <c r="BA536" s="3">
        <v>54.19</v>
      </c>
      <c r="BB536" s="3">
        <v>53.74</v>
      </c>
      <c r="BC536" s="3">
        <v>53.93</v>
      </c>
      <c r="BD536" s="3">
        <v>17822337</v>
      </c>
      <c r="BE536" s="3">
        <v>32.47</v>
      </c>
      <c r="BF536" s="3">
        <v>32.5</v>
      </c>
      <c r="BG536" s="3">
        <v>32.32</v>
      </c>
      <c r="BH536" s="3">
        <v>32.46</v>
      </c>
      <c r="BI536" s="3">
        <v>6082213</v>
      </c>
    </row>
    <row r="537" spans="1:61" ht="13" x14ac:dyDescent="0.15">
      <c r="A537" s="3">
        <v>42906</v>
      </c>
      <c r="B537" s="3">
        <v>2450.66</v>
      </c>
      <c r="C537" s="3">
        <v>2450.66</v>
      </c>
      <c r="D537" s="3">
        <v>2436.6</v>
      </c>
      <c r="E537" s="3">
        <v>2437.0300000000002</v>
      </c>
      <c r="F537" s="3">
        <v>1981272777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3">
        <v>90.68</v>
      </c>
      <c r="M537" s="3">
        <v>90.7</v>
      </c>
      <c r="N537" s="3">
        <v>89.68</v>
      </c>
      <c r="O537" s="3">
        <v>89.7</v>
      </c>
      <c r="P537" s="3">
        <v>3352527</v>
      </c>
      <c r="Q537" s="3">
        <v>56.27</v>
      </c>
      <c r="R537" s="3">
        <v>56.3</v>
      </c>
      <c r="S537" s="3">
        <v>55.99</v>
      </c>
      <c r="T537" s="3">
        <v>56</v>
      </c>
      <c r="U537" s="3">
        <v>7231693</v>
      </c>
      <c r="V537" s="3">
        <v>65.12</v>
      </c>
      <c r="W537" s="3">
        <v>65.22</v>
      </c>
      <c r="X537" s="3">
        <v>64.31</v>
      </c>
      <c r="Y537" s="3">
        <v>65.040000000000006</v>
      </c>
      <c r="Z537" s="3">
        <v>16063425</v>
      </c>
      <c r="AA537" s="3">
        <v>24.46</v>
      </c>
      <c r="AB537" s="3">
        <v>24.48</v>
      </c>
      <c r="AC537" s="3">
        <v>24.32</v>
      </c>
      <c r="AD537" s="3">
        <v>24.33</v>
      </c>
      <c r="AE537" s="3">
        <v>45689645</v>
      </c>
      <c r="AF537" s="3">
        <v>78.489999999999995</v>
      </c>
      <c r="AG537" s="3">
        <v>79.19</v>
      </c>
      <c r="AH537" s="3">
        <v>78.459999999999994</v>
      </c>
      <c r="AI537" s="3">
        <v>78.760000000000005</v>
      </c>
      <c r="AJ537" s="3">
        <v>7697165</v>
      </c>
      <c r="AK537" s="3">
        <v>68.95</v>
      </c>
      <c r="AL537" s="3">
        <v>69.010000000000005</v>
      </c>
      <c r="AM537" s="3">
        <v>68.349999999999994</v>
      </c>
      <c r="AN537" s="3">
        <v>68.36</v>
      </c>
      <c r="AO537" s="3">
        <v>7242771</v>
      </c>
      <c r="AP537" s="3">
        <v>54.34</v>
      </c>
      <c r="AQ537" s="3">
        <v>54.34</v>
      </c>
      <c r="AR537" s="3">
        <v>54.14</v>
      </c>
      <c r="AS537" s="3">
        <v>54.15</v>
      </c>
      <c r="AT537" s="3">
        <v>3458442</v>
      </c>
      <c r="AU537" s="3">
        <v>56.05</v>
      </c>
      <c r="AV537" s="3">
        <v>56.08</v>
      </c>
      <c r="AW537" s="3">
        <v>55.62</v>
      </c>
      <c r="AX537" s="3">
        <v>55.62</v>
      </c>
      <c r="AY537" s="3">
        <v>10957735</v>
      </c>
      <c r="AZ537" s="3">
        <v>53.99</v>
      </c>
      <c r="BA537" s="3">
        <v>54.03</v>
      </c>
      <c r="BB537" s="3">
        <v>53.86</v>
      </c>
      <c r="BC537" s="3">
        <v>53.96</v>
      </c>
      <c r="BD537" s="3">
        <v>7588505</v>
      </c>
      <c r="BE537" s="3">
        <v>32.49</v>
      </c>
      <c r="BF537" s="3">
        <v>32.57</v>
      </c>
      <c r="BG537" s="3">
        <v>32.18</v>
      </c>
      <c r="BH537" s="3">
        <v>32.4</v>
      </c>
      <c r="BI537" s="3">
        <v>2348860</v>
      </c>
    </row>
    <row r="538" spans="1:61" ht="13" x14ac:dyDescent="0.15">
      <c r="A538" s="3">
        <v>42907</v>
      </c>
      <c r="B538" s="3">
        <v>2439.31</v>
      </c>
      <c r="C538" s="3">
        <v>2442.23</v>
      </c>
      <c r="D538" s="3">
        <v>2430.7399999999998</v>
      </c>
      <c r="E538" s="3">
        <v>2435.61</v>
      </c>
      <c r="F538" s="3">
        <v>2194972916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3">
        <v>89.93</v>
      </c>
      <c r="M538" s="3">
        <v>89.98</v>
      </c>
      <c r="N538" s="3">
        <v>89.52</v>
      </c>
      <c r="O538" s="3">
        <v>89.84</v>
      </c>
      <c r="P538" s="3">
        <v>3126222</v>
      </c>
      <c r="Q538" s="3">
        <v>56</v>
      </c>
      <c r="R538" s="3">
        <v>56.12</v>
      </c>
      <c r="S538" s="3">
        <v>55.78</v>
      </c>
      <c r="T538" s="3">
        <v>55.84</v>
      </c>
      <c r="U538" s="3">
        <v>12517762</v>
      </c>
      <c r="V538" s="3">
        <v>64.84</v>
      </c>
      <c r="W538" s="3">
        <v>65.22</v>
      </c>
      <c r="X538" s="3">
        <v>63.64</v>
      </c>
      <c r="Y538" s="3">
        <v>63.99</v>
      </c>
      <c r="Z538" s="3">
        <v>27305459</v>
      </c>
      <c r="AA538" s="3">
        <v>24.37</v>
      </c>
      <c r="AB538" s="3">
        <v>24.38</v>
      </c>
      <c r="AC538" s="3">
        <v>24.11</v>
      </c>
      <c r="AD538" s="3">
        <v>24.13</v>
      </c>
      <c r="AE538" s="3">
        <v>51938219</v>
      </c>
      <c r="AF538" s="3">
        <v>78.92</v>
      </c>
      <c r="AG538" s="3">
        <v>79.8</v>
      </c>
      <c r="AH538" s="3">
        <v>78.87</v>
      </c>
      <c r="AI538" s="3">
        <v>79.760000000000005</v>
      </c>
      <c r="AJ538" s="3">
        <v>9481247</v>
      </c>
      <c r="AK538" s="3">
        <v>68.459999999999994</v>
      </c>
      <c r="AL538" s="3">
        <v>68.489999999999995</v>
      </c>
      <c r="AM538" s="3">
        <v>67.819999999999993</v>
      </c>
      <c r="AN538" s="3">
        <v>67.900000000000006</v>
      </c>
      <c r="AO538" s="3">
        <v>7530233</v>
      </c>
      <c r="AP538" s="3">
        <v>54.22</v>
      </c>
      <c r="AQ538" s="3">
        <v>54.27</v>
      </c>
      <c r="AR538" s="3">
        <v>53.51</v>
      </c>
      <c r="AS538" s="3">
        <v>53.58</v>
      </c>
      <c r="AT538" s="3">
        <v>4761300</v>
      </c>
      <c r="AU538" s="3">
        <v>55.81</v>
      </c>
      <c r="AV538" s="3">
        <v>55.96</v>
      </c>
      <c r="AW538" s="3">
        <v>55.64</v>
      </c>
      <c r="AX538" s="3">
        <v>55.93</v>
      </c>
      <c r="AY538" s="3">
        <v>12293150</v>
      </c>
      <c r="AZ538" s="3">
        <v>53.95</v>
      </c>
      <c r="BA538" s="3">
        <v>54.04</v>
      </c>
      <c r="BB538" s="3">
        <v>53.36</v>
      </c>
      <c r="BC538" s="3">
        <v>53.64</v>
      </c>
      <c r="BD538" s="3">
        <v>10076574</v>
      </c>
      <c r="BE538" s="3">
        <v>32.409999999999997</v>
      </c>
      <c r="BF538" s="3">
        <v>32.44</v>
      </c>
      <c r="BG538" s="3">
        <v>32.15</v>
      </c>
      <c r="BH538" s="3">
        <v>32.33</v>
      </c>
      <c r="BI538" s="3">
        <v>1659946</v>
      </c>
    </row>
    <row r="539" spans="1:61" ht="13" x14ac:dyDescent="0.15">
      <c r="A539" s="3">
        <v>42908</v>
      </c>
      <c r="B539" s="3">
        <v>2437.4</v>
      </c>
      <c r="C539" s="3">
        <v>2441.62</v>
      </c>
      <c r="D539" s="3">
        <v>2433.27</v>
      </c>
      <c r="E539" s="3">
        <v>2434.5</v>
      </c>
      <c r="F539" s="3">
        <v>1975028145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3">
        <v>89.83</v>
      </c>
      <c r="M539" s="3">
        <v>89.97</v>
      </c>
      <c r="N539" s="3">
        <v>89.61</v>
      </c>
      <c r="O539" s="3">
        <v>89.63</v>
      </c>
      <c r="P539" s="3">
        <v>3658877</v>
      </c>
      <c r="Q539" s="3">
        <v>55.76</v>
      </c>
      <c r="R539" s="3">
        <v>55.79</v>
      </c>
      <c r="S539" s="3">
        <v>55.45</v>
      </c>
      <c r="T539" s="3">
        <v>55.47</v>
      </c>
      <c r="U539" s="3">
        <v>7227619</v>
      </c>
      <c r="V539" s="3">
        <v>64.02</v>
      </c>
      <c r="W539" s="3">
        <v>64.5</v>
      </c>
      <c r="X539" s="3">
        <v>63.69</v>
      </c>
      <c r="Y539" s="3">
        <v>63.95</v>
      </c>
      <c r="Z539" s="3">
        <v>15431612</v>
      </c>
      <c r="AA539" s="3">
        <v>24.04</v>
      </c>
      <c r="AB539" s="3">
        <v>24.11</v>
      </c>
      <c r="AC539" s="3">
        <v>23.95</v>
      </c>
      <c r="AD539" s="3">
        <v>23.98</v>
      </c>
      <c r="AE539" s="3">
        <v>58380184</v>
      </c>
      <c r="AF539" s="3">
        <v>79.89</v>
      </c>
      <c r="AG539" s="3">
        <v>81.08</v>
      </c>
      <c r="AH539" s="3">
        <v>79.86</v>
      </c>
      <c r="AI539" s="3">
        <v>80.59</v>
      </c>
      <c r="AJ539" s="3">
        <v>12341085</v>
      </c>
      <c r="AK539" s="3">
        <v>67.89</v>
      </c>
      <c r="AL539" s="3">
        <v>67.989999999999995</v>
      </c>
      <c r="AM539" s="3">
        <v>67.760000000000005</v>
      </c>
      <c r="AN539" s="3">
        <v>67.760000000000005</v>
      </c>
      <c r="AO539" s="3">
        <v>6921726</v>
      </c>
      <c r="AP539" s="3">
        <v>53.58</v>
      </c>
      <c r="AQ539" s="3">
        <v>53.84</v>
      </c>
      <c r="AR539" s="3">
        <v>53.54</v>
      </c>
      <c r="AS539" s="3">
        <v>53.64</v>
      </c>
      <c r="AT539" s="3">
        <v>3352112</v>
      </c>
      <c r="AU539" s="3">
        <v>56.1</v>
      </c>
      <c r="AV539" s="3">
        <v>56.14</v>
      </c>
      <c r="AW539" s="3">
        <v>55.77</v>
      </c>
      <c r="AX539" s="3">
        <v>55.95</v>
      </c>
      <c r="AY539" s="3">
        <v>8792805</v>
      </c>
      <c r="AZ539" s="3">
        <v>53.56</v>
      </c>
      <c r="BA539" s="3">
        <v>53.76</v>
      </c>
      <c r="BB539" s="3">
        <v>53.35</v>
      </c>
      <c r="BC539" s="3">
        <v>53.39</v>
      </c>
      <c r="BD539" s="3">
        <v>7931165</v>
      </c>
      <c r="BE539" s="3">
        <v>32.29</v>
      </c>
      <c r="BF539" s="3">
        <v>32.450000000000003</v>
      </c>
      <c r="BG539" s="3">
        <v>32.200000000000003</v>
      </c>
      <c r="BH539" s="3">
        <v>32.35</v>
      </c>
      <c r="BI539" s="3">
        <v>5944282</v>
      </c>
    </row>
    <row r="540" spans="1:61" ht="13" x14ac:dyDescent="0.15">
      <c r="A540" s="3">
        <v>42909</v>
      </c>
      <c r="B540" s="3">
        <v>2434.65</v>
      </c>
      <c r="C540" s="3">
        <v>2441.4</v>
      </c>
      <c r="D540" s="3">
        <v>2431.11</v>
      </c>
      <c r="E540" s="3">
        <v>2438.3000000000002</v>
      </c>
      <c r="F540" s="3">
        <v>2954290817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3">
        <v>89.63</v>
      </c>
      <c r="M540" s="3">
        <v>89.63</v>
      </c>
      <c r="N540" s="3">
        <v>89.23</v>
      </c>
      <c r="O540" s="3">
        <v>89.52</v>
      </c>
      <c r="P540" s="3">
        <v>3922640</v>
      </c>
      <c r="Q540" s="3">
        <v>55.46</v>
      </c>
      <c r="R540" s="3">
        <v>55.66</v>
      </c>
      <c r="S540" s="3">
        <v>55.42</v>
      </c>
      <c r="T540" s="3">
        <v>55.49</v>
      </c>
      <c r="U540" s="3">
        <v>10146430</v>
      </c>
      <c r="V540" s="3">
        <v>63.96</v>
      </c>
      <c r="W540" s="3">
        <v>64.45</v>
      </c>
      <c r="X540" s="3">
        <v>63.78</v>
      </c>
      <c r="Y540" s="3">
        <v>64.38</v>
      </c>
      <c r="Z540" s="3">
        <v>14555496</v>
      </c>
      <c r="AA540" s="3">
        <v>24.08</v>
      </c>
      <c r="AB540" s="3">
        <v>24.09</v>
      </c>
      <c r="AC540" s="3">
        <v>23.81</v>
      </c>
      <c r="AD540" s="3">
        <v>23.89</v>
      </c>
      <c r="AE540" s="3">
        <v>85352592</v>
      </c>
      <c r="AF540" s="3">
        <v>80.489999999999995</v>
      </c>
      <c r="AG540" s="3">
        <v>80.64</v>
      </c>
      <c r="AH540" s="3">
        <v>80.17</v>
      </c>
      <c r="AI540" s="3">
        <v>80.47</v>
      </c>
      <c r="AJ540" s="3">
        <v>8779612</v>
      </c>
      <c r="AK540" s="3">
        <v>67.819999999999993</v>
      </c>
      <c r="AL540" s="3">
        <v>68.16</v>
      </c>
      <c r="AM540" s="3">
        <v>67.67</v>
      </c>
      <c r="AN540" s="3">
        <v>68.010000000000005</v>
      </c>
      <c r="AO540" s="3">
        <v>6979349</v>
      </c>
      <c r="AP540" s="3">
        <v>53.77</v>
      </c>
      <c r="AQ540" s="3">
        <v>54.01</v>
      </c>
      <c r="AR540" s="3">
        <v>53.56</v>
      </c>
      <c r="AS540" s="3">
        <v>53.85</v>
      </c>
      <c r="AT540" s="3">
        <v>3345351</v>
      </c>
      <c r="AU540" s="3">
        <v>55.9</v>
      </c>
      <c r="AV540" s="3">
        <v>56.44</v>
      </c>
      <c r="AW540" s="3">
        <v>55.81</v>
      </c>
      <c r="AX540" s="3">
        <v>56.3</v>
      </c>
      <c r="AY540" s="3">
        <v>16423571</v>
      </c>
      <c r="AZ540" s="3">
        <v>53.4</v>
      </c>
      <c r="BA540" s="3">
        <v>53.6</v>
      </c>
      <c r="BB540" s="3">
        <v>53.1</v>
      </c>
      <c r="BC540" s="3">
        <v>53.21</v>
      </c>
      <c r="BD540" s="3">
        <v>8643119</v>
      </c>
      <c r="BE540" s="3">
        <v>32.35</v>
      </c>
      <c r="BF540" s="3">
        <v>32.619999999999997</v>
      </c>
      <c r="BG540" s="3">
        <v>32.35</v>
      </c>
      <c r="BH540" s="3">
        <v>32.49</v>
      </c>
      <c r="BI540" s="3">
        <v>8197655</v>
      </c>
    </row>
    <row r="541" spans="1:61" ht="13" x14ac:dyDescent="0.15">
      <c r="A541" s="3">
        <v>42912</v>
      </c>
      <c r="B541" s="3">
        <v>2443.3200000000002</v>
      </c>
      <c r="C541" s="3">
        <v>2450.42</v>
      </c>
      <c r="D541" s="3">
        <v>2437.0300000000002</v>
      </c>
      <c r="E541" s="3">
        <v>2439.0700000000002</v>
      </c>
      <c r="F541" s="3">
        <v>1807411392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3">
        <v>89.96</v>
      </c>
      <c r="M541" s="3">
        <v>90.11</v>
      </c>
      <c r="N541" s="3">
        <v>89.56</v>
      </c>
      <c r="O541" s="3">
        <v>89.84</v>
      </c>
      <c r="P541" s="3">
        <v>4708660</v>
      </c>
      <c r="Q541" s="3">
        <v>55.66</v>
      </c>
      <c r="R541" s="3">
        <v>55.89</v>
      </c>
      <c r="S541" s="3">
        <v>55.61</v>
      </c>
      <c r="T541" s="3">
        <v>55.71</v>
      </c>
      <c r="U541" s="3">
        <v>6590516</v>
      </c>
      <c r="V541" s="3">
        <v>64.58</v>
      </c>
      <c r="W541" s="3">
        <v>64.7</v>
      </c>
      <c r="X541" s="3">
        <v>63.98</v>
      </c>
      <c r="Y541" s="3">
        <v>64.239999999999995</v>
      </c>
      <c r="Z541" s="3">
        <v>13603363</v>
      </c>
      <c r="AA541" s="3">
        <v>23.94</v>
      </c>
      <c r="AB541" s="3">
        <v>24.12</v>
      </c>
      <c r="AC541" s="3">
        <v>23.86</v>
      </c>
      <c r="AD541" s="3">
        <v>24.02</v>
      </c>
      <c r="AE541" s="3">
        <v>60302320</v>
      </c>
      <c r="AF541" s="3">
        <v>80.7</v>
      </c>
      <c r="AG541" s="3">
        <v>80.7</v>
      </c>
      <c r="AH541" s="3">
        <v>80.27</v>
      </c>
      <c r="AI541" s="3">
        <v>80.39</v>
      </c>
      <c r="AJ541" s="3">
        <v>7434432</v>
      </c>
      <c r="AK541" s="3">
        <v>68.209999999999994</v>
      </c>
      <c r="AL541" s="3">
        <v>68.52</v>
      </c>
      <c r="AM541" s="3">
        <v>67.98</v>
      </c>
      <c r="AN541" s="3">
        <v>68.03</v>
      </c>
      <c r="AO541" s="3">
        <v>7161714</v>
      </c>
      <c r="AP541" s="3">
        <v>54.03</v>
      </c>
      <c r="AQ541" s="3">
        <v>54.1</v>
      </c>
      <c r="AR541" s="3">
        <v>53.79</v>
      </c>
      <c r="AS541" s="3">
        <v>54.01</v>
      </c>
      <c r="AT541" s="3">
        <v>4054062</v>
      </c>
      <c r="AU541" s="3">
        <v>56.6</v>
      </c>
      <c r="AV541" s="3">
        <v>56.72</v>
      </c>
      <c r="AW541" s="3">
        <v>55.94</v>
      </c>
      <c r="AX541" s="3">
        <v>56</v>
      </c>
      <c r="AY541" s="3">
        <v>9727935</v>
      </c>
      <c r="AZ541" s="3">
        <v>53.33</v>
      </c>
      <c r="BA541" s="3">
        <v>53.87</v>
      </c>
      <c r="BB541" s="3">
        <v>53.14</v>
      </c>
      <c r="BC541" s="3">
        <v>53.57</v>
      </c>
      <c r="BD541" s="3">
        <v>10355006</v>
      </c>
      <c r="BE541" s="3">
        <v>32.54</v>
      </c>
      <c r="BF541" s="3">
        <v>32.78</v>
      </c>
      <c r="BG541" s="3">
        <v>32.54</v>
      </c>
      <c r="BH541" s="3">
        <v>32.64</v>
      </c>
      <c r="BI541" s="3">
        <v>2483246</v>
      </c>
    </row>
    <row r="542" spans="1:61" ht="13" x14ac:dyDescent="0.15">
      <c r="A542" s="3">
        <v>42913</v>
      </c>
      <c r="B542" s="3">
        <v>2436.34</v>
      </c>
      <c r="C542" s="3">
        <v>2440.15</v>
      </c>
      <c r="D542" s="3">
        <v>2419.38</v>
      </c>
      <c r="E542" s="3">
        <v>2419.38</v>
      </c>
      <c r="F542" s="3">
        <v>2029472171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3">
        <v>89.65</v>
      </c>
      <c r="M542" s="3">
        <v>89.99</v>
      </c>
      <c r="N542" s="3">
        <v>89.13</v>
      </c>
      <c r="O542" s="3">
        <v>89.13</v>
      </c>
      <c r="P542" s="3">
        <v>4014898</v>
      </c>
      <c r="Q542" s="3">
        <v>55.6</v>
      </c>
      <c r="R542" s="3">
        <v>55.76</v>
      </c>
      <c r="S542" s="3">
        <v>55.22</v>
      </c>
      <c r="T542" s="3">
        <v>55.23</v>
      </c>
      <c r="U542" s="3">
        <v>10585478</v>
      </c>
      <c r="V542" s="3">
        <v>64.47</v>
      </c>
      <c r="W542" s="3">
        <v>64.760000000000005</v>
      </c>
      <c r="X542" s="3">
        <v>64.13</v>
      </c>
      <c r="Y542" s="3">
        <v>64.14</v>
      </c>
      <c r="Z542" s="3">
        <v>14227469</v>
      </c>
      <c r="AA542" s="3">
        <v>24.11</v>
      </c>
      <c r="AB542" s="3">
        <v>24.32</v>
      </c>
      <c r="AC542" s="3">
        <v>24.05</v>
      </c>
      <c r="AD542" s="3">
        <v>24.14</v>
      </c>
      <c r="AE542" s="3">
        <v>75943411</v>
      </c>
      <c r="AF542" s="3">
        <v>80.39</v>
      </c>
      <c r="AG542" s="3">
        <v>80.489999999999995</v>
      </c>
      <c r="AH542" s="3">
        <v>79.64</v>
      </c>
      <c r="AI542" s="3">
        <v>79.66</v>
      </c>
      <c r="AJ542" s="3">
        <v>8428044</v>
      </c>
      <c r="AK542" s="3">
        <v>67.95</v>
      </c>
      <c r="AL542" s="3">
        <v>68.02</v>
      </c>
      <c r="AM542" s="3">
        <v>67.5</v>
      </c>
      <c r="AN542" s="3">
        <v>67.52</v>
      </c>
      <c r="AO542" s="3">
        <v>7417217</v>
      </c>
      <c r="AP542" s="3">
        <v>54.12</v>
      </c>
      <c r="AQ542" s="3">
        <v>54.19</v>
      </c>
      <c r="AR542" s="3">
        <v>53.66</v>
      </c>
      <c r="AS542" s="3">
        <v>53.68</v>
      </c>
      <c r="AT542" s="3">
        <v>3613190</v>
      </c>
      <c r="AU542" s="3">
        <v>55.7</v>
      </c>
      <c r="AV542" s="3">
        <v>55.8</v>
      </c>
      <c r="AW542" s="3">
        <v>55.08</v>
      </c>
      <c r="AX542" s="3">
        <v>55.08</v>
      </c>
      <c r="AY542" s="3">
        <v>12895539</v>
      </c>
      <c r="AZ542" s="3">
        <v>53.33</v>
      </c>
      <c r="BA542" s="3">
        <v>53.48</v>
      </c>
      <c r="BB542" s="3">
        <v>52.82</v>
      </c>
      <c r="BC542" s="3">
        <v>52.97</v>
      </c>
      <c r="BD542" s="3">
        <v>10478793</v>
      </c>
      <c r="BE542" s="3">
        <v>32.549999999999997</v>
      </c>
      <c r="BF542" s="3">
        <v>32.840000000000003</v>
      </c>
      <c r="BG542" s="3">
        <v>32.51</v>
      </c>
      <c r="BH542" s="3">
        <v>32.51</v>
      </c>
      <c r="BI542" s="3">
        <v>2173308</v>
      </c>
    </row>
    <row r="543" spans="1:61" ht="13" x14ac:dyDescent="0.15">
      <c r="A543" s="3">
        <v>42914</v>
      </c>
      <c r="B543" s="3">
        <v>2428.6999999999998</v>
      </c>
      <c r="C543" s="3">
        <v>2442.9699999999998</v>
      </c>
      <c r="D543" s="3">
        <v>2428.02</v>
      </c>
      <c r="E543" s="3">
        <v>2440.69</v>
      </c>
      <c r="F543" s="3">
        <v>1978838398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3">
        <v>89.39</v>
      </c>
      <c r="M543" s="3">
        <v>90.13</v>
      </c>
      <c r="N543" s="3">
        <v>89.33</v>
      </c>
      <c r="O543" s="3">
        <v>90.03</v>
      </c>
      <c r="P543" s="3">
        <v>5030799</v>
      </c>
      <c r="Q543" s="3">
        <v>55.56</v>
      </c>
      <c r="R543" s="3">
        <v>55.67</v>
      </c>
      <c r="S543" s="3">
        <v>55.41</v>
      </c>
      <c r="T543" s="3">
        <v>55.43</v>
      </c>
      <c r="U543" s="3">
        <v>10734272</v>
      </c>
      <c r="V543" s="3">
        <v>64.22</v>
      </c>
      <c r="W543" s="3">
        <v>64.88</v>
      </c>
      <c r="X543" s="3">
        <v>64.180000000000007</v>
      </c>
      <c r="Y543" s="3">
        <v>64.489999999999995</v>
      </c>
      <c r="Z543" s="3">
        <v>16859906</v>
      </c>
      <c r="AA543" s="3">
        <v>24.3</v>
      </c>
      <c r="AB543" s="3">
        <v>24.56</v>
      </c>
      <c r="AC543" s="3">
        <v>24.28</v>
      </c>
      <c r="AD543" s="3">
        <v>24.52</v>
      </c>
      <c r="AE543" s="3">
        <v>90097595</v>
      </c>
      <c r="AF543" s="3">
        <v>79.92</v>
      </c>
      <c r="AG543" s="3">
        <v>80.28</v>
      </c>
      <c r="AH543" s="3">
        <v>79.88</v>
      </c>
      <c r="AI543" s="3">
        <v>80.08</v>
      </c>
      <c r="AJ543" s="3">
        <v>8674235</v>
      </c>
      <c r="AK543" s="3">
        <v>67.84</v>
      </c>
      <c r="AL543" s="3">
        <v>68.290000000000006</v>
      </c>
      <c r="AM543" s="3">
        <v>67.819999999999993</v>
      </c>
      <c r="AN543" s="3">
        <v>68.13</v>
      </c>
      <c r="AO543" s="3">
        <v>7314279</v>
      </c>
      <c r="AP543" s="3">
        <v>54.07</v>
      </c>
      <c r="AQ543" s="3">
        <v>54.3</v>
      </c>
      <c r="AR543" s="3">
        <v>53.97</v>
      </c>
      <c r="AS543" s="3">
        <v>54.17</v>
      </c>
      <c r="AT543" s="3">
        <v>3295991</v>
      </c>
      <c r="AU543" s="3">
        <v>55.29</v>
      </c>
      <c r="AV543" s="3">
        <v>55.82</v>
      </c>
      <c r="AW543" s="3">
        <v>54.92</v>
      </c>
      <c r="AX543" s="3">
        <v>55.77</v>
      </c>
      <c r="AY543" s="3">
        <v>12975962</v>
      </c>
      <c r="AZ543" s="3">
        <v>53.13</v>
      </c>
      <c r="BA543" s="3">
        <v>53.25</v>
      </c>
      <c r="BB543" s="3">
        <v>52.41</v>
      </c>
      <c r="BC543" s="3">
        <v>52.46</v>
      </c>
      <c r="BD543" s="3">
        <v>9288817</v>
      </c>
      <c r="BE543" s="3">
        <v>32.590000000000003</v>
      </c>
      <c r="BF543" s="3">
        <v>32.67</v>
      </c>
      <c r="BG543" s="3">
        <v>32.479999999999997</v>
      </c>
      <c r="BH543" s="3">
        <v>32.549999999999997</v>
      </c>
      <c r="BI543" s="3">
        <v>2715038</v>
      </c>
    </row>
    <row r="544" spans="1:61" ht="13" x14ac:dyDescent="0.15">
      <c r="A544" s="3">
        <v>42915</v>
      </c>
      <c r="B544" s="3">
        <v>2442.38</v>
      </c>
      <c r="C544" s="3">
        <v>2442.73</v>
      </c>
      <c r="D544" s="3">
        <v>2405.6999999999998</v>
      </c>
      <c r="E544" s="3">
        <v>2419.6999999999998</v>
      </c>
      <c r="F544" s="3">
        <v>2437153407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3">
        <v>89.86</v>
      </c>
      <c r="M544" s="3">
        <v>89.95</v>
      </c>
      <c r="N544" s="3">
        <v>88.46</v>
      </c>
      <c r="O544" s="3">
        <v>89.16</v>
      </c>
      <c r="P544" s="3">
        <v>4901666</v>
      </c>
      <c r="Q544" s="3">
        <v>55.36</v>
      </c>
      <c r="R544" s="3">
        <v>55.51</v>
      </c>
      <c r="S544" s="3">
        <v>54.64</v>
      </c>
      <c r="T544" s="3">
        <v>54.84</v>
      </c>
      <c r="U544" s="3">
        <v>19058635</v>
      </c>
      <c r="V544" s="3">
        <v>64.680000000000007</v>
      </c>
      <c r="W544" s="3">
        <v>65.34</v>
      </c>
      <c r="X544" s="3">
        <v>64.489999999999995</v>
      </c>
      <c r="Y544" s="3">
        <v>64.63</v>
      </c>
      <c r="Z544" s="3">
        <v>19022428</v>
      </c>
      <c r="AA544" s="3">
        <v>25.02</v>
      </c>
      <c r="AB544" s="3">
        <v>25.02</v>
      </c>
      <c r="AC544" s="3">
        <v>24.51</v>
      </c>
      <c r="AD544" s="3">
        <v>24.69</v>
      </c>
      <c r="AE544" s="3">
        <v>119176691</v>
      </c>
      <c r="AF544" s="3">
        <v>79.989999999999995</v>
      </c>
      <c r="AG544" s="3">
        <v>80.06</v>
      </c>
      <c r="AH544" s="3">
        <v>78.86</v>
      </c>
      <c r="AI544" s="3">
        <v>79.349999999999994</v>
      </c>
      <c r="AJ544" s="3">
        <v>8445842</v>
      </c>
      <c r="AK544" s="3">
        <v>68.2</v>
      </c>
      <c r="AL544" s="3">
        <v>68.260000000000005</v>
      </c>
      <c r="AM544" s="3">
        <v>67.17</v>
      </c>
      <c r="AN544" s="3">
        <v>67.55</v>
      </c>
      <c r="AO544" s="3">
        <v>9543636</v>
      </c>
      <c r="AP544" s="3">
        <v>54.15</v>
      </c>
      <c r="AQ544" s="3">
        <v>54.24</v>
      </c>
      <c r="AR544" s="3">
        <v>53.38</v>
      </c>
      <c r="AS544" s="3">
        <v>53.52</v>
      </c>
      <c r="AT544" s="3">
        <v>4405816</v>
      </c>
      <c r="AU544" s="3">
        <v>55.51</v>
      </c>
      <c r="AV544" s="3">
        <v>55.51</v>
      </c>
      <c r="AW544" s="3">
        <v>54.33</v>
      </c>
      <c r="AX544" s="3">
        <v>54.77</v>
      </c>
      <c r="AY544" s="3">
        <v>20973423</v>
      </c>
      <c r="AZ544" s="3">
        <v>52.15</v>
      </c>
      <c r="BA544" s="3">
        <v>52.22</v>
      </c>
      <c r="BB544" s="3">
        <v>51.84</v>
      </c>
      <c r="BC544" s="3">
        <v>52.04</v>
      </c>
      <c r="BD544" s="3">
        <v>20595651</v>
      </c>
      <c r="BE544" s="3">
        <v>32.340000000000003</v>
      </c>
      <c r="BF544" s="3">
        <v>32.42</v>
      </c>
      <c r="BG544" s="3">
        <v>32.159999999999997</v>
      </c>
      <c r="BH544" s="3">
        <v>32.22</v>
      </c>
      <c r="BI544" s="3">
        <v>3041682</v>
      </c>
    </row>
    <row r="545" spans="1:61" ht="13" x14ac:dyDescent="0.15">
      <c r="A545" s="3">
        <v>42916</v>
      </c>
      <c r="B545" s="3">
        <v>2429.1999999999998</v>
      </c>
      <c r="C545" s="3">
        <v>2432.71</v>
      </c>
      <c r="D545" s="3">
        <v>2421.65</v>
      </c>
      <c r="E545" s="3">
        <v>2423.41</v>
      </c>
      <c r="F545" s="3">
        <v>2068473232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3">
        <v>89.6</v>
      </c>
      <c r="M545" s="3">
        <v>90.02</v>
      </c>
      <c r="N545" s="3">
        <v>89.44</v>
      </c>
      <c r="O545" s="3">
        <v>89.63</v>
      </c>
      <c r="P545" s="3">
        <v>4656803</v>
      </c>
      <c r="Q545" s="3">
        <v>55.05</v>
      </c>
      <c r="R545" s="3">
        <v>55.15</v>
      </c>
      <c r="S545" s="3">
        <v>54.93</v>
      </c>
      <c r="T545" s="3">
        <v>54.94</v>
      </c>
      <c r="U545" s="3">
        <v>11222574</v>
      </c>
      <c r="V545" s="3">
        <v>65.099999999999994</v>
      </c>
      <c r="W545" s="3">
        <v>65.22</v>
      </c>
      <c r="X545" s="3">
        <v>64.5</v>
      </c>
      <c r="Y545" s="3">
        <v>64.92</v>
      </c>
      <c r="Z545" s="3">
        <v>19643151</v>
      </c>
      <c r="AA545" s="3">
        <v>24.87</v>
      </c>
      <c r="AB545" s="3">
        <v>24.88</v>
      </c>
      <c r="AC545" s="3">
        <v>24.62</v>
      </c>
      <c r="AD545" s="3">
        <v>24.67</v>
      </c>
      <c r="AE545" s="3">
        <v>72754878</v>
      </c>
      <c r="AF545" s="3">
        <v>79.66</v>
      </c>
      <c r="AG545" s="3">
        <v>79.66</v>
      </c>
      <c r="AH545" s="3">
        <v>79.239999999999995</v>
      </c>
      <c r="AI545" s="3">
        <v>79.239999999999995</v>
      </c>
      <c r="AJ545" s="3">
        <v>7817416</v>
      </c>
      <c r="AK545" s="3">
        <v>67.81</v>
      </c>
      <c r="AL545" s="3">
        <v>68.44</v>
      </c>
      <c r="AM545" s="3">
        <v>67.81</v>
      </c>
      <c r="AN545" s="3">
        <v>68.11</v>
      </c>
      <c r="AO545" s="3">
        <v>6748532</v>
      </c>
      <c r="AP545" s="3">
        <v>53.61</v>
      </c>
      <c r="AQ545" s="3">
        <v>54.05</v>
      </c>
      <c r="AR545" s="3">
        <v>53.6</v>
      </c>
      <c r="AS545" s="3">
        <v>53.81</v>
      </c>
      <c r="AT545" s="3">
        <v>3129348</v>
      </c>
      <c r="AU545" s="3">
        <v>55</v>
      </c>
      <c r="AV545" s="3">
        <v>55.09</v>
      </c>
      <c r="AW545" s="3">
        <v>54.67</v>
      </c>
      <c r="AX545" s="3">
        <v>54.72</v>
      </c>
      <c r="AY545" s="3">
        <v>15371868</v>
      </c>
      <c r="AZ545" s="3">
        <v>52.1</v>
      </c>
      <c r="BA545" s="3">
        <v>52.38</v>
      </c>
      <c r="BB545" s="3">
        <v>51.96</v>
      </c>
      <c r="BC545" s="3">
        <v>51.96</v>
      </c>
      <c r="BD545" s="3">
        <v>15112943</v>
      </c>
      <c r="BE545" s="3">
        <v>32.25</v>
      </c>
      <c r="BF545" s="3">
        <v>32.450000000000003</v>
      </c>
      <c r="BG545" s="3">
        <v>32.11</v>
      </c>
      <c r="BH545" s="3">
        <v>32.200000000000003</v>
      </c>
      <c r="BI545" s="3">
        <v>1256941</v>
      </c>
    </row>
    <row r="546" spans="1:61" ht="13" x14ac:dyDescent="0.15">
      <c r="A546" s="3">
        <v>42919</v>
      </c>
      <c r="B546" s="3">
        <v>2431.39</v>
      </c>
      <c r="C546" s="3">
        <v>2439.17</v>
      </c>
      <c r="D546" s="3">
        <v>2428.69</v>
      </c>
      <c r="E546" s="3">
        <v>2429.0100000000002</v>
      </c>
      <c r="F546" s="3">
        <v>1196618815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3">
        <v>89.88</v>
      </c>
      <c r="M546" s="3">
        <v>90.32</v>
      </c>
      <c r="N546" s="3">
        <v>89.5</v>
      </c>
      <c r="O546" s="3">
        <v>89.54</v>
      </c>
      <c r="P546" s="3">
        <v>2807322</v>
      </c>
      <c r="Q546" s="3">
        <v>54.98</v>
      </c>
      <c r="R546" s="3">
        <v>55.21</v>
      </c>
      <c r="S546" s="3">
        <v>54.87</v>
      </c>
      <c r="T546" s="3">
        <v>54.89</v>
      </c>
      <c r="U546" s="3">
        <v>5782551</v>
      </c>
      <c r="V546" s="3">
        <v>65.150000000000006</v>
      </c>
      <c r="W546" s="3">
        <v>66.48</v>
      </c>
      <c r="X546" s="3">
        <v>65.08</v>
      </c>
      <c r="Y546" s="3">
        <v>66.17</v>
      </c>
      <c r="Z546" s="3">
        <v>18402800</v>
      </c>
      <c r="AA546" s="3">
        <v>24.81</v>
      </c>
      <c r="AB546" s="3">
        <v>25.19</v>
      </c>
      <c r="AC546" s="3">
        <v>24.78</v>
      </c>
      <c r="AD546" s="3">
        <v>25.03</v>
      </c>
      <c r="AE546" s="3">
        <v>61454445</v>
      </c>
      <c r="AF546" s="3">
        <v>79.510000000000005</v>
      </c>
      <c r="AG546" s="3">
        <v>79.75</v>
      </c>
      <c r="AH546" s="3">
        <v>79.37</v>
      </c>
      <c r="AI546" s="3">
        <v>79.38</v>
      </c>
      <c r="AJ546" s="3">
        <v>5904203</v>
      </c>
      <c r="AK546" s="3">
        <v>68.42</v>
      </c>
      <c r="AL546" s="3">
        <v>68.77</v>
      </c>
      <c r="AM546" s="3">
        <v>68.319999999999993</v>
      </c>
      <c r="AN546" s="3">
        <v>68.53</v>
      </c>
      <c r="AO546" s="3">
        <v>5553136</v>
      </c>
      <c r="AP546" s="3">
        <v>53.94</v>
      </c>
      <c r="AQ546" s="3">
        <v>54.42</v>
      </c>
      <c r="AR546" s="3">
        <v>53.89</v>
      </c>
      <c r="AS546" s="3">
        <v>54.28</v>
      </c>
      <c r="AT546" s="3">
        <v>3108488</v>
      </c>
      <c r="AU546" s="3">
        <v>54.95</v>
      </c>
      <c r="AV546" s="3">
        <v>55.05</v>
      </c>
      <c r="AW546" s="3">
        <v>54.28</v>
      </c>
      <c r="AX546" s="3">
        <v>54.34</v>
      </c>
      <c r="AY546" s="3">
        <v>16552937</v>
      </c>
      <c r="AZ546" s="3">
        <v>52.04</v>
      </c>
      <c r="BA546" s="3">
        <v>52.18</v>
      </c>
      <c r="BB546" s="3">
        <v>51.65</v>
      </c>
      <c r="BC546" s="3">
        <v>51.72</v>
      </c>
      <c r="BD546" s="3">
        <v>12704710</v>
      </c>
      <c r="BE546" s="3">
        <v>32.340000000000003</v>
      </c>
      <c r="BF546" s="3">
        <v>32.56</v>
      </c>
      <c r="BG546" s="3">
        <v>32.22</v>
      </c>
      <c r="BH546" s="3">
        <v>32.5</v>
      </c>
      <c r="BI546" s="3">
        <v>1035657</v>
      </c>
    </row>
    <row r="547" spans="1:61" ht="13" x14ac:dyDescent="0.15">
      <c r="A547" s="3">
        <v>42921</v>
      </c>
      <c r="B547" s="3">
        <v>2430.7800000000002</v>
      </c>
      <c r="C547" s="3">
        <v>2434.9</v>
      </c>
      <c r="D547" s="3">
        <v>2422.0500000000002</v>
      </c>
      <c r="E547" s="3">
        <v>2432.54</v>
      </c>
      <c r="F547" s="3">
        <v>2001771783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3">
        <v>89.53</v>
      </c>
      <c r="M547" s="3">
        <v>89.55</v>
      </c>
      <c r="N547" s="3">
        <v>88.9</v>
      </c>
      <c r="O547" s="3">
        <v>89.32</v>
      </c>
      <c r="P547" s="3">
        <v>3985053</v>
      </c>
      <c r="Q547" s="3">
        <v>54.88</v>
      </c>
      <c r="R547" s="3">
        <v>55</v>
      </c>
      <c r="S547" s="3">
        <v>54.79</v>
      </c>
      <c r="T547" s="3">
        <v>54.85</v>
      </c>
      <c r="U547" s="3">
        <v>15837003</v>
      </c>
      <c r="V547" s="3">
        <v>65.84</v>
      </c>
      <c r="W547" s="3">
        <v>65.900000000000006</v>
      </c>
      <c r="X547" s="3">
        <v>64.58</v>
      </c>
      <c r="Y547" s="3">
        <v>64.83</v>
      </c>
      <c r="Z547" s="3">
        <v>20988215</v>
      </c>
      <c r="AA547" s="3">
        <v>25.1</v>
      </c>
      <c r="AB547" s="3">
        <v>25.13</v>
      </c>
      <c r="AC547" s="3">
        <v>24.92</v>
      </c>
      <c r="AD547" s="3">
        <v>25.07</v>
      </c>
      <c r="AE547" s="3">
        <v>78100184</v>
      </c>
      <c r="AF547" s="3">
        <v>79.489999999999995</v>
      </c>
      <c r="AG547" s="3">
        <v>79.95</v>
      </c>
      <c r="AH547" s="3">
        <v>79.209999999999994</v>
      </c>
      <c r="AI547" s="3">
        <v>79.849999999999994</v>
      </c>
      <c r="AJ547" s="3">
        <v>8955511</v>
      </c>
      <c r="AK547" s="3">
        <v>68.709999999999994</v>
      </c>
      <c r="AL547" s="3">
        <v>68.819999999999993</v>
      </c>
      <c r="AM547" s="3">
        <v>68.42</v>
      </c>
      <c r="AN547" s="3">
        <v>68.73</v>
      </c>
      <c r="AO547" s="3">
        <v>7235950</v>
      </c>
      <c r="AP547" s="3">
        <v>54.34</v>
      </c>
      <c r="AQ547" s="3">
        <v>54.36</v>
      </c>
      <c r="AR547" s="3">
        <v>53.92</v>
      </c>
      <c r="AS547" s="3">
        <v>54.1</v>
      </c>
      <c r="AT547" s="3">
        <v>5705736</v>
      </c>
      <c r="AU547" s="3">
        <v>54.54</v>
      </c>
      <c r="AV547" s="3">
        <v>54.99</v>
      </c>
      <c r="AW547" s="3">
        <v>54.36</v>
      </c>
      <c r="AX547" s="3">
        <v>54.88</v>
      </c>
      <c r="AY547" s="3">
        <v>14809389</v>
      </c>
      <c r="AZ547" s="3">
        <v>51.89</v>
      </c>
      <c r="BA547" s="3">
        <v>51.89</v>
      </c>
      <c r="BB547" s="3">
        <v>51.33</v>
      </c>
      <c r="BC547" s="3">
        <v>51.47</v>
      </c>
      <c r="BD547" s="3">
        <v>14002597</v>
      </c>
      <c r="BE547" s="3">
        <v>32.42</v>
      </c>
      <c r="BF547" s="3">
        <v>32.58</v>
      </c>
      <c r="BG547" s="3">
        <v>32.020000000000003</v>
      </c>
      <c r="BH547" s="3">
        <v>32.11</v>
      </c>
      <c r="BI547" s="3">
        <v>2908644</v>
      </c>
    </row>
    <row r="548" spans="1:61" ht="13" x14ac:dyDescent="0.15">
      <c r="A548" s="3">
        <v>42922</v>
      </c>
      <c r="B548" s="3">
        <v>2423.44</v>
      </c>
      <c r="C548" s="3">
        <v>2424.2800000000002</v>
      </c>
      <c r="D548" s="3">
        <v>2407.6999999999998</v>
      </c>
      <c r="E548" s="3">
        <v>2409.75</v>
      </c>
      <c r="F548" s="3">
        <v>2021300572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3">
        <v>88.77</v>
      </c>
      <c r="M548" s="3">
        <v>89.04</v>
      </c>
      <c r="N548" s="3">
        <v>88.35</v>
      </c>
      <c r="O548" s="3">
        <v>88.41</v>
      </c>
      <c r="P548" s="3">
        <v>3797421</v>
      </c>
      <c r="Q548" s="3">
        <v>54.66</v>
      </c>
      <c r="R548" s="3">
        <v>54.83</v>
      </c>
      <c r="S548" s="3">
        <v>54.53</v>
      </c>
      <c r="T548" s="3">
        <v>54.54</v>
      </c>
      <c r="U548" s="3">
        <v>7942458</v>
      </c>
      <c r="V548" s="3">
        <v>64.94</v>
      </c>
      <c r="W548" s="3">
        <v>65.13</v>
      </c>
      <c r="X548" s="3">
        <v>63.97</v>
      </c>
      <c r="Y548" s="3">
        <v>64.11</v>
      </c>
      <c r="Z548" s="3">
        <v>20788943</v>
      </c>
      <c r="AA548" s="3">
        <v>25.06</v>
      </c>
      <c r="AB548" s="3">
        <v>25.17</v>
      </c>
      <c r="AC548" s="3">
        <v>24.88</v>
      </c>
      <c r="AD548" s="3">
        <v>24.88</v>
      </c>
      <c r="AE548" s="3">
        <v>98353765</v>
      </c>
      <c r="AF548" s="3">
        <v>79.510000000000005</v>
      </c>
      <c r="AG548" s="3">
        <v>79.66</v>
      </c>
      <c r="AH548" s="3">
        <v>78.709999999999994</v>
      </c>
      <c r="AI548" s="3">
        <v>78.819999999999993</v>
      </c>
      <c r="AJ548" s="3">
        <v>6421711</v>
      </c>
      <c r="AK548" s="3">
        <v>68.56</v>
      </c>
      <c r="AL548" s="3">
        <v>68.650000000000006</v>
      </c>
      <c r="AM548" s="3">
        <v>68.05</v>
      </c>
      <c r="AN548" s="3">
        <v>68.13</v>
      </c>
      <c r="AO548" s="3">
        <v>5599858</v>
      </c>
      <c r="AP548" s="3">
        <v>53.8</v>
      </c>
      <c r="AQ548" s="3">
        <v>54.15</v>
      </c>
      <c r="AR548" s="3">
        <v>53.7</v>
      </c>
      <c r="AS548" s="3">
        <v>53.86</v>
      </c>
      <c r="AT548" s="3">
        <v>4929441</v>
      </c>
      <c r="AU548" s="3">
        <v>54.4</v>
      </c>
      <c r="AV548" s="3">
        <v>54.68</v>
      </c>
      <c r="AW548" s="3">
        <v>54.25</v>
      </c>
      <c r="AX548" s="3">
        <v>54.38</v>
      </c>
      <c r="AY548" s="3">
        <v>12793357</v>
      </c>
      <c r="AZ548" s="3">
        <v>51.26</v>
      </c>
      <c r="BA548" s="3">
        <v>51.51</v>
      </c>
      <c r="BB548" s="3">
        <v>51.26</v>
      </c>
      <c r="BC548" s="3">
        <v>51.45</v>
      </c>
      <c r="BD548" s="3">
        <v>14058002</v>
      </c>
      <c r="BE548" s="3">
        <v>32</v>
      </c>
      <c r="BF548" s="3">
        <v>32.01</v>
      </c>
      <c r="BG548" s="3">
        <v>31.49</v>
      </c>
      <c r="BH548" s="3">
        <v>31.53</v>
      </c>
      <c r="BI548" s="3">
        <v>1839971</v>
      </c>
    </row>
    <row r="549" spans="1:61" ht="13" x14ac:dyDescent="0.15">
      <c r="A549" s="3">
        <v>42923</v>
      </c>
      <c r="B549" s="3">
        <v>2413.52</v>
      </c>
      <c r="C549" s="3">
        <v>2426.92</v>
      </c>
      <c r="D549" s="3">
        <v>2413.52</v>
      </c>
      <c r="E549" s="3">
        <v>2425.1799999999998</v>
      </c>
      <c r="F549" s="3">
        <v>1668167766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3">
        <v>88.6</v>
      </c>
      <c r="M549" s="3">
        <v>89.27</v>
      </c>
      <c r="N549" s="3">
        <v>88.6</v>
      </c>
      <c r="O549" s="3">
        <v>89.2</v>
      </c>
      <c r="P549" s="3">
        <v>2579747</v>
      </c>
      <c r="Q549" s="3">
        <v>54.59</v>
      </c>
      <c r="R549" s="3">
        <v>54.7</v>
      </c>
      <c r="S549" s="3">
        <v>54.36</v>
      </c>
      <c r="T549" s="3">
        <v>54.51</v>
      </c>
      <c r="U549" s="3">
        <v>9841537</v>
      </c>
      <c r="V549" s="3">
        <v>63.9</v>
      </c>
      <c r="W549" s="3">
        <v>64.099999999999994</v>
      </c>
      <c r="X549" s="3">
        <v>63.29</v>
      </c>
      <c r="Y549" s="3">
        <v>64.010000000000005</v>
      </c>
      <c r="Z549" s="3">
        <v>16036745</v>
      </c>
      <c r="AA549" s="3">
        <v>25.01</v>
      </c>
      <c r="AB549" s="3">
        <v>25.1</v>
      </c>
      <c r="AC549" s="3">
        <v>24.88</v>
      </c>
      <c r="AD549" s="3">
        <v>25.05</v>
      </c>
      <c r="AE549" s="3">
        <v>59432444</v>
      </c>
      <c r="AF549" s="3">
        <v>79.099999999999994</v>
      </c>
      <c r="AG549" s="3">
        <v>79.31</v>
      </c>
      <c r="AH549" s="3">
        <v>78.900000000000006</v>
      </c>
      <c r="AI549" s="3">
        <v>79.22</v>
      </c>
      <c r="AJ549" s="3">
        <v>4371418</v>
      </c>
      <c r="AK549" s="3">
        <v>68.3</v>
      </c>
      <c r="AL549" s="3">
        <v>68.87</v>
      </c>
      <c r="AM549" s="3">
        <v>68.239999999999995</v>
      </c>
      <c r="AN549" s="3">
        <v>68.66</v>
      </c>
      <c r="AO549" s="3">
        <v>4166680</v>
      </c>
      <c r="AP549" s="3">
        <v>53.95</v>
      </c>
      <c r="AQ549" s="3">
        <v>54.2</v>
      </c>
      <c r="AR549" s="3">
        <v>53.74</v>
      </c>
      <c r="AS549" s="3">
        <v>54.14</v>
      </c>
      <c r="AT549" s="3">
        <v>2623391</v>
      </c>
      <c r="AU549" s="3">
        <v>54.58</v>
      </c>
      <c r="AV549" s="3">
        <v>55.19</v>
      </c>
      <c r="AW549" s="3">
        <v>54.54</v>
      </c>
      <c r="AX549" s="3">
        <v>55.01</v>
      </c>
      <c r="AY549" s="3">
        <v>8818162</v>
      </c>
      <c r="AZ549" s="3">
        <v>51.44</v>
      </c>
      <c r="BA549" s="3">
        <v>51.74</v>
      </c>
      <c r="BB549" s="3">
        <v>51.39</v>
      </c>
      <c r="BC549" s="3">
        <v>51.49</v>
      </c>
      <c r="BD549" s="3">
        <v>13262983</v>
      </c>
      <c r="BE549" s="3">
        <v>31.52</v>
      </c>
      <c r="BF549" s="3">
        <v>31.79</v>
      </c>
      <c r="BG549" s="3">
        <v>31.52</v>
      </c>
      <c r="BH549" s="3">
        <v>31.71</v>
      </c>
      <c r="BI549" s="3">
        <v>1325146</v>
      </c>
    </row>
    <row r="550" spans="1:61" ht="13" x14ac:dyDescent="0.15">
      <c r="A550" s="3">
        <v>42926</v>
      </c>
      <c r="B550" s="3">
        <v>2424.5100000000002</v>
      </c>
      <c r="C550" s="3">
        <v>2432</v>
      </c>
      <c r="D550" s="3">
        <v>2422.27</v>
      </c>
      <c r="E550" s="3">
        <v>2427.4299999999998</v>
      </c>
      <c r="F550" s="3">
        <v>1767990685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3">
        <v>89.27</v>
      </c>
      <c r="M550" s="3">
        <v>89.53</v>
      </c>
      <c r="N550" s="3">
        <v>89.01</v>
      </c>
      <c r="O550" s="3">
        <v>89.39</v>
      </c>
      <c r="P550" s="3">
        <v>2700116</v>
      </c>
      <c r="Q550" s="3">
        <v>54.56</v>
      </c>
      <c r="R550" s="3">
        <v>54.56</v>
      </c>
      <c r="S550" s="3">
        <v>54.06</v>
      </c>
      <c r="T550" s="3">
        <v>54.13</v>
      </c>
      <c r="U550" s="3">
        <v>9119230</v>
      </c>
      <c r="V550" s="3">
        <v>63.92</v>
      </c>
      <c r="W550" s="3">
        <v>64.37</v>
      </c>
      <c r="X550" s="3">
        <v>63.78</v>
      </c>
      <c r="Y550" s="3">
        <v>64.22</v>
      </c>
      <c r="Z550" s="3">
        <v>14153837</v>
      </c>
      <c r="AA550" s="3">
        <v>25.01</v>
      </c>
      <c r="AB550" s="3">
        <v>25.08</v>
      </c>
      <c r="AC550" s="3">
        <v>24.93</v>
      </c>
      <c r="AD550" s="3">
        <v>25.02</v>
      </c>
      <c r="AE550" s="3">
        <v>55022450</v>
      </c>
      <c r="AF550" s="3">
        <v>79.25</v>
      </c>
      <c r="AG550" s="3">
        <v>79.28</v>
      </c>
      <c r="AH550" s="3">
        <v>78.87</v>
      </c>
      <c r="AI550" s="3">
        <v>79.069999999999993</v>
      </c>
      <c r="AJ550" s="3">
        <v>3580016</v>
      </c>
      <c r="AK550" s="3">
        <v>68.61</v>
      </c>
      <c r="AL550" s="3">
        <v>69.180000000000007</v>
      </c>
      <c r="AM550" s="3">
        <v>68.53</v>
      </c>
      <c r="AN550" s="3">
        <v>68.86</v>
      </c>
      <c r="AO550" s="3">
        <v>7919515</v>
      </c>
      <c r="AP550" s="3">
        <v>54.13</v>
      </c>
      <c r="AQ550" s="3">
        <v>54.7</v>
      </c>
      <c r="AR550" s="3">
        <v>53.91</v>
      </c>
      <c r="AS550" s="3">
        <v>54.48</v>
      </c>
      <c r="AT550" s="3">
        <v>3855861</v>
      </c>
      <c r="AU550" s="3">
        <v>55.02</v>
      </c>
      <c r="AV550" s="3">
        <v>55.54</v>
      </c>
      <c r="AW550" s="3">
        <v>54.94</v>
      </c>
      <c r="AX550" s="3">
        <v>55.41</v>
      </c>
      <c r="AY550" s="3">
        <v>5594233</v>
      </c>
      <c r="AZ550" s="3">
        <v>51.64</v>
      </c>
      <c r="BA550" s="3">
        <v>51.76</v>
      </c>
      <c r="BB550" s="3">
        <v>51.41</v>
      </c>
      <c r="BC550" s="3">
        <v>51.45</v>
      </c>
      <c r="BD550" s="3">
        <v>16313813</v>
      </c>
      <c r="BE550" s="3">
        <v>31.73</v>
      </c>
      <c r="BF550" s="3">
        <v>31.8</v>
      </c>
      <c r="BG550" s="3">
        <v>31.45</v>
      </c>
      <c r="BH550" s="3">
        <v>31.46</v>
      </c>
      <c r="BI550" s="3">
        <v>1098234</v>
      </c>
    </row>
    <row r="551" spans="1:61" ht="13" x14ac:dyDescent="0.15">
      <c r="A551" s="3">
        <v>42927</v>
      </c>
      <c r="B551" s="3">
        <v>2427.35</v>
      </c>
      <c r="C551" s="3">
        <v>2429.3000000000002</v>
      </c>
      <c r="D551" s="3">
        <v>2412.79</v>
      </c>
      <c r="E551" s="3">
        <v>2425.5300000000002</v>
      </c>
      <c r="F551" s="3">
        <v>1732498090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3">
        <v>89.29</v>
      </c>
      <c r="M551" s="3">
        <v>89.35</v>
      </c>
      <c r="N551" s="3">
        <v>88.72</v>
      </c>
      <c r="O551" s="3">
        <v>89.21</v>
      </c>
      <c r="P551" s="3">
        <v>3212276</v>
      </c>
      <c r="Q551" s="3">
        <v>54.18</v>
      </c>
      <c r="R551" s="3">
        <v>54.2</v>
      </c>
      <c r="S551" s="3">
        <v>53.86</v>
      </c>
      <c r="T551" s="3">
        <v>53.98</v>
      </c>
      <c r="U551" s="3">
        <v>11256392</v>
      </c>
      <c r="V551" s="3">
        <v>64.33</v>
      </c>
      <c r="W551" s="3">
        <v>64.8</v>
      </c>
      <c r="X551" s="3">
        <v>63.93</v>
      </c>
      <c r="Y551" s="3">
        <v>64.569999999999993</v>
      </c>
      <c r="Z551" s="3">
        <v>11899827</v>
      </c>
      <c r="AA551" s="3">
        <v>25</v>
      </c>
      <c r="AB551" s="3">
        <v>25.01</v>
      </c>
      <c r="AC551" s="3">
        <v>24.73</v>
      </c>
      <c r="AD551" s="3">
        <v>24.8</v>
      </c>
      <c r="AE551" s="3">
        <v>49857176</v>
      </c>
      <c r="AF551" s="3">
        <v>79.02</v>
      </c>
      <c r="AG551" s="3">
        <v>79.19</v>
      </c>
      <c r="AH551" s="3">
        <v>78.58</v>
      </c>
      <c r="AI551" s="3">
        <v>78.98</v>
      </c>
      <c r="AJ551" s="3">
        <v>4117501</v>
      </c>
      <c r="AK551" s="3">
        <v>68.86</v>
      </c>
      <c r="AL551" s="3">
        <v>68.91</v>
      </c>
      <c r="AM551" s="3">
        <v>68.319999999999993</v>
      </c>
      <c r="AN551" s="3">
        <v>68.8</v>
      </c>
      <c r="AO551" s="3">
        <v>7683534</v>
      </c>
      <c r="AP551" s="3">
        <v>54.48</v>
      </c>
      <c r="AQ551" s="3">
        <v>54.54</v>
      </c>
      <c r="AR551" s="3">
        <v>54.07</v>
      </c>
      <c r="AS551" s="3">
        <v>54.4</v>
      </c>
      <c r="AT551" s="3">
        <v>2008603</v>
      </c>
      <c r="AU551" s="3">
        <v>55.35</v>
      </c>
      <c r="AV551" s="3">
        <v>55.62</v>
      </c>
      <c r="AW551" s="3">
        <v>55.14</v>
      </c>
      <c r="AX551" s="3">
        <v>55.53</v>
      </c>
      <c r="AY551" s="3">
        <v>6856538</v>
      </c>
      <c r="AZ551" s="3">
        <v>51.53</v>
      </c>
      <c r="BA551" s="3">
        <v>51.53</v>
      </c>
      <c r="BB551" s="3">
        <v>51.17</v>
      </c>
      <c r="BC551" s="3">
        <v>51.42</v>
      </c>
      <c r="BD551" s="3">
        <v>9055879</v>
      </c>
      <c r="BE551" s="3">
        <v>31.43</v>
      </c>
      <c r="BF551" s="3">
        <v>31.53</v>
      </c>
      <c r="BG551" s="3">
        <v>31.21</v>
      </c>
      <c r="BH551" s="3">
        <v>31.41</v>
      </c>
      <c r="BI551" s="3">
        <v>1279299</v>
      </c>
    </row>
    <row r="552" spans="1:61" ht="13" x14ac:dyDescent="0.15">
      <c r="A552" s="3">
        <v>42928</v>
      </c>
      <c r="B552" s="3">
        <v>2435.75</v>
      </c>
      <c r="C552" s="3">
        <v>2445.7600000000002</v>
      </c>
      <c r="D552" s="3">
        <v>2435.75</v>
      </c>
      <c r="E552" s="3">
        <v>2443.25</v>
      </c>
      <c r="F552" s="3">
        <v>1856436041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3">
        <v>89.71</v>
      </c>
      <c r="M552" s="3">
        <v>90.02</v>
      </c>
      <c r="N552" s="3">
        <v>89.65</v>
      </c>
      <c r="O552" s="3">
        <v>89.89</v>
      </c>
      <c r="P552" s="3">
        <v>3033865</v>
      </c>
      <c r="Q552" s="3">
        <v>54.32</v>
      </c>
      <c r="R552" s="3">
        <v>54.47</v>
      </c>
      <c r="S552" s="3">
        <v>54.24</v>
      </c>
      <c r="T552" s="3">
        <v>54.28</v>
      </c>
      <c r="U552" s="3">
        <v>8100821</v>
      </c>
      <c r="V552" s="3">
        <v>65.209999999999994</v>
      </c>
      <c r="W552" s="3">
        <v>65.37</v>
      </c>
      <c r="X552" s="3">
        <v>64.47</v>
      </c>
      <c r="Y552" s="3">
        <v>64.75</v>
      </c>
      <c r="Z552" s="3">
        <v>14818635</v>
      </c>
      <c r="AA552" s="3">
        <v>24.77</v>
      </c>
      <c r="AB552" s="3">
        <v>24.9</v>
      </c>
      <c r="AC552" s="3">
        <v>24.73</v>
      </c>
      <c r="AD552" s="3">
        <v>24.88</v>
      </c>
      <c r="AE552" s="3">
        <v>47818560</v>
      </c>
      <c r="AF552" s="3">
        <v>79.37</v>
      </c>
      <c r="AG552" s="3">
        <v>79.78</v>
      </c>
      <c r="AH552" s="3">
        <v>79.349999999999994</v>
      </c>
      <c r="AI552" s="3">
        <v>79.52</v>
      </c>
      <c r="AJ552" s="3">
        <v>8808227</v>
      </c>
      <c r="AK552" s="3">
        <v>69.19</v>
      </c>
      <c r="AL552" s="3">
        <v>69.5</v>
      </c>
      <c r="AM552" s="3">
        <v>69.099999999999994</v>
      </c>
      <c r="AN552" s="3">
        <v>69.180000000000007</v>
      </c>
      <c r="AO552" s="3">
        <v>5821774</v>
      </c>
      <c r="AP552" s="3">
        <v>54.69</v>
      </c>
      <c r="AQ552" s="3">
        <v>55.08</v>
      </c>
      <c r="AR552" s="3">
        <v>54.6</v>
      </c>
      <c r="AS552" s="3">
        <v>55.03</v>
      </c>
      <c r="AT552" s="3">
        <v>2901222</v>
      </c>
      <c r="AU552" s="3">
        <v>55.91</v>
      </c>
      <c r="AV552" s="3">
        <v>56.3</v>
      </c>
      <c r="AW552" s="3">
        <v>55.88</v>
      </c>
      <c r="AX552" s="3">
        <v>56.25</v>
      </c>
      <c r="AY552" s="3">
        <v>16551936</v>
      </c>
      <c r="AZ552" s="3">
        <v>51.87</v>
      </c>
      <c r="BA552" s="3">
        <v>52.01</v>
      </c>
      <c r="BB552" s="3">
        <v>51.77</v>
      </c>
      <c r="BC552" s="3">
        <v>51.86</v>
      </c>
      <c r="BD552" s="3">
        <v>12142987</v>
      </c>
      <c r="BE552" s="3">
        <v>31.58</v>
      </c>
      <c r="BF552" s="3">
        <v>31.93</v>
      </c>
      <c r="BG552" s="3">
        <v>31.58</v>
      </c>
      <c r="BH552" s="3">
        <v>31.82</v>
      </c>
      <c r="BI552" s="3">
        <v>1910810</v>
      </c>
    </row>
    <row r="553" spans="1:61" ht="13" x14ac:dyDescent="0.15">
      <c r="A553" s="3">
        <v>42929</v>
      </c>
      <c r="B553" s="3">
        <v>2444.9899999999998</v>
      </c>
      <c r="C553" s="3">
        <v>2449.3200000000002</v>
      </c>
      <c r="D553" s="3">
        <v>2441.69</v>
      </c>
      <c r="E553" s="3">
        <v>2447.83</v>
      </c>
      <c r="F553" s="3">
        <v>1845640421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3">
        <v>90.15</v>
      </c>
      <c r="M553" s="3">
        <v>90.25</v>
      </c>
      <c r="N553" s="3">
        <v>89.83</v>
      </c>
      <c r="O553" s="3">
        <v>89.9</v>
      </c>
      <c r="P553" s="3">
        <v>3311710</v>
      </c>
      <c r="Q553" s="3">
        <v>54.35</v>
      </c>
      <c r="R553" s="3">
        <v>54.41</v>
      </c>
      <c r="S553" s="3">
        <v>54.24</v>
      </c>
      <c r="T553" s="3">
        <v>54.29</v>
      </c>
      <c r="U553" s="3">
        <v>10008222</v>
      </c>
      <c r="V553" s="3">
        <v>64.8</v>
      </c>
      <c r="W553" s="3">
        <v>65.06</v>
      </c>
      <c r="X553" s="3">
        <v>64.44</v>
      </c>
      <c r="Y553" s="3">
        <v>65.010000000000005</v>
      </c>
      <c r="Z553" s="3">
        <v>10056779</v>
      </c>
      <c r="AA553" s="3">
        <v>24.88</v>
      </c>
      <c r="AB553" s="3">
        <v>25.03</v>
      </c>
      <c r="AC553" s="3">
        <v>24.86</v>
      </c>
      <c r="AD553" s="3">
        <v>25.03</v>
      </c>
      <c r="AE553" s="3">
        <v>48875853</v>
      </c>
      <c r="AF553" s="3">
        <v>79.59</v>
      </c>
      <c r="AG553" s="3">
        <v>79.84</v>
      </c>
      <c r="AH553" s="3">
        <v>79.05</v>
      </c>
      <c r="AI553" s="3">
        <v>79.59</v>
      </c>
      <c r="AJ553" s="3">
        <v>9437737</v>
      </c>
      <c r="AK553" s="3">
        <v>69.25</v>
      </c>
      <c r="AL553" s="3">
        <v>69.400000000000006</v>
      </c>
      <c r="AM553" s="3">
        <v>68.97</v>
      </c>
      <c r="AN553" s="3">
        <v>69.13</v>
      </c>
      <c r="AO553" s="3">
        <v>3938756</v>
      </c>
      <c r="AP553" s="3">
        <v>55.08</v>
      </c>
      <c r="AQ553" s="3">
        <v>55.18</v>
      </c>
      <c r="AR553" s="3">
        <v>54.89</v>
      </c>
      <c r="AS553" s="3">
        <v>54.97</v>
      </c>
      <c r="AT553" s="3">
        <v>2133388</v>
      </c>
      <c r="AU553" s="3">
        <v>56.33</v>
      </c>
      <c r="AV553" s="3">
        <v>56.56</v>
      </c>
      <c r="AW553" s="3">
        <v>56.23</v>
      </c>
      <c r="AX553" s="3">
        <v>56.36</v>
      </c>
      <c r="AY553" s="3">
        <v>8125081</v>
      </c>
      <c r="AZ553" s="3">
        <v>51.83</v>
      </c>
      <c r="BA553" s="3">
        <v>51.97</v>
      </c>
      <c r="BB553" s="3">
        <v>51.64</v>
      </c>
      <c r="BC553" s="3">
        <v>51.68</v>
      </c>
      <c r="BD553" s="3">
        <v>6920975</v>
      </c>
      <c r="BE553" s="3">
        <v>31.83</v>
      </c>
      <c r="BF553" s="3">
        <v>31.94</v>
      </c>
      <c r="BG553" s="3">
        <v>31.77</v>
      </c>
      <c r="BH553" s="3">
        <v>31.88</v>
      </c>
      <c r="BI553" s="3">
        <v>1181472</v>
      </c>
    </row>
    <row r="554" spans="1:61" ht="13" x14ac:dyDescent="0.15">
      <c r="A554" s="3">
        <v>42930</v>
      </c>
      <c r="B554" s="3">
        <v>2449.16</v>
      </c>
      <c r="C554" s="3">
        <v>2463.54</v>
      </c>
      <c r="D554" s="3">
        <v>2446.69</v>
      </c>
      <c r="E554" s="3">
        <v>2459.27</v>
      </c>
      <c r="F554" s="3">
        <v>1667639471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3">
        <v>90.18</v>
      </c>
      <c r="M554" s="3">
        <v>90.3</v>
      </c>
      <c r="N554" s="3">
        <v>89.79</v>
      </c>
      <c r="O554" s="3">
        <v>90.19</v>
      </c>
      <c r="P554" s="3">
        <v>4139975</v>
      </c>
      <c r="Q554" s="3">
        <v>54.54</v>
      </c>
      <c r="R554" s="3">
        <v>54.8</v>
      </c>
      <c r="S554" s="3">
        <v>54.52</v>
      </c>
      <c r="T554" s="3">
        <v>54.72</v>
      </c>
      <c r="U554" s="3">
        <v>6341071</v>
      </c>
      <c r="V554" s="3">
        <v>65.05</v>
      </c>
      <c r="W554" s="3">
        <v>65.52</v>
      </c>
      <c r="X554" s="3">
        <v>64.989999999999995</v>
      </c>
      <c r="Y554" s="3">
        <v>65.400000000000006</v>
      </c>
      <c r="Z554" s="3">
        <v>10272535</v>
      </c>
      <c r="AA554" s="3">
        <v>24.72</v>
      </c>
      <c r="AB554" s="3">
        <v>24.96</v>
      </c>
      <c r="AC554" s="3">
        <v>24.59</v>
      </c>
      <c r="AD554" s="3">
        <v>24.92</v>
      </c>
      <c r="AE554" s="3">
        <v>61742329</v>
      </c>
      <c r="AF554" s="3">
        <v>79.760000000000005</v>
      </c>
      <c r="AG554" s="3">
        <v>80.3</v>
      </c>
      <c r="AH554" s="3">
        <v>79.599999999999994</v>
      </c>
      <c r="AI554" s="3">
        <v>80.13</v>
      </c>
      <c r="AJ554" s="3">
        <v>5749986</v>
      </c>
      <c r="AK554" s="3">
        <v>69.239999999999995</v>
      </c>
      <c r="AL554" s="3">
        <v>69.58</v>
      </c>
      <c r="AM554" s="3">
        <v>69.11</v>
      </c>
      <c r="AN554" s="3">
        <v>69.430000000000007</v>
      </c>
      <c r="AO554" s="3">
        <v>5519169</v>
      </c>
      <c r="AP554" s="3">
        <v>55.17</v>
      </c>
      <c r="AQ554" s="3">
        <v>55.36</v>
      </c>
      <c r="AR554" s="3">
        <v>55.02</v>
      </c>
      <c r="AS554" s="3">
        <v>55.25</v>
      </c>
      <c r="AT554" s="3">
        <v>3254406</v>
      </c>
      <c r="AU554" s="3">
        <v>56.6</v>
      </c>
      <c r="AV554" s="3">
        <v>56.92</v>
      </c>
      <c r="AW554" s="3">
        <v>56.52</v>
      </c>
      <c r="AX554" s="3">
        <v>56.86</v>
      </c>
      <c r="AY554" s="3">
        <v>6689615</v>
      </c>
      <c r="AZ554" s="3">
        <v>52.02</v>
      </c>
      <c r="BA554" s="3">
        <v>52.16</v>
      </c>
      <c r="BB554" s="3">
        <v>51.86</v>
      </c>
      <c r="BC554" s="3">
        <v>51.92</v>
      </c>
      <c r="BD554" s="3">
        <v>12607547</v>
      </c>
      <c r="BE554" s="3">
        <v>31.99</v>
      </c>
      <c r="BF554" s="3">
        <v>32.24</v>
      </c>
      <c r="BG554" s="3">
        <v>31.99</v>
      </c>
      <c r="BH554" s="3">
        <v>32.200000000000003</v>
      </c>
      <c r="BI554" s="3">
        <v>1167422</v>
      </c>
    </row>
    <row r="555" spans="1:61" ht="13" x14ac:dyDescent="0.15">
      <c r="A555" s="3">
        <v>42933</v>
      </c>
      <c r="B555" s="3">
        <v>2459.5</v>
      </c>
      <c r="C555" s="3">
        <v>2462.8200000000002</v>
      </c>
      <c r="D555" s="3">
        <v>2457.16</v>
      </c>
      <c r="E555" s="3">
        <v>2459.14</v>
      </c>
      <c r="F555" s="3">
        <v>1655943312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3">
        <v>90.19</v>
      </c>
      <c r="M555" s="3">
        <v>90.56</v>
      </c>
      <c r="N555" s="3">
        <v>90.19</v>
      </c>
      <c r="O555" s="3">
        <v>90.41</v>
      </c>
      <c r="P555" s="3">
        <v>3177182</v>
      </c>
      <c r="Q555" s="3">
        <v>54.82</v>
      </c>
      <c r="R555" s="3">
        <v>54.84</v>
      </c>
      <c r="S555" s="3">
        <v>54.62</v>
      </c>
      <c r="T555" s="3">
        <v>54.78</v>
      </c>
      <c r="U555" s="3">
        <v>7902171</v>
      </c>
      <c r="V555" s="3">
        <v>65.28</v>
      </c>
      <c r="W555" s="3">
        <v>65.77</v>
      </c>
      <c r="X555" s="3">
        <v>65.22</v>
      </c>
      <c r="Y555" s="3">
        <v>65.319999999999993</v>
      </c>
      <c r="Z555" s="3">
        <v>12214943</v>
      </c>
      <c r="AA555" s="3">
        <v>24.85</v>
      </c>
      <c r="AB555" s="3">
        <v>24.9</v>
      </c>
      <c r="AC555" s="3">
        <v>24.74</v>
      </c>
      <c r="AD555" s="3">
        <v>24.84</v>
      </c>
      <c r="AE555" s="3">
        <v>43257045</v>
      </c>
      <c r="AF555" s="3">
        <v>80.23</v>
      </c>
      <c r="AG555" s="3">
        <v>80.290000000000006</v>
      </c>
      <c r="AH555" s="3">
        <v>79.819999999999993</v>
      </c>
      <c r="AI555" s="3">
        <v>79.84</v>
      </c>
      <c r="AJ555" s="3">
        <v>5743659</v>
      </c>
      <c r="AK555" s="3">
        <v>69.38</v>
      </c>
      <c r="AL555" s="3">
        <v>69.5</v>
      </c>
      <c r="AM555" s="3">
        <v>69.19</v>
      </c>
      <c r="AN555" s="3">
        <v>69.39</v>
      </c>
      <c r="AO555" s="3">
        <v>5113416</v>
      </c>
      <c r="AP555" s="3">
        <v>55.28</v>
      </c>
      <c r="AQ555" s="3">
        <v>55.5</v>
      </c>
      <c r="AR555" s="3">
        <v>55.16</v>
      </c>
      <c r="AS555" s="3">
        <v>55.36</v>
      </c>
      <c r="AT555" s="3">
        <v>2989834</v>
      </c>
      <c r="AU555" s="3">
        <v>56.91</v>
      </c>
      <c r="AV555" s="3">
        <v>57.03</v>
      </c>
      <c r="AW555" s="3">
        <v>56.76</v>
      </c>
      <c r="AX555" s="3">
        <v>56.87</v>
      </c>
      <c r="AY555" s="3">
        <v>9837090</v>
      </c>
      <c r="AZ555" s="3">
        <v>51.95</v>
      </c>
      <c r="BA555" s="3">
        <v>52.16</v>
      </c>
      <c r="BB555" s="3">
        <v>51.84</v>
      </c>
      <c r="BC555" s="3">
        <v>52.16</v>
      </c>
      <c r="BD555" s="3">
        <v>7668995</v>
      </c>
      <c r="BE555" s="3">
        <v>32.17</v>
      </c>
      <c r="BF555" s="3">
        <v>32.33</v>
      </c>
      <c r="BG555" s="3">
        <v>32.119999999999997</v>
      </c>
      <c r="BH555" s="3">
        <v>32.270000000000003</v>
      </c>
      <c r="BI555" s="3">
        <v>2285069</v>
      </c>
    </row>
    <row r="556" spans="1:61" ht="13" x14ac:dyDescent="0.15">
      <c r="A556" s="3">
        <v>42934</v>
      </c>
      <c r="B556" s="3">
        <v>2455.88</v>
      </c>
      <c r="C556" s="3">
        <v>2460.92</v>
      </c>
      <c r="D556" s="3">
        <v>2450.34</v>
      </c>
      <c r="E556" s="3">
        <v>2460.61</v>
      </c>
      <c r="F556" s="3">
        <v>1750952401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3">
        <v>90.33</v>
      </c>
      <c r="M556" s="3">
        <v>90.83</v>
      </c>
      <c r="N556" s="3">
        <v>90.26</v>
      </c>
      <c r="O556" s="3">
        <v>90.82</v>
      </c>
      <c r="P556" s="3">
        <v>3489985</v>
      </c>
      <c r="Q556" s="3">
        <v>54.74</v>
      </c>
      <c r="R556" s="3">
        <v>54.87</v>
      </c>
      <c r="S556" s="3">
        <v>54.61</v>
      </c>
      <c r="T556" s="3">
        <v>54.78</v>
      </c>
      <c r="U556" s="3">
        <v>5310799</v>
      </c>
      <c r="V556" s="3">
        <v>65.650000000000006</v>
      </c>
      <c r="W556" s="3">
        <v>65.67</v>
      </c>
      <c r="X556" s="3">
        <v>64.739999999999995</v>
      </c>
      <c r="Y556" s="3">
        <v>65.010000000000005</v>
      </c>
      <c r="Z556" s="3">
        <v>14956758</v>
      </c>
      <c r="AA556" s="3">
        <v>24.67</v>
      </c>
      <c r="AB556" s="3">
        <v>24.84</v>
      </c>
      <c r="AC556" s="3">
        <v>24.64</v>
      </c>
      <c r="AD556" s="3">
        <v>24.8</v>
      </c>
      <c r="AE556" s="3">
        <v>63210692</v>
      </c>
      <c r="AF556" s="3">
        <v>79.739999999999995</v>
      </c>
      <c r="AG556" s="3">
        <v>79.98</v>
      </c>
      <c r="AH556" s="3">
        <v>79.36</v>
      </c>
      <c r="AI556" s="3">
        <v>79.900000000000006</v>
      </c>
      <c r="AJ556" s="3">
        <v>8042690</v>
      </c>
      <c r="AK556" s="3">
        <v>69.28</v>
      </c>
      <c r="AL556" s="3">
        <v>69.37</v>
      </c>
      <c r="AM556" s="3">
        <v>69.03</v>
      </c>
      <c r="AN556" s="3">
        <v>69.23</v>
      </c>
      <c r="AO556" s="3">
        <v>6891118</v>
      </c>
      <c r="AP556" s="3">
        <v>55.21</v>
      </c>
      <c r="AQ556" s="3">
        <v>55.22</v>
      </c>
      <c r="AR556" s="3">
        <v>54.92</v>
      </c>
      <c r="AS556" s="3">
        <v>55.13</v>
      </c>
      <c r="AT556" s="3">
        <v>2317272</v>
      </c>
      <c r="AU556" s="3">
        <v>56.76</v>
      </c>
      <c r="AV556" s="3">
        <v>57.13</v>
      </c>
      <c r="AW556" s="3">
        <v>56.62</v>
      </c>
      <c r="AX556" s="3">
        <v>57.13</v>
      </c>
      <c r="AY556" s="3">
        <v>9920176</v>
      </c>
      <c r="AZ556" s="3">
        <v>52.28</v>
      </c>
      <c r="BA556" s="3">
        <v>52.37</v>
      </c>
      <c r="BB556" s="3">
        <v>52.14</v>
      </c>
      <c r="BC556" s="3">
        <v>52.31</v>
      </c>
      <c r="BD556" s="3">
        <v>7890497</v>
      </c>
      <c r="BE556" s="3">
        <v>32.270000000000003</v>
      </c>
      <c r="BF556" s="3">
        <v>32.36</v>
      </c>
      <c r="BG556" s="3">
        <v>32.18</v>
      </c>
      <c r="BH556" s="3">
        <v>32.229999999999997</v>
      </c>
      <c r="BI556" s="3">
        <v>2302889</v>
      </c>
    </row>
    <row r="557" spans="1:61" ht="13" x14ac:dyDescent="0.15">
      <c r="A557" s="3">
        <v>42935</v>
      </c>
      <c r="B557" s="3">
        <v>2463.85</v>
      </c>
      <c r="C557" s="3">
        <v>2473.83</v>
      </c>
      <c r="D557" s="3">
        <v>2463.85</v>
      </c>
      <c r="E557" s="3">
        <v>2473.83</v>
      </c>
      <c r="F557" s="3">
        <v>1849694295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3">
        <v>90.99</v>
      </c>
      <c r="M557" s="3">
        <v>91.36</v>
      </c>
      <c r="N557" s="3">
        <v>90.92</v>
      </c>
      <c r="O557" s="3">
        <v>91.26</v>
      </c>
      <c r="P557" s="3">
        <v>2656159</v>
      </c>
      <c r="Q557" s="3">
        <v>54.76</v>
      </c>
      <c r="R557" s="3">
        <v>54.98</v>
      </c>
      <c r="S557" s="3">
        <v>54.69</v>
      </c>
      <c r="T557" s="3">
        <v>54.98</v>
      </c>
      <c r="U557" s="3">
        <v>5591984</v>
      </c>
      <c r="V557" s="3">
        <v>64.94</v>
      </c>
      <c r="W557" s="3">
        <v>66.02</v>
      </c>
      <c r="X557" s="3">
        <v>64.89</v>
      </c>
      <c r="Y557" s="3">
        <v>65.959999999999994</v>
      </c>
      <c r="Z557" s="3">
        <v>24802698</v>
      </c>
      <c r="AA557" s="3">
        <v>24.85</v>
      </c>
      <c r="AB557" s="3">
        <v>24.92</v>
      </c>
      <c r="AC557" s="3">
        <v>24.72</v>
      </c>
      <c r="AD557" s="3">
        <v>24.81</v>
      </c>
      <c r="AE557" s="3">
        <v>48259409</v>
      </c>
      <c r="AF557" s="3">
        <v>80.239999999999995</v>
      </c>
      <c r="AG557" s="3">
        <v>80.55</v>
      </c>
      <c r="AH557" s="3">
        <v>80.239999999999995</v>
      </c>
      <c r="AI557" s="3">
        <v>80.55</v>
      </c>
      <c r="AJ557" s="3">
        <v>8177869</v>
      </c>
      <c r="AK557" s="3">
        <v>69.11</v>
      </c>
      <c r="AL557" s="3">
        <v>69.3</v>
      </c>
      <c r="AM557" s="3">
        <v>69</v>
      </c>
      <c r="AN557" s="3">
        <v>69.3</v>
      </c>
      <c r="AO557" s="3">
        <v>8864581</v>
      </c>
      <c r="AP557" s="3">
        <v>55.15</v>
      </c>
      <c r="AQ557" s="3">
        <v>55.7</v>
      </c>
      <c r="AR557" s="3">
        <v>55.15</v>
      </c>
      <c r="AS557" s="3">
        <v>55.66</v>
      </c>
      <c r="AT557" s="3">
        <v>3423050</v>
      </c>
      <c r="AU557" s="3">
        <v>57.22</v>
      </c>
      <c r="AV557" s="3">
        <v>57.47</v>
      </c>
      <c r="AW557" s="3">
        <v>57.17</v>
      </c>
      <c r="AX557" s="3">
        <v>57.42</v>
      </c>
      <c r="AY557" s="3">
        <v>6673574</v>
      </c>
      <c r="AZ557" s="3">
        <v>52.4</v>
      </c>
      <c r="BA557" s="3">
        <v>52.55</v>
      </c>
      <c r="BB557" s="3">
        <v>52.25</v>
      </c>
      <c r="BC557" s="3">
        <v>52.53</v>
      </c>
      <c r="BD557" s="3">
        <v>10669353</v>
      </c>
      <c r="BE557" s="3">
        <v>32.22</v>
      </c>
      <c r="BF557" s="3">
        <v>32.47</v>
      </c>
      <c r="BG557" s="3">
        <v>32.130000000000003</v>
      </c>
      <c r="BH557" s="3">
        <v>32.47</v>
      </c>
      <c r="BI557" s="3">
        <v>4613879</v>
      </c>
    </row>
    <row r="558" spans="1:61" ht="13" x14ac:dyDescent="0.15">
      <c r="A558" s="3">
        <v>42936</v>
      </c>
      <c r="B558" s="3">
        <v>2475.56</v>
      </c>
      <c r="C558" s="3">
        <v>2477.62</v>
      </c>
      <c r="D558" s="3">
        <v>2468.4299999999998</v>
      </c>
      <c r="E558" s="3">
        <v>2473.4499999999998</v>
      </c>
      <c r="F558" s="3">
        <v>1993809051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3">
        <v>91.35</v>
      </c>
      <c r="M558" s="3">
        <v>91.42</v>
      </c>
      <c r="N558" s="3">
        <v>90.76</v>
      </c>
      <c r="O558" s="3">
        <v>91.07</v>
      </c>
      <c r="P558" s="3">
        <v>4599489</v>
      </c>
      <c r="Q558" s="3">
        <v>54.94</v>
      </c>
      <c r="R558" s="3">
        <v>55.16</v>
      </c>
      <c r="S558" s="3">
        <v>54.84</v>
      </c>
      <c r="T558" s="3">
        <v>54.99</v>
      </c>
      <c r="U558" s="3">
        <v>9816651</v>
      </c>
      <c r="V558" s="3">
        <v>66.33</v>
      </c>
      <c r="W558" s="3">
        <v>66.569999999999993</v>
      </c>
      <c r="X558" s="3">
        <v>65.58</v>
      </c>
      <c r="Y558" s="3">
        <v>65.760000000000005</v>
      </c>
      <c r="Z558" s="3">
        <v>17159291</v>
      </c>
      <c r="AA558" s="3">
        <v>24.83</v>
      </c>
      <c r="AB558" s="3">
        <v>24.94</v>
      </c>
      <c r="AC558" s="3">
        <v>24.75</v>
      </c>
      <c r="AD558" s="3">
        <v>24.8</v>
      </c>
      <c r="AE558" s="3">
        <v>40163535</v>
      </c>
      <c r="AF558" s="3">
        <v>80.739999999999995</v>
      </c>
      <c r="AG558" s="3">
        <v>81.209999999999994</v>
      </c>
      <c r="AH558" s="3">
        <v>80.61</v>
      </c>
      <c r="AI558" s="3">
        <v>81.08</v>
      </c>
      <c r="AJ558" s="3">
        <v>8276829</v>
      </c>
      <c r="AK558" s="3">
        <v>69.36</v>
      </c>
      <c r="AL558" s="3">
        <v>69.400000000000006</v>
      </c>
      <c r="AM558" s="3">
        <v>68.819999999999993</v>
      </c>
      <c r="AN558" s="3">
        <v>68.91</v>
      </c>
      <c r="AO558" s="3">
        <v>7428029</v>
      </c>
      <c r="AP558" s="3">
        <v>55.53</v>
      </c>
      <c r="AQ558" s="3">
        <v>55.55</v>
      </c>
      <c r="AR558" s="3">
        <v>55.08</v>
      </c>
      <c r="AS558" s="3">
        <v>55.25</v>
      </c>
      <c r="AT558" s="3">
        <v>4520545</v>
      </c>
      <c r="AU558" s="3">
        <v>57.58</v>
      </c>
      <c r="AV558" s="3">
        <v>57.6</v>
      </c>
      <c r="AW558" s="3">
        <v>57.21</v>
      </c>
      <c r="AX558" s="3">
        <v>57.54</v>
      </c>
      <c r="AY558" s="3">
        <v>10372868</v>
      </c>
      <c r="AZ558" s="3">
        <v>52.67</v>
      </c>
      <c r="BA558" s="3">
        <v>52.92</v>
      </c>
      <c r="BB558" s="3">
        <v>52.54</v>
      </c>
      <c r="BC558" s="3">
        <v>52.91</v>
      </c>
      <c r="BD558" s="3">
        <v>8462529</v>
      </c>
      <c r="BE558" s="3">
        <v>32.54</v>
      </c>
      <c r="BF558" s="3">
        <v>32.58</v>
      </c>
      <c r="BG558" s="3">
        <v>32.36</v>
      </c>
      <c r="BH558" s="3">
        <v>32.380000000000003</v>
      </c>
      <c r="BI558" s="3">
        <v>1048321</v>
      </c>
    </row>
    <row r="559" spans="1:61" ht="13" x14ac:dyDescent="0.15">
      <c r="A559" s="3">
        <v>42937</v>
      </c>
      <c r="B559" s="3">
        <v>2467.4</v>
      </c>
      <c r="C559" s="3">
        <v>2472.54</v>
      </c>
      <c r="D559" s="3">
        <v>2465.06</v>
      </c>
      <c r="E559" s="3">
        <v>2472.54</v>
      </c>
      <c r="F559" s="3">
        <v>1946504700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3">
        <v>90.64</v>
      </c>
      <c r="M559" s="3">
        <v>91.13</v>
      </c>
      <c r="N559" s="3">
        <v>90.64</v>
      </c>
      <c r="O559" s="3">
        <v>91.13</v>
      </c>
      <c r="P559" s="3">
        <v>3324429</v>
      </c>
      <c r="Q559" s="3">
        <v>54.8</v>
      </c>
      <c r="R559" s="3">
        <v>55.1</v>
      </c>
      <c r="S559" s="3">
        <v>54.75</v>
      </c>
      <c r="T559" s="3">
        <v>55.08</v>
      </c>
      <c r="U559" s="3">
        <v>7772496</v>
      </c>
      <c r="V559" s="3">
        <v>65.540000000000006</v>
      </c>
      <c r="W559" s="3">
        <v>65.849999999999994</v>
      </c>
      <c r="X559" s="3">
        <v>65.02</v>
      </c>
      <c r="Y559" s="3">
        <v>65.11</v>
      </c>
      <c r="Z559" s="3">
        <v>13861342</v>
      </c>
      <c r="AA559" s="3">
        <v>24.73</v>
      </c>
      <c r="AB559" s="3">
        <v>24.88</v>
      </c>
      <c r="AC559" s="3">
        <v>24.73</v>
      </c>
      <c r="AD559" s="3">
        <v>24.8</v>
      </c>
      <c r="AE559" s="3">
        <v>43888447</v>
      </c>
      <c r="AF559" s="3">
        <v>80.91</v>
      </c>
      <c r="AG559" s="3">
        <v>81.11</v>
      </c>
      <c r="AH559" s="3">
        <v>80.849999999999994</v>
      </c>
      <c r="AI559" s="3">
        <v>80.989999999999995</v>
      </c>
      <c r="AJ559" s="3">
        <v>4796849</v>
      </c>
      <c r="AK559" s="3">
        <v>68.569999999999993</v>
      </c>
      <c r="AL559" s="3">
        <v>68.81</v>
      </c>
      <c r="AM559" s="3">
        <v>68.34</v>
      </c>
      <c r="AN559" s="3">
        <v>68.78</v>
      </c>
      <c r="AO559" s="3">
        <v>7643811</v>
      </c>
      <c r="AP559" s="3">
        <v>55.09</v>
      </c>
      <c r="AQ559" s="3">
        <v>55.27</v>
      </c>
      <c r="AR559" s="3">
        <v>55.01</v>
      </c>
      <c r="AS559" s="3">
        <v>55.26</v>
      </c>
      <c r="AT559" s="3">
        <v>2723463</v>
      </c>
      <c r="AU559" s="3">
        <v>57.29</v>
      </c>
      <c r="AV559" s="3">
        <v>57.48</v>
      </c>
      <c r="AW559" s="3">
        <v>57.23</v>
      </c>
      <c r="AX559" s="3">
        <v>57.47</v>
      </c>
      <c r="AY559" s="3">
        <v>5919823</v>
      </c>
      <c r="AZ559" s="3">
        <v>52.92</v>
      </c>
      <c r="BA559" s="3">
        <v>53.29</v>
      </c>
      <c r="BB559" s="3">
        <v>52.74</v>
      </c>
      <c r="BC559" s="3">
        <v>53.29</v>
      </c>
      <c r="BD559" s="3">
        <v>9265195</v>
      </c>
      <c r="BE559" s="3">
        <v>32.36</v>
      </c>
      <c r="BF559" s="3">
        <v>32.47</v>
      </c>
      <c r="BG559" s="3">
        <v>32.28</v>
      </c>
      <c r="BH559" s="3">
        <v>32.44</v>
      </c>
      <c r="BI559" s="3">
        <v>1200996</v>
      </c>
    </row>
    <row r="560" spans="1:61" ht="13" x14ac:dyDescent="0.15">
      <c r="A560" s="3">
        <v>42940</v>
      </c>
      <c r="B560" s="3">
        <v>2472.04</v>
      </c>
      <c r="C560" s="3">
        <v>2473.1</v>
      </c>
      <c r="D560" s="3">
        <v>2466.3200000000002</v>
      </c>
      <c r="E560" s="3">
        <v>2469.91</v>
      </c>
      <c r="F560" s="3">
        <v>1943950654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3">
        <v>91.16</v>
      </c>
      <c r="M560" s="3">
        <v>91.16</v>
      </c>
      <c r="N560" s="3">
        <v>90.72</v>
      </c>
      <c r="O560" s="3">
        <v>90.82</v>
      </c>
      <c r="P560" s="3">
        <v>2040899</v>
      </c>
      <c r="Q560" s="3">
        <v>55.06</v>
      </c>
      <c r="R560" s="3">
        <v>55.09</v>
      </c>
      <c r="S560" s="3">
        <v>54.86</v>
      </c>
      <c r="T560" s="3">
        <v>54.9</v>
      </c>
      <c r="U560" s="3">
        <v>9302362</v>
      </c>
      <c r="V560" s="3">
        <v>65.25</v>
      </c>
      <c r="W560" s="3">
        <v>65.349999999999994</v>
      </c>
      <c r="X560" s="3">
        <v>64.84</v>
      </c>
      <c r="Y560" s="3">
        <v>64.989999999999995</v>
      </c>
      <c r="Z560" s="3">
        <v>10433371</v>
      </c>
      <c r="AA560" s="3">
        <v>24.79</v>
      </c>
      <c r="AB560" s="3">
        <v>24.94</v>
      </c>
      <c r="AC560" s="3">
        <v>24.79</v>
      </c>
      <c r="AD560" s="3">
        <v>24.91</v>
      </c>
      <c r="AE560" s="3">
        <v>26364776</v>
      </c>
      <c r="AF560" s="3">
        <v>80.92</v>
      </c>
      <c r="AG560" s="3">
        <v>81.040000000000006</v>
      </c>
      <c r="AH560" s="3">
        <v>80.61</v>
      </c>
      <c r="AI560" s="3">
        <v>80.959999999999994</v>
      </c>
      <c r="AJ560" s="3">
        <v>4476835</v>
      </c>
      <c r="AK560" s="3">
        <v>68.709999999999994</v>
      </c>
      <c r="AL560" s="3">
        <v>68.81</v>
      </c>
      <c r="AM560" s="3">
        <v>68.53</v>
      </c>
      <c r="AN560" s="3">
        <v>68.63</v>
      </c>
      <c r="AO560" s="3">
        <v>7551671</v>
      </c>
      <c r="AP560" s="3">
        <v>55.2</v>
      </c>
      <c r="AQ560" s="3">
        <v>55.29</v>
      </c>
      <c r="AR560" s="3">
        <v>54.98</v>
      </c>
      <c r="AS560" s="3">
        <v>55.21</v>
      </c>
      <c r="AT560" s="3">
        <v>2761074</v>
      </c>
      <c r="AU560" s="3">
        <v>57.44</v>
      </c>
      <c r="AV560" s="3">
        <v>57.66</v>
      </c>
      <c r="AW560" s="3">
        <v>57.32</v>
      </c>
      <c r="AX560" s="3">
        <v>57.61</v>
      </c>
      <c r="AY560" s="3">
        <v>5378125</v>
      </c>
      <c r="AZ560" s="3">
        <v>53.32</v>
      </c>
      <c r="BA560" s="3">
        <v>53.32</v>
      </c>
      <c r="BB560" s="3">
        <v>52.71</v>
      </c>
      <c r="BC560" s="3">
        <v>52.79</v>
      </c>
      <c r="BD560" s="3">
        <v>10534756</v>
      </c>
      <c r="BE560" s="3">
        <v>32.44</v>
      </c>
      <c r="BF560" s="3">
        <v>32.47</v>
      </c>
      <c r="BG560" s="3">
        <v>32.26</v>
      </c>
      <c r="BH560" s="3">
        <v>32.42</v>
      </c>
      <c r="BI560" s="3">
        <v>1091520</v>
      </c>
    </row>
    <row r="561" spans="1:61" ht="13" x14ac:dyDescent="0.15">
      <c r="A561" s="3">
        <v>42941</v>
      </c>
      <c r="B561" s="3">
        <v>2477.88</v>
      </c>
      <c r="C561" s="3">
        <v>2481.2399999999998</v>
      </c>
      <c r="D561" s="3">
        <v>2474.91</v>
      </c>
      <c r="E561" s="3">
        <v>2477.13</v>
      </c>
      <c r="F561" s="3">
        <v>2373901996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3">
        <v>91.16</v>
      </c>
      <c r="M561" s="3">
        <v>91.7</v>
      </c>
      <c r="N561" s="3">
        <v>91.01</v>
      </c>
      <c r="O561" s="3">
        <v>91.46</v>
      </c>
      <c r="P561" s="3">
        <v>5048411</v>
      </c>
      <c r="Q561" s="3">
        <v>55.09</v>
      </c>
      <c r="R561" s="3">
        <v>55.32</v>
      </c>
      <c r="S561" s="3">
        <v>55.04</v>
      </c>
      <c r="T561" s="3">
        <v>55.28</v>
      </c>
      <c r="U561" s="3">
        <v>13799891</v>
      </c>
      <c r="V561" s="3">
        <v>65.77</v>
      </c>
      <c r="W561" s="3">
        <v>66.28</v>
      </c>
      <c r="X561" s="3">
        <v>65.62</v>
      </c>
      <c r="Y561" s="3">
        <v>65.81</v>
      </c>
      <c r="Z561" s="3">
        <v>15479286</v>
      </c>
      <c r="AA561" s="3">
        <v>25.19</v>
      </c>
      <c r="AB561" s="3">
        <v>25.32</v>
      </c>
      <c r="AC561" s="3">
        <v>25.15</v>
      </c>
      <c r="AD561" s="3">
        <v>25.22</v>
      </c>
      <c r="AE561" s="3">
        <v>75786820</v>
      </c>
      <c r="AF561" s="3">
        <v>81.150000000000006</v>
      </c>
      <c r="AG561" s="3">
        <v>81.209999999999994</v>
      </c>
      <c r="AH561" s="3">
        <v>80.260000000000005</v>
      </c>
      <c r="AI561" s="3">
        <v>80.38</v>
      </c>
      <c r="AJ561" s="3">
        <v>8485963</v>
      </c>
      <c r="AK561" s="3">
        <v>68.98</v>
      </c>
      <c r="AL561" s="3">
        <v>68.98</v>
      </c>
      <c r="AM561" s="3">
        <v>68.34</v>
      </c>
      <c r="AN561" s="3">
        <v>68.540000000000006</v>
      </c>
      <c r="AO561" s="3">
        <v>9077140</v>
      </c>
      <c r="AP561" s="3">
        <v>55.69</v>
      </c>
      <c r="AQ561" s="3">
        <v>55.92</v>
      </c>
      <c r="AR561" s="3">
        <v>55.62</v>
      </c>
      <c r="AS561" s="3">
        <v>55.8</v>
      </c>
      <c r="AT561" s="3">
        <v>4555217</v>
      </c>
      <c r="AU561" s="3">
        <v>57.43</v>
      </c>
      <c r="AV561" s="3">
        <v>57.62</v>
      </c>
      <c r="AW561" s="3">
        <v>57.25</v>
      </c>
      <c r="AX561" s="3">
        <v>57.5</v>
      </c>
      <c r="AY561" s="3">
        <v>6880283</v>
      </c>
      <c r="AZ561" s="3">
        <v>52.68</v>
      </c>
      <c r="BA561" s="3">
        <v>52.83</v>
      </c>
      <c r="BB561" s="3">
        <v>52.43</v>
      </c>
      <c r="BC561" s="3">
        <v>52.49</v>
      </c>
      <c r="BD561" s="3">
        <v>10568057</v>
      </c>
      <c r="BE561" s="3">
        <v>32.43</v>
      </c>
      <c r="BF561" s="3">
        <v>32.43</v>
      </c>
      <c r="BG561" s="3">
        <v>32.200000000000003</v>
      </c>
      <c r="BH561" s="3">
        <v>32.42</v>
      </c>
      <c r="BI561" s="3">
        <v>2142773</v>
      </c>
    </row>
    <row r="562" spans="1:61" ht="13" x14ac:dyDescent="0.15">
      <c r="A562" s="3">
        <v>42942</v>
      </c>
      <c r="B562" s="3">
        <v>2479.9699999999998</v>
      </c>
      <c r="C562" s="3">
        <v>2481.69</v>
      </c>
      <c r="D562" s="3">
        <v>2474.94</v>
      </c>
      <c r="E562" s="3">
        <v>2477.83</v>
      </c>
      <c r="F562" s="3">
        <v>2261843215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3">
        <v>91.61</v>
      </c>
      <c r="M562" s="3">
        <v>91.63</v>
      </c>
      <c r="N562" s="3">
        <v>91.32</v>
      </c>
      <c r="O562" s="3">
        <v>91.42</v>
      </c>
      <c r="P562" s="3">
        <v>2864393</v>
      </c>
      <c r="Q562" s="3">
        <v>55.29</v>
      </c>
      <c r="R562" s="3">
        <v>55.41</v>
      </c>
      <c r="S562" s="3">
        <v>55.1</v>
      </c>
      <c r="T562" s="3">
        <v>55.27</v>
      </c>
      <c r="U562" s="3">
        <v>7593978</v>
      </c>
      <c r="V562" s="3">
        <v>66.180000000000007</v>
      </c>
      <c r="W562" s="3">
        <v>66.64</v>
      </c>
      <c r="X562" s="3">
        <v>65.7</v>
      </c>
      <c r="Y562" s="3">
        <v>65.88</v>
      </c>
      <c r="Z562" s="3">
        <v>21211410</v>
      </c>
      <c r="AA562" s="3">
        <v>25.25</v>
      </c>
      <c r="AB562" s="3">
        <v>25.29</v>
      </c>
      <c r="AC562" s="3">
        <v>24.99</v>
      </c>
      <c r="AD562" s="3">
        <v>25.05</v>
      </c>
      <c r="AE562" s="3">
        <v>56086548</v>
      </c>
      <c r="AF562" s="3">
        <v>80.2</v>
      </c>
      <c r="AG562" s="3">
        <v>80.28</v>
      </c>
      <c r="AH562" s="3">
        <v>79.89</v>
      </c>
      <c r="AI562" s="3">
        <v>80.11</v>
      </c>
      <c r="AJ562" s="3">
        <v>4964146</v>
      </c>
      <c r="AK562" s="3">
        <v>68.739999999999995</v>
      </c>
      <c r="AL562" s="3">
        <v>68.739999999999995</v>
      </c>
      <c r="AM562" s="3">
        <v>68.47</v>
      </c>
      <c r="AN562" s="3">
        <v>68.63</v>
      </c>
      <c r="AO562" s="3">
        <v>6803993</v>
      </c>
      <c r="AP562" s="3">
        <v>55.76</v>
      </c>
      <c r="AQ562" s="3">
        <v>55.76</v>
      </c>
      <c r="AR562" s="3">
        <v>55.38</v>
      </c>
      <c r="AS562" s="3">
        <v>55.46</v>
      </c>
      <c r="AT562" s="3">
        <v>3811965</v>
      </c>
      <c r="AU562" s="3">
        <v>57.81</v>
      </c>
      <c r="AV562" s="3">
        <v>57.82</v>
      </c>
      <c r="AW562" s="3">
        <v>57.53</v>
      </c>
      <c r="AX562" s="3">
        <v>57.72</v>
      </c>
      <c r="AY562" s="3">
        <v>10602647</v>
      </c>
      <c r="AZ562" s="3">
        <v>52.48</v>
      </c>
      <c r="BA562" s="3">
        <v>52.99</v>
      </c>
      <c r="BB562" s="3">
        <v>52.4</v>
      </c>
      <c r="BC562" s="3">
        <v>52.99</v>
      </c>
      <c r="BD562" s="3">
        <v>8631220</v>
      </c>
      <c r="BE562" s="3">
        <v>32.43</v>
      </c>
      <c r="BF562" s="3">
        <v>32.770000000000003</v>
      </c>
      <c r="BG562" s="3">
        <v>32.340000000000003</v>
      </c>
      <c r="BH562" s="3">
        <v>32.69</v>
      </c>
      <c r="BI562" s="3">
        <v>1903795</v>
      </c>
    </row>
    <row r="563" spans="1:61" ht="13" x14ac:dyDescent="0.15">
      <c r="A563" s="3">
        <v>42943</v>
      </c>
      <c r="B563" s="3">
        <v>2482.7600000000002</v>
      </c>
      <c r="C563" s="3">
        <v>2484.04</v>
      </c>
      <c r="D563" s="3">
        <v>2459.9299999999998</v>
      </c>
      <c r="E563" s="3">
        <v>2475.42</v>
      </c>
      <c r="F563" s="3">
        <v>2677231030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3">
        <v>91.81</v>
      </c>
      <c r="M563" s="3">
        <v>92.55</v>
      </c>
      <c r="N563" s="3">
        <v>91.32</v>
      </c>
      <c r="O563" s="3">
        <v>92.09</v>
      </c>
      <c r="P563" s="3">
        <v>6637638</v>
      </c>
      <c r="Q563" s="3">
        <v>55.31</v>
      </c>
      <c r="R563" s="3">
        <v>55.82</v>
      </c>
      <c r="S563" s="3">
        <v>55.28</v>
      </c>
      <c r="T563" s="3">
        <v>55.81</v>
      </c>
      <c r="U563" s="3">
        <v>12859013</v>
      </c>
      <c r="V563" s="3">
        <v>65.900000000000006</v>
      </c>
      <c r="W563" s="3">
        <v>66.58</v>
      </c>
      <c r="X563" s="3">
        <v>65.599999999999994</v>
      </c>
      <c r="Y563" s="3">
        <v>66.55</v>
      </c>
      <c r="Z563" s="3">
        <v>15815914</v>
      </c>
      <c r="AA563" s="3">
        <v>25.1</v>
      </c>
      <c r="AB563" s="3">
        <v>25.11</v>
      </c>
      <c r="AC563" s="3">
        <v>24.8</v>
      </c>
      <c r="AD563" s="3">
        <v>24.91</v>
      </c>
      <c r="AE563" s="3">
        <v>67826171</v>
      </c>
      <c r="AF563" s="3">
        <v>80.19</v>
      </c>
      <c r="AG563" s="3">
        <v>80.19</v>
      </c>
      <c r="AH563" s="3">
        <v>79.23</v>
      </c>
      <c r="AI563" s="3">
        <v>79.56</v>
      </c>
      <c r="AJ563" s="3">
        <v>12536833</v>
      </c>
      <c r="AK563" s="3">
        <v>68.56</v>
      </c>
      <c r="AL563" s="3">
        <v>68.56</v>
      </c>
      <c r="AM563" s="3">
        <v>67.91</v>
      </c>
      <c r="AN563" s="3">
        <v>68.239999999999995</v>
      </c>
      <c r="AO563" s="3">
        <v>9900940</v>
      </c>
      <c r="AP563" s="3">
        <v>55.52</v>
      </c>
      <c r="AQ563" s="3">
        <v>55.62</v>
      </c>
      <c r="AR563" s="3">
        <v>55</v>
      </c>
      <c r="AS563" s="3">
        <v>55.26</v>
      </c>
      <c r="AT563" s="3">
        <v>3789289</v>
      </c>
      <c r="AU563" s="3">
        <v>58.13</v>
      </c>
      <c r="AV563" s="3">
        <v>58.2</v>
      </c>
      <c r="AW563" s="3">
        <v>56.79</v>
      </c>
      <c r="AX563" s="3">
        <v>57.5</v>
      </c>
      <c r="AY563" s="3">
        <v>23047172</v>
      </c>
      <c r="AZ563" s="3">
        <v>52.84</v>
      </c>
      <c r="BA563" s="3">
        <v>53.12</v>
      </c>
      <c r="BB563" s="3">
        <v>52.78</v>
      </c>
      <c r="BC563" s="3">
        <v>53.12</v>
      </c>
      <c r="BD563" s="3">
        <v>9586920</v>
      </c>
      <c r="BE563" s="3">
        <v>32.56</v>
      </c>
      <c r="BF563" s="3">
        <v>32.76</v>
      </c>
      <c r="BG563" s="3">
        <v>32.32</v>
      </c>
      <c r="BH563" s="3">
        <v>32.659999999999997</v>
      </c>
      <c r="BI563" s="3">
        <v>2164655</v>
      </c>
    </row>
    <row r="564" spans="1:61" ht="13" x14ac:dyDescent="0.15">
      <c r="A564" s="3">
        <v>42944</v>
      </c>
      <c r="B564" s="3">
        <v>2469.12</v>
      </c>
      <c r="C564" s="3">
        <v>2473.5300000000002</v>
      </c>
      <c r="D564" s="3">
        <v>2464.66</v>
      </c>
      <c r="E564" s="3">
        <v>2472.1</v>
      </c>
      <c r="F564" s="3">
        <v>2043353625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3">
        <v>91.19</v>
      </c>
      <c r="M564" s="3">
        <v>91.5</v>
      </c>
      <c r="N564" s="3">
        <v>91.04</v>
      </c>
      <c r="O564" s="3">
        <v>91.39</v>
      </c>
      <c r="P564" s="3">
        <v>3916736</v>
      </c>
      <c r="Q564" s="3">
        <v>55.64</v>
      </c>
      <c r="R564" s="3">
        <v>55.87</v>
      </c>
      <c r="S564" s="3">
        <v>54.57</v>
      </c>
      <c r="T564" s="3">
        <v>55.34</v>
      </c>
      <c r="U564" s="3">
        <v>18412186</v>
      </c>
      <c r="V564" s="3">
        <v>66.33</v>
      </c>
      <c r="W564" s="3">
        <v>67.13</v>
      </c>
      <c r="X564" s="3">
        <v>66.22</v>
      </c>
      <c r="Y564" s="3">
        <v>66.47</v>
      </c>
      <c r="Z564" s="3">
        <v>14765006</v>
      </c>
      <c r="AA564" s="3">
        <v>24.87</v>
      </c>
      <c r="AB564" s="3">
        <v>24.98</v>
      </c>
      <c r="AC564" s="3">
        <v>24.77</v>
      </c>
      <c r="AD564" s="3">
        <v>24.91</v>
      </c>
      <c r="AE564" s="3">
        <v>43735806</v>
      </c>
      <c r="AF564" s="3">
        <v>79.59</v>
      </c>
      <c r="AG564" s="3">
        <v>80.06</v>
      </c>
      <c r="AH564" s="3">
        <v>79.25</v>
      </c>
      <c r="AI564" s="3">
        <v>79.959999999999994</v>
      </c>
      <c r="AJ564" s="3">
        <v>6426095</v>
      </c>
      <c r="AK564" s="3">
        <v>68.17</v>
      </c>
      <c r="AL564" s="3">
        <v>68.45</v>
      </c>
      <c r="AM564" s="3">
        <v>68.02</v>
      </c>
      <c r="AN564" s="3">
        <v>68.400000000000006</v>
      </c>
      <c r="AO564" s="3">
        <v>11435656</v>
      </c>
      <c r="AP564" s="3">
        <v>55.31</v>
      </c>
      <c r="AQ564" s="3">
        <v>55.48</v>
      </c>
      <c r="AR564" s="3">
        <v>54.85</v>
      </c>
      <c r="AS564" s="3">
        <v>55.06</v>
      </c>
      <c r="AT564" s="3">
        <v>4691189</v>
      </c>
      <c r="AU564" s="3">
        <v>57.21</v>
      </c>
      <c r="AV564" s="3">
        <v>57.55</v>
      </c>
      <c r="AW564" s="3">
        <v>57.16</v>
      </c>
      <c r="AX564" s="3">
        <v>57.44</v>
      </c>
      <c r="AY564" s="3">
        <v>10293081</v>
      </c>
      <c r="AZ564" s="3">
        <v>53.04</v>
      </c>
      <c r="BA564" s="3">
        <v>53.19</v>
      </c>
      <c r="BB564" s="3">
        <v>52.79</v>
      </c>
      <c r="BC564" s="3">
        <v>53.04</v>
      </c>
      <c r="BD564" s="3">
        <v>9638979</v>
      </c>
      <c r="BE564" s="3">
        <v>32.590000000000003</v>
      </c>
      <c r="BF564" s="3">
        <v>32.770000000000003</v>
      </c>
      <c r="BG564" s="3">
        <v>32.520000000000003</v>
      </c>
      <c r="BH564" s="3">
        <v>32.64</v>
      </c>
      <c r="BI564" s="3">
        <v>2060197</v>
      </c>
    </row>
    <row r="565" spans="1:61" ht="13" x14ac:dyDescent="0.15">
      <c r="A565" s="3">
        <v>42947</v>
      </c>
      <c r="B565" s="3">
        <v>2475.94</v>
      </c>
      <c r="C565" s="3">
        <v>2477.96</v>
      </c>
      <c r="D565" s="3">
        <v>2468.5300000000002</v>
      </c>
      <c r="E565" s="3">
        <v>2470.3000000000002</v>
      </c>
      <c r="F565" s="3">
        <v>2189633778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3">
        <v>91.72</v>
      </c>
      <c r="M565" s="3">
        <v>91.85</v>
      </c>
      <c r="N565" s="3">
        <v>91.06</v>
      </c>
      <c r="O565" s="3">
        <v>91.36</v>
      </c>
      <c r="P565" s="3">
        <v>3130649</v>
      </c>
      <c r="Q565" s="3">
        <v>55.2</v>
      </c>
      <c r="R565" s="3">
        <v>55.45</v>
      </c>
      <c r="S565" s="3">
        <v>55.19</v>
      </c>
      <c r="T565" s="3">
        <v>55.32</v>
      </c>
      <c r="U565" s="3">
        <v>7279311</v>
      </c>
      <c r="V565" s="3">
        <v>66.489999999999995</v>
      </c>
      <c r="W565" s="3">
        <v>67</v>
      </c>
      <c r="X565" s="3">
        <v>66.31</v>
      </c>
      <c r="Y565" s="3">
        <v>66.62</v>
      </c>
      <c r="Z565" s="3">
        <v>13519501</v>
      </c>
      <c r="AA565" s="3">
        <v>25</v>
      </c>
      <c r="AB565" s="3">
        <v>25.18</v>
      </c>
      <c r="AC565" s="3">
        <v>24.97</v>
      </c>
      <c r="AD565" s="3">
        <v>25.09</v>
      </c>
      <c r="AE565" s="3">
        <v>43039260</v>
      </c>
      <c r="AF565" s="3">
        <v>80.06</v>
      </c>
      <c r="AG565" s="3">
        <v>80.22</v>
      </c>
      <c r="AH565" s="3">
        <v>79.88</v>
      </c>
      <c r="AI565" s="3">
        <v>79.89</v>
      </c>
      <c r="AJ565" s="3">
        <v>5516781</v>
      </c>
      <c r="AK565" s="3">
        <v>68.72</v>
      </c>
      <c r="AL565" s="3">
        <v>68.75</v>
      </c>
      <c r="AM565" s="3">
        <v>68.290000000000006</v>
      </c>
      <c r="AN565" s="3">
        <v>68.31</v>
      </c>
      <c r="AO565" s="3">
        <v>6787348</v>
      </c>
      <c r="AP565" s="3">
        <v>55.18</v>
      </c>
      <c r="AQ565" s="3">
        <v>55.25</v>
      </c>
      <c r="AR565" s="3">
        <v>54.61</v>
      </c>
      <c r="AS565" s="3">
        <v>54.64</v>
      </c>
      <c r="AT565" s="3">
        <v>4509838</v>
      </c>
      <c r="AU565" s="3">
        <v>57.53</v>
      </c>
      <c r="AV565" s="3">
        <v>57.66</v>
      </c>
      <c r="AW565" s="3">
        <v>57.1</v>
      </c>
      <c r="AX565" s="3">
        <v>57.16</v>
      </c>
      <c r="AY565" s="3">
        <v>10982828</v>
      </c>
      <c r="AZ565" s="3">
        <v>52.98</v>
      </c>
      <c r="BA565" s="3">
        <v>53.34</v>
      </c>
      <c r="BB565" s="3">
        <v>52.9</v>
      </c>
      <c r="BC565" s="3">
        <v>53.22</v>
      </c>
      <c r="BD565" s="3">
        <v>11861324</v>
      </c>
      <c r="BE565" s="3">
        <v>32.619999999999997</v>
      </c>
      <c r="BF565" s="3">
        <v>32.659999999999997</v>
      </c>
      <c r="BG565" s="3">
        <v>32.36</v>
      </c>
      <c r="BH565" s="3">
        <v>32.590000000000003</v>
      </c>
      <c r="BI565" s="3">
        <v>1526567</v>
      </c>
    </row>
    <row r="566" spans="1:61" ht="13" x14ac:dyDescent="0.15">
      <c r="A566" s="3">
        <v>42948</v>
      </c>
      <c r="B566" s="3">
        <v>2477.1</v>
      </c>
      <c r="C566" s="3">
        <v>2478.5100000000002</v>
      </c>
      <c r="D566" s="3">
        <v>2471.14</v>
      </c>
      <c r="E566" s="3">
        <v>2476.35</v>
      </c>
      <c r="F566" s="3">
        <v>2076284140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3">
        <v>91.63</v>
      </c>
      <c r="M566" s="3">
        <v>91.7</v>
      </c>
      <c r="N566" s="3">
        <v>91.23</v>
      </c>
      <c r="O566" s="3">
        <v>91.52</v>
      </c>
      <c r="P566" s="3">
        <v>4375438</v>
      </c>
      <c r="Q566" s="3">
        <v>55.38</v>
      </c>
      <c r="R566" s="3">
        <v>55.53</v>
      </c>
      <c r="S566" s="3">
        <v>55.23</v>
      </c>
      <c r="T566" s="3">
        <v>55.26</v>
      </c>
      <c r="U566" s="3">
        <v>19015257</v>
      </c>
      <c r="V566" s="3">
        <v>66.66</v>
      </c>
      <c r="W566" s="3">
        <v>66.989999999999995</v>
      </c>
      <c r="X566" s="3">
        <v>66.319999999999993</v>
      </c>
      <c r="Y566" s="3">
        <v>66.61</v>
      </c>
      <c r="Z566" s="3">
        <v>12668684</v>
      </c>
      <c r="AA566" s="3">
        <v>25.26</v>
      </c>
      <c r="AB566" s="3">
        <v>25.29</v>
      </c>
      <c r="AC566" s="3">
        <v>25.14</v>
      </c>
      <c r="AD566" s="3">
        <v>25.27</v>
      </c>
      <c r="AE566" s="3">
        <v>60987497</v>
      </c>
      <c r="AF566" s="3">
        <v>80.180000000000007</v>
      </c>
      <c r="AG566" s="3">
        <v>80.180000000000007</v>
      </c>
      <c r="AH566" s="3">
        <v>79.61</v>
      </c>
      <c r="AI566" s="3">
        <v>79.709999999999994</v>
      </c>
      <c r="AJ566" s="3">
        <v>8678807</v>
      </c>
      <c r="AK566" s="3">
        <v>68.37</v>
      </c>
      <c r="AL566" s="3">
        <v>68.489999999999995</v>
      </c>
      <c r="AM566" s="3">
        <v>67.91</v>
      </c>
      <c r="AN566" s="3">
        <v>68.11</v>
      </c>
      <c r="AO566" s="3">
        <v>16893671</v>
      </c>
      <c r="AP566" s="3">
        <v>54.87</v>
      </c>
      <c r="AQ566" s="3">
        <v>54.87</v>
      </c>
      <c r="AR566" s="3">
        <v>54.41</v>
      </c>
      <c r="AS566" s="3">
        <v>54.68</v>
      </c>
      <c r="AT566" s="3">
        <v>10532153</v>
      </c>
      <c r="AU566" s="3">
        <v>57.45</v>
      </c>
      <c r="AV566" s="3">
        <v>57.5</v>
      </c>
      <c r="AW566" s="3">
        <v>57.24</v>
      </c>
      <c r="AX566" s="3">
        <v>57.45</v>
      </c>
      <c r="AY566" s="3">
        <v>8307155</v>
      </c>
      <c r="AZ566" s="3">
        <v>53.3</v>
      </c>
      <c r="BA566" s="3">
        <v>53.62</v>
      </c>
      <c r="BB566" s="3">
        <v>53.25</v>
      </c>
      <c r="BC566" s="3">
        <v>53.52</v>
      </c>
      <c r="BD566" s="3">
        <v>10823091</v>
      </c>
      <c r="BE566" s="3">
        <v>32.65</v>
      </c>
      <c r="BF566" s="3">
        <v>32.840000000000003</v>
      </c>
      <c r="BG566" s="3">
        <v>32.450000000000003</v>
      </c>
      <c r="BH566" s="3">
        <v>32.729999999999997</v>
      </c>
      <c r="BI566" s="3">
        <v>2364510</v>
      </c>
    </row>
    <row r="567" spans="1:61" ht="13" x14ac:dyDescent="0.15">
      <c r="A567" s="3">
        <v>42949</v>
      </c>
      <c r="B567" s="3">
        <v>2480.38</v>
      </c>
      <c r="C567" s="3">
        <v>2480.38</v>
      </c>
      <c r="D567" s="3">
        <v>2466.48</v>
      </c>
      <c r="E567" s="3">
        <v>2477.5700000000002</v>
      </c>
      <c r="F567" s="3">
        <v>2125483668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3">
        <v>91.48</v>
      </c>
      <c r="M567" s="3">
        <v>91.52</v>
      </c>
      <c r="N567" s="3">
        <v>90.73</v>
      </c>
      <c r="O567" s="3">
        <v>91.27</v>
      </c>
      <c r="P567" s="3">
        <v>2888005</v>
      </c>
      <c r="Q567" s="3">
        <v>55.15</v>
      </c>
      <c r="R567" s="3">
        <v>55.31</v>
      </c>
      <c r="S567" s="3">
        <v>54.97</v>
      </c>
      <c r="T567" s="3">
        <v>55.22</v>
      </c>
      <c r="U567" s="3">
        <v>17133677</v>
      </c>
      <c r="V567" s="3">
        <v>66.27</v>
      </c>
      <c r="W567" s="3">
        <v>66.63</v>
      </c>
      <c r="X567" s="3">
        <v>65.680000000000007</v>
      </c>
      <c r="Y567" s="3">
        <v>66.36</v>
      </c>
      <c r="Z567" s="3">
        <v>15118528</v>
      </c>
      <c r="AA567" s="3">
        <v>25.3</v>
      </c>
      <c r="AB567" s="3">
        <v>25.33</v>
      </c>
      <c r="AC567" s="3">
        <v>25.18</v>
      </c>
      <c r="AD567" s="3">
        <v>25.31</v>
      </c>
      <c r="AE567" s="3">
        <v>43341507</v>
      </c>
      <c r="AF567" s="3">
        <v>79.7</v>
      </c>
      <c r="AG567" s="3">
        <v>79.7</v>
      </c>
      <c r="AH567" s="3">
        <v>79.25</v>
      </c>
      <c r="AI567" s="3">
        <v>79.53</v>
      </c>
      <c r="AJ567" s="3">
        <v>7718482</v>
      </c>
      <c r="AK567" s="3">
        <v>68.11</v>
      </c>
      <c r="AL567" s="3">
        <v>68.430000000000007</v>
      </c>
      <c r="AM567" s="3">
        <v>68</v>
      </c>
      <c r="AN567" s="3">
        <v>68.41</v>
      </c>
      <c r="AO567" s="3">
        <v>17642855</v>
      </c>
      <c r="AP567" s="3">
        <v>54.52</v>
      </c>
      <c r="AQ567" s="3">
        <v>54.81</v>
      </c>
      <c r="AR567" s="3">
        <v>54.28</v>
      </c>
      <c r="AS567" s="3">
        <v>54.73</v>
      </c>
      <c r="AT567" s="3">
        <v>3219458</v>
      </c>
      <c r="AU567" s="3">
        <v>58.04</v>
      </c>
      <c r="AV567" s="3">
        <v>58.05</v>
      </c>
      <c r="AW567" s="3">
        <v>57.25</v>
      </c>
      <c r="AX567" s="3">
        <v>57.61</v>
      </c>
      <c r="AY567" s="3">
        <v>12573937</v>
      </c>
      <c r="AZ567" s="3">
        <v>53.41</v>
      </c>
      <c r="BA567" s="3">
        <v>53.76</v>
      </c>
      <c r="BB567" s="3">
        <v>53.09</v>
      </c>
      <c r="BC567" s="3">
        <v>53.75</v>
      </c>
      <c r="BD567" s="3">
        <v>8015869</v>
      </c>
      <c r="BE567" s="3">
        <v>32.65</v>
      </c>
      <c r="BF567" s="3">
        <v>32.65</v>
      </c>
      <c r="BG567" s="3">
        <v>32.450000000000003</v>
      </c>
      <c r="BH567" s="3">
        <v>32.57</v>
      </c>
      <c r="BI567" s="3">
        <v>1712537</v>
      </c>
    </row>
    <row r="568" spans="1:61" ht="13" x14ac:dyDescent="0.15">
      <c r="A568" s="3">
        <v>42950</v>
      </c>
      <c r="B568" s="3">
        <v>2476.0300000000002</v>
      </c>
      <c r="C568" s="3">
        <v>2476.0300000000002</v>
      </c>
      <c r="D568" s="3">
        <v>2468.85</v>
      </c>
      <c r="E568" s="3">
        <v>2472.16</v>
      </c>
      <c r="F568" s="3">
        <v>2039487376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3">
        <v>91.18</v>
      </c>
      <c r="M568" s="3">
        <v>91.5</v>
      </c>
      <c r="N568" s="3">
        <v>90.99</v>
      </c>
      <c r="O568" s="3">
        <v>91.02</v>
      </c>
      <c r="P568" s="3">
        <v>3595719</v>
      </c>
      <c r="Q568" s="3">
        <v>55.21</v>
      </c>
      <c r="R568" s="3">
        <v>55.5</v>
      </c>
      <c r="S568" s="3">
        <v>55.1</v>
      </c>
      <c r="T568" s="3">
        <v>55.17</v>
      </c>
      <c r="U568" s="3">
        <v>17803439</v>
      </c>
      <c r="V568" s="3">
        <v>66.25</v>
      </c>
      <c r="W568" s="3">
        <v>66.36</v>
      </c>
      <c r="X568" s="3">
        <v>65.14</v>
      </c>
      <c r="Y568" s="3">
        <v>65.430000000000007</v>
      </c>
      <c r="Z568" s="3">
        <v>15327803</v>
      </c>
      <c r="AA568" s="3">
        <v>25.27</v>
      </c>
      <c r="AB568" s="3">
        <v>25.31</v>
      </c>
      <c r="AC568" s="3">
        <v>25.18</v>
      </c>
      <c r="AD568" s="3">
        <v>25.22</v>
      </c>
      <c r="AE568" s="3">
        <v>40816841</v>
      </c>
      <c r="AF568" s="3">
        <v>79.569999999999993</v>
      </c>
      <c r="AG568" s="3">
        <v>79.819999999999993</v>
      </c>
      <c r="AH568" s="3">
        <v>79.31</v>
      </c>
      <c r="AI568" s="3">
        <v>79.66</v>
      </c>
      <c r="AJ568" s="3">
        <v>8003584</v>
      </c>
      <c r="AK568" s="3">
        <v>68.28</v>
      </c>
      <c r="AL568" s="3">
        <v>68.75</v>
      </c>
      <c r="AM568" s="3">
        <v>68.28</v>
      </c>
      <c r="AN568" s="3">
        <v>68.75</v>
      </c>
      <c r="AO568" s="3">
        <v>13298775</v>
      </c>
      <c r="AP568" s="3">
        <v>54.91</v>
      </c>
      <c r="AQ568" s="3">
        <v>54.91</v>
      </c>
      <c r="AR568" s="3">
        <v>54.26</v>
      </c>
      <c r="AS568" s="3">
        <v>54.32</v>
      </c>
      <c r="AT568" s="3">
        <v>3991785</v>
      </c>
      <c r="AU568" s="3">
        <v>57.69</v>
      </c>
      <c r="AV568" s="3">
        <v>57.69</v>
      </c>
      <c r="AW568" s="3">
        <v>57.31</v>
      </c>
      <c r="AX568" s="3">
        <v>57.48</v>
      </c>
      <c r="AY568" s="3">
        <v>10687844</v>
      </c>
      <c r="AZ568" s="3">
        <v>53.82</v>
      </c>
      <c r="BA568" s="3">
        <v>54.02</v>
      </c>
      <c r="BB568" s="3">
        <v>53.58</v>
      </c>
      <c r="BC568" s="3">
        <v>54.02</v>
      </c>
      <c r="BD568" s="3">
        <v>10464730</v>
      </c>
      <c r="BE568" s="3">
        <v>32.549999999999997</v>
      </c>
      <c r="BF568" s="3">
        <v>32.659999999999997</v>
      </c>
      <c r="BG568" s="3">
        <v>32.39</v>
      </c>
      <c r="BH568" s="3">
        <v>32.49</v>
      </c>
      <c r="BI568" s="3">
        <v>1101311</v>
      </c>
    </row>
    <row r="569" spans="1:61" ht="13" x14ac:dyDescent="0.15">
      <c r="A569" s="3">
        <v>42951</v>
      </c>
      <c r="B569" s="3">
        <v>2476.88</v>
      </c>
      <c r="C569" s="3">
        <v>2480</v>
      </c>
      <c r="D569" s="3">
        <v>2472.08</v>
      </c>
      <c r="E569" s="3">
        <v>2476.83</v>
      </c>
      <c r="F569" s="3">
        <v>1869113813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3">
        <v>91.22</v>
      </c>
      <c r="M569" s="3">
        <v>91.22</v>
      </c>
      <c r="N569" s="3">
        <v>90.66</v>
      </c>
      <c r="O569" s="3">
        <v>91.03</v>
      </c>
      <c r="P569" s="3">
        <v>2449353</v>
      </c>
      <c r="Q569" s="3">
        <v>55.14</v>
      </c>
      <c r="R569" s="3">
        <v>55.32</v>
      </c>
      <c r="S569" s="3">
        <v>54.94</v>
      </c>
      <c r="T569" s="3">
        <v>55.02</v>
      </c>
      <c r="U569" s="3">
        <v>17063732</v>
      </c>
      <c r="V569" s="3">
        <v>65.459999999999994</v>
      </c>
      <c r="W569" s="3">
        <v>65.819999999999993</v>
      </c>
      <c r="X569" s="3">
        <v>65.31</v>
      </c>
      <c r="Y569" s="3">
        <v>65.64</v>
      </c>
      <c r="Z569" s="3">
        <v>9370985</v>
      </c>
      <c r="AA569" s="3">
        <v>25.45</v>
      </c>
      <c r="AB569" s="3">
        <v>25.49</v>
      </c>
      <c r="AC569" s="3">
        <v>25.34</v>
      </c>
      <c r="AD569" s="3">
        <v>25.39</v>
      </c>
      <c r="AE569" s="3">
        <v>50792914</v>
      </c>
      <c r="AF569" s="3">
        <v>80.03</v>
      </c>
      <c r="AG569" s="3">
        <v>80.03</v>
      </c>
      <c r="AH569" s="3">
        <v>79.38</v>
      </c>
      <c r="AI569" s="3">
        <v>79.48</v>
      </c>
      <c r="AJ569" s="3">
        <v>3930128</v>
      </c>
      <c r="AK569" s="3">
        <v>68.72</v>
      </c>
      <c r="AL569" s="3">
        <v>68.91</v>
      </c>
      <c r="AM569" s="3">
        <v>68.599999999999994</v>
      </c>
      <c r="AN569" s="3">
        <v>68.88</v>
      </c>
      <c r="AO569" s="3">
        <v>12746046</v>
      </c>
      <c r="AP569" s="3">
        <v>54.48</v>
      </c>
      <c r="AQ569" s="3">
        <v>54.64</v>
      </c>
      <c r="AR569" s="3">
        <v>54.45</v>
      </c>
      <c r="AS569" s="3">
        <v>54.58</v>
      </c>
      <c r="AT569" s="3">
        <v>2636333</v>
      </c>
      <c r="AU569" s="3">
        <v>57.6</v>
      </c>
      <c r="AV569" s="3">
        <v>57.79</v>
      </c>
      <c r="AW569" s="3">
        <v>57.48</v>
      </c>
      <c r="AX569" s="3">
        <v>57.61</v>
      </c>
      <c r="AY569" s="3">
        <v>4756919</v>
      </c>
      <c r="AZ569" s="3">
        <v>53.74</v>
      </c>
      <c r="BA569" s="3">
        <v>53.9</v>
      </c>
      <c r="BB569" s="3">
        <v>53.49</v>
      </c>
      <c r="BC569" s="3">
        <v>53.78</v>
      </c>
      <c r="BD569" s="3">
        <v>17465441</v>
      </c>
      <c r="BE569" s="3">
        <v>32.46</v>
      </c>
      <c r="BF569" s="3">
        <v>32.659999999999997</v>
      </c>
      <c r="BG569" s="3">
        <v>32.46</v>
      </c>
      <c r="BH569" s="3">
        <v>32.590000000000003</v>
      </c>
      <c r="BI569" s="3">
        <v>939594</v>
      </c>
    </row>
    <row r="570" spans="1:61" ht="13" x14ac:dyDescent="0.15">
      <c r="A570" s="3">
        <v>42954</v>
      </c>
      <c r="B570" s="3">
        <v>2477.14</v>
      </c>
      <c r="C570" s="3">
        <v>2480.9499999999998</v>
      </c>
      <c r="D570" s="3">
        <v>2475.88</v>
      </c>
      <c r="E570" s="3">
        <v>2480.91</v>
      </c>
      <c r="F570" s="3">
        <v>1639568452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3">
        <v>91.19</v>
      </c>
      <c r="M570" s="3">
        <v>91.37</v>
      </c>
      <c r="N570" s="3">
        <v>91.07</v>
      </c>
      <c r="O570" s="3">
        <v>91.24</v>
      </c>
      <c r="P570" s="3">
        <v>3469717</v>
      </c>
      <c r="Q570" s="3">
        <v>55.03</v>
      </c>
      <c r="R570" s="3">
        <v>55.47</v>
      </c>
      <c r="S570" s="3">
        <v>55.03</v>
      </c>
      <c r="T570" s="3">
        <v>55.43</v>
      </c>
      <c r="U570" s="3">
        <v>16853974</v>
      </c>
      <c r="V570" s="3">
        <v>65.36</v>
      </c>
      <c r="W570" s="3">
        <v>65.48</v>
      </c>
      <c r="X570" s="3">
        <v>64.94</v>
      </c>
      <c r="Y570" s="3">
        <v>65.14</v>
      </c>
      <c r="Z570" s="3">
        <v>11437264</v>
      </c>
      <c r="AA570" s="3">
        <v>25.39</v>
      </c>
      <c r="AB570" s="3">
        <v>25.4</v>
      </c>
      <c r="AC570" s="3">
        <v>25.31</v>
      </c>
      <c r="AD570" s="3">
        <v>25.35</v>
      </c>
      <c r="AE570" s="3">
        <v>39486769</v>
      </c>
      <c r="AF570" s="3">
        <v>79.400000000000006</v>
      </c>
      <c r="AG570" s="3">
        <v>79.66</v>
      </c>
      <c r="AH570" s="3">
        <v>79.33</v>
      </c>
      <c r="AI570" s="3">
        <v>79.650000000000006</v>
      </c>
      <c r="AJ570" s="3">
        <v>4583270</v>
      </c>
      <c r="AK570" s="3">
        <v>68.83</v>
      </c>
      <c r="AL570" s="3">
        <v>68.97</v>
      </c>
      <c r="AM570" s="3">
        <v>68.72</v>
      </c>
      <c r="AN570" s="3">
        <v>68.88</v>
      </c>
      <c r="AO570" s="3">
        <v>7753092</v>
      </c>
      <c r="AP570" s="3">
        <v>54.66</v>
      </c>
      <c r="AQ570" s="3">
        <v>54.81</v>
      </c>
      <c r="AR570" s="3">
        <v>54.57</v>
      </c>
      <c r="AS570" s="3">
        <v>54.61</v>
      </c>
      <c r="AT570" s="3">
        <v>2528128</v>
      </c>
      <c r="AU570" s="3">
        <v>57.69</v>
      </c>
      <c r="AV570" s="3">
        <v>57.96</v>
      </c>
      <c r="AW570" s="3">
        <v>57.67</v>
      </c>
      <c r="AX570" s="3">
        <v>57.96</v>
      </c>
      <c r="AY570" s="3">
        <v>7683006</v>
      </c>
      <c r="AZ570" s="3">
        <v>53.84</v>
      </c>
      <c r="BA570" s="3">
        <v>53.97</v>
      </c>
      <c r="BB570" s="3">
        <v>53.7</v>
      </c>
      <c r="BC570" s="3">
        <v>53.95</v>
      </c>
      <c r="BD570" s="3">
        <v>5161451</v>
      </c>
      <c r="BE570" s="3">
        <v>32.56</v>
      </c>
      <c r="BF570" s="3">
        <v>32.64</v>
      </c>
      <c r="BG570" s="3">
        <v>32.43</v>
      </c>
      <c r="BH570" s="3">
        <v>32.57</v>
      </c>
      <c r="BI570" s="3">
        <v>781896</v>
      </c>
    </row>
    <row r="571" spans="1:61" ht="13" x14ac:dyDescent="0.15">
      <c r="A571" s="3">
        <v>42955</v>
      </c>
      <c r="B571" s="3">
        <v>2478.35</v>
      </c>
      <c r="C571" s="3">
        <v>2490.87</v>
      </c>
      <c r="D571" s="3">
        <v>2470.3200000000002</v>
      </c>
      <c r="E571" s="3">
        <v>2474.92</v>
      </c>
      <c r="F571" s="3">
        <v>1826290700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3">
        <v>91.24</v>
      </c>
      <c r="M571" s="3">
        <v>91.77</v>
      </c>
      <c r="N571" s="3">
        <v>91.02</v>
      </c>
      <c r="O571" s="3">
        <v>91.29</v>
      </c>
      <c r="P571" s="3">
        <v>3025108</v>
      </c>
      <c r="Q571" s="3">
        <v>55.29</v>
      </c>
      <c r="R571" s="3">
        <v>55.45</v>
      </c>
      <c r="S571" s="3">
        <v>55.19</v>
      </c>
      <c r="T571" s="3">
        <v>55.22</v>
      </c>
      <c r="U571" s="3">
        <v>9813162</v>
      </c>
      <c r="V571" s="3">
        <v>64.95</v>
      </c>
      <c r="W571" s="3">
        <v>65.56</v>
      </c>
      <c r="X571" s="3">
        <v>64.8</v>
      </c>
      <c r="Y571" s="3">
        <v>64.989999999999995</v>
      </c>
      <c r="Z571" s="3">
        <v>10429131</v>
      </c>
      <c r="AA571" s="3">
        <v>25.31</v>
      </c>
      <c r="AB571" s="3">
        <v>25.59</v>
      </c>
      <c r="AC571" s="3">
        <v>25.27</v>
      </c>
      <c r="AD571" s="3">
        <v>25.28</v>
      </c>
      <c r="AE571" s="3">
        <v>52736465</v>
      </c>
      <c r="AF571" s="3">
        <v>79.55</v>
      </c>
      <c r="AG571" s="3">
        <v>79.69</v>
      </c>
      <c r="AH571" s="3">
        <v>79.12</v>
      </c>
      <c r="AI571" s="3">
        <v>79.28</v>
      </c>
      <c r="AJ571" s="3">
        <v>4423268</v>
      </c>
      <c r="AK571" s="3">
        <v>68.78</v>
      </c>
      <c r="AL571" s="3">
        <v>69.069999999999993</v>
      </c>
      <c r="AM571" s="3">
        <v>68.569999999999993</v>
      </c>
      <c r="AN571" s="3">
        <v>68.67</v>
      </c>
      <c r="AO571" s="3">
        <v>9136464</v>
      </c>
      <c r="AP571" s="3">
        <v>54.5</v>
      </c>
      <c r="AQ571" s="3">
        <v>54.55</v>
      </c>
      <c r="AR571" s="3">
        <v>54.07</v>
      </c>
      <c r="AS571" s="3">
        <v>54.18</v>
      </c>
      <c r="AT571" s="3">
        <v>4162009</v>
      </c>
      <c r="AU571" s="3">
        <v>57.88</v>
      </c>
      <c r="AV571" s="3">
        <v>58.33</v>
      </c>
      <c r="AW571" s="3">
        <v>57.72</v>
      </c>
      <c r="AX571" s="3">
        <v>57.88</v>
      </c>
      <c r="AY571" s="3">
        <v>10460698</v>
      </c>
      <c r="AZ571" s="3">
        <v>53.9</v>
      </c>
      <c r="BA571" s="3">
        <v>54.17</v>
      </c>
      <c r="BB571" s="3">
        <v>53.83</v>
      </c>
      <c r="BC571" s="3">
        <v>54.17</v>
      </c>
      <c r="BD571" s="3">
        <v>7568674</v>
      </c>
      <c r="BE571" s="3">
        <v>32.51</v>
      </c>
      <c r="BF571" s="3">
        <v>32.56</v>
      </c>
      <c r="BG571" s="3">
        <v>32.32</v>
      </c>
      <c r="BH571" s="3">
        <v>32.42</v>
      </c>
      <c r="BI571" s="3">
        <v>1070653</v>
      </c>
    </row>
    <row r="572" spans="1:61" ht="13" x14ac:dyDescent="0.15">
      <c r="A572" s="3">
        <v>42956</v>
      </c>
      <c r="B572" s="3">
        <v>2465.35</v>
      </c>
      <c r="C572" s="3">
        <v>2474.41</v>
      </c>
      <c r="D572" s="3">
        <v>2462.08</v>
      </c>
      <c r="E572" s="3">
        <v>2474.02</v>
      </c>
      <c r="F572" s="3">
        <v>1821056073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3">
        <v>90.21</v>
      </c>
      <c r="M572" s="3">
        <v>90.82</v>
      </c>
      <c r="N572" s="3">
        <v>90.04</v>
      </c>
      <c r="O572" s="3">
        <v>90.76</v>
      </c>
      <c r="P572" s="3">
        <v>4898141</v>
      </c>
      <c r="Q572" s="3">
        <v>55.18</v>
      </c>
      <c r="R572" s="3">
        <v>55.35</v>
      </c>
      <c r="S572" s="3">
        <v>55.12</v>
      </c>
      <c r="T572" s="3">
        <v>55.31</v>
      </c>
      <c r="U572" s="3">
        <v>7251819</v>
      </c>
      <c r="V572" s="3">
        <v>65.09</v>
      </c>
      <c r="W572" s="3">
        <v>65.459999999999994</v>
      </c>
      <c r="X572" s="3">
        <v>64.81</v>
      </c>
      <c r="Y572" s="3">
        <v>65.05</v>
      </c>
      <c r="Z572" s="3">
        <v>10437867</v>
      </c>
      <c r="AA572" s="3">
        <v>25.07</v>
      </c>
      <c r="AB572" s="3">
        <v>25.3</v>
      </c>
      <c r="AC572" s="3">
        <v>25.07</v>
      </c>
      <c r="AD572" s="3">
        <v>25.28</v>
      </c>
      <c r="AE572" s="3">
        <v>46567038</v>
      </c>
      <c r="AF572" s="3">
        <v>79.09</v>
      </c>
      <c r="AG572" s="3">
        <v>79.45</v>
      </c>
      <c r="AH572" s="3">
        <v>78.95</v>
      </c>
      <c r="AI572" s="3">
        <v>79.37</v>
      </c>
      <c r="AJ572" s="3">
        <v>4886488</v>
      </c>
      <c r="AK572" s="3">
        <v>68.53</v>
      </c>
      <c r="AL572" s="3">
        <v>68.78</v>
      </c>
      <c r="AM572" s="3">
        <v>68.5</v>
      </c>
      <c r="AN572" s="3">
        <v>68.69</v>
      </c>
      <c r="AO572" s="3">
        <v>8088193</v>
      </c>
      <c r="AP572" s="3">
        <v>54.14</v>
      </c>
      <c r="AQ572" s="3">
        <v>54.3</v>
      </c>
      <c r="AR572" s="3">
        <v>54.05</v>
      </c>
      <c r="AS572" s="3">
        <v>54.23</v>
      </c>
      <c r="AT572" s="3">
        <v>3454863</v>
      </c>
      <c r="AU572" s="3">
        <v>57.51</v>
      </c>
      <c r="AV572" s="3">
        <v>57.89</v>
      </c>
      <c r="AW572" s="3">
        <v>57.48</v>
      </c>
      <c r="AX572" s="3">
        <v>57.85</v>
      </c>
      <c r="AY572" s="3">
        <v>6972812</v>
      </c>
      <c r="AZ572" s="3">
        <v>54.26</v>
      </c>
      <c r="BA572" s="3">
        <v>54.4</v>
      </c>
      <c r="BB572" s="3">
        <v>53.85</v>
      </c>
      <c r="BC572" s="3">
        <v>53.89</v>
      </c>
      <c r="BD572" s="3">
        <v>8852236</v>
      </c>
      <c r="BE572" s="3">
        <v>32.42</v>
      </c>
      <c r="BF572" s="3">
        <v>32.5</v>
      </c>
      <c r="BG572" s="3">
        <v>32.299999999999997</v>
      </c>
      <c r="BH572" s="3">
        <v>32.46</v>
      </c>
      <c r="BI572" s="3">
        <v>1134394</v>
      </c>
    </row>
    <row r="573" spans="1:61" ht="13" x14ac:dyDescent="0.15">
      <c r="A573" s="3">
        <v>42957</v>
      </c>
      <c r="B573" s="3">
        <v>2465.38</v>
      </c>
      <c r="C573" s="3">
        <v>2465.38</v>
      </c>
      <c r="D573" s="3">
        <v>2437.75</v>
      </c>
      <c r="E573" s="3">
        <v>2438.21</v>
      </c>
      <c r="F573" s="3">
        <v>2079314829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3">
        <v>90.38</v>
      </c>
      <c r="M573" s="3">
        <v>90.53</v>
      </c>
      <c r="N573" s="3">
        <v>89.38</v>
      </c>
      <c r="O573" s="3">
        <v>89.4</v>
      </c>
      <c r="P573" s="3">
        <v>4904886</v>
      </c>
      <c r="Q573" s="3">
        <v>55.17</v>
      </c>
      <c r="R573" s="3">
        <v>55.34</v>
      </c>
      <c r="S573" s="3">
        <v>55.06</v>
      </c>
      <c r="T573" s="3">
        <v>55.08</v>
      </c>
      <c r="U573" s="3">
        <v>6662766</v>
      </c>
      <c r="V573" s="3">
        <v>65.16</v>
      </c>
      <c r="W573" s="3">
        <v>65.27</v>
      </c>
      <c r="X573" s="3">
        <v>64.25</v>
      </c>
      <c r="Y573" s="3">
        <v>64.36</v>
      </c>
      <c r="Z573" s="3">
        <v>15262091</v>
      </c>
      <c r="AA573" s="3">
        <v>25.12</v>
      </c>
      <c r="AB573" s="3">
        <v>25.18</v>
      </c>
      <c r="AC573" s="3">
        <v>24.83</v>
      </c>
      <c r="AD573" s="3">
        <v>24.83</v>
      </c>
      <c r="AE573" s="3">
        <v>71130286</v>
      </c>
      <c r="AF573" s="3">
        <v>79.13</v>
      </c>
      <c r="AG573" s="3">
        <v>79.2</v>
      </c>
      <c r="AH573" s="3">
        <v>78.37</v>
      </c>
      <c r="AI573" s="3">
        <v>78.38</v>
      </c>
      <c r="AJ573" s="3">
        <v>7054677</v>
      </c>
      <c r="AK573" s="3">
        <v>68.38</v>
      </c>
      <c r="AL573" s="3">
        <v>68.56</v>
      </c>
      <c r="AM573" s="3">
        <v>67.78</v>
      </c>
      <c r="AN573" s="3">
        <v>67.819999999999993</v>
      </c>
      <c r="AO573" s="3">
        <v>10779707</v>
      </c>
      <c r="AP573" s="3">
        <v>54.03</v>
      </c>
      <c r="AQ573" s="3">
        <v>54.12</v>
      </c>
      <c r="AR573" s="3">
        <v>53.56</v>
      </c>
      <c r="AS573" s="3">
        <v>53.61</v>
      </c>
      <c r="AT573" s="3">
        <v>6478822</v>
      </c>
      <c r="AU573" s="3">
        <v>57.54</v>
      </c>
      <c r="AV573" s="3">
        <v>57.6</v>
      </c>
      <c r="AW573" s="3">
        <v>56.68</v>
      </c>
      <c r="AX573" s="3">
        <v>56.71</v>
      </c>
      <c r="AY573" s="3">
        <v>14911852</v>
      </c>
      <c r="AZ573" s="3">
        <v>53.81</v>
      </c>
      <c r="BA573" s="3">
        <v>54.16</v>
      </c>
      <c r="BB573" s="3">
        <v>53.69</v>
      </c>
      <c r="BC573" s="3">
        <v>54.06</v>
      </c>
      <c r="BD573" s="3">
        <v>9614750</v>
      </c>
      <c r="BE573" s="3">
        <v>32.369999999999997</v>
      </c>
      <c r="BF573" s="3">
        <v>32.42</v>
      </c>
      <c r="BG573" s="3">
        <v>32.159999999999997</v>
      </c>
      <c r="BH573" s="3">
        <v>32.17</v>
      </c>
      <c r="BI573" s="3">
        <v>1412033</v>
      </c>
    </row>
    <row r="574" spans="1:61" ht="13" x14ac:dyDescent="0.15">
      <c r="A574" s="3">
        <v>42958</v>
      </c>
      <c r="B574" s="3">
        <v>2441.04</v>
      </c>
      <c r="C574" s="3">
        <v>2448.09</v>
      </c>
      <c r="D574" s="3">
        <v>2437.85</v>
      </c>
      <c r="E574" s="3">
        <v>2441.3200000000002</v>
      </c>
      <c r="F574" s="3">
        <v>1659262568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3">
        <v>89.18</v>
      </c>
      <c r="M574" s="3">
        <v>90.05</v>
      </c>
      <c r="N574" s="3">
        <v>89.18</v>
      </c>
      <c r="O574" s="3">
        <v>89.86</v>
      </c>
      <c r="P574" s="3">
        <v>4919590</v>
      </c>
      <c r="Q574" s="3">
        <v>54.98</v>
      </c>
      <c r="R574" s="3">
        <v>55.35</v>
      </c>
      <c r="S574" s="3">
        <v>54.98</v>
      </c>
      <c r="T574" s="3">
        <v>55.12</v>
      </c>
      <c r="U574" s="3">
        <v>4928434</v>
      </c>
      <c r="V574" s="3">
        <v>64.16</v>
      </c>
      <c r="W574" s="3">
        <v>64.52</v>
      </c>
      <c r="X574" s="3">
        <v>63.88</v>
      </c>
      <c r="Y574" s="3">
        <v>63.94</v>
      </c>
      <c r="Z574" s="3">
        <v>15990942</v>
      </c>
      <c r="AA574" s="3">
        <v>24.83</v>
      </c>
      <c r="AB574" s="3">
        <v>24.96</v>
      </c>
      <c r="AC574" s="3">
        <v>24.67</v>
      </c>
      <c r="AD574" s="3">
        <v>24.73</v>
      </c>
      <c r="AE574" s="3">
        <v>50477789</v>
      </c>
      <c r="AF574" s="3">
        <v>78.42</v>
      </c>
      <c r="AG574" s="3">
        <v>78.989999999999995</v>
      </c>
      <c r="AH574" s="3">
        <v>78.42</v>
      </c>
      <c r="AI574" s="3">
        <v>78.599999999999994</v>
      </c>
      <c r="AJ574" s="3">
        <v>8318560</v>
      </c>
      <c r="AK574" s="3">
        <v>67.849999999999994</v>
      </c>
      <c r="AL574" s="3">
        <v>68.180000000000007</v>
      </c>
      <c r="AM574" s="3">
        <v>67.78</v>
      </c>
      <c r="AN574" s="3">
        <v>67.86</v>
      </c>
      <c r="AO574" s="3">
        <v>10501194</v>
      </c>
      <c r="AP574" s="3">
        <v>53.45</v>
      </c>
      <c r="AQ574" s="3">
        <v>53.68</v>
      </c>
      <c r="AR574" s="3">
        <v>53.41</v>
      </c>
      <c r="AS574" s="3">
        <v>53.48</v>
      </c>
      <c r="AT574" s="3">
        <v>3914992</v>
      </c>
      <c r="AU574" s="3">
        <v>56.8</v>
      </c>
      <c r="AV574" s="3">
        <v>57.29</v>
      </c>
      <c r="AW574" s="3">
        <v>56.73</v>
      </c>
      <c r="AX574" s="3">
        <v>57.1</v>
      </c>
      <c r="AY574" s="3">
        <v>14968108</v>
      </c>
      <c r="AZ574" s="3">
        <v>53.94</v>
      </c>
      <c r="BA574" s="3">
        <v>54.05</v>
      </c>
      <c r="BB574" s="3">
        <v>53.55</v>
      </c>
      <c r="BC574" s="3">
        <v>53.74</v>
      </c>
      <c r="BD574" s="3">
        <v>9336334</v>
      </c>
      <c r="BE574" s="3">
        <v>32.08</v>
      </c>
      <c r="BF574" s="3">
        <v>32.200000000000003</v>
      </c>
      <c r="BG574" s="3">
        <v>31.82</v>
      </c>
      <c r="BH574" s="3">
        <v>31.96</v>
      </c>
      <c r="BI574" s="3">
        <v>1548094</v>
      </c>
    </row>
    <row r="575" spans="1:61" ht="13" x14ac:dyDescent="0.15">
      <c r="A575" s="3">
        <v>42961</v>
      </c>
      <c r="B575" s="3">
        <v>2454.96</v>
      </c>
      <c r="C575" s="3">
        <v>2468.2199999999998</v>
      </c>
      <c r="D575" s="3">
        <v>2454.96</v>
      </c>
      <c r="E575" s="3">
        <v>2465.84</v>
      </c>
      <c r="F575" s="3">
        <v>1586223587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3">
        <v>90.36</v>
      </c>
      <c r="M575" s="3">
        <v>90.8</v>
      </c>
      <c r="N575" s="3">
        <v>90.34</v>
      </c>
      <c r="O575" s="3">
        <v>90.5</v>
      </c>
      <c r="P575" s="3">
        <v>3754082</v>
      </c>
      <c r="Q575" s="3">
        <v>55.24</v>
      </c>
      <c r="R575" s="3">
        <v>55.52</v>
      </c>
      <c r="S575" s="3">
        <v>55.24</v>
      </c>
      <c r="T575" s="3">
        <v>55.39</v>
      </c>
      <c r="U575" s="3">
        <v>10657802</v>
      </c>
      <c r="V575" s="3">
        <v>64.06</v>
      </c>
      <c r="W575" s="3">
        <v>64.34</v>
      </c>
      <c r="X575" s="3">
        <v>63.67</v>
      </c>
      <c r="Y575" s="3">
        <v>63.75</v>
      </c>
      <c r="Z575" s="3">
        <v>11406699</v>
      </c>
      <c r="AA575" s="3">
        <v>24.93</v>
      </c>
      <c r="AB575" s="3">
        <v>25.14</v>
      </c>
      <c r="AC575" s="3">
        <v>24.92</v>
      </c>
      <c r="AD575" s="3">
        <v>25.07</v>
      </c>
      <c r="AE575" s="3">
        <v>49472883</v>
      </c>
      <c r="AF575" s="3">
        <v>78.94</v>
      </c>
      <c r="AG575" s="3">
        <v>79.260000000000005</v>
      </c>
      <c r="AH575" s="3">
        <v>78.94</v>
      </c>
      <c r="AI575" s="3">
        <v>79.13</v>
      </c>
      <c r="AJ575" s="3">
        <v>3955758</v>
      </c>
      <c r="AK575" s="3">
        <v>68.31</v>
      </c>
      <c r="AL575" s="3">
        <v>68.650000000000006</v>
      </c>
      <c r="AM575" s="3">
        <v>68.239999999999995</v>
      </c>
      <c r="AN575" s="3">
        <v>68.569999999999993</v>
      </c>
      <c r="AO575" s="3">
        <v>6680893</v>
      </c>
      <c r="AP575" s="3">
        <v>53.76</v>
      </c>
      <c r="AQ575" s="3">
        <v>54.07</v>
      </c>
      <c r="AR575" s="3">
        <v>53.76</v>
      </c>
      <c r="AS575" s="3">
        <v>53.98</v>
      </c>
      <c r="AT575" s="3">
        <v>3579822</v>
      </c>
      <c r="AU575" s="3">
        <v>57.62</v>
      </c>
      <c r="AV575" s="3">
        <v>58.09</v>
      </c>
      <c r="AW575" s="3">
        <v>57.5</v>
      </c>
      <c r="AX575" s="3">
        <v>58.01</v>
      </c>
      <c r="AY575" s="3">
        <v>9758534</v>
      </c>
      <c r="AZ575" s="3">
        <v>53.75</v>
      </c>
      <c r="BA575" s="3">
        <v>54.08</v>
      </c>
      <c r="BB575" s="3">
        <v>53.74</v>
      </c>
      <c r="BC575" s="3">
        <v>54.05</v>
      </c>
      <c r="BD575" s="3">
        <v>11827815</v>
      </c>
      <c r="BE575" s="3">
        <v>32.08</v>
      </c>
      <c r="BF575" s="3">
        <v>32.53</v>
      </c>
      <c r="BG575" s="3">
        <v>32.07</v>
      </c>
      <c r="BH575" s="3">
        <v>32.49</v>
      </c>
      <c r="BI575" s="3">
        <v>1196939</v>
      </c>
    </row>
    <row r="576" spans="1:61" ht="13" x14ac:dyDescent="0.15">
      <c r="A576" s="3">
        <v>42962</v>
      </c>
      <c r="B576" s="3">
        <v>2468.66</v>
      </c>
      <c r="C576" s="3">
        <v>2468.9</v>
      </c>
      <c r="D576" s="3">
        <v>2461.61</v>
      </c>
      <c r="E576" s="3">
        <v>2464.61</v>
      </c>
      <c r="F576" s="3">
        <v>1689633539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3">
        <v>90.46</v>
      </c>
      <c r="M576" s="3">
        <v>90.54</v>
      </c>
      <c r="N576" s="3">
        <v>89.66</v>
      </c>
      <c r="O576" s="3">
        <v>89.67</v>
      </c>
      <c r="P576" s="3">
        <v>3095655</v>
      </c>
      <c r="Q576" s="3">
        <v>55.41</v>
      </c>
      <c r="R576" s="3">
        <v>55.75</v>
      </c>
      <c r="S576" s="3">
        <v>55.41</v>
      </c>
      <c r="T576" s="3">
        <v>55.67</v>
      </c>
      <c r="U576" s="3">
        <v>11059028</v>
      </c>
      <c r="V576" s="3">
        <v>63.85</v>
      </c>
      <c r="W576" s="3">
        <v>63.85</v>
      </c>
      <c r="X576" s="3">
        <v>63.14</v>
      </c>
      <c r="Y576" s="3">
        <v>63.51</v>
      </c>
      <c r="Z576" s="3">
        <v>12725622</v>
      </c>
      <c r="AA576" s="3">
        <v>25.28</v>
      </c>
      <c r="AB576" s="3">
        <v>25.31</v>
      </c>
      <c r="AC576" s="3">
        <v>25.09</v>
      </c>
      <c r="AD576" s="3">
        <v>25.09</v>
      </c>
      <c r="AE576" s="3">
        <v>48535038</v>
      </c>
      <c r="AF576" s="3">
        <v>79.23</v>
      </c>
      <c r="AG576" s="3">
        <v>79.39</v>
      </c>
      <c r="AH576" s="3">
        <v>79.11</v>
      </c>
      <c r="AI576" s="3">
        <v>79.13</v>
      </c>
      <c r="AJ576" s="3">
        <v>4653777</v>
      </c>
      <c r="AK576" s="3">
        <v>68.53</v>
      </c>
      <c r="AL576" s="3">
        <v>68.62</v>
      </c>
      <c r="AM576" s="3">
        <v>68.31</v>
      </c>
      <c r="AN576" s="3">
        <v>68.42</v>
      </c>
      <c r="AO576" s="3">
        <v>5055014</v>
      </c>
      <c r="AP576" s="3">
        <v>54.02</v>
      </c>
      <c r="AQ576" s="3">
        <v>54.09</v>
      </c>
      <c r="AR576" s="3">
        <v>53.83</v>
      </c>
      <c r="AS576" s="3">
        <v>53.99</v>
      </c>
      <c r="AT576" s="3">
        <v>1986510</v>
      </c>
      <c r="AU576" s="3">
        <v>58.13</v>
      </c>
      <c r="AV576" s="3">
        <v>58.23</v>
      </c>
      <c r="AW576" s="3">
        <v>57.92</v>
      </c>
      <c r="AX576" s="3">
        <v>58.1</v>
      </c>
      <c r="AY576" s="3">
        <v>7052565</v>
      </c>
      <c r="AZ576" s="3">
        <v>53.68</v>
      </c>
      <c r="BA576" s="3">
        <v>54.39</v>
      </c>
      <c r="BB576" s="3">
        <v>53.65</v>
      </c>
      <c r="BC576" s="3">
        <v>54.35</v>
      </c>
      <c r="BD576" s="3">
        <v>9582262</v>
      </c>
      <c r="BE576" s="3">
        <v>32.380000000000003</v>
      </c>
      <c r="BF576" s="3">
        <v>32.44</v>
      </c>
      <c r="BG576" s="3">
        <v>32.229999999999997</v>
      </c>
      <c r="BH576" s="3">
        <v>32.43</v>
      </c>
      <c r="BI576" s="3">
        <v>2138051</v>
      </c>
    </row>
    <row r="577" spans="1:61" ht="13" x14ac:dyDescent="0.15">
      <c r="A577" s="3">
        <v>42963</v>
      </c>
      <c r="B577" s="3">
        <v>2468.63</v>
      </c>
      <c r="C577" s="3">
        <v>2474.9299999999998</v>
      </c>
      <c r="D577" s="3">
        <v>2463.86</v>
      </c>
      <c r="E577" s="3">
        <v>2468.11</v>
      </c>
      <c r="F577" s="3">
        <v>1686069913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3">
        <v>90</v>
      </c>
      <c r="M577" s="3">
        <v>90.3</v>
      </c>
      <c r="N577" s="3">
        <v>89.75</v>
      </c>
      <c r="O577" s="3">
        <v>90.13</v>
      </c>
      <c r="P577" s="3">
        <v>2452677</v>
      </c>
      <c r="Q577" s="3">
        <v>55.7</v>
      </c>
      <c r="R577" s="3">
        <v>55.94</v>
      </c>
      <c r="S577" s="3">
        <v>55.7</v>
      </c>
      <c r="T577" s="3">
        <v>55.86</v>
      </c>
      <c r="U577" s="3">
        <v>5682844</v>
      </c>
      <c r="V577" s="3">
        <v>63.53</v>
      </c>
      <c r="W577" s="3">
        <v>63.71</v>
      </c>
      <c r="X577" s="3">
        <v>62.77</v>
      </c>
      <c r="Y577" s="3">
        <v>62.9</v>
      </c>
      <c r="Z577" s="3">
        <v>16583330</v>
      </c>
      <c r="AA577" s="3">
        <v>25.2</v>
      </c>
      <c r="AB577" s="3">
        <v>25.24</v>
      </c>
      <c r="AC577" s="3">
        <v>25</v>
      </c>
      <c r="AD577" s="3">
        <v>25.04</v>
      </c>
      <c r="AE577" s="3">
        <v>35084074</v>
      </c>
      <c r="AF577" s="3">
        <v>79.260000000000005</v>
      </c>
      <c r="AG577" s="3">
        <v>79.5</v>
      </c>
      <c r="AH577" s="3">
        <v>79.17</v>
      </c>
      <c r="AI577" s="3">
        <v>79.349999999999994</v>
      </c>
      <c r="AJ577" s="3">
        <v>3756895</v>
      </c>
      <c r="AK577" s="3">
        <v>68.42</v>
      </c>
      <c r="AL577" s="3">
        <v>68.77</v>
      </c>
      <c r="AM577" s="3">
        <v>68.42</v>
      </c>
      <c r="AN577" s="3">
        <v>68.61</v>
      </c>
      <c r="AO577" s="3">
        <v>7725838</v>
      </c>
      <c r="AP577" s="3">
        <v>54.17</v>
      </c>
      <c r="AQ577" s="3">
        <v>54.52</v>
      </c>
      <c r="AR577" s="3">
        <v>54.16</v>
      </c>
      <c r="AS577" s="3">
        <v>54.52</v>
      </c>
      <c r="AT577" s="3">
        <v>5326670</v>
      </c>
      <c r="AU577" s="3">
        <v>58.19</v>
      </c>
      <c r="AV577" s="3">
        <v>58.48</v>
      </c>
      <c r="AW577" s="3">
        <v>58.08</v>
      </c>
      <c r="AX577" s="3">
        <v>58.27</v>
      </c>
      <c r="AY577" s="3">
        <v>9055919</v>
      </c>
      <c r="AZ577" s="3">
        <v>54.26</v>
      </c>
      <c r="BA577" s="3">
        <v>54.6</v>
      </c>
      <c r="BB577" s="3">
        <v>54.26</v>
      </c>
      <c r="BC577" s="3">
        <v>54.57</v>
      </c>
      <c r="BD577" s="3">
        <v>7131761</v>
      </c>
      <c r="BE577" s="3">
        <v>32.46</v>
      </c>
      <c r="BF577" s="3">
        <v>32.65</v>
      </c>
      <c r="BG577" s="3">
        <v>32.46</v>
      </c>
      <c r="BH577" s="3">
        <v>32.53</v>
      </c>
      <c r="BI577" s="3">
        <v>1043622</v>
      </c>
    </row>
    <row r="578" spans="1:61" ht="13" x14ac:dyDescent="0.15">
      <c r="A578" s="3">
        <v>42964</v>
      </c>
      <c r="B578" s="3">
        <v>2462.9499999999998</v>
      </c>
      <c r="C578" s="3">
        <v>2465.02</v>
      </c>
      <c r="D578" s="3">
        <v>2430.0100000000002</v>
      </c>
      <c r="E578" s="3">
        <v>2430.0100000000002</v>
      </c>
      <c r="F578" s="3">
        <v>1929351131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3">
        <v>89.9</v>
      </c>
      <c r="M578" s="3">
        <v>90</v>
      </c>
      <c r="N578" s="3">
        <v>88.69</v>
      </c>
      <c r="O578" s="3">
        <v>88.69</v>
      </c>
      <c r="P578" s="3">
        <v>4895731</v>
      </c>
      <c r="Q578" s="3">
        <v>55.66</v>
      </c>
      <c r="R578" s="3">
        <v>55.93</v>
      </c>
      <c r="S578" s="3">
        <v>55.35</v>
      </c>
      <c r="T578" s="3">
        <v>55.35</v>
      </c>
      <c r="U578" s="3">
        <v>6725638</v>
      </c>
      <c r="V578" s="3">
        <v>62.65</v>
      </c>
      <c r="W578" s="3">
        <v>62.89</v>
      </c>
      <c r="X578" s="3">
        <v>61.99</v>
      </c>
      <c r="Y578" s="3">
        <v>62.01</v>
      </c>
      <c r="Z578" s="3">
        <v>14796925</v>
      </c>
      <c r="AA578" s="3">
        <v>24.98</v>
      </c>
      <c r="AB578" s="3">
        <v>25.02</v>
      </c>
      <c r="AC578" s="3">
        <v>24.6</v>
      </c>
      <c r="AD578" s="3">
        <v>24.61</v>
      </c>
      <c r="AE578" s="3">
        <v>76613078</v>
      </c>
      <c r="AF578" s="3">
        <v>79.099999999999994</v>
      </c>
      <c r="AG578" s="3">
        <v>79.44</v>
      </c>
      <c r="AH578" s="3">
        <v>78.33</v>
      </c>
      <c r="AI578" s="3">
        <v>78.36</v>
      </c>
      <c r="AJ578" s="3">
        <v>7133350</v>
      </c>
      <c r="AK578" s="3">
        <v>68.239999999999995</v>
      </c>
      <c r="AL578" s="3">
        <v>68.430000000000007</v>
      </c>
      <c r="AM578" s="3">
        <v>67.38</v>
      </c>
      <c r="AN578" s="3">
        <v>67.42</v>
      </c>
      <c r="AO578" s="3">
        <v>10766247</v>
      </c>
      <c r="AP578" s="3">
        <v>54.34</v>
      </c>
      <c r="AQ578" s="3">
        <v>54.43</v>
      </c>
      <c r="AR578" s="3">
        <v>53.68</v>
      </c>
      <c r="AS578" s="3">
        <v>53.69</v>
      </c>
      <c r="AT578" s="3">
        <v>4452046</v>
      </c>
      <c r="AU578" s="3">
        <v>58.05</v>
      </c>
      <c r="AV578" s="3">
        <v>58.14</v>
      </c>
      <c r="AW578" s="3">
        <v>57.13</v>
      </c>
      <c r="AX578" s="3">
        <v>57.13</v>
      </c>
      <c r="AY578" s="3">
        <v>12968882</v>
      </c>
      <c r="AZ578" s="3">
        <v>54.45</v>
      </c>
      <c r="BA578" s="3">
        <v>54.63</v>
      </c>
      <c r="BB578" s="3">
        <v>54.14</v>
      </c>
      <c r="BC578" s="3">
        <v>54.18</v>
      </c>
      <c r="BD578" s="3">
        <v>8956452</v>
      </c>
      <c r="BE578" s="3">
        <v>32.479999999999997</v>
      </c>
      <c r="BF578" s="3">
        <v>32.6</v>
      </c>
      <c r="BG578" s="3">
        <v>32.299999999999997</v>
      </c>
      <c r="BH578" s="3">
        <v>32.299999999999997</v>
      </c>
      <c r="BI578" s="3">
        <v>1375983</v>
      </c>
    </row>
    <row r="579" spans="1:61" ht="13" x14ac:dyDescent="0.15">
      <c r="A579" s="3">
        <v>42965</v>
      </c>
      <c r="B579" s="3">
        <v>2427.64</v>
      </c>
      <c r="C579" s="3">
        <v>2440.27</v>
      </c>
      <c r="D579" s="3">
        <v>2420.69</v>
      </c>
      <c r="E579" s="3">
        <v>2425.5500000000002</v>
      </c>
      <c r="F579" s="3">
        <v>1962081325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3">
        <v>88.5</v>
      </c>
      <c r="M579" s="3">
        <v>88.74</v>
      </c>
      <c r="N579" s="3">
        <v>88.15</v>
      </c>
      <c r="O579" s="3">
        <v>88.25</v>
      </c>
      <c r="P579" s="3">
        <v>6787836</v>
      </c>
      <c r="Q579" s="3">
        <v>55.23</v>
      </c>
      <c r="R579" s="3">
        <v>55.39</v>
      </c>
      <c r="S579" s="3">
        <v>55.11</v>
      </c>
      <c r="T579" s="3">
        <v>55.2</v>
      </c>
      <c r="U579" s="3">
        <v>6810281</v>
      </c>
      <c r="V579" s="3">
        <v>61.85</v>
      </c>
      <c r="W579" s="3">
        <v>62.74</v>
      </c>
      <c r="X579" s="3">
        <v>61.81</v>
      </c>
      <c r="Y579" s="3">
        <v>62.32</v>
      </c>
      <c r="Z579" s="3">
        <v>18632664</v>
      </c>
      <c r="AA579" s="3">
        <v>24.49</v>
      </c>
      <c r="AB579" s="3">
        <v>24.8</v>
      </c>
      <c r="AC579" s="3">
        <v>24.48</v>
      </c>
      <c r="AD579" s="3">
        <v>24.62</v>
      </c>
      <c r="AE579" s="3">
        <v>71725883</v>
      </c>
      <c r="AF579" s="3">
        <v>78.069999999999993</v>
      </c>
      <c r="AG579" s="3">
        <v>78.53</v>
      </c>
      <c r="AH579" s="3">
        <v>77.95</v>
      </c>
      <c r="AI579" s="3">
        <v>78</v>
      </c>
      <c r="AJ579" s="3">
        <v>8434552</v>
      </c>
      <c r="AK579" s="3">
        <v>67.08</v>
      </c>
      <c r="AL579" s="3">
        <v>67.61</v>
      </c>
      <c r="AM579" s="3">
        <v>67</v>
      </c>
      <c r="AN579" s="3">
        <v>67.150000000000006</v>
      </c>
      <c r="AO579" s="3">
        <v>14111125</v>
      </c>
      <c r="AP579" s="3">
        <v>53.5</v>
      </c>
      <c r="AQ579" s="3">
        <v>53.95</v>
      </c>
      <c r="AR579" s="3">
        <v>53.47</v>
      </c>
      <c r="AS579" s="3">
        <v>53.71</v>
      </c>
      <c r="AT579" s="3">
        <v>3768660</v>
      </c>
      <c r="AU579" s="3">
        <v>57.13</v>
      </c>
      <c r="AV579" s="3">
        <v>57.47</v>
      </c>
      <c r="AW579" s="3">
        <v>56.85</v>
      </c>
      <c r="AX579" s="3">
        <v>57.07</v>
      </c>
      <c r="AY579" s="3">
        <v>16696480</v>
      </c>
      <c r="AZ579" s="3">
        <v>54</v>
      </c>
      <c r="BA579" s="3">
        <v>54.76</v>
      </c>
      <c r="BB579" s="3">
        <v>54</v>
      </c>
      <c r="BC579" s="3">
        <v>54.5</v>
      </c>
      <c r="BD579" s="3">
        <v>14848784</v>
      </c>
      <c r="BE579" s="3">
        <v>32.229999999999997</v>
      </c>
      <c r="BF579" s="3">
        <v>32.229999999999997</v>
      </c>
      <c r="BG579" s="3">
        <v>31.97</v>
      </c>
      <c r="BH579" s="3">
        <v>32.06</v>
      </c>
      <c r="BI579" s="3">
        <v>1276949</v>
      </c>
    </row>
    <row r="580" spans="1:61" ht="13" x14ac:dyDescent="0.15">
      <c r="A580" s="3">
        <v>42968</v>
      </c>
      <c r="B580" s="3">
        <v>2425.5</v>
      </c>
      <c r="C580" s="3">
        <v>2430.58</v>
      </c>
      <c r="D580" s="3">
        <v>2417.35</v>
      </c>
      <c r="E580" s="3">
        <v>2428.37</v>
      </c>
      <c r="F580" s="3">
        <v>1635773789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3">
        <v>88.22</v>
      </c>
      <c r="M580" s="3">
        <v>88.53</v>
      </c>
      <c r="N580" s="3">
        <v>87.89</v>
      </c>
      <c r="O580" s="3">
        <v>88.41</v>
      </c>
      <c r="P580" s="3">
        <v>10550695</v>
      </c>
      <c r="Q580" s="3">
        <v>55.16</v>
      </c>
      <c r="R580" s="3">
        <v>55.5</v>
      </c>
      <c r="S580" s="3">
        <v>55</v>
      </c>
      <c r="T580" s="3">
        <v>55.4</v>
      </c>
      <c r="U580" s="3">
        <v>6829335</v>
      </c>
      <c r="V580" s="3">
        <v>62.23</v>
      </c>
      <c r="W580" s="3">
        <v>62.26</v>
      </c>
      <c r="X580" s="3">
        <v>61.8</v>
      </c>
      <c r="Y580" s="3">
        <v>62</v>
      </c>
      <c r="Z580" s="3">
        <v>10375176</v>
      </c>
      <c r="AA580" s="3">
        <v>24.6</v>
      </c>
      <c r="AB580" s="3">
        <v>24.63</v>
      </c>
      <c r="AC580" s="3">
        <v>24.45</v>
      </c>
      <c r="AD580" s="3">
        <v>24.55</v>
      </c>
      <c r="AE580" s="3">
        <v>45047234</v>
      </c>
      <c r="AF580" s="3">
        <v>77.930000000000007</v>
      </c>
      <c r="AG580" s="3">
        <v>78.45</v>
      </c>
      <c r="AH580" s="3">
        <v>77.819999999999993</v>
      </c>
      <c r="AI580" s="3">
        <v>78.349999999999994</v>
      </c>
      <c r="AJ580" s="3">
        <v>10268993</v>
      </c>
      <c r="AK580" s="3">
        <v>67.22</v>
      </c>
      <c r="AL580" s="3">
        <v>67.31</v>
      </c>
      <c r="AM580" s="3">
        <v>66.95</v>
      </c>
      <c r="AN580" s="3">
        <v>67.260000000000005</v>
      </c>
      <c r="AO580" s="3">
        <v>7447304</v>
      </c>
      <c r="AP580" s="3">
        <v>53.8</v>
      </c>
      <c r="AQ580" s="3">
        <v>53.91</v>
      </c>
      <c r="AR580" s="3">
        <v>53.63</v>
      </c>
      <c r="AS580" s="3">
        <v>53.76</v>
      </c>
      <c r="AT580" s="3">
        <v>2701598</v>
      </c>
      <c r="AU580" s="3">
        <v>57.11</v>
      </c>
      <c r="AV580" s="3">
        <v>57.17</v>
      </c>
      <c r="AW580" s="3">
        <v>56.67</v>
      </c>
      <c r="AX580" s="3">
        <v>57.05</v>
      </c>
      <c r="AY580" s="3">
        <v>7978621</v>
      </c>
      <c r="AZ580" s="3">
        <v>54.66</v>
      </c>
      <c r="BA580" s="3">
        <v>54.79</v>
      </c>
      <c r="BB580" s="3">
        <v>54.45</v>
      </c>
      <c r="BC580" s="3">
        <v>54.7</v>
      </c>
      <c r="BD580" s="3">
        <v>5655972</v>
      </c>
      <c r="BE580" s="3">
        <v>32.1</v>
      </c>
      <c r="BF580" s="3">
        <v>32.46</v>
      </c>
      <c r="BG580" s="3">
        <v>32.020000000000003</v>
      </c>
      <c r="BH580" s="3">
        <v>32.39</v>
      </c>
      <c r="BI580" s="3">
        <v>1094517</v>
      </c>
    </row>
    <row r="581" spans="1:61" ht="13" x14ac:dyDescent="0.15">
      <c r="A581" s="3">
        <v>42969</v>
      </c>
      <c r="B581" s="3">
        <v>2433.75</v>
      </c>
      <c r="C581" s="3">
        <v>2454.77</v>
      </c>
      <c r="D581" s="3">
        <v>2433.67</v>
      </c>
      <c r="E581" s="3">
        <v>2452.5100000000002</v>
      </c>
      <c r="F581" s="3">
        <v>1588713900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3">
        <v>88.67</v>
      </c>
      <c r="M581" s="3">
        <v>89.46</v>
      </c>
      <c r="N581" s="3">
        <v>88.62</v>
      </c>
      <c r="O581" s="3">
        <v>89.36</v>
      </c>
      <c r="P581" s="3">
        <v>4385556</v>
      </c>
      <c r="Q581" s="3">
        <v>55.43</v>
      </c>
      <c r="R581" s="3">
        <v>55.57</v>
      </c>
      <c r="S581" s="3">
        <v>55.33</v>
      </c>
      <c r="T581" s="3">
        <v>55.41</v>
      </c>
      <c r="U581" s="3">
        <v>7129438</v>
      </c>
      <c r="V581" s="3">
        <v>62.17</v>
      </c>
      <c r="W581" s="3">
        <v>62.55</v>
      </c>
      <c r="X581" s="3">
        <v>62.13</v>
      </c>
      <c r="Y581" s="3">
        <v>62.41</v>
      </c>
      <c r="Z581" s="3">
        <v>15171824</v>
      </c>
      <c r="AA581" s="3">
        <v>24.65</v>
      </c>
      <c r="AB581" s="3">
        <v>24.84</v>
      </c>
      <c r="AC581" s="3">
        <v>24.62</v>
      </c>
      <c r="AD581" s="3">
        <v>24.82</v>
      </c>
      <c r="AE581" s="3">
        <v>42644026</v>
      </c>
      <c r="AF581" s="3">
        <v>78.37</v>
      </c>
      <c r="AG581" s="3">
        <v>79.39</v>
      </c>
      <c r="AH581" s="3">
        <v>78.319999999999993</v>
      </c>
      <c r="AI581" s="3">
        <v>79.3</v>
      </c>
      <c r="AJ581" s="3">
        <v>5455500</v>
      </c>
      <c r="AK581" s="3">
        <v>67.44</v>
      </c>
      <c r="AL581" s="3">
        <v>68.09</v>
      </c>
      <c r="AM581" s="3">
        <v>67.44</v>
      </c>
      <c r="AN581" s="3">
        <v>68.03</v>
      </c>
      <c r="AO581" s="3">
        <v>6559150</v>
      </c>
      <c r="AP581" s="3">
        <v>53.91</v>
      </c>
      <c r="AQ581" s="3">
        <v>54.46</v>
      </c>
      <c r="AR581" s="3">
        <v>53.91</v>
      </c>
      <c r="AS581" s="3">
        <v>54.46</v>
      </c>
      <c r="AT581" s="3">
        <v>3120377</v>
      </c>
      <c r="AU581" s="3">
        <v>57.35</v>
      </c>
      <c r="AV581" s="3">
        <v>57.94</v>
      </c>
      <c r="AW581" s="3">
        <v>57.31</v>
      </c>
      <c r="AX581" s="3">
        <v>57.9</v>
      </c>
      <c r="AY581" s="3">
        <v>8461229</v>
      </c>
      <c r="AZ581" s="3">
        <v>54.73</v>
      </c>
      <c r="BA581" s="3">
        <v>54.83</v>
      </c>
      <c r="BB581" s="3">
        <v>54.54</v>
      </c>
      <c r="BC581" s="3">
        <v>54.82</v>
      </c>
      <c r="BD581" s="3">
        <v>8150270</v>
      </c>
      <c r="BE581" s="3">
        <v>32.450000000000003</v>
      </c>
      <c r="BF581" s="3">
        <v>32.520000000000003</v>
      </c>
      <c r="BG581" s="3">
        <v>32.24</v>
      </c>
      <c r="BH581" s="3">
        <v>32.369999999999997</v>
      </c>
      <c r="BI581" s="3">
        <v>1150211</v>
      </c>
    </row>
    <row r="582" spans="1:61" ht="13" x14ac:dyDescent="0.15">
      <c r="A582" s="3">
        <v>42970</v>
      </c>
      <c r="B582" s="3">
        <v>2444.88</v>
      </c>
      <c r="C582" s="3">
        <v>2448.91</v>
      </c>
      <c r="D582" s="3">
        <v>2441.42</v>
      </c>
      <c r="E582" s="3">
        <v>2444.04</v>
      </c>
      <c r="F582" s="3">
        <v>1583454204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3">
        <v>88.76</v>
      </c>
      <c r="M582" s="3">
        <v>88.92</v>
      </c>
      <c r="N582" s="3">
        <v>88.45</v>
      </c>
      <c r="O582" s="3">
        <v>88.6</v>
      </c>
      <c r="P582" s="3">
        <v>4840795</v>
      </c>
      <c r="Q582" s="3">
        <v>55.35</v>
      </c>
      <c r="R582" s="3">
        <v>55.41</v>
      </c>
      <c r="S582" s="3">
        <v>55.19</v>
      </c>
      <c r="T582" s="3">
        <v>55.25</v>
      </c>
      <c r="U582" s="3">
        <v>5367122</v>
      </c>
      <c r="V582" s="3">
        <v>62.28</v>
      </c>
      <c r="W582" s="3">
        <v>63</v>
      </c>
      <c r="X582" s="3">
        <v>62.22</v>
      </c>
      <c r="Y582" s="3">
        <v>62.68</v>
      </c>
      <c r="Z582" s="3">
        <v>11525968</v>
      </c>
      <c r="AA582" s="3">
        <v>24.64</v>
      </c>
      <c r="AB582" s="3">
        <v>24.88</v>
      </c>
      <c r="AC582" s="3">
        <v>24.62</v>
      </c>
      <c r="AD582" s="3">
        <v>24.74</v>
      </c>
      <c r="AE582" s="3">
        <v>36612709</v>
      </c>
      <c r="AF582" s="3">
        <v>79.03</v>
      </c>
      <c r="AG582" s="3">
        <v>79.05</v>
      </c>
      <c r="AH582" s="3">
        <v>78.67</v>
      </c>
      <c r="AI582" s="3">
        <v>78.7</v>
      </c>
      <c r="AJ582" s="3">
        <v>5662539</v>
      </c>
      <c r="AK582" s="3">
        <v>67.75</v>
      </c>
      <c r="AL582" s="3">
        <v>67.75</v>
      </c>
      <c r="AM582" s="3">
        <v>67.39</v>
      </c>
      <c r="AN582" s="3">
        <v>67.39</v>
      </c>
      <c r="AO582" s="3">
        <v>7027114</v>
      </c>
      <c r="AP582" s="3">
        <v>54.22</v>
      </c>
      <c r="AQ582" s="3">
        <v>54.54</v>
      </c>
      <c r="AR582" s="3">
        <v>54.16</v>
      </c>
      <c r="AS582" s="3">
        <v>54.36</v>
      </c>
      <c r="AT582" s="3">
        <v>4109603</v>
      </c>
      <c r="AU582" s="3">
        <v>57.58</v>
      </c>
      <c r="AV582" s="3">
        <v>57.92</v>
      </c>
      <c r="AW582" s="3">
        <v>57.56</v>
      </c>
      <c r="AX582" s="3">
        <v>57.76</v>
      </c>
      <c r="AY582" s="3">
        <v>8923746</v>
      </c>
      <c r="AZ582" s="3">
        <v>54.8</v>
      </c>
      <c r="BA582" s="3">
        <v>55.02</v>
      </c>
      <c r="BB582" s="3">
        <v>54.62</v>
      </c>
      <c r="BC582" s="3">
        <v>55</v>
      </c>
      <c r="BD582" s="3">
        <v>7046459</v>
      </c>
      <c r="BE582" s="3">
        <v>32.340000000000003</v>
      </c>
      <c r="BF582" s="3">
        <v>32.75</v>
      </c>
      <c r="BG582" s="3">
        <v>32.31</v>
      </c>
      <c r="BH582" s="3">
        <v>32.700000000000003</v>
      </c>
      <c r="BI582" s="3">
        <v>973953</v>
      </c>
    </row>
    <row r="583" spans="1:61" ht="13" x14ac:dyDescent="0.15">
      <c r="A583" s="3">
        <v>42971</v>
      </c>
      <c r="B583" s="3">
        <v>2447.91</v>
      </c>
      <c r="C583" s="3">
        <v>2450.39</v>
      </c>
      <c r="D583" s="3">
        <v>2436.19</v>
      </c>
      <c r="E583" s="3">
        <v>2438.9699999999998</v>
      </c>
      <c r="F583" s="3">
        <v>1678956575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3">
        <v>89.04</v>
      </c>
      <c r="M583" s="3">
        <v>89.25</v>
      </c>
      <c r="N583" s="3">
        <v>88.27</v>
      </c>
      <c r="O583" s="3">
        <v>88.41</v>
      </c>
      <c r="P583" s="3">
        <v>2765860</v>
      </c>
      <c r="Q583" s="3">
        <v>55.2</v>
      </c>
      <c r="R583" s="3">
        <v>55.35</v>
      </c>
      <c r="S583" s="3">
        <v>54.44</v>
      </c>
      <c r="T583" s="3">
        <v>54.49</v>
      </c>
      <c r="U583" s="3">
        <v>11807145</v>
      </c>
      <c r="V583" s="3">
        <v>62.46</v>
      </c>
      <c r="W583" s="3">
        <v>62.87</v>
      </c>
      <c r="X583" s="3">
        <v>62.44</v>
      </c>
      <c r="Y583" s="3">
        <v>62.72</v>
      </c>
      <c r="Z583" s="3">
        <v>10390508</v>
      </c>
      <c r="AA583" s="3">
        <v>24.85</v>
      </c>
      <c r="AB583" s="3">
        <v>24.85</v>
      </c>
      <c r="AC583" s="3">
        <v>24.69</v>
      </c>
      <c r="AD583" s="3">
        <v>24.74</v>
      </c>
      <c r="AE583" s="3">
        <v>31067169</v>
      </c>
      <c r="AF583" s="3">
        <v>78.78</v>
      </c>
      <c r="AG583" s="3">
        <v>79.040000000000006</v>
      </c>
      <c r="AH583" s="3">
        <v>78.63</v>
      </c>
      <c r="AI583" s="3">
        <v>78.930000000000007</v>
      </c>
      <c r="AJ583" s="3">
        <v>5502816</v>
      </c>
      <c r="AK583" s="3">
        <v>67.56</v>
      </c>
      <c r="AL583" s="3">
        <v>67.58</v>
      </c>
      <c r="AM583" s="3">
        <v>67.150000000000006</v>
      </c>
      <c r="AN583" s="3">
        <v>67.180000000000007</v>
      </c>
      <c r="AO583" s="3">
        <v>7917391</v>
      </c>
      <c r="AP583" s="3">
        <v>54.35</v>
      </c>
      <c r="AQ583" s="3">
        <v>54.45</v>
      </c>
      <c r="AR583" s="3">
        <v>54.19</v>
      </c>
      <c r="AS583" s="3">
        <v>54.26</v>
      </c>
      <c r="AT583" s="3">
        <v>2665166</v>
      </c>
      <c r="AU583" s="3">
        <v>57.9</v>
      </c>
      <c r="AV583" s="3">
        <v>57.96</v>
      </c>
      <c r="AW583" s="3">
        <v>57.42</v>
      </c>
      <c r="AX583" s="3">
        <v>57.71</v>
      </c>
      <c r="AY583" s="3">
        <v>8094109</v>
      </c>
      <c r="AZ583" s="3">
        <v>54.97</v>
      </c>
      <c r="BA583" s="3">
        <v>55.09</v>
      </c>
      <c r="BB583" s="3">
        <v>54.86</v>
      </c>
      <c r="BC583" s="3">
        <v>54.96</v>
      </c>
      <c r="BD583" s="3">
        <v>7017355</v>
      </c>
      <c r="BE583" s="3">
        <v>32.75</v>
      </c>
      <c r="BF583" s="3">
        <v>32.93</v>
      </c>
      <c r="BG583" s="3">
        <v>32.630000000000003</v>
      </c>
      <c r="BH583" s="3">
        <v>32.64</v>
      </c>
      <c r="BI583" s="3">
        <v>1595108</v>
      </c>
    </row>
    <row r="584" spans="1:61" ht="13" x14ac:dyDescent="0.15">
      <c r="A584" s="3">
        <v>42972</v>
      </c>
      <c r="B584" s="3">
        <v>2444.7199999999998</v>
      </c>
      <c r="C584" s="3">
        <v>2453.96</v>
      </c>
      <c r="D584" s="3">
        <v>2442.2199999999998</v>
      </c>
      <c r="E584" s="3">
        <v>2443.0500000000002</v>
      </c>
      <c r="F584" s="3">
        <v>1500901045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3">
        <v>88.67</v>
      </c>
      <c r="M584" s="3">
        <v>89.01</v>
      </c>
      <c r="N584" s="3">
        <v>88.47</v>
      </c>
      <c r="O584" s="3">
        <v>88.63</v>
      </c>
      <c r="P584" s="3">
        <v>3244564</v>
      </c>
      <c r="Q584" s="3">
        <v>54.7</v>
      </c>
      <c r="R584" s="3">
        <v>54.89</v>
      </c>
      <c r="S584" s="3">
        <v>54.64</v>
      </c>
      <c r="T584" s="3">
        <v>54.67</v>
      </c>
      <c r="U584" s="3">
        <v>7359198</v>
      </c>
      <c r="V584" s="3">
        <v>62.84</v>
      </c>
      <c r="W584" s="3">
        <v>63.25</v>
      </c>
      <c r="X584" s="3">
        <v>62.82</v>
      </c>
      <c r="Y584" s="3">
        <v>63</v>
      </c>
      <c r="Z584" s="3">
        <v>8220210</v>
      </c>
      <c r="AA584" s="3">
        <v>24.79</v>
      </c>
      <c r="AB584" s="3">
        <v>24.92</v>
      </c>
      <c r="AC584" s="3">
        <v>24.78</v>
      </c>
      <c r="AD584" s="3">
        <v>24.81</v>
      </c>
      <c r="AE584" s="3">
        <v>37177271</v>
      </c>
      <c r="AF584" s="3">
        <v>79.099999999999994</v>
      </c>
      <c r="AG584" s="3">
        <v>79.400000000000006</v>
      </c>
      <c r="AH584" s="3">
        <v>78.89</v>
      </c>
      <c r="AI584" s="3">
        <v>78.95</v>
      </c>
      <c r="AJ584" s="3">
        <v>5476522</v>
      </c>
      <c r="AK584" s="3">
        <v>67.489999999999995</v>
      </c>
      <c r="AL584" s="3">
        <v>67.760000000000005</v>
      </c>
      <c r="AM584" s="3">
        <v>67.41</v>
      </c>
      <c r="AN584" s="3">
        <v>67.5</v>
      </c>
      <c r="AO584" s="3">
        <v>7846272</v>
      </c>
      <c r="AP584" s="3">
        <v>54.46</v>
      </c>
      <c r="AQ584" s="3">
        <v>54.55</v>
      </c>
      <c r="AR584" s="3">
        <v>54.32</v>
      </c>
      <c r="AS584" s="3">
        <v>54.43</v>
      </c>
      <c r="AT584" s="3">
        <v>2914439</v>
      </c>
      <c r="AU584" s="3">
        <v>57.9</v>
      </c>
      <c r="AV584" s="3">
        <v>58.07</v>
      </c>
      <c r="AW584" s="3">
        <v>57.58</v>
      </c>
      <c r="AX584" s="3">
        <v>57.7</v>
      </c>
      <c r="AY584" s="3">
        <v>8333057</v>
      </c>
      <c r="AZ584" s="3">
        <v>55.09</v>
      </c>
      <c r="BA584" s="3">
        <v>55.34</v>
      </c>
      <c r="BB584" s="3">
        <v>54.96</v>
      </c>
      <c r="BC584" s="3">
        <v>55.14</v>
      </c>
      <c r="BD584" s="3">
        <v>7861816</v>
      </c>
      <c r="BE584" s="3">
        <v>32.76</v>
      </c>
      <c r="BF584" s="3">
        <v>32.909999999999997</v>
      </c>
      <c r="BG584" s="3">
        <v>32.65</v>
      </c>
      <c r="BH584" s="3">
        <v>32.799999999999997</v>
      </c>
      <c r="BI584" s="3">
        <v>1063585</v>
      </c>
    </row>
    <row r="585" spans="1:61" ht="13" x14ac:dyDescent="0.15">
      <c r="A585" s="3">
        <v>42975</v>
      </c>
      <c r="B585" s="3">
        <v>2447.35</v>
      </c>
      <c r="C585" s="3">
        <v>2449.12</v>
      </c>
      <c r="D585" s="3">
        <v>2439.0300000000002</v>
      </c>
      <c r="E585" s="3">
        <v>2444.2399999999998</v>
      </c>
      <c r="F585" s="3">
        <v>1466541776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3">
        <v>88.92</v>
      </c>
      <c r="M585" s="3">
        <v>88.98</v>
      </c>
      <c r="N585" s="3">
        <v>88.56</v>
      </c>
      <c r="O585" s="3">
        <v>88.68</v>
      </c>
      <c r="P585" s="3">
        <v>2184210</v>
      </c>
      <c r="Q585" s="3">
        <v>54.62</v>
      </c>
      <c r="R585" s="3">
        <v>54.69</v>
      </c>
      <c r="S585" s="3">
        <v>54.35</v>
      </c>
      <c r="T585" s="3">
        <v>54.51</v>
      </c>
      <c r="U585" s="3">
        <v>6204742</v>
      </c>
      <c r="V585" s="3">
        <v>63.03</v>
      </c>
      <c r="W585" s="3">
        <v>63.24</v>
      </c>
      <c r="X585" s="3">
        <v>62.38</v>
      </c>
      <c r="Y585" s="3">
        <v>62.72</v>
      </c>
      <c r="Z585" s="3">
        <v>9956048</v>
      </c>
      <c r="AA585" s="3">
        <v>24.83</v>
      </c>
      <c r="AB585" s="3">
        <v>24.84</v>
      </c>
      <c r="AC585" s="3">
        <v>24.59</v>
      </c>
      <c r="AD585" s="3">
        <v>24.65</v>
      </c>
      <c r="AE585" s="3">
        <v>36486934</v>
      </c>
      <c r="AF585" s="3">
        <v>79.17</v>
      </c>
      <c r="AG585" s="3">
        <v>79.5</v>
      </c>
      <c r="AH585" s="3">
        <v>79.150000000000006</v>
      </c>
      <c r="AI585" s="3">
        <v>79.37</v>
      </c>
      <c r="AJ585" s="3">
        <v>7432771</v>
      </c>
      <c r="AK585" s="3">
        <v>67.650000000000006</v>
      </c>
      <c r="AL585" s="3">
        <v>67.72</v>
      </c>
      <c r="AM585" s="3">
        <v>67.36</v>
      </c>
      <c r="AN585" s="3">
        <v>67.459999999999994</v>
      </c>
      <c r="AO585" s="3">
        <v>5999215</v>
      </c>
      <c r="AP585" s="3">
        <v>54.63</v>
      </c>
      <c r="AQ585" s="3">
        <v>54.63</v>
      </c>
      <c r="AR585" s="3">
        <v>54.28</v>
      </c>
      <c r="AS585" s="3">
        <v>54.51</v>
      </c>
      <c r="AT585" s="3">
        <v>2310809</v>
      </c>
      <c r="AU585" s="3">
        <v>57.84</v>
      </c>
      <c r="AV585" s="3">
        <v>57.92</v>
      </c>
      <c r="AW585" s="3">
        <v>57.65</v>
      </c>
      <c r="AX585" s="3">
        <v>57.81</v>
      </c>
      <c r="AY585" s="3">
        <v>5993304</v>
      </c>
      <c r="AZ585" s="3">
        <v>55.33</v>
      </c>
      <c r="BA585" s="3">
        <v>55.33</v>
      </c>
      <c r="BB585" s="3">
        <v>54.98</v>
      </c>
      <c r="BC585" s="3">
        <v>55.24</v>
      </c>
      <c r="BD585" s="3">
        <v>7872678</v>
      </c>
      <c r="BE585" s="3">
        <v>32.840000000000003</v>
      </c>
      <c r="BF585" s="3">
        <v>32.86</v>
      </c>
      <c r="BG585" s="3">
        <v>32.54</v>
      </c>
      <c r="BH585" s="3">
        <v>32.630000000000003</v>
      </c>
      <c r="BI585" s="3">
        <v>895262</v>
      </c>
    </row>
    <row r="586" spans="1:61" ht="13" x14ac:dyDescent="0.15">
      <c r="A586" s="3">
        <v>42976</v>
      </c>
      <c r="B586" s="3">
        <v>2431.94</v>
      </c>
      <c r="C586" s="3">
        <v>2449.19</v>
      </c>
      <c r="D586" s="3">
        <v>2428.1999999999998</v>
      </c>
      <c r="E586" s="3">
        <v>2446.3000000000002</v>
      </c>
      <c r="F586" s="3">
        <v>1503811225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3">
        <v>88.11</v>
      </c>
      <c r="M586" s="3">
        <v>88.7</v>
      </c>
      <c r="N586" s="3">
        <v>87.97</v>
      </c>
      <c r="O586" s="3">
        <v>88.6</v>
      </c>
      <c r="P586" s="3">
        <v>2755578</v>
      </c>
      <c r="Q586" s="3">
        <v>54.44</v>
      </c>
      <c r="R586" s="3">
        <v>54.75</v>
      </c>
      <c r="S586" s="3">
        <v>54.39</v>
      </c>
      <c r="T586" s="3">
        <v>54.7</v>
      </c>
      <c r="U586" s="3">
        <v>6219484</v>
      </c>
      <c r="V586" s="3">
        <v>62.42</v>
      </c>
      <c r="W586" s="3">
        <v>62.72</v>
      </c>
      <c r="X586" s="3">
        <v>62.18</v>
      </c>
      <c r="Y586" s="3">
        <v>62.64</v>
      </c>
      <c r="Z586" s="3">
        <v>8727081</v>
      </c>
      <c r="AA586" s="3">
        <v>24.37</v>
      </c>
      <c r="AB586" s="3">
        <v>24.61</v>
      </c>
      <c r="AC586" s="3">
        <v>24.35</v>
      </c>
      <c r="AD586" s="3">
        <v>24.57</v>
      </c>
      <c r="AE586" s="3">
        <v>42814209</v>
      </c>
      <c r="AF586" s="3">
        <v>79.040000000000006</v>
      </c>
      <c r="AG586" s="3">
        <v>79.599999999999994</v>
      </c>
      <c r="AH586" s="3">
        <v>78.97</v>
      </c>
      <c r="AI586" s="3">
        <v>79.52</v>
      </c>
      <c r="AJ586" s="3">
        <v>4243532</v>
      </c>
      <c r="AK586" s="3">
        <v>67.239999999999995</v>
      </c>
      <c r="AL586" s="3">
        <v>68.010000000000005</v>
      </c>
      <c r="AM586" s="3">
        <v>67.08</v>
      </c>
      <c r="AN586" s="3">
        <v>67.95</v>
      </c>
      <c r="AO586" s="3">
        <v>8150182</v>
      </c>
      <c r="AP586" s="3">
        <v>54.18</v>
      </c>
      <c r="AQ586" s="3">
        <v>54.32</v>
      </c>
      <c r="AR586" s="3">
        <v>54.04</v>
      </c>
      <c r="AS586" s="3">
        <v>54.25</v>
      </c>
      <c r="AT586" s="3">
        <v>3009808</v>
      </c>
      <c r="AU586" s="3">
        <v>57.34</v>
      </c>
      <c r="AV586" s="3">
        <v>58.14</v>
      </c>
      <c r="AW586" s="3">
        <v>57.27</v>
      </c>
      <c r="AX586" s="3">
        <v>58.06</v>
      </c>
      <c r="AY586" s="3">
        <v>8689804</v>
      </c>
      <c r="AZ586" s="3">
        <v>55.33</v>
      </c>
      <c r="BA586" s="3">
        <v>55.42</v>
      </c>
      <c r="BB586" s="3">
        <v>55.11</v>
      </c>
      <c r="BC586" s="3">
        <v>55.12</v>
      </c>
      <c r="BD586" s="3">
        <v>7930279</v>
      </c>
      <c r="BE586" s="3">
        <v>32.6</v>
      </c>
      <c r="BF586" s="3">
        <v>32.75</v>
      </c>
      <c r="BG586" s="3">
        <v>32.590000000000003</v>
      </c>
      <c r="BH586" s="3">
        <v>32.61</v>
      </c>
      <c r="BI586" s="3">
        <v>2577301</v>
      </c>
    </row>
    <row r="587" spans="1:61" ht="13" x14ac:dyDescent="0.15">
      <c r="A587" s="3">
        <v>42977</v>
      </c>
      <c r="B587" s="3">
        <v>2446.06</v>
      </c>
      <c r="C587" s="3">
        <v>2460.31</v>
      </c>
      <c r="D587" s="3">
        <v>2443.77</v>
      </c>
      <c r="E587" s="3">
        <v>2457.59</v>
      </c>
      <c r="F587" s="3">
        <v>1552245818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3">
        <v>88.65</v>
      </c>
      <c r="M587" s="3">
        <v>89.35</v>
      </c>
      <c r="N587" s="3">
        <v>88.56</v>
      </c>
      <c r="O587" s="3">
        <v>89.24</v>
      </c>
      <c r="P587" s="3">
        <v>2256426</v>
      </c>
      <c r="Q587" s="3">
        <v>54.6</v>
      </c>
      <c r="R587" s="3">
        <v>54.79</v>
      </c>
      <c r="S587" s="3">
        <v>54.59</v>
      </c>
      <c r="T587" s="3">
        <v>54.69</v>
      </c>
      <c r="U587" s="3">
        <v>6497079</v>
      </c>
      <c r="V587" s="3">
        <v>62.4</v>
      </c>
      <c r="W587" s="3">
        <v>62.86</v>
      </c>
      <c r="X587" s="3">
        <v>62.22</v>
      </c>
      <c r="Y587" s="3">
        <v>62.67</v>
      </c>
      <c r="Z587" s="3">
        <v>8664419</v>
      </c>
      <c r="AA587" s="3">
        <v>24.61</v>
      </c>
      <c r="AB587" s="3">
        <v>24.78</v>
      </c>
      <c r="AC587" s="3">
        <v>24.59</v>
      </c>
      <c r="AD587" s="3">
        <v>24.67</v>
      </c>
      <c r="AE587" s="3">
        <v>35176115</v>
      </c>
      <c r="AF587" s="3">
        <v>79.430000000000007</v>
      </c>
      <c r="AG587" s="3">
        <v>80.13</v>
      </c>
      <c r="AH587" s="3">
        <v>79.41</v>
      </c>
      <c r="AI587" s="3">
        <v>79.930000000000007</v>
      </c>
      <c r="AJ587" s="3">
        <v>3667897</v>
      </c>
      <c r="AK587" s="3">
        <v>68</v>
      </c>
      <c r="AL587" s="3">
        <v>68.260000000000005</v>
      </c>
      <c r="AM587" s="3">
        <v>67.86</v>
      </c>
      <c r="AN587" s="3">
        <v>68.23</v>
      </c>
      <c r="AO587" s="3">
        <v>5463266</v>
      </c>
      <c r="AP587" s="3">
        <v>54.21</v>
      </c>
      <c r="AQ587" s="3">
        <v>54.71</v>
      </c>
      <c r="AR587" s="3">
        <v>54.06</v>
      </c>
      <c r="AS587" s="3">
        <v>54.65</v>
      </c>
      <c r="AT587" s="3">
        <v>5141917</v>
      </c>
      <c r="AU587" s="3">
        <v>58.12</v>
      </c>
      <c r="AV587" s="3">
        <v>58.52</v>
      </c>
      <c r="AW587" s="3">
        <v>57.99</v>
      </c>
      <c r="AX587" s="3">
        <v>58.48</v>
      </c>
      <c r="AY587" s="3">
        <v>7654021</v>
      </c>
      <c r="AZ587" s="3">
        <v>55.09</v>
      </c>
      <c r="BA587" s="3">
        <v>55.14</v>
      </c>
      <c r="BB587" s="3">
        <v>54.88</v>
      </c>
      <c r="BC587" s="3">
        <v>54.96</v>
      </c>
      <c r="BD587" s="3">
        <v>5751081</v>
      </c>
      <c r="BE587" s="3">
        <v>32.58</v>
      </c>
      <c r="BF587" s="3">
        <v>32.770000000000003</v>
      </c>
      <c r="BG587" s="3">
        <v>32.450000000000003</v>
      </c>
      <c r="BH587" s="3">
        <v>32.76</v>
      </c>
      <c r="BI587" s="3">
        <v>963550</v>
      </c>
    </row>
    <row r="588" spans="1:61" ht="13" x14ac:dyDescent="0.15">
      <c r="A588" s="3">
        <v>42978</v>
      </c>
      <c r="B588" s="3">
        <v>2462.65</v>
      </c>
      <c r="C588" s="3">
        <v>2475.0100000000002</v>
      </c>
      <c r="D588" s="3">
        <v>2462.65</v>
      </c>
      <c r="E588" s="3">
        <v>2471.65</v>
      </c>
      <c r="F588" s="3">
        <v>2076949466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3">
        <v>89.49</v>
      </c>
      <c r="M588" s="3">
        <v>89.74</v>
      </c>
      <c r="N588" s="3">
        <v>89.36</v>
      </c>
      <c r="O588" s="3">
        <v>89.66</v>
      </c>
      <c r="P588" s="3">
        <v>3994053</v>
      </c>
      <c r="Q588" s="3">
        <v>54.73</v>
      </c>
      <c r="R588" s="3">
        <v>54.81</v>
      </c>
      <c r="S588" s="3">
        <v>54.65</v>
      </c>
      <c r="T588" s="3">
        <v>54.71</v>
      </c>
      <c r="U588" s="3">
        <v>10117345</v>
      </c>
      <c r="V588" s="3">
        <v>62.94</v>
      </c>
      <c r="W588" s="3">
        <v>63.13</v>
      </c>
      <c r="X588" s="3">
        <v>62.73</v>
      </c>
      <c r="Y588" s="3">
        <v>62.97</v>
      </c>
      <c r="Z588" s="3">
        <v>10333681</v>
      </c>
      <c r="AA588" s="3">
        <v>24.75</v>
      </c>
      <c r="AB588" s="3">
        <v>24.78</v>
      </c>
      <c r="AC588" s="3">
        <v>24.62</v>
      </c>
      <c r="AD588" s="3">
        <v>24.7</v>
      </c>
      <c r="AE588" s="3">
        <v>44225193</v>
      </c>
      <c r="AF588" s="3">
        <v>80.13</v>
      </c>
      <c r="AG588" s="3">
        <v>81.37</v>
      </c>
      <c r="AH588" s="3">
        <v>80.13</v>
      </c>
      <c r="AI588" s="3">
        <v>81.290000000000006</v>
      </c>
      <c r="AJ588" s="3">
        <v>6987189</v>
      </c>
      <c r="AK588" s="3">
        <v>68.36</v>
      </c>
      <c r="AL588" s="3">
        <v>68.599999999999994</v>
      </c>
      <c r="AM588" s="3">
        <v>68.239999999999995</v>
      </c>
      <c r="AN588" s="3">
        <v>68.459999999999994</v>
      </c>
      <c r="AO588" s="3">
        <v>8635037</v>
      </c>
      <c r="AP588" s="3">
        <v>54.9</v>
      </c>
      <c r="AQ588" s="3">
        <v>55.19</v>
      </c>
      <c r="AR588" s="3">
        <v>54.85</v>
      </c>
      <c r="AS588" s="3">
        <v>55.07</v>
      </c>
      <c r="AT588" s="3">
        <v>4640252</v>
      </c>
      <c r="AU588" s="3">
        <v>58.62</v>
      </c>
      <c r="AV588" s="3">
        <v>58.93</v>
      </c>
      <c r="AW588" s="3">
        <v>58.55</v>
      </c>
      <c r="AX588" s="3">
        <v>58.83</v>
      </c>
      <c r="AY588" s="3">
        <v>9425768</v>
      </c>
      <c r="AZ588" s="3">
        <v>55.01</v>
      </c>
      <c r="BA588" s="3">
        <v>55.12</v>
      </c>
      <c r="BB588" s="3">
        <v>54.93</v>
      </c>
      <c r="BC588" s="3">
        <v>54.97</v>
      </c>
      <c r="BD588" s="3">
        <v>10469469</v>
      </c>
      <c r="BE588" s="3">
        <v>32.869999999999997</v>
      </c>
      <c r="BF588" s="3">
        <v>33.04</v>
      </c>
      <c r="BG588" s="3">
        <v>32.799999999999997</v>
      </c>
      <c r="BH588" s="3">
        <v>32.92</v>
      </c>
      <c r="BI588" s="3">
        <v>1816228</v>
      </c>
    </row>
    <row r="589" spans="1:61" ht="13" x14ac:dyDescent="0.15">
      <c r="A589" s="3">
        <v>42979</v>
      </c>
      <c r="B589" s="3">
        <v>2474.42</v>
      </c>
      <c r="C589" s="3">
        <v>2480.38</v>
      </c>
      <c r="D589" s="3">
        <v>2473.85</v>
      </c>
      <c r="E589" s="3">
        <v>2476.5500000000002</v>
      </c>
      <c r="F589" s="3">
        <v>1581548754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3">
        <v>89.89</v>
      </c>
      <c r="M589" s="3">
        <v>90.23</v>
      </c>
      <c r="N589" s="3">
        <v>89.84</v>
      </c>
      <c r="O589" s="3">
        <v>90.07</v>
      </c>
      <c r="P589" s="3">
        <v>2431911</v>
      </c>
      <c r="Q589" s="3">
        <v>54.82</v>
      </c>
      <c r="R589" s="3">
        <v>54.98</v>
      </c>
      <c r="S589" s="3">
        <v>54.76</v>
      </c>
      <c r="T589" s="3">
        <v>54.97</v>
      </c>
      <c r="U589" s="3">
        <v>17904528</v>
      </c>
      <c r="V589" s="3">
        <v>63.07</v>
      </c>
      <c r="W589" s="3">
        <v>63.79</v>
      </c>
      <c r="X589" s="3">
        <v>62.91</v>
      </c>
      <c r="Y589" s="3">
        <v>63.58</v>
      </c>
      <c r="Z589" s="3">
        <v>11595543</v>
      </c>
      <c r="AA589" s="3">
        <v>24.73</v>
      </c>
      <c r="AB589" s="3">
        <v>24.91</v>
      </c>
      <c r="AC589" s="3">
        <v>24.67</v>
      </c>
      <c r="AD589" s="3">
        <v>24.77</v>
      </c>
      <c r="AE589" s="3">
        <v>42132639</v>
      </c>
      <c r="AF589" s="3">
        <v>81.41</v>
      </c>
      <c r="AG589" s="3">
        <v>81.58</v>
      </c>
      <c r="AH589" s="3">
        <v>80.92</v>
      </c>
      <c r="AI589" s="3">
        <v>81.23</v>
      </c>
      <c r="AJ589" s="3">
        <v>6471618</v>
      </c>
      <c r="AK589" s="3">
        <v>68.61</v>
      </c>
      <c r="AL589" s="3">
        <v>68.8</v>
      </c>
      <c r="AM589" s="3">
        <v>68.52</v>
      </c>
      <c r="AN589" s="3">
        <v>68.52</v>
      </c>
      <c r="AO589" s="3">
        <v>14501865</v>
      </c>
      <c r="AP589" s="3">
        <v>55.26</v>
      </c>
      <c r="AQ589" s="3">
        <v>55.49</v>
      </c>
      <c r="AR589" s="3">
        <v>55.13</v>
      </c>
      <c r="AS589" s="3">
        <v>55.43</v>
      </c>
      <c r="AT589" s="3">
        <v>5283697</v>
      </c>
      <c r="AU589" s="3">
        <v>58.98</v>
      </c>
      <c r="AV589" s="3">
        <v>59.03</v>
      </c>
      <c r="AW589" s="3">
        <v>58.71</v>
      </c>
      <c r="AX589" s="3">
        <v>58.78</v>
      </c>
      <c r="AY589" s="3">
        <v>6013134</v>
      </c>
      <c r="AZ589" s="3">
        <v>55.05</v>
      </c>
      <c r="BA589" s="3">
        <v>55.14</v>
      </c>
      <c r="BB589" s="3">
        <v>54.64</v>
      </c>
      <c r="BC589" s="3">
        <v>54.8</v>
      </c>
      <c r="BD589" s="3">
        <v>11268708</v>
      </c>
      <c r="BE589" s="3">
        <v>32.96</v>
      </c>
      <c r="BF589" s="3">
        <v>33.049999999999997</v>
      </c>
      <c r="BG589" s="3">
        <v>32.880000000000003</v>
      </c>
      <c r="BH589" s="3">
        <v>32.92</v>
      </c>
      <c r="BI589" s="3">
        <v>1656231</v>
      </c>
    </row>
    <row r="590" spans="1:61" ht="13" x14ac:dyDescent="0.15">
      <c r="A590" s="3">
        <v>42983</v>
      </c>
      <c r="B590" s="3">
        <v>2470.35</v>
      </c>
      <c r="C590" s="3">
        <v>2471.9699999999998</v>
      </c>
      <c r="D590" s="3">
        <v>2446.5500000000002</v>
      </c>
      <c r="E590" s="3">
        <v>2457.85</v>
      </c>
      <c r="F590" s="3">
        <v>2114362534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3">
        <v>89.82</v>
      </c>
      <c r="M590" s="3">
        <v>90.2</v>
      </c>
      <c r="N590" s="3">
        <v>89.18</v>
      </c>
      <c r="O590" s="3">
        <v>89.7</v>
      </c>
      <c r="P590" s="3">
        <v>4955544</v>
      </c>
      <c r="Q590" s="3">
        <v>54.81</v>
      </c>
      <c r="R590" s="3">
        <v>55.09</v>
      </c>
      <c r="S590" s="3">
        <v>54.76</v>
      </c>
      <c r="T590" s="3">
        <v>55.05</v>
      </c>
      <c r="U590" s="3">
        <v>20215854</v>
      </c>
      <c r="V590" s="3">
        <v>63.84</v>
      </c>
      <c r="W590" s="3">
        <v>64.239999999999995</v>
      </c>
      <c r="X590" s="3">
        <v>63.48</v>
      </c>
      <c r="Y590" s="3">
        <v>63.93</v>
      </c>
      <c r="Z590" s="3">
        <v>18114752</v>
      </c>
      <c r="AA590" s="3">
        <v>24.58</v>
      </c>
      <c r="AB590" s="3">
        <v>24.62</v>
      </c>
      <c r="AC590" s="3">
        <v>24.17</v>
      </c>
      <c r="AD590" s="3">
        <v>24.24</v>
      </c>
      <c r="AE590" s="3">
        <v>96579242</v>
      </c>
      <c r="AF590" s="3">
        <v>80.89</v>
      </c>
      <c r="AG590" s="3">
        <v>81.37</v>
      </c>
      <c r="AH590" s="3">
        <v>80.510000000000005</v>
      </c>
      <c r="AI590" s="3">
        <v>80.88</v>
      </c>
      <c r="AJ590" s="3">
        <v>8076875</v>
      </c>
      <c r="AK590" s="3">
        <v>68.34</v>
      </c>
      <c r="AL590" s="3">
        <v>68.42</v>
      </c>
      <c r="AM590" s="3">
        <v>67.680000000000007</v>
      </c>
      <c r="AN590" s="3">
        <v>67.83</v>
      </c>
      <c r="AO590" s="3">
        <v>16031137</v>
      </c>
      <c r="AP590" s="3">
        <v>55.48</v>
      </c>
      <c r="AQ590" s="3">
        <v>55.62</v>
      </c>
      <c r="AR590" s="3">
        <v>54.74</v>
      </c>
      <c r="AS590" s="3">
        <v>54.8</v>
      </c>
      <c r="AT590" s="3">
        <v>6827968</v>
      </c>
      <c r="AU590" s="3">
        <v>58.61</v>
      </c>
      <c r="AV590" s="3">
        <v>58.72</v>
      </c>
      <c r="AW590" s="3">
        <v>57.87</v>
      </c>
      <c r="AX590" s="3">
        <v>58.26</v>
      </c>
      <c r="AY590" s="3">
        <v>11901718</v>
      </c>
      <c r="AZ590" s="3">
        <v>54.9</v>
      </c>
      <c r="BA590" s="3">
        <v>54.98</v>
      </c>
      <c r="BB590" s="3">
        <v>54.63</v>
      </c>
      <c r="BC590" s="3">
        <v>54.94</v>
      </c>
      <c r="BD590" s="3">
        <v>9040406</v>
      </c>
      <c r="BE590" s="3">
        <v>32.94</v>
      </c>
      <c r="BF590" s="3">
        <v>33.03</v>
      </c>
      <c r="BG590" s="3">
        <v>32.69</v>
      </c>
      <c r="BH590" s="3">
        <v>32.89</v>
      </c>
      <c r="BI590" s="3">
        <v>2346245</v>
      </c>
    </row>
    <row r="591" spans="1:61" ht="13" x14ac:dyDescent="0.15">
      <c r="A591" s="3">
        <v>42984</v>
      </c>
      <c r="B591" s="3">
        <v>2463.83</v>
      </c>
      <c r="C591" s="3">
        <v>2469.64</v>
      </c>
      <c r="D591" s="3">
        <v>2459.1999999999998</v>
      </c>
      <c r="E591" s="3">
        <v>2465.54</v>
      </c>
      <c r="F591" s="3">
        <v>2049759055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3">
        <v>89.84</v>
      </c>
      <c r="M591" s="3">
        <v>90.37</v>
      </c>
      <c r="N591" s="3">
        <v>89.65</v>
      </c>
      <c r="O591" s="3">
        <v>90.26</v>
      </c>
      <c r="P591" s="3">
        <v>3004657</v>
      </c>
      <c r="Q591" s="3">
        <v>55.15</v>
      </c>
      <c r="R591" s="3">
        <v>55.33</v>
      </c>
      <c r="S591" s="3">
        <v>55.01</v>
      </c>
      <c r="T591" s="3">
        <v>55.28</v>
      </c>
      <c r="U591" s="3">
        <v>17461950</v>
      </c>
      <c r="V591" s="3">
        <v>64.25</v>
      </c>
      <c r="W591" s="3">
        <v>65.150000000000006</v>
      </c>
      <c r="X591" s="3">
        <v>64.22</v>
      </c>
      <c r="Y591" s="3">
        <v>64.97</v>
      </c>
      <c r="Z591" s="3">
        <v>17052125</v>
      </c>
      <c r="AA591" s="3">
        <v>24.33</v>
      </c>
      <c r="AB591" s="3">
        <v>24.42</v>
      </c>
      <c r="AC591" s="3">
        <v>24.22</v>
      </c>
      <c r="AD591" s="3">
        <v>24.3</v>
      </c>
      <c r="AE591" s="3">
        <v>77593850</v>
      </c>
      <c r="AF591" s="3">
        <v>81.16</v>
      </c>
      <c r="AG591" s="3">
        <v>81.349999999999994</v>
      </c>
      <c r="AH591" s="3">
        <v>80.8</v>
      </c>
      <c r="AI591" s="3">
        <v>81.27</v>
      </c>
      <c r="AJ591" s="3">
        <v>8790950</v>
      </c>
      <c r="AK591" s="3">
        <v>67.97</v>
      </c>
      <c r="AL591" s="3">
        <v>68.12</v>
      </c>
      <c r="AM591" s="3">
        <v>67.83</v>
      </c>
      <c r="AN591" s="3">
        <v>67.900000000000006</v>
      </c>
      <c r="AO591" s="3">
        <v>19701442</v>
      </c>
      <c r="AP591" s="3">
        <v>54.85</v>
      </c>
      <c r="AQ591" s="3">
        <v>55.02</v>
      </c>
      <c r="AR591" s="3">
        <v>54.54</v>
      </c>
      <c r="AS591" s="3">
        <v>54.94</v>
      </c>
      <c r="AT591" s="3">
        <v>6258511</v>
      </c>
      <c r="AU591" s="3">
        <v>58.44</v>
      </c>
      <c r="AV591" s="3">
        <v>58.52</v>
      </c>
      <c r="AW591" s="3">
        <v>58.06</v>
      </c>
      <c r="AX591" s="3">
        <v>58.31</v>
      </c>
      <c r="AY591" s="3">
        <v>9113735</v>
      </c>
      <c r="AZ591" s="3">
        <v>55</v>
      </c>
      <c r="BA591" s="3">
        <v>55.09</v>
      </c>
      <c r="BB591" s="3">
        <v>54.59</v>
      </c>
      <c r="BC591" s="3">
        <v>54.69</v>
      </c>
      <c r="BD591" s="3">
        <v>11428672</v>
      </c>
      <c r="BE591" s="3">
        <v>32.99</v>
      </c>
      <c r="BF591" s="3">
        <v>33.1</v>
      </c>
      <c r="BG591" s="3">
        <v>32.9</v>
      </c>
      <c r="BH591" s="3">
        <v>32.94</v>
      </c>
      <c r="BI591" s="3">
        <v>2529289</v>
      </c>
    </row>
    <row r="592" spans="1:61" ht="13" x14ac:dyDescent="0.15">
      <c r="A592" s="3">
        <v>42985</v>
      </c>
      <c r="B592" s="3">
        <v>2468.06</v>
      </c>
      <c r="C592" s="3">
        <v>2468.62</v>
      </c>
      <c r="D592" s="3">
        <v>2460.29</v>
      </c>
      <c r="E592" s="3">
        <v>2465.1</v>
      </c>
      <c r="F592" s="3">
        <v>2097113822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3">
        <v>90.45</v>
      </c>
      <c r="M592" s="3">
        <v>90.57</v>
      </c>
      <c r="N592" s="3">
        <v>89.27</v>
      </c>
      <c r="O592" s="3">
        <v>89.48</v>
      </c>
      <c r="P592" s="3">
        <v>5354006</v>
      </c>
      <c r="Q592" s="3">
        <v>55.32</v>
      </c>
      <c r="R592" s="3">
        <v>55.44</v>
      </c>
      <c r="S592" s="3">
        <v>55.18</v>
      </c>
      <c r="T592" s="3">
        <v>55.36</v>
      </c>
      <c r="U592" s="3">
        <v>16738124</v>
      </c>
      <c r="V592" s="3">
        <v>65</v>
      </c>
      <c r="W592" s="3">
        <v>65.25</v>
      </c>
      <c r="X592" s="3">
        <v>64.66</v>
      </c>
      <c r="Y592" s="3">
        <v>65.09</v>
      </c>
      <c r="Z592" s="3">
        <v>8640332</v>
      </c>
      <c r="AA592" s="3">
        <v>24.34</v>
      </c>
      <c r="AB592" s="3">
        <v>24.36</v>
      </c>
      <c r="AC592" s="3">
        <v>23.79</v>
      </c>
      <c r="AD592" s="3">
        <v>23.88</v>
      </c>
      <c r="AE592" s="3">
        <v>87667847</v>
      </c>
      <c r="AF592" s="3">
        <v>81.260000000000005</v>
      </c>
      <c r="AG592" s="3">
        <v>82.35</v>
      </c>
      <c r="AH592" s="3">
        <v>81.239999999999995</v>
      </c>
      <c r="AI592" s="3">
        <v>82.17</v>
      </c>
      <c r="AJ592" s="3">
        <v>7250995</v>
      </c>
      <c r="AK592" s="3">
        <v>67.95</v>
      </c>
      <c r="AL592" s="3">
        <v>68.040000000000006</v>
      </c>
      <c r="AM592" s="3">
        <v>67.64</v>
      </c>
      <c r="AN592" s="3">
        <v>68.040000000000006</v>
      </c>
      <c r="AO592" s="3">
        <v>13887023</v>
      </c>
      <c r="AP592" s="3">
        <v>55.01</v>
      </c>
      <c r="AQ592" s="3">
        <v>55.06</v>
      </c>
      <c r="AR592" s="3">
        <v>54.68</v>
      </c>
      <c r="AS592" s="3">
        <v>55.03</v>
      </c>
      <c r="AT592" s="3">
        <v>4442630</v>
      </c>
      <c r="AU592" s="3">
        <v>58.5</v>
      </c>
      <c r="AV592" s="3">
        <v>58.63</v>
      </c>
      <c r="AW592" s="3">
        <v>58.29</v>
      </c>
      <c r="AX592" s="3">
        <v>58.51</v>
      </c>
      <c r="AY592" s="3">
        <v>7693809</v>
      </c>
      <c r="AZ592" s="3">
        <v>54.74</v>
      </c>
      <c r="BA592" s="3">
        <v>55.16</v>
      </c>
      <c r="BB592" s="3">
        <v>54.69</v>
      </c>
      <c r="BC592" s="3">
        <v>55.1</v>
      </c>
      <c r="BD592" s="3">
        <v>12351732</v>
      </c>
      <c r="BE592" s="3">
        <v>32.99</v>
      </c>
      <c r="BF592" s="3">
        <v>33.26</v>
      </c>
      <c r="BG592" s="3">
        <v>32.94</v>
      </c>
      <c r="BH592" s="3">
        <v>33.19</v>
      </c>
      <c r="BI592" s="3">
        <v>1652728</v>
      </c>
    </row>
    <row r="593" spans="1:61" ht="13" x14ac:dyDescent="0.15">
      <c r="A593" s="3">
        <v>42986</v>
      </c>
      <c r="B593" s="3">
        <v>2462.25</v>
      </c>
      <c r="C593" s="3">
        <v>2467.11</v>
      </c>
      <c r="D593" s="3">
        <v>2459.4</v>
      </c>
      <c r="E593" s="3">
        <v>2461.4299999999998</v>
      </c>
      <c r="F593" s="3">
        <v>2003871859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3">
        <v>89.3</v>
      </c>
      <c r="M593" s="3">
        <v>89.38</v>
      </c>
      <c r="N593" s="3">
        <v>89.02</v>
      </c>
      <c r="O593" s="3">
        <v>89.17</v>
      </c>
      <c r="P593" s="3">
        <v>2589950</v>
      </c>
      <c r="Q593" s="3">
        <v>55.17</v>
      </c>
      <c r="R593" s="3">
        <v>55.27</v>
      </c>
      <c r="S593" s="3">
        <v>54.88</v>
      </c>
      <c r="T593" s="3">
        <v>55.09</v>
      </c>
      <c r="U593" s="3">
        <v>9158225</v>
      </c>
      <c r="V593" s="3">
        <v>64.95</v>
      </c>
      <c r="W593" s="3">
        <v>64.989999999999995</v>
      </c>
      <c r="X593" s="3">
        <v>64.099999999999994</v>
      </c>
      <c r="Y593" s="3">
        <v>64.400000000000006</v>
      </c>
      <c r="Z593" s="3">
        <v>10264742</v>
      </c>
      <c r="AA593" s="3">
        <v>23.9</v>
      </c>
      <c r="AB593" s="3">
        <v>24.19</v>
      </c>
      <c r="AC593" s="3">
        <v>23.85</v>
      </c>
      <c r="AD593" s="3">
        <v>24.1</v>
      </c>
      <c r="AE593" s="3">
        <v>68639461</v>
      </c>
      <c r="AF593" s="3">
        <v>82.05</v>
      </c>
      <c r="AG593" s="3">
        <v>82.68</v>
      </c>
      <c r="AH593" s="3">
        <v>81.91</v>
      </c>
      <c r="AI593" s="3">
        <v>82.54</v>
      </c>
      <c r="AJ593" s="3">
        <v>4302627</v>
      </c>
      <c r="AK593" s="3">
        <v>67.709999999999994</v>
      </c>
      <c r="AL593" s="3">
        <v>68.37</v>
      </c>
      <c r="AM593" s="3">
        <v>67.61</v>
      </c>
      <c r="AN593" s="3">
        <v>68.27</v>
      </c>
      <c r="AO593" s="3">
        <v>8066996</v>
      </c>
      <c r="AP593" s="3">
        <v>54.99</v>
      </c>
      <c r="AQ593" s="3">
        <v>55.07</v>
      </c>
      <c r="AR593" s="3">
        <v>54.77</v>
      </c>
      <c r="AS593" s="3">
        <v>55.01</v>
      </c>
      <c r="AT593" s="3">
        <v>2719220</v>
      </c>
      <c r="AU593" s="3">
        <v>58.42</v>
      </c>
      <c r="AV593" s="3">
        <v>58.5</v>
      </c>
      <c r="AW593" s="3">
        <v>57.99</v>
      </c>
      <c r="AX593" s="3">
        <v>58.03</v>
      </c>
      <c r="AY593" s="3">
        <v>6259222</v>
      </c>
      <c r="AZ593" s="3">
        <v>55.02</v>
      </c>
      <c r="BA593" s="3">
        <v>55.4</v>
      </c>
      <c r="BB593" s="3">
        <v>54.92</v>
      </c>
      <c r="BC593" s="3">
        <v>55.36</v>
      </c>
      <c r="BD593" s="3">
        <v>9019928</v>
      </c>
      <c r="BE593" s="3">
        <v>33.15</v>
      </c>
      <c r="BF593" s="3">
        <v>33.32</v>
      </c>
      <c r="BG593" s="3">
        <v>33.08</v>
      </c>
      <c r="BH593" s="3">
        <v>33.200000000000003</v>
      </c>
      <c r="BI593" s="3">
        <v>1102131</v>
      </c>
    </row>
    <row r="594" spans="1:61" ht="13" x14ac:dyDescent="0.15">
      <c r="A594" s="3">
        <v>42989</v>
      </c>
      <c r="B594" s="3">
        <v>2474.52</v>
      </c>
      <c r="C594" s="3">
        <v>2488.9499999999998</v>
      </c>
      <c r="D594" s="3">
        <v>2474.52</v>
      </c>
      <c r="E594" s="3">
        <v>2488.11</v>
      </c>
      <c r="F594" s="3">
        <v>1933077168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3">
        <v>89.49</v>
      </c>
      <c r="M594" s="3">
        <v>89.73</v>
      </c>
      <c r="N594" s="3">
        <v>89.42</v>
      </c>
      <c r="O594" s="3">
        <v>89.64</v>
      </c>
      <c r="P594" s="3">
        <v>3351563</v>
      </c>
      <c r="Q594" s="3">
        <v>55.19</v>
      </c>
      <c r="R594" s="3">
        <v>55.51</v>
      </c>
      <c r="S594" s="3">
        <v>55.18</v>
      </c>
      <c r="T594" s="3">
        <v>55.43</v>
      </c>
      <c r="U594" s="3">
        <v>9177812</v>
      </c>
      <c r="V594" s="3">
        <v>64.650000000000006</v>
      </c>
      <c r="W594" s="3">
        <v>65.099999999999994</v>
      </c>
      <c r="X594" s="3">
        <v>64.5</v>
      </c>
      <c r="Y594" s="3">
        <v>65.010000000000005</v>
      </c>
      <c r="Z594" s="3">
        <v>13551055</v>
      </c>
      <c r="AA594" s="3">
        <v>24.38</v>
      </c>
      <c r="AB594" s="3">
        <v>24.59</v>
      </c>
      <c r="AC594" s="3">
        <v>24.33</v>
      </c>
      <c r="AD594" s="3">
        <v>24.52</v>
      </c>
      <c r="AE594" s="3">
        <v>73305743</v>
      </c>
      <c r="AF594" s="3">
        <v>82.91</v>
      </c>
      <c r="AG594" s="3">
        <v>83.2</v>
      </c>
      <c r="AH594" s="3">
        <v>82.73</v>
      </c>
      <c r="AI594" s="3">
        <v>83.18</v>
      </c>
      <c r="AJ594" s="3">
        <v>6286176</v>
      </c>
      <c r="AK594" s="3">
        <v>68.53</v>
      </c>
      <c r="AL594" s="3">
        <v>68.88</v>
      </c>
      <c r="AM594" s="3">
        <v>68.53</v>
      </c>
      <c r="AN594" s="3">
        <v>68.86</v>
      </c>
      <c r="AO594" s="3">
        <v>8005620</v>
      </c>
      <c r="AP594" s="3">
        <v>55.31</v>
      </c>
      <c r="AQ594" s="3">
        <v>55.88</v>
      </c>
      <c r="AR594" s="3">
        <v>55.21</v>
      </c>
      <c r="AS594" s="3">
        <v>55.73</v>
      </c>
      <c r="AT594" s="3">
        <v>5072313</v>
      </c>
      <c r="AU594" s="3">
        <v>58.49</v>
      </c>
      <c r="AV594" s="3">
        <v>58.91</v>
      </c>
      <c r="AW594" s="3">
        <v>58.49</v>
      </c>
      <c r="AX594" s="3">
        <v>58.85</v>
      </c>
      <c r="AY594" s="3">
        <v>7037299</v>
      </c>
      <c r="AZ594" s="3">
        <v>55.26</v>
      </c>
      <c r="BA594" s="3">
        <v>55.9</v>
      </c>
      <c r="BB594" s="3">
        <v>55.25</v>
      </c>
      <c r="BC594" s="3">
        <v>55.83</v>
      </c>
      <c r="BD594" s="3">
        <v>10091614</v>
      </c>
      <c r="BE594" s="3">
        <v>33.229999999999997</v>
      </c>
      <c r="BF594" s="3">
        <v>33.46</v>
      </c>
      <c r="BG594" s="3">
        <v>33.229999999999997</v>
      </c>
      <c r="BH594" s="3">
        <v>33.44</v>
      </c>
      <c r="BI594" s="3">
        <v>1267457</v>
      </c>
    </row>
    <row r="595" spans="1:61" ht="13" x14ac:dyDescent="0.15">
      <c r="A595" s="3">
        <v>42990</v>
      </c>
      <c r="B595" s="3">
        <v>2491.94</v>
      </c>
      <c r="C595" s="3">
        <v>2496.77</v>
      </c>
      <c r="D595" s="3">
        <v>2490.37</v>
      </c>
      <c r="E595" s="3">
        <v>2496.48</v>
      </c>
      <c r="F595" s="3">
        <v>1937393633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3">
        <v>89.86</v>
      </c>
      <c r="M595" s="3">
        <v>90.17</v>
      </c>
      <c r="N595" s="3">
        <v>89.74</v>
      </c>
      <c r="O595" s="3">
        <v>90.04</v>
      </c>
      <c r="P595" s="3">
        <v>2720090</v>
      </c>
      <c r="Q595" s="3">
        <v>55.43</v>
      </c>
      <c r="R595" s="3">
        <v>55.56</v>
      </c>
      <c r="S595" s="3">
        <v>55.4</v>
      </c>
      <c r="T595" s="3">
        <v>55.55</v>
      </c>
      <c r="U595" s="3">
        <v>7453407</v>
      </c>
      <c r="V595" s="3">
        <v>65.2</v>
      </c>
      <c r="W595" s="3">
        <v>65.55</v>
      </c>
      <c r="X595" s="3">
        <v>65.03</v>
      </c>
      <c r="Y595" s="3">
        <v>65.41</v>
      </c>
      <c r="Z595" s="3">
        <v>9409697</v>
      </c>
      <c r="AA595" s="3">
        <v>24.61</v>
      </c>
      <c r="AB595" s="3">
        <v>24.83</v>
      </c>
      <c r="AC595" s="3">
        <v>24.59</v>
      </c>
      <c r="AD595" s="3">
        <v>24.81</v>
      </c>
      <c r="AE595" s="3">
        <v>66350629</v>
      </c>
      <c r="AF595" s="3">
        <v>83.2</v>
      </c>
      <c r="AG595" s="3">
        <v>83.37</v>
      </c>
      <c r="AH595" s="3">
        <v>83.04</v>
      </c>
      <c r="AI595" s="3">
        <v>83.36</v>
      </c>
      <c r="AJ595" s="3">
        <v>6984789</v>
      </c>
      <c r="AK595" s="3">
        <v>69.02</v>
      </c>
      <c r="AL595" s="3">
        <v>69.209999999999994</v>
      </c>
      <c r="AM595" s="3">
        <v>68.900000000000006</v>
      </c>
      <c r="AN595" s="3">
        <v>69.19</v>
      </c>
      <c r="AO595" s="3">
        <v>7606229</v>
      </c>
      <c r="AP595" s="3">
        <v>55.98</v>
      </c>
      <c r="AQ595" s="3">
        <v>56.39</v>
      </c>
      <c r="AR595" s="3">
        <v>55.97</v>
      </c>
      <c r="AS595" s="3">
        <v>56.2</v>
      </c>
      <c r="AT595" s="3">
        <v>6643687</v>
      </c>
      <c r="AU595" s="3">
        <v>59.02</v>
      </c>
      <c r="AV595" s="3">
        <v>59.1</v>
      </c>
      <c r="AW595" s="3">
        <v>58.72</v>
      </c>
      <c r="AX595" s="3">
        <v>58.99</v>
      </c>
      <c r="AY595" s="3">
        <v>7861747</v>
      </c>
      <c r="AZ595" s="3">
        <v>55.79</v>
      </c>
      <c r="BA595" s="3">
        <v>55.79</v>
      </c>
      <c r="BB595" s="3">
        <v>54.6</v>
      </c>
      <c r="BC595" s="3">
        <v>54.9</v>
      </c>
      <c r="BD595" s="3">
        <v>18895311</v>
      </c>
      <c r="BE595" s="3">
        <v>33.409999999999997</v>
      </c>
      <c r="BF595" s="3">
        <v>33.44</v>
      </c>
      <c r="BG595" s="3">
        <v>32.94</v>
      </c>
      <c r="BH595" s="3">
        <v>33.08</v>
      </c>
      <c r="BI595" s="3">
        <v>1335606</v>
      </c>
    </row>
    <row r="596" spans="1:61" ht="13" x14ac:dyDescent="0.15">
      <c r="A596" s="3">
        <v>42991</v>
      </c>
      <c r="B596" s="3">
        <v>2493.89</v>
      </c>
      <c r="C596" s="3">
        <v>2498.37</v>
      </c>
      <c r="D596" s="3">
        <v>2492.14</v>
      </c>
      <c r="E596" s="3">
        <v>2498.37</v>
      </c>
      <c r="F596" s="3">
        <v>1897322876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3">
        <v>89.99</v>
      </c>
      <c r="M596" s="3">
        <v>90.69</v>
      </c>
      <c r="N596" s="3">
        <v>89.99</v>
      </c>
      <c r="O596" s="3">
        <v>90.69</v>
      </c>
      <c r="P596" s="3">
        <v>3291562</v>
      </c>
      <c r="Q596" s="3">
        <v>55.5</v>
      </c>
      <c r="R596" s="3">
        <v>55.78</v>
      </c>
      <c r="S596" s="3">
        <v>55.5</v>
      </c>
      <c r="T596" s="3">
        <v>55.58</v>
      </c>
      <c r="U596" s="3">
        <v>7972349</v>
      </c>
      <c r="V596" s="3">
        <v>65.55</v>
      </c>
      <c r="W596" s="3">
        <v>66.27</v>
      </c>
      <c r="X596" s="3">
        <v>65.48</v>
      </c>
      <c r="Y596" s="3">
        <v>66.23</v>
      </c>
      <c r="Z596" s="3">
        <v>15893275</v>
      </c>
      <c r="AA596" s="3">
        <v>24.77</v>
      </c>
      <c r="AB596" s="3">
        <v>24.86</v>
      </c>
      <c r="AC596" s="3">
        <v>24.68</v>
      </c>
      <c r="AD596" s="3">
        <v>24.85</v>
      </c>
      <c r="AE596" s="3">
        <v>51049443</v>
      </c>
      <c r="AF596" s="3">
        <v>83.26</v>
      </c>
      <c r="AG596" s="3">
        <v>83.41</v>
      </c>
      <c r="AH596" s="3">
        <v>82.89</v>
      </c>
      <c r="AI596" s="3">
        <v>83.05</v>
      </c>
      <c r="AJ596" s="3">
        <v>5873781</v>
      </c>
      <c r="AK596" s="3">
        <v>69.14</v>
      </c>
      <c r="AL596" s="3">
        <v>69.19</v>
      </c>
      <c r="AM596" s="3">
        <v>68.94</v>
      </c>
      <c r="AN596" s="3">
        <v>69.09</v>
      </c>
      <c r="AO596" s="3">
        <v>5528446</v>
      </c>
      <c r="AP596" s="3">
        <v>56.21</v>
      </c>
      <c r="AQ596" s="3">
        <v>56.23</v>
      </c>
      <c r="AR596" s="3">
        <v>55.9</v>
      </c>
      <c r="AS596" s="3">
        <v>56.18</v>
      </c>
      <c r="AT596" s="3">
        <v>4390288</v>
      </c>
      <c r="AU596" s="3">
        <v>58.92</v>
      </c>
      <c r="AV596" s="3">
        <v>58.93</v>
      </c>
      <c r="AW596" s="3">
        <v>58.68</v>
      </c>
      <c r="AX596" s="3">
        <v>58.91</v>
      </c>
      <c r="AY596" s="3">
        <v>8128285</v>
      </c>
      <c r="AZ596" s="3">
        <v>54.85</v>
      </c>
      <c r="BA596" s="3">
        <v>54.89</v>
      </c>
      <c r="BB596" s="3">
        <v>54.59</v>
      </c>
      <c r="BC596" s="3">
        <v>54.63</v>
      </c>
      <c r="BD596" s="3">
        <v>10729070</v>
      </c>
      <c r="BE596" s="3">
        <v>33.06</v>
      </c>
      <c r="BF596" s="3">
        <v>33.06</v>
      </c>
      <c r="BG596" s="3">
        <v>32.82</v>
      </c>
      <c r="BH596" s="3">
        <v>32.94</v>
      </c>
      <c r="BI596" s="3">
        <v>1286694</v>
      </c>
    </row>
    <row r="597" spans="1:61" ht="13" x14ac:dyDescent="0.15">
      <c r="A597" s="3">
        <v>42992</v>
      </c>
      <c r="B597" s="3">
        <v>2494.56</v>
      </c>
      <c r="C597" s="3">
        <v>2498.4299999999998</v>
      </c>
      <c r="D597" s="3">
        <v>2491.35</v>
      </c>
      <c r="E597" s="3">
        <v>2495.62</v>
      </c>
      <c r="F597" s="3">
        <v>1916765069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3">
        <v>90.47</v>
      </c>
      <c r="M597" s="3">
        <v>90.7</v>
      </c>
      <c r="N597" s="3">
        <v>90.17</v>
      </c>
      <c r="O597" s="3">
        <v>90.2</v>
      </c>
      <c r="P597" s="3">
        <v>3516900</v>
      </c>
      <c r="Q597" s="3">
        <v>55.49</v>
      </c>
      <c r="R597" s="3">
        <v>55.61</v>
      </c>
      <c r="S597" s="3">
        <v>55.29</v>
      </c>
      <c r="T597" s="3">
        <v>55.47</v>
      </c>
      <c r="U597" s="3">
        <v>5817854</v>
      </c>
      <c r="V597" s="3">
        <v>66.36</v>
      </c>
      <c r="W597" s="3">
        <v>67</v>
      </c>
      <c r="X597" s="3">
        <v>66.349999999999994</v>
      </c>
      <c r="Y597" s="3">
        <v>66.55</v>
      </c>
      <c r="Z597" s="3">
        <v>14583401</v>
      </c>
      <c r="AA597" s="3">
        <v>24.86</v>
      </c>
      <c r="AB597" s="3">
        <v>24.92</v>
      </c>
      <c r="AC597" s="3">
        <v>24.75</v>
      </c>
      <c r="AD597" s="3">
        <v>24.8</v>
      </c>
      <c r="AE597" s="3">
        <v>47163158</v>
      </c>
      <c r="AF597" s="3">
        <v>82.82</v>
      </c>
      <c r="AG597" s="3">
        <v>83.29</v>
      </c>
      <c r="AH597" s="3">
        <v>82.72</v>
      </c>
      <c r="AI597" s="3">
        <v>83.16</v>
      </c>
      <c r="AJ597" s="3">
        <v>6373776</v>
      </c>
      <c r="AK597" s="3">
        <v>68.989999999999995</v>
      </c>
      <c r="AL597" s="3">
        <v>69.44</v>
      </c>
      <c r="AM597" s="3">
        <v>68.900000000000006</v>
      </c>
      <c r="AN597" s="3">
        <v>69.42</v>
      </c>
      <c r="AO597" s="3">
        <v>6864883</v>
      </c>
      <c r="AP597" s="3">
        <v>56.18</v>
      </c>
      <c r="AQ597" s="3">
        <v>56.46</v>
      </c>
      <c r="AR597" s="3">
        <v>56.05</v>
      </c>
      <c r="AS597" s="3">
        <v>56.37</v>
      </c>
      <c r="AT597" s="3">
        <v>4278758</v>
      </c>
      <c r="AU597" s="3">
        <v>58.69</v>
      </c>
      <c r="AV597" s="3">
        <v>58.98</v>
      </c>
      <c r="AW597" s="3">
        <v>58.58</v>
      </c>
      <c r="AX597" s="3">
        <v>58.71</v>
      </c>
      <c r="AY597" s="3">
        <v>7626701</v>
      </c>
      <c r="AZ597" s="3">
        <v>54.6</v>
      </c>
      <c r="BA597" s="3">
        <v>55.12</v>
      </c>
      <c r="BB597" s="3">
        <v>54.44</v>
      </c>
      <c r="BC597" s="3">
        <v>55.09</v>
      </c>
      <c r="BD597" s="3">
        <v>10195378</v>
      </c>
      <c r="BE597" s="3">
        <v>32.89</v>
      </c>
      <c r="BF597" s="3">
        <v>33.18</v>
      </c>
      <c r="BG597" s="3">
        <v>32.76</v>
      </c>
      <c r="BH597" s="3">
        <v>33.17</v>
      </c>
      <c r="BI597" s="3">
        <v>1492508</v>
      </c>
    </row>
    <row r="598" spans="1:61" ht="13" x14ac:dyDescent="0.15">
      <c r="A598" s="3">
        <v>42993</v>
      </c>
      <c r="B598" s="3">
        <v>2495.67</v>
      </c>
      <c r="C598" s="3">
        <v>2500.23</v>
      </c>
      <c r="D598" s="3">
        <v>2493.16</v>
      </c>
      <c r="E598" s="3">
        <v>2500.23</v>
      </c>
      <c r="F598" s="3">
        <v>3038855557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3">
        <v>89.71</v>
      </c>
      <c r="M598" s="3">
        <v>89.97</v>
      </c>
      <c r="N598" s="3">
        <v>89.58</v>
      </c>
      <c r="O598" s="3">
        <v>89.63</v>
      </c>
      <c r="P598" s="3">
        <v>3911134</v>
      </c>
      <c r="Q598" s="3">
        <v>55.26</v>
      </c>
      <c r="R598" s="3">
        <v>55.26</v>
      </c>
      <c r="S598" s="3">
        <v>55</v>
      </c>
      <c r="T598" s="3">
        <v>55.22</v>
      </c>
      <c r="U598" s="3">
        <v>12497722</v>
      </c>
      <c r="V598" s="3">
        <v>65.819999999999993</v>
      </c>
      <c r="W598" s="3">
        <v>65.84</v>
      </c>
      <c r="X598" s="3">
        <v>65.400000000000006</v>
      </c>
      <c r="Y598" s="3">
        <v>65.84</v>
      </c>
      <c r="Z598" s="3">
        <v>13068128</v>
      </c>
      <c r="AA598" s="3">
        <v>24.66</v>
      </c>
      <c r="AB598" s="3">
        <v>24.79</v>
      </c>
      <c r="AC598" s="3">
        <v>24.63</v>
      </c>
      <c r="AD598" s="3">
        <v>24.77</v>
      </c>
      <c r="AE598" s="3">
        <v>59250192</v>
      </c>
      <c r="AF598" s="3">
        <v>83.06</v>
      </c>
      <c r="AG598" s="3">
        <v>83.06</v>
      </c>
      <c r="AH598" s="3">
        <v>82.5</v>
      </c>
      <c r="AI598" s="3">
        <v>82.59</v>
      </c>
      <c r="AJ598" s="3">
        <v>7091336</v>
      </c>
      <c r="AK598" s="3">
        <v>69.150000000000006</v>
      </c>
      <c r="AL598" s="3">
        <v>69.42</v>
      </c>
      <c r="AM598" s="3">
        <v>69</v>
      </c>
      <c r="AN598" s="3">
        <v>69.39</v>
      </c>
      <c r="AO598" s="3">
        <v>9989759</v>
      </c>
      <c r="AP598" s="3">
        <v>56.03</v>
      </c>
      <c r="AQ598" s="3">
        <v>56.17</v>
      </c>
      <c r="AR598" s="3">
        <v>55.88</v>
      </c>
      <c r="AS598" s="3">
        <v>56.07</v>
      </c>
      <c r="AT598" s="3">
        <v>4700899</v>
      </c>
      <c r="AU598" s="3">
        <v>58.45</v>
      </c>
      <c r="AV598" s="3">
        <v>58.79</v>
      </c>
      <c r="AW598" s="3">
        <v>58.35</v>
      </c>
      <c r="AX598" s="3">
        <v>58.74</v>
      </c>
      <c r="AY598" s="3">
        <v>13123809</v>
      </c>
      <c r="AZ598" s="3">
        <v>54.83</v>
      </c>
      <c r="BA598" s="3">
        <v>54.91</v>
      </c>
      <c r="BB598" s="3">
        <v>54.5</v>
      </c>
      <c r="BC598" s="3">
        <v>54.75</v>
      </c>
      <c r="BD598" s="3">
        <v>8515142</v>
      </c>
      <c r="BE598" s="3">
        <v>32.869999999999997</v>
      </c>
      <c r="BF598" s="3">
        <v>33.049999999999997</v>
      </c>
      <c r="BG598" s="3">
        <v>32.79</v>
      </c>
      <c r="BH598" s="3">
        <v>33.049999999999997</v>
      </c>
      <c r="BI598" s="3">
        <v>3210556</v>
      </c>
    </row>
    <row r="599" spans="1:61" ht="13" x14ac:dyDescent="0.15">
      <c r="A599" s="3">
        <v>42996</v>
      </c>
      <c r="B599" s="3">
        <v>2502.5100000000002</v>
      </c>
      <c r="C599" s="3">
        <v>2508.3200000000002</v>
      </c>
      <c r="D599" s="3">
        <v>2499.92</v>
      </c>
      <c r="E599" s="3">
        <v>2503.87</v>
      </c>
      <c r="F599" s="3">
        <v>1922720626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3">
        <v>89.91</v>
      </c>
      <c r="M599" s="3">
        <v>89.98</v>
      </c>
      <c r="N599" s="3">
        <v>89.12</v>
      </c>
      <c r="O599" s="3">
        <v>89.32</v>
      </c>
      <c r="P599" s="3">
        <v>6569557</v>
      </c>
      <c r="Q599" s="3">
        <v>55.27</v>
      </c>
      <c r="R599" s="3">
        <v>55.39</v>
      </c>
      <c r="S599" s="3">
        <v>55.14</v>
      </c>
      <c r="T599" s="3">
        <v>55.3</v>
      </c>
      <c r="U599" s="3">
        <v>8299356</v>
      </c>
      <c r="V599" s="3">
        <v>65.69</v>
      </c>
      <c r="W599" s="3">
        <v>66.16</v>
      </c>
      <c r="X599" s="3">
        <v>65.64</v>
      </c>
      <c r="Y599" s="3">
        <v>66.12</v>
      </c>
      <c r="Z599" s="3">
        <v>12583545</v>
      </c>
      <c r="AA599" s="3">
        <v>24.86</v>
      </c>
      <c r="AB599" s="3">
        <v>25.07</v>
      </c>
      <c r="AC599" s="3">
        <v>24.84</v>
      </c>
      <c r="AD599" s="3">
        <v>25.06</v>
      </c>
      <c r="AE599" s="3">
        <v>44010385</v>
      </c>
      <c r="AF599" s="3">
        <v>82.68</v>
      </c>
      <c r="AG599" s="3">
        <v>82.9</v>
      </c>
      <c r="AH599" s="3">
        <v>82.44</v>
      </c>
      <c r="AI599" s="3">
        <v>82.57</v>
      </c>
      <c r="AJ599" s="3">
        <v>7783052</v>
      </c>
      <c r="AK599" s="3">
        <v>69.540000000000006</v>
      </c>
      <c r="AL599" s="3">
        <v>69.849999999999994</v>
      </c>
      <c r="AM599" s="3">
        <v>69.48</v>
      </c>
      <c r="AN599" s="3">
        <v>69.78</v>
      </c>
      <c r="AO599" s="3">
        <v>6143732</v>
      </c>
      <c r="AP599" s="3">
        <v>56.18</v>
      </c>
      <c r="AQ599" s="3">
        <v>56.44</v>
      </c>
      <c r="AR599" s="3">
        <v>56.08</v>
      </c>
      <c r="AS599" s="3">
        <v>56.38</v>
      </c>
      <c r="AT599" s="3">
        <v>4425690</v>
      </c>
      <c r="AU599" s="3">
        <v>58.83</v>
      </c>
      <c r="AV599" s="3">
        <v>59.01</v>
      </c>
      <c r="AW599" s="3">
        <v>58.57</v>
      </c>
      <c r="AX599" s="3">
        <v>58.79</v>
      </c>
      <c r="AY599" s="3">
        <v>10411964</v>
      </c>
      <c r="AZ599" s="3">
        <v>54.71</v>
      </c>
      <c r="BA599" s="3">
        <v>54.75</v>
      </c>
      <c r="BB599" s="3">
        <v>53.83</v>
      </c>
      <c r="BC599" s="3">
        <v>54.19</v>
      </c>
      <c r="BD599" s="3">
        <v>15803499</v>
      </c>
      <c r="BE599" s="3">
        <v>33</v>
      </c>
      <c r="BF599" s="3">
        <v>33.1</v>
      </c>
      <c r="BG599" s="3">
        <v>32.78</v>
      </c>
      <c r="BH599" s="3">
        <v>32.86</v>
      </c>
      <c r="BI599" s="3">
        <v>1012304</v>
      </c>
    </row>
    <row r="600" spans="1:61" ht="13" x14ac:dyDescent="0.15">
      <c r="A600" s="3">
        <v>42997</v>
      </c>
      <c r="B600" s="3">
        <v>2506.29</v>
      </c>
      <c r="C600" s="3">
        <v>2507.84</v>
      </c>
      <c r="D600" s="3">
        <v>2503.19</v>
      </c>
      <c r="E600" s="3">
        <v>2506.65</v>
      </c>
      <c r="F600" s="3">
        <v>1920071498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3">
        <v>89.33</v>
      </c>
      <c r="M600" s="3">
        <v>89.48</v>
      </c>
      <c r="N600" s="3">
        <v>88.91</v>
      </c>
      <c r="O600" s="3">
        <v>89.24</v>
      </c>
      <c r="P600" s="3">
        <v>6400542</v>
      </c>
      <c r="Q600" s="3">
        <v>55.33</v>
      </c>
      <c r="R600" s="3">
        <v>55.36</v>
      </c>
      <c r="S600" s="3">
        <v>55</v>
      </c>
      <c r="T600" s="3">
        <v>55.13</v>
      </c>
      <c r="U600" s="3">
        <v>6207650</v>
      </c>
      <c r="V600" s="3">
        <v>66.260000000000005</v>
      </c>
      <c r="W600" s="3">
        <v>66.489999999999995</v>
      </c>
      <c r="X600" s="3">
        <v>66.13</v>
      </c>
      <c r="Y600" s="3">
        <v>66.39</v>
      </c>
      <c r="Z600" s="3">
        <v>10504257</v>
      </c>
      <c r="AA600" s="3">
        <v>25.06</v>
      </c>
      <c r="AB600" s="3">
        <v>25.31</v>
      </c>
      <c r="AC600" s="3">
        <v>25.02</v>
      </c>
      <c r="AD600" s="3">
        <v>25.25</v>
      </c>
      <c r="AE600" s="3">
        <v>58443318</v>
      </c>
      <c r="AF600" s="3">
        <v>82.61</v>
      </c>
      <c r="AG600" s="3">
        <v>82.71</v>
      </c>
      <c r="AH600" s="3">
        <v>81.83</v>
      </c>
      <c r="AI600" s="3">
        <v>81.92</v>
      </c>
      <c r="AJ600" s="3">
        <v>7329150</v>
      </c>
      <c r="AK600" s="3">
        <v>69.84</v>
      </c>
      <c r="AL600" s="3">
        <v>69.94</v>
      </c>
      <c r="AM600" s="3">
        <v>69.77</v>
      </c>
      <c r="AN600" s="3">
        <v>69.849999999999994</v>
      </c>
      <c r="AO600" s="3">
        <v>7160002</v>
      </c>
      <c r="AP600" s="3">
        <v>56.56</v>
      </c>
      <c r="AQ600" s="3">
        <v>56.7</v>
      </c>
      <c r="AR600" s="3">
        <v>56.32</v>
      </c>
      <c r="AS600" s="3">
        <v>56.67</v>
      </c>
      <c r="AT600" s="3">
        <v>3031963</v>
      </c>
      <c r="AU600" s="3">
        <v>58.88</v>
      </c>
      <c r="AV600" s="3">
        <v>59.17</v>
      </c>
      <c r="AW600" s="3">
        <v>58.73</v>
      </c>
      <c r="AX600" s="3">
        <v>59.05</v>
      </c>
      <c r="AY600" s="3">
        <v>5616132</v>
      </c>
      <c r="AZ600" s="3">
        <v>54.28</v>
      </c>
      <c r="BA600" s="3">
        <v>54.32</v>
      </c>
      <c r="BB600" s="3">
        <v>54</v>
      </c>
      <c r="BC600" s="3">
        <v>54.08</v>
      </c>
      <c r="BD600" s="3">
        <v>15779995</v>
      </c>
      <c r="BE600" s="3">
        <v>32.86</v>
      </c>
      <c r="BF600" s="3">
        <v>32.89</v>
      </c>
      <c r="BG600" s="3">
        <v>32.44</v>
      </c>
      <c r="BH600" s="3">
        <v>32.53</v>
      </c>
      <c r="BI600" s="3">
        <v>1990963</v>
      </c>
    </row>
    <row r="601" spans="1:61" ht="13" x14ac:dyDescent="0.15">
      <c r="A601" s="3">
        <v>42998</v>
      </c>
      <c r="B601" s="3">
        <v>2506.84</v>
      </c>
      <c r="C601" s="3">
        <v>2508.85</v>
      </c>
      <c r="D601" s="3">
        <v>2496.67</v>
      </c>
      <c r="E601" s="3">
        <v>2508.2399999999998</v>
      </c>
      <c r="F601" s="3">
        <v>2066413790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3">
        <v>89.37</v>
      </c>
      <c r="M601" s="3">
        <v>89.61</v>
      </c>
      <c r="N601" s="3">
        <v>89.06</v>
      </c>
      <c r="O601" s="3">
        <v>89.54</v>
      </c>
      <c r="P601" s="3">
        <v>3709887</v>
      </c>
      <c r="Q601" s="3">
        <v>54.98</v>
      </c>
      <c r="R601" s="3">
        <v>55.05</v>
      </c>
      <c r="S601" s="3">
        <v>54.33</v>
      </c>
      <c r="T601" s="3">
        <v>54.6</v>
      </c>
      <c r="U601" s="3">
        <v>11029247</v>
      </c>
      <c r="V601" s="3">
        <v>66.58</v>
      </c>
      <c r="W601" s="3">
        <v>67.02</v>
      </c>
      <c r="X601" s="3">
        <v>66.52</v>
      </c>
      <c r="Y601" s="3">
        <v>66.84</v>
      </c>
      <c r="Z601" s="3">
        <v>18273771</v>
      </c>
      <c r="AA601" s="3">
        <v>25.27</v>
      </c>
      <c r="AB601" s="3">
        <v>25.49</v>
      </c>
      <c r="AC601" s="3">
        <v>25.15</v>
      </c>
      <c r="AD601" s="3">
        <v>25.4</v>
      </c>
      <c r="AE601" s="3">
        <v>70595545</v>
      </c>
      <c r="AF601" s="3">
        <v>81.95</v>
      </c>
      <c r="AG601" s="3">
        <v>82.09</v>
      </c>
      <c r="AH601" s="3">
        <v>81.41</v>
      </c>
      <c r="AI601" s="3">
        <v>82</v>
      </c>
      <c r="AJ601" s="3">
        <v>5101780</v>
      </c>
      <c r="AK601" s="3">
        <v>69.89</v>
      </c>
      <c r="AL601" s="3">
        <v>70.38</v>
      </c>
      <c r="AM601" s="3">
        <v>69.89</v>
      </c>
      <c r="AN601" s="3">
        <v>70.36</v>
      </c>
      <c r="AO601" s="3">
        <v>6676220</v>
      </c>
      <c r="AP601" s="3">
        <v>56.85</v>
      </c>
      <c r="AQ601" s="3">
        <v>56.99</v>
      </c>
      <c r="AR601" s="3">
        <v>56.56</v>
      </c>
      <c r="AS601" s="3">
        <v>56.87</v>
      </c>
      <c r="AT601" s="3">
        <v>4432406</v>
      </c>
      <c r="AU601" s="3">
        <v>59.04</v>
      </c>
      <c r="AV601" s="3">
        <v>59.06</v>
      </c>
      <c r="AW601" s="3">
        <v>58.4</v>
      </c>
      <c r="AX601" s="3">
        <v>58.81</v>
      </c>
      <c r="AY601" s="3">
        <v>8950822</v>
      </c>
      <c r="AZ601" s="3">
        <v>54.17</v>
      </c>
      <c r="BA601" s="3">
        <v>54.29</v>
      </c>
      <c r="BB601" s="3">
        <v>53.47</v>
      </c>
      <c r="BC601" s="3">
        <v>53.68</v>
      </c>
      <c r="BD601" s="3">
        <v>19747006</v>
      </c>
      <c r="BE601" s="3">
        <v>32.58</v>
      </c>
      <c r="BF601" s="3">
        <v>32.65</v>
      </c>
      <c r="BG601" s="3">
        <v>32.29</v>
      </c>
      <c r="BH601" s="3">
        <v>32.44</v>
      </c>
      <c r="BI601" s="3">
        <v>1283776</v>
      </c>
    </row>
    <row r="602" spans="1:61" ht="13" x14ac:dyDescent="0.15">
      <c r="A602" s="3">
        <v>42999</v>
      </c>
      <c r="B602" s="3">
        <v>2507.16</v>
      </c>
      <c r="C602" s="3">
        <v>2507.16</v>
      </c>
      <c r="D602" s="3">
        <v>2499</v>
      </c>
      <c r="E602" s="3">
        <v>2500.6</v>
      </c>
      <c r="F602" s="3">
        <v>1811929140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3">
        <v>89.51</v>
      </c>
      <c r="M602" s="3">
        <v>89.61</v>
      </c>
      <c r="N602" s="3">
        <v>89.24</v>
      </c>
      <c r="O602" s="3">
        <v>89.39</v>
      </c>
      <c r="P602" s="3">
        <v>4207581</v>
      </c>
      <c r="Q602" s="3">
        <v>54.53</v>
      </c>
      <c r="R602" s="3">
        <v>54.58</v>
      </c>
      <c r="S602" s="3">
        <v>54.03</v>
      </c>
      <c r="T602" s="3">
        <v>54.08</v>
      </c>
      <c r="U602" s="3">
        <v>10398659</v>
      </c>
      <c r="V602" s="3">
        <v>66.75</v>
      </c>
      <c r="W602" s="3">
        <v>67.03</v>
      </c>
      <c r="X602" s="3">
        <v>66.56</v>
      </c>
      <c r="Y602" s="3">
        <v>66.86</v>
      </c>
      <c r="Z602" s="3">
        <v>8874083</v>
      </c>
      <c r="AA602" s="3">
        <v>25.34</v>
      </c>
      <c r="AB602" s="3">
        <v>25.52</v>
      </c>
      <c r="AC602" s="3">
        <v>25.32</v>
      </c>
      <c r="AD602" s="3">
        <v>25.46</v>
      </c>
      <c r="AE602" s="3">
        <v>51050081</v>
      </c>
      <c r="AF602" s="3">
        <v>81.95</v>
      </c>
      <c r="AG602" s="3">
        <v>82.04</v>
      </c>
      <c r="AH602" s="3">
        <v>81.540000000000006</v>
      </c>
      <c r="AI602" s="3">
        <v>81.58</v>
      </c>
      <c r="AJ602" s="3">
        <v>4527869</v>
      </c>
      <c r="AK602" s="3">
        <v>70.319999999999993</v>
      </c>
      <c r="AL602" s="3">
        <v>70.64</v>
      </c>
      <c r="AM602" s="3">
        <v>70.2</v>
      </c>
      <c r="AN602" s="3">
        <v>70.569999999999993</v>
      </c>
      <c r="AO602" s="3">
        <v>4377660</v>
      </c>
      <c r="AP602" s="3">
        <v>56.76</v>
      </c>
      <c r="AQ602" s="3">
        <v>56.96</v>
      </c>
      <c r="AR602" s="3">
        <v>56.74</v>
      </c>
      <c r="AS602" s="3">
        <v>56.75</v>
      </c>
      <c r="AT602" s="3">
        <v>3172419</v>
      </c>
      <c r="AU602" s="3">
        <v>58.79</v>
      </c>
      <c r="AV602" s="3">
        <v>58.79</v>
      </c>
      <c r="AW602" s="3">
        <v>58.3</v>
      </c>
      <c r="AX602" s="3">
        <v>58.49</v>
      </c>
      <c r="AY602" s="3">
        <v>8104649</v>
      </c>
      <c r="AZ602" s="3">
        <v>53.73</v>
      </c>
      <c r="BA602" s="3">
        <v>54.02</v>
      </c>
      <c r="BB602" s="3">
        <v>53.6</v>
      </c>
      <c r="BC602" s="3">
        <v>53.67</v>
      </c>
      <c r="BD602" s="3">
        <v>10712328</v>
      </c>
      <c r="BE602" s="3">
        <v>32.42</v>
      </c>
      <c r="BF602" s="3">
        <v>32.6</v>
      </c>
      <c r="BG602" s="3">
        <v>32.380000000000003</v>
      </c>
      <c r="BH602" s="3">
        <v>32.39</v>
      </c>
      <c r="BI602" s="3">
        <v>2548103</v>
      </c>
    </row>
    <row r="603" spans="1:61" ht="13" x14ac:dyDescent="0.15">
      <c r="A603" s="3">
        <v>43000</v>
      </c>
      <c r="B603" s="3">
        <v>2497.2600000000002</v>
      </c>
      <c r="C603" s="3">
        <v>2503.4699999999998</v>
      </c>
      <c r="D603" s="3">
        <v>2496.54</v>
      </c>
      <c r="E603" s="3">
        <v>2502.2199999999998</v>
      </c>
      <c r="F603" s="3">
        <v>1672336528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3">
        <v>89.16</v>
      </c>
      <c r="M603" s="3">
        <v>89.59</v>
      </c>
      <c r="N603" s="3">
        <v>89.14</v>
      </c>
      <c r="O603" s="3">
        <v>89.54</v>
      </c>
      <c r="P603" s="3">
        <v>3116275</v>
      </c>
      <c r="Q603" s="3">
        <v>54.17</v>
      </c>
      <c r="R603" s="3">
        <v>54.17</v>
      </c>
      <c r="S603" s="3">
        <v>53.88</v>
      </c>
      <c r="T603" s="3">
        <v>53.92</v>
      </c>
      <c r="U603" s="3">
        <v>11318160</v>
      </c>
      <c r="V603" s="3">
        <v>66.8</v>
      </c>
      <c r="W603" s="3">
        <v>67.39</v>
      </c>
      <c r="X603" s="3">
        <v>66.73</v>
      </c>
      <c r="Y603" s="3">
        <v>67.2</v>
      </c>
      <c r="Z603" s="3">
        <v>14647937</v>
      </c>
      <c r="AA603" s="3">
        <v>25.36</v>
      </c>
      <c r="AB603" s="3">
        <v>25.46</v>
      </c>
      <c r="AC603" s="3">
        <v>25.29</v>
      </c>
      <c r="AD603" s="3">
        <v>25.43</v>
      </c>
      <c r="AE603" s="3">
        <v>42306550</v>
      </c>
      <c r="AF603" s="3">
        <v>81.47</v>
      </c>
      <c r="AG603" s="3">
        <v>81.69</v>
      </c>
      <c r="AH603" s="3">
        <v>81.16</v>
      </c>
      <c r="AI603" s="3">
        <v>81.58</v>
      </c>
      <c r="AJ603" s="3">
        <v>6473284</v>
      </c>
      <c r="AK603" s="3">
        <v>70.62</v>
      </c>
      <c r="AL603" s="3">
        <v>70.819999999999993</v>
      </c>
      <c r="AM603" s="3">
        <v>70.55</v>
      </c>
      <c r="AN603" s="3">
        <v>70.75</v>
      </c>
      <c r="AO603" s="3">
        <v>3533893</v>
      </c>
      <c r="AP603" s="3">
        <v>56.65</v>
      </c>
      <c r="AQ603" s="3">
        <v>56.73</v>
      </c>
      <c r="AR603" s="3">
        <v>56.46</v>
      </c>
      <c r="AS603" s="3">
        <v>56.55</v>
      </c>
      <c r="AT603" s="3">
        <v>2943561</v>
      </c>
      <c r="AU603" s="3">
        <v>58.3</v>
      </c>
      <c r="AV603" s="3">
        <v>58.6</v>
      </c>
      <c r="AW603" s="3">
        <v>58.27</v>
      </c>
      <c r="AX603" s="3">
        <v>58.52</v>
      </c>
      <c r="AY603" s="3">
        <v>4824802</v>
      </c>
      <c r="AZ603" s="3">
        <v>53.82</v>
      </c>
      <c r="BA603" s="3">
        <v>53.89</v>
      </c>
      <c r="BB603" s="3">
        <v>53.23</v>
      </c>
      <c r="BC603" s="3">
        <v>53.23</v>
      </c>
      <c r="BD603" s="3">
        <v>11241874</v>
      </c>
      <c r="BE603" s="3">
        <v>32.36</v>
      </c>
      <c r="BF603" s="3">
        <v>32.46</v>
      </c>
      <c r="BG603" s="3">
        <v>32.08</v>
      </c>
      <c r="BH603" s="3">
        <v>32.11</v>
      </c>
      <c r="BI603" s="3">
        <v>1542277</v>
      </c>
    </row>
    <row r="604" spans="1:61" ht="13" x14ac:dyDescent="0.15">
      <c r="A604" s="3">
        <v>43003</v>
      </c>
      <c r="B604" s="3">
        <v>2499.39</v>
      </c>
      <c r="C604" s="3">
        <v>2502.54</v>
      </c>
      <c r="D604" s="3">
        <v>2488.0300000000002</v>
      </c>
      <c r="E604" s="3">
        <v>2496.66</v>
      </c>
      <c r="F604" s="3">
        <v>2033920239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3">
        <v>89.51</v>
      </c>
      <c r="M604" s="3">
        <v>89.71</v>
      </c>
      <c r="N604" s="3">
        <v>89.06</v>
      </c>
      <c r="O604" s="3">
        <v>89.35</v>
      </c>
      <c r="P604" s="3">
        <v>7167628</v>
      </c>
      <c r="Q604" s="3">
        <v>54.01</v>
      </c>
      <c r="R604" s="3">
        <v>54.36</v>
      </c>
      <c r="S604" s="3">
        <v>53.97</v>
      </c>
      <c r="T604" s="3">
        <v>54.31</v>
      </c>
      <c r="U604" s="3">
        <v>9185443</v>
      </c>
      <c r="V604" s="3">
        <v>67.510000000000005</v>
      </c>
      <c r="W604" s="3">
        <v>68.37</v>
      </c>
      <c r="X604" s="3">
        <v>67.44</v>
      </c>
      <c r="Y604" s="3">
        <v>68.17</v>
      </c>
      <c r="Z604" s="3">
        <v>14833769</v>
      </c>
      <c r="AA604" s="3">
        <v>25.4</v>
      </c>
      <c r="AB604" s="3">
        <v>25.49</v>
      </c>
      <c r="AC604" s="3">
        <v>25.23</v>
      </c>
      <c r="AD604" s="3">
        <v>25.4</v>
      </c>
      <c r="AE604" s="3">
        <v>39774597</v>
      </c>
      <c r="AF604" s="3">
        <v>81.47</v>
      </c>
      <c r="AG604" s="3">
        <v>81.84</v>
      </c>
      <c r="AH604" s="3">
        <v>81.22</v>
      </c>
      <c r="AI604" s="3">
        <v>81.34</v>
      </c>
      <c r="AJ604" s="3">
        <v>12439330</v>
      </c>
      <c r="AK604" s="3">
        <v>70.83</v>
      </c>
      <c r="AL604" s="3">
        <v>70.849999999999994</v>
      </c>
      <c r="AM604" s="3">
        <v>70.260000000000005</v>
      </c>
      <c r="AN604" s="3">
        <v>70.75</v>
      </c>
      <c r="AO604" s="3">
        <v>6917087</v>
      </c>
      <c r="AP604" s="3">
        <v>56.51</v>
      </c>
      <c r="AQ604" s="3">
        <v>56.65</v>
      </c>
      <c r="AR604" s="3">
        <v>56.25</v>
      </c>
      <c r="AS604" s="3">
        <v>56.65</v>
      </c>
      <c r="AT604" s="3">
        <v>5489030</v>
      </c>
      <c r="AU604" s="3">
        <v>58.33</v>
      </c>
      <c r="AV604" s="3">
        <v>58.33</v>
      </c>
      <c r="AW604" s="3">
        <v>57.57</v>
      </c>
      <c r="AX604" s="3">
        <v>57.83</v>
      </c>
      <c r="AY604" s="3">
        <v>13573050</v>
      </c>
      <c r="AZ604" s="3">
        <v>53.31</v>
      </c>
      <c r="BA604" s="3">
        <v>53.78</v>
      </c>
      <c r="BB604" s="3">
        <v>53.22</v>
      </c>
      <c r="BC604" s="3">
        <v>53.72</v>
      </c>
      <c r="BD604" s="3">
        <v>11723269</v>
      </c>
      <c r="BE604" s="3">
        <v>32.119999999999997</v>
      </c>
      <c r="BF604" s="3">
        <v>32.32</v>
      </c>
      <c r="BG604" s="3">
        <v>32.1</v>
      </c>
      <c r="BH604" s="3">
        <v>32.229999999999997</v>
      </c>
      <c r="BI604" s="3">
        <v>1180631</v>
      </c>
    </row>
    <row r="605" spans="1:61" ht="13" x14ac:dyDescent="0.15">
      <c r="A605" s="3">
        <v>43004</v>
      </c>
      <c r="B605" s="3">
        <v>2501.04</v>
      </c>
      <c r="C605" s="3">
        <v>2503.5100000000002</v>
      </c>
      <c r="D605" s="3">
        <v>2495.12</v>
      </c>
      <c r="E605" s="3">
        <v>2496.84</v>
      </c>
      <c r="F605" s="3">
        <v>1822049412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3">
        <v>89.61</v>
      </c>
      <c r="M605" s="3">
        <v>89.79</v>
      </c>
      <c r="N605" s="3">
        <v>89.17</v>
      </c>
      <c r="O605" s="3">
        <v>89.36</v>
      </c>
      <c r="P605" s="3">
        <v>3073229</v>
      </c>
      <c r="Q605" s="3">
        <v>54.37</v>
      </c>
      <c r="R605" s="3">
        <v>54.52</v>
      </c>
      <c r="S605" s="3">
        <v>54.25</v>
      </c>
      <c r="T605" s="3">
        <v>54.44</v>
      </c>
      <c r="U605" s="3">
        <v>17321438</v>
      </c>
      <c r="V605" s="3">
        <v>68</v>
      </c>
      <c r="W605" s="3">
        <v>68.27</v>
      </c>
      <c r="X605" s="3">
        <v>67.81</v>
      </c>
      <c r="Y605" s="3">
        <v>68.14</v>
      </c>
      <c r="Z605" s="3">
        <v>10710700</v>
      </c>
      <c r="AA605" s="3">
        <v>25.44</v>
      </c>
      <c r="AB605" s="3">
        <v>25.48</v>
      </c>
      <c r="AC605" s="3">
        <v>25.32</v>
      </c>
      <c r="AD605" s="3">
        <v>25.39</v>
      </c>
      <c r="AE605" s="3">
        <v>46811004</v>
      </c>
      <c r="AF605" s="3">
        <v>81.569999999999993</v>
      </c>
      <c r="AG605" s="3">
        <v>81.8</v>
      </c>
      <c r="AH605" s="3">
        <v>81.180000000000007</v>
      </c>
      <c r="AI605" s="3">
        <v>81.209999999999994</v>
      </c>
      <c r="AJ605" s="3">
        <v>4579765</v>
      </c>
      <c r="AK605" s="3">
        <v>70.77</v>
      </c>
      <c r="AL605" s="3">
        <v>70.88</v>
      </c>
      <c r="AM605" s="3">
        <v>70.7</v>
      </c>
      <c r="AN605" s="3">
        <v>70.75</v>
      </c>
      <c r="AO605" s="3">
        <v>3997786</v>
      </c>
      <c r="AP605" s="3">
        <v>56.7</v>
      </c>
      <c r="AQ605" s="3">
        <v>56.77</v>
      </c>
      <c r="AR605" s="3">
        <v>56.38</v>
      </c>
      <c r="AS605" s="3">
        <v>56.4</v>
      </c>
      <c r="AT605" s="3">
        <v>2745321</v>
      </c>
      <c r="AU605" s="3">
        <v>58.14</v>
      </c>
      <c r="AV605" s="3">
        <v>58.28</v>
      </c>
      <c r="AW605" s="3">
        <v>57.86</v>
      </c>
      <c r="AX605" s="3">
        <v>58.04</v>
      </c>
      <c r="AY605" s="3">
        <v>9053314</v>
      </c>
      <c r="AZ605" s="3">
        <v>53.7</v>
      </c>
      <c r="BA605" s="3">
        <v>53.81</v>
      </c>
      <c r="BB605" s="3">
        <v>53.52</v>
      </c>
      <c r="BC605" s="3">
        <v>53.62</v>
      </c>
      <c r="BD605" s="3">
        <v>10011103</v>
      </c>
      <c r="BE605" s="3">
        <v>32.270000000000003</v>
      </c>
      <c r="BF605" s="3">
        <v>32.35</v>
      </c>
      <c r="BG605" s="3">
        <v>32.200000000000003</v>
      </c>
      <c r="BH605" s="3">
        <v>32.26</v>
      </c>
      <c r="BI605" s="3">
        <v>1360464</v>
      </c>
    </row>
    <row r="606" spans="1:61" ht="13" x14ac:dyDescent="0.15">
      <c r="A606" s="3">
        <v>43005</v>
      </c>
      <c r="B606" s="3">
        <v>2503.3000000000002</v>
      </c>
      <c r="C606" s="3">
        <v>2511.75</v>
      </c>
      <c r="D606" s="3">
        <v>2495.91</v>
      </c>
      <c r="E606" s="3">
        <v>2507.04</v>
      </c>
      <c r="F606" s="3">
        <v>2035326226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3">
        <v>89.59</v>
      </c>
      <c r="M606" s="3">
        <v>90.02</v>
      </c>
      <c r="N606" s="3">
        <v>89.2</v>
      </c>
      <c r="O606" s="3">
        <v>89.85</v>
      </c>
      <c r="P606" s="3">
        <v>5229087</v>
      </c>
      <c r="Q606" s="3">
        <v>54.33</v>
      </c>
      <c r="R606" s="3">
        <v>54.38</v>
      </c>
      <c r="S606" s="3">
        <v>53.72</v>
      </c>
      <c r="T606" s="3">
        <v>54.02</v>
      </c>
      <c r="U606" s="3">
        <v>11657799</v>
      </c>
      <c r="V606" s="3">
        <v>68.2</v>
      </c>
      <c r="W606" s="3">
        <v>68.45</v>
      </c>
      <c r="X606" s="3">
        <v>67.819999999999993</v>
      </c>
      <c r="Y606" s="3">
        <v>68.430000000000007</v>
      </c>
      <c r="Z606" s="3">
        <v>10918244</v>
      </c>
      <c r="AA606" s="3">
        <v>25.71</v>
      </c>
      <c r="AB606" s="3">
        <v>25.83</v>
      </c>
      <c r="AC606" s="3">
        <v>25.6</v>
      </c>
      <c r="AD606" s="3">
        <v>25.7</v>
      </c>
      <c r="AE606" s="3">
        <v>65919146</v>
      </c>
      <c r="AF606" s="3">
        <v>81.42</v>
      </c>
      <c r="AG606" s="3">
        <v>81.42</v>
      </c>
      <c r="AH606" s="3">
        <v>80.83</v>
      </c>
      <c r="AI606" s="3">
        <v>81.180000000000007</v>
      </c>
      <c r="AJ606" s="3">
        <v>5384691</v>
      </c>
      <c r="AK606" s="3">
        <v>70.930000000000007</v>
      </c>
      <c r="AL606" s="3">
        <v>71.11</v>
      </c>
      <c r="AM606" s="3">
        <v>70.650000000000006</v>
      </c>
      <c r="AN606" s="3">
        <v>70.83</v>
      </c>
      <c r="AO606" s="3">
        <v>6943694</v>
      </c>
      <c r="AP606" s="3">
        <v>56.47</v>
      </c>
      <c r="AQ606" s="3">
        <v>56.55</v>
      </c>
      <c r="AR606" s="3">
        <v>55.99</v>
      </c>
      <c r="AS606" s="3">
        <v>56.4</v>
      </c>
      <c r="AT606" s="3">
        <v>3968619</v>
      </c>
      <c r="AU606" s="3">
        <v>58.3</v>
      </c>
      <c r="AV606" s="3">
        <v>58.81</v>
      </c>
      <c r="AW606" s="3">
        <v>58.21</v>
      </c>
      <c r="AX606" s="3">
        <v>58.63</v>
      </c>
      <c r="AY606" s="3">
        <v>7635478</v>
      </c>
      <c r="AZ606" s="3">
        <v>53.25</v>
      </c>
      <c r="BA606" s="3">
        <v>53.46</v>
      </c>
      <c r="BB606" s="3">
        <v>52.64</v>
      </c>
      <c r="BC606" s="3">
        <v>52.9</v>
      </c>
      <c r="BD606" s="3">
        <v>12350842</v>
      </c>
      <c r="BE606" s="3">
        <v>32.15</v>
      </c>
      <c r="BF606" s="3">
        <v>32.22</v>
      </c>
      <c r="BG606" s="3">
        <v>31.88</v>
      </c>
      <c r="BH606" s="3">
        <v>31.99</v>
      </c>
      <c r="BI606" s="3">
        <v>1612366</v>
      </c>
    </row>
    <row r="607" spans="1:61" ht="13" x14ac:dyDescent="0.15">
      <c r="A607" s="3">
        <v>43006</v>
      </c>
      <c r="B607" s="3">
        <v>2503.41</v>
      </c>
      <c r="C607" s="3">
        <v>2510.81</v>
      </c>
      <c r="D607" s="3">
        <v>2502.9299999999998</v>
      </c>
      <c r="E607" s="3">
        <v>2510.06</v>
      </c>
      <c r="F607" s="3">
        <v>1782169892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3">
        <v>89.72</v>
      </c>
      <c r="M607" s="3">
        <v>89.82</v>
      </c>
      <c r="N607" s="3">
        <v>89.58</v>
      </c>
      <c r="O607" s="3">
        <v>89.74</v>
      </c>
      <c r="P607" s="3">
        <v>3599766</v>
      </c>
      <c r="Q607" s="3">
        <v>53.95</v>
      </c>
      <c r="R607" s="3">
        <v>54.17</v>
      </c>
      <c r="S607" s="3">
        <v>53.9</v>
      </c>
      <c r="T607" s="3">
        <v>54.02</v>
      </c>
      <c r="U607" s="3">
        <v>7768204</v>
      </c>
      <c r="V607" s="3">
        <v>68.58</v>
      </c>
      <c r="W607" s="3">
        <v>68.900000000000006</v>
      </c>
      <c r="X607" s="3">
        <v>68.3</v>
      </c>
      <c r="Y607" s="3">
        <v>68.489999999999995</v>
      </c>
      <c r="Z607" s="3">
        <v>11799895</v>
      </c>
      <c r="AA607" s="3">
        <v>25.79</v>
      </c>
      <c r="AB607" s="3">
        <v>25.8</v>
      </c>
      <c r="AC607" s="3">
        <v>25.61</v>
      </c>
      <c r="AD607" s="3">
        <v>25.74</v>
      </c>
      <c r="AE607" s="3">
        <v>37718872</v>
      </c>
      <c r="AF607" s="3">
        <v>81.11</v>
      </c>
      <c r="AG607" s="3">
        <v>81.52</v>
      </c>
      <c r="AH607" s="3">
        <v>80.989999999999995</v>
      </c>
      <c r="AI607" s="3">
        <v>81.25</v>
      </c>
      <c r="AJ607" s="3">
        <v>4229024</v>
      </c>
      <c r="AK607" s="3">
        <v>70.73</v>
      </c>
      <c r="AL607" s="3">
        <v>70.849999999999994</v>
      </c>
      <c r="AM607" s="3">
        <v>70.5</v>
      </c>
      <c r="AN607" s="3">
        <v>70.790000000000006</v>
      </c>
      <c r="AO607" s="3">
        <v>6124550</v>
      </c>
      <c r="AP607" s="3">
        <v>56.35</v>
      </c>
      <c r="AQ607" s="3">
        <v>56.81</v>
      </c>
      <c r="AR607" s="3">
        <v>56.2</v>
      </c>
      <c r="AS607" s="3">
        <v>56.8</v>
      </c>
      <c r="AT607" s="3">
        <v>4356703</v>
      </c>
      <c r="AU607" s="3">
        <v>58.48</v>
      </c>
      <c r="AV607" s="3">
        <v>58.73</v>
      </c>
      <c r="AW607" s="3">
        <v>58.36</v>
      </c>
      <c r="AX607" s="3">
        <v>58.7</v>
      </c>
      <c r="AY607" s="3">
        <v>5589237</v>
      </c>
      <c r="AZ607" s="3">
        <v>52.71</v>
      </c>
      <c r="BA607" s="3">
        <v>53.23</v>
      </c>
      <c r="BB607" s="3">
        <v>52.57</v>
      </c>
      <c r="BC607" s="3">
        <v>53.09</v>
      </c>
      <c r="BD607" s="3">
        <v>14182498</v>
      </c>
      <c r="BE607" s="3">
        <v>31.96</v>
      </c>
      <c r="BF607" s="3">
        <v>32.24</v>
      </c>
      <c r="BG607" s="3">
        <v>31.94</v>
      </c>
      <c r="BH607" s="3">
        <v>32.22</v>
      </c>
      <c r="BI607" s="3">
        <v>1318878</v>
      </c>
    </row>
    <row r="608" spans="1:61" ht="13" x14ac:dyDescent="0.15">
      <c r="A608" s="3">
        <v>43007</v>
      </c>
      <c r="B608" s="3">
        <v>2509.96</v>
      </c>
      <c r="C608" s="3">
        <v>2519.44</v>
      </c>
      <c r="D608" s="3">
        <v>2507.9899999999998</v>
      </c>
      <c r="E608" s="3">
        <v>2519.36</v>
      </c>
      <c r="F608" s="3">
        <v>1809911727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3">
        <v>89.75</v>
      </c>
      <c r="M608" s="3">
        <v>90.18</v>
      </c>
      <c r="N608" s="3">
        <v>89.71</v>
      </c>
      <c r="O608" s="3">
        <v>90.08</v>
      </c>
      <c r="P608" s="3">
        <v>3472016</v>
      </c>
      <c r="Q608" s="3">
        <v>54.02</v>
      </c>
      <c r="R608" s="3">
        <v>54.15</v>
      </c>
      <c r="S608" s="3">
        <v>53.93</v>
      </c>
      <c r="T608" s="3">
        <v>53.98</v>
      </c>
      <c r="U608" s="3">
        <v>14502777</v>
      </c>
      <c r="V608" s="3">
        <v>68.25</v>
      </c>
      <c r="W608" s="3">
        <v>68.489999999999995</v>
      </c>
      <c r="X608" s="3">
        <v>68.03</v>
      </c>
      <c r="Y608" s="3">
        <v>68.48</v>
      </c>
      <c r="Z608" s="3">
        <v>14287467</v>
      </c>
      <c r="AA608" s="3">
        <v>25.74</v>
      </c>
      <c r="AB608" s="3">
        <v>25.86</v>
      </c>
      <c r="AC608" s="3">
        <v>25.7</v>
      </c>
      <c r="AD608" s="3">
        <v>25.86</v>
      </c>
      <c r="AE608" s="3">
        <v>42740827</v>
      </c>
      <c r="AF608" s="3">
        <v>81.260000000000005</v>
      </c>
      <c r="AG608" s="3">
        <v>81.77</v>
      </c>
      <c r="AH608" s="3">
        <v>81.06</v>
      </c>
      <c r="AI608" s="3">
        <v>81.73</v>
      </c>
      <c r="AJ608" s="3">
        <v>6902730</v>
      </c>
      <c r="AK608" s="3">
        <v>70.75</v>
      </c>
      <c r="AL608" s="3">
        <v>71.010000000000005</v>
      </c>
      <c r="AM608" s="3">
        <v>70.62</v>
      </c>
      <c r="AN608" s="3">
        <v>71</v>
      </c>
      <c r="AO608" s="3">
        <v>6527169</v>
      </c>
      <c r="AP608" s="3">
        <v>56.76</v>
      </c>
      <c r="AQ608" s="3">
        <v>56.88</v>
      </c>
      <c r="AR608" s="3">
        <v>56.53</v>
      </c>
      <c r="AS608" s="3">
        <v>56.8</v>
      </c>
      <c r="AT608" s="3">
        <v>4144433</v>
      </c>
      <c r="AU608" s="3">
        <v>58.8</v>
      </c>
      <c r="AV608" s="3">
        <v>59.15</v>
      </c>
      <c r="AW608" s="3">
        <v>58.73</v>
      </c>
      <c r="AX608" s="3">
        <v>59.1</v>
      </c>
      <c r="AY608" s="3">
        <v>12428714</v>
      </c>
      <c r="AZ608" s="3">
        <v>53.11</v>
      </c>
      <c r="BA608" s="3">
        <v>53.27</v>
      </c>
      <c r="BB608" s="3">
        <v>52.86</v>
      </c>
      <c r="BC608" s="3">
        <v>53.05</v>
      </c>
      <c r="BD608" s="3">
        <v>12127097</v>
      </c>
      <c r="BE608" s="3">
        <v>32.17</v>
      </c>
      <c r="BF608" s="3">
        <v>32.270000000000003</v>
      </c>
      <c r="BG608" s="3">
        <v>32.07</v>
      </c>
      <c r="BH608" s="3">
        <v>32.24</v>
      </c>
      <c r="BI608" s="3">
        <v>2488525</v>
      </c>
    </row>
  </sheetData>
  <mergeCells count="12">
    <mergeCell ref="G1:J1"/>
    <mergeCell ref="L1:O1"/>
    <mergeCell ref="Q1:T1"/>
    <mergeCell ref="V1:Y1"/>
    <mergeCell ref="AA1:AD1"/>
    <mergeCell ref="AF1:AI1"/>
    <mergeCell ref="A1:F1"/>
    <mergeCell ref="AK1:AN1"/>
    <mergeCell ref="AP1:AS1"/>
    <mergeCell ref="AU1:AX1"/>
    <mergeCell ref="AZ1:BC1"/>
    <mergeCell ref="BE1:B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35"/>
  <sheetViews>
    <sheetView workbookViewId="0"/>
  </sheetViews>
  <sheetFormatPr baseColWidth="10" defaultColWidth="14.5" defaultRowHeight="15.75" customHeight="1" x14ac:dyDescent="0.15"/>
  <cols>
    <col min="1" max="1" width="6.33203125" customWidth="1"/>
    <col min="2" max="5" width="7.83203125" customWidth="1"/>
    <col min="6" max="6" width="10.5" customWidth="1"/>
  </cols>
  <sheetData>
    <row r="1" spans="1:6" ht="15.75" customHeight="1" x14ac:dyDescent="0.15">
      <c r="A1" s="3" t="s">
        <v>12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</row>
    <row r="2" spans="1:6" ht="15.75" customHeight="1" x14ac:dyDescent="0.15">
      <c r="A2" s="3">
        <v>39918</v>
      </c>
      <c r="B2" s="3">
        <v>839.44</v>
      </c>
      <c r="C2" s="3">
        <v>852.93</v>
      </c>
      <c r="D2" s="3">
        <v>835.58</v>
      </c>
      <c r="E2" s="3">
        <v>852.06</v>
      </c>
      <c r="F2" s="3">
        <v>624110016</v>
      </c>
    </row>
    <row r="3" spans="1:6" ht="15.75" customHeight="1" x14ac:dyDescent="0.15">
      <c r="A3" s="3">
        <v>39919</v>
      </c>
      <c r="B3" s="3">
        <v>854.54</v>
      </c>
      <c r="C3" s="3">
        <v>870.35</v>
      </c>
      <c r="D3" s="3">
        <v>847.04</v>
      </c>
      <c r="E3" s="3">
        <v>865.3</v>
      </c>
      <c r="F3" s="3">
        <v>659867008</v>
      </c>
    </row>
    <row r="4" spans="1:6" ht="15.75" customHeight="1" x14ac:dyDescent="0.15">
      <c r="A4" s="3">
        <v>39920</v>
      </c>
      <c r="B4" s="3">
        <v>865.18</v>
      </c>
      <c r="C4" s="3">
        <v>875.63</v>
      </c>
      <c r="D4" s="3">
        <v>860.87</v>
      </c>
      <c r="E4" s="3">
        <v>869.6</v>
      </c>
      <c r="F4" s="3">
        <v>335200960</v>
      </c>
    </row>
    <row r="5" spans="1:6" ht="15.75" customHeight="1" x14ac:dyDescent="0.15">
      <c r="A5" s="3">
        <v>39923</v>
      </c>
      <c r="B5" s="3">
        <v>868.27</v>
      </c>
      <c r="C5" s="3">
        <v>868.27</v>
      </c>
      <c r="D5" s="3">
        <v>832.39</v>
      </c>
      <c r="E5" s="3">
        <v>832.39</v>
      </c>
      <c r="F5" s="3">
        <v>697395968</v>
      </c>
    </row>
    <row r="6" spans="1:6" ht="15.75" customHeight="1" x14ac:dyDescent="0.15">
      <c r="A6" s="3">
        <v>39924</v>
      </c>
      <c r="B6" s="3">
        <v>831.25</v>
      </c>
      <c r="C6" s="3">
        <v>850.09</v>
      </c>
      <c r="D6" s="3">
        <v>826.83</v>
      </c>
      <c r="E6" s="3">
        <v>850.08</v>
      </c>
      <c r="F6" s="3">
        <v>343648960</v>
      </c>
    </row>
    <row r="7" spans="1:6" ht="15.75" customHeight="1" x14ac:dyDescent="0.15">
      <c r="A7" s="3">
        <v>39925</v>
      </c>
      <c r="B7" s="3">
        <v>847.26</v>
      </c>
      <c r="C7" s="3">
        <v>861.78</v>
      </c>
      <c r="D7" s="3">
        <v>840.57</v>
      </c>
      <c r="E7" s="3">
        <v>843.55</v>
      </c>
      <c r="F7" s="3">
        <v>332785984</v>
      </c>
    </row>
    <row r="8" spans="1:6" ht="15.75" customHeight="1" x14ac:dyDescent="0.15">
      <c r="A8" s="3">
        <v>39926</v>
      </c>
      <c r="B8" s="3">
        <v>844.62</v>
      </c>
      <c r="C8" s="3">
        <v>852.87</v>
      </c>
      <c r="D8" s="3">
        <v>835.45</v>
      </c>
      <c r="E8" s="3">
        <v>851.92</v>
      </c>
      <c r="F8" s="3">
        <v>656310016</v>
      </c>
    </row>
    <row r="9" spans="1:6" ht="15.75" customHeight="1" x14ac:dyDescent="0.15">
      <c r="A9" s="3">
        <v>39927</v>
      </c>
      <c r="B9" s="3">
        <v>853.91</v>
      </c>
      <c r="C9" s="3">
        <v>871.8</v>
      </c>
      <c r="D9" s="3">
        <v>853.91</v>
      </c>
      <c r="E9" s="3">
        <v>866.23</v>
      </c>
      <c r="F9" s="3">
        <v>311444000</v>
      </c>
    </row>
    <row r="10" spans="1:6" ht="15.75" customHeight="1" x14ac:dyDescent="0.15">
      <c r="A10" s="3">
        <v>39930</v>
      </c>
      <c r="B10" s="3">
        <v>862.82</v>
      </c>
      <c r="C10" s="3">
        <v>868.83</v>
      </c>
      <c r="D10" s="3">
        <v>854.65</v>
      </c>
      <c r="E10" s="3">
        <v>857.51</v>
      </c>
      <c r="F10" s="3">
        <v>561345984</v>
      </c>
    </row>
    <row r="11" spans="1:6" ht="15.75" customHeight="1" x14ac:dyDescent="0.15">
      <c r="A11" s="3">
        <v>39931</v>
      </c>
      <c r="B11" s="3">
        <v>854.48</v>
      </c>
      <c r="C11" s="3">
        <v>864.48</v>
      </c>
      <c r="D11" s="3">
        <v>847.12</v>
      </c>
      <c r="E11" s="3">
        <v>855.16</v>
      </c>
      <c r="F11" s="3">
        <v>632800000</v>
      </c>
    </row>
    <row r="12" spans="1:6" ht="15.75" customHeight="1" x14ac:dyDescent="0.15">
      <c r="A12" s="3">
        <v>39932</v>
      </c>
      <c r="B12" s="3">
        <v>856.85</v>
      </c>
      <c r="C12" s="3">
        <v>882.06</v>
      </c>
      <c r="D12" s="3">
        <v>856.85</v>
      </c>
      <c r="E12" s="3">
        <v>873.64</v>
      </c>
      <c r="F12" s="3">
        <v>610161984</v>
      </c>
    </row>
    <row r="13" spans="1:6" ht="15.75" customHeight="1" x14ac:dyDescent="0.15">
      <c r="A13" s="3">
        <v>39933</v>
      </c>
      <c r="B13" s="3">
        <v>876.59</v>
      </c>
      <c r="C13" s="3">
        <v>888.7</v>
      </c>
      <c r="D13" s="3">
        <v>868.51</v>
      </c>
      <c r="E13" s="3">
        <v>872.81</v>
      </c>
      <c r="F13" s="3">
        <v>686254016</v>
      </c>
    </row>
    <row r="14" spans="1:6" ht="15.75" customHeight="1" x14ac:dyDescent="0.15">
      <c r="A14" s="3">
        <v>39934</v>
      </c>
      <c r="B14" s="3">
        <v>872.74</v>
      </c>
      <c r="C14" s="3">
        <v>880.48</v>
      </c>
      <c r="D14" s="3">
        <v>866.1</v>
      </c>
      <c r="E14" s="3">
        <v>877.52</v>
      </c>
      <c r="F14" s="3">
        <v>531216992</v>
      </c>
    </row>
    <row r="15" spans="1:6" ht="15.75" customHeight="1" x14ac:dyDescent="0.15">
      <c r="A15" s="3">
        <v>39937</v>
      </c>
      <c r="B15" s="3">
        <v>879.21</v>
      </c>
      <c r="C15" s="3">
        <v>907.85</v>
      </c>
      <c r="D15" s="3">
        <v>879.21</v>
      </c>
      <c r="E15" s="3">
        <v>907.24</v>
      </c>
      <c r="F15" s="3">
        <v>303884000</v>
      </c>
    </row>
    <row r="16" spans="1:6" ht="15.75" customHeight="1" x14ac:dyDescent="0.15">
      <c r="A16" s="3">
        <v>39938</v>
      </c>
      <c r="B16" s="3">
        <v>906.1</v>
      </c>
      <c r="C16" s="3">
        <v>907.7</v>
      </c>
      <c r="D16" s="3">
        <v>897.34</v>
      </c>
      <c r="E16" s="3">
        <v>903.8</v>
      </c>
      <c r="F16" s="3">
        <v>688286016</v>
      </c>
    </row>
    <row r="17" spans="1:6" ht="15.75" customHeight="1" x14ac:dyDescent="0.15">
      <c r="A17" s="3">
        <v>39939</v>
      </c>
      <c r="B17" s="3">
        <v>903.95</v>
      </c>
      <c r="C17" s="3">
        <v>920.28</v>
      </c>
      <c r="D17" s="3">
        <v>903.95</v>
      </c>
      <c r="E17" s="3">
        <v>919.53</v>
      </c>
      <c r="F17" s="3">
        <v>355504000</v>
      </c>
    </row>
    <row r="18" spans="1:6" ht="15.75" customHeight="1" x14ac:dyDescent="0.15">
      <c r="A18" s="3">
        <v>39940</v>
      </c>
      <c r="B18" s="3">
        <v>919.58</v>
      </c>
      <c r="C18" s="3">
        <v>929.58</v>
      </c>
      <c r="D18" s="3">
        <v>901.36</v>
      </c>
      <c r="E18" s="3">
        <v>907.39</v>
      </c>
      <c r="F18" s="3">
        <v>412009984</v>
      </c>
    </row>
    <row r="19" spans="1:6" ht="15.75" customHeight="1" x14ac:dyDescent="0.15">
      <c r="A19" s="3">
        <v>39941</v>
      </c>
      <c r="B19" s="3">
        <v>909.03</v>
      </c>
      <c r="C19" s="3">
        <v>930.17</v>
      </c>
      <c r="D19" s="3">
        <v>909.03</v>
      </c>
      <c r="E19" s="3">
        <v>929.23</v>
      </c>
      <c r="F19" s="3">
        <v>316328000</v>
      </c>
    </row>
    <row r="20" spans="1:6" ht="15.75" customHeight="1" x14ac:dyDescent="0.15">
      <c r="A20" s="3">
        <v>39944</v>
      </c>
      <c r="B20" s="3">
        <v>913.82</v>
      </c>
      <c r="C20" s="3">
        <v>918.72</v>
      </c>
      <c r="D20" s="3">
        <v>908.68</v>
      </c>
      <c r="E20" s="3">
        <v>909.24</v>
      </c>
      <c r="F20" s="3">
        <v>615059968</v>
      </c>
    </row>
    <row r="21" spans="1:6" ht="15.75" customHeight="1" x14ac:dyDescent="0.15">
      <c r="A21" s="3">
        <v>39945</v>
      </c>
      <c r="B21" s="3">
        <v>910.52</v>
      </c>
      <c r="C21" s="3">
        <v>915.57</v>
      </c>
      <c r="D21" s="3">
        <v>896.46</v>
      </c>
      <c r="E21" s="3">
        <v>908.35</v>
      </c>
      <c r="F21" s="3">
        <v>687175040</v>
      </c>
    </row>
    <row r="22" spans="1:6" ht="15.75" customHeight="1" x14ac:dyDescent="0.15">
      <c r="A22" s="3">
        <v>39946</v>
      </c>
      <c r="B22" s="3">
        <v>905.4</v>
      </c>
      <c r="C22" s="3">
        <v>905.4</v>
      </c>
      <c r="D22" s="3">
        <v>882.8</v>
      </c>
      <c r="E22" s="3">
        <v>883.92</v>
      </c>
      <c r="F22" s="3">
        <v>309182016</v>
      </c>
    </row>
    <row r="23" spans="1:6" ht="15.75" customHeight="1" x14ac:dyDescent="0.15">
      <c r="A23" s="3">
        <v>39947</v>
      </c>
      <c r="B23" s="3">
        <v>884.24</v>
      </c>
      <c r="C23" s="3">
        <v>898.36</v>
      </c>
      <c r="D23" s="3">
        <v>882.52</v>
      </c>
      <c r="E23" s="3">
        <v>893.07</v>
      </c>
      <c r="F23" s="3">
        <v>613486976</v>
      </c>
    </row>
    <row r="24" spans="1:6" ht="15.75" customHeight="1" x14ac:dyDescent="0.15">
      <c r="A24" s="3">
        <v>39948</v>
      </c>
      <c r="B24" s="3">
        <v>892.76</v>
      </c>
      <c r="C24" s="3">
        <v>896.97</v>
      </c>
      <c r="D24" s="3">
        <v>878.94</v>
      </c>
      <c r="E24" s="3">
        <v>882.88</v>
      </c>
      <c r="F24" s="3">
        <v>543971968</v>
      </c>
    </row>
    <row r="25" spans="1:6" ht="15.75" customHeight="1" x14ac:dyDescent="0.15">
      <c r="A25" s="3">
        <v>39951</v>
      </c>
      <c r="B25" s="3">
        <v>886.07</v>
      </c>
      <c r="C25" s="3">
        <v>910</v>
      </c>
      <c r="D25" s="3">
        <v>886.07</v>
      </c>
      <c r="E25" s="3">
        <v>909.71</v>
      </c>
      <c r="F25" s="3">
        <v>570214976</v>
      </c>
    </row>
    <row r="26" spans="1:6" ht="15.75" customHeight="1" x14ac:dyDescent="0.15">
      <c r="A26" s="3">
        <v>39952</v>
      </c>
      <c r="B26" s="3">
        <v>909.67</v>
      </c>
      <c r="C26" s="3">
        <v>916.39</v>
      </c>
      <c r="D26" s="3">
        <v>905.22</v>
      </c>
      <c r="E26" s="3">
        <v>908.13</v>
      </c>
      <c r="F26" s="3">
        <v>661627008</v>
      </c>
    </row>
    <row r="27" spans="1:6" ht="15.75" customHeight="1" x14ac:dyDescent="0.15">
      <c r="A27" s="3">
        <v>39953</v>
      </c>
      <c r="B27" s="3">
        <v>908.62</v>
      </c>
      <c r="C27" s="3">
        <v>924.6</v>
      </c>
      <c r="D27" s="3">
        <v>901.37</v>
      </c>
      <c r="E27" s="3">
        <v>903.47</v>
      </c>
      <c r="F27" s="3">
        <v>320505984</v>
      </c>
    </row>
    <row r="28" spans="1:6" ht="15.75" customHeight="1" x14ac:dyDescent="0.15">
      <c r="A28" s="3">
        <v>39954</v>
      </c>
      <c r="B28" s="3">
        <v>900.42</v>
      </c>
      <c r="C28" s="3">
        <v>900.42</v>
      </c>
      <c r="D28" s="3">
        <v>879.61</v>
      </c>
      <c r="E28" s="3">
        <v>888.33</v>
      </c>
      <c r="F28" s="3">
        <v>601984000</v>
      </c>
    </row>
    <row r="29" spans="1:6" ht="15.75" customHeight="1" x14ac:dyDescent="0.15">
      <c r="A29" s="3">
        <v>39955</v>
      </c>
      <c r="B29" s="3">
        <v>888.68</v>
      </c>
      <c r="C29" s="3">
        <v>896.65</v>
      </c>
      <c r="D29" s="3">
        <v>883.75</v>
      </c>
      <c r="E29" s="3">
        <v>887</v>
      </c>
      <c r="F29" s="3">
        <v>515532000</v>
      </c>
    </row>
    <row r="30" spans="1:6" ht="15.75" customHeight="1" x14ac:dyDescent="0.15">
      <c r="A30" s="3">
        <v>39959</v>
      </c>
      <c r="B30" s="3">
        <v>887</v>
      </c>
      <c r="C30" s="3">
        <v>911.76</v>
      </c>
      <c r="D30" s="3">
        <v>881.46</v>
      </c>
      <c r="E30" s="3">
        <v>910.33</v>
      </c>
      <c r="F30" s="3">
        <v>566705024</v>
      </c>
    </row>
    <row r="31" spans="1:6" ht="15.75" customHeight="1" x14ac:dyDescent="0.15">
      <c r="A31" s="3">
        <v>39960</v>
      </c>
      <c r="B31" s="3">
        <v>909.95</v>
      </c>
      <c r="C31" s="3">
        <v>913.84</v>
      </c>
      <c r="D31" s="3">
        <v>891.87</v>
      </c>
      <c r="E31" s="3">
        <v>893.06</v>
      </c>
      <c r="F31" s="3">
        <v>569880000</v>
      </c>
    </row>
    <row r="32" spans="1:6" ht="15.75" customHeight="1" x14ac:dyDescent="0.15">
      <c r="A32" s="3">
        <v>39961</v>
      </c>
      <c r="B32" s="3">
        <v>892.96</v>
      </c>
      <c r="C32" s="3">
        <v>909.45</v>
      </c>
      <c r="D32" s="3">
        <v>887.6</v>
      </c>
      <c r="E32" s="3">
        <v>906.83</v>
      </c>
      <c r="F32" s="3">
        <v>573897984</v>
      </c>
    </row>
    <row r="33" spans="1:6" ht="15.75" customHeight="1" x14ac:dyDescent="0.15">
      <c r="A33" s="3">
        <v>39962</v>
      </c>
      <c r="B33" s="3">
        <v>907.02</v>
      </c>
      <c r="C33" s="3">
        <v>920.02</v>
      </c>
      <c r="D33" s="3">
        <v>903.56</v>
      </c>
      <c r="E33" s="3">
        <v>919.14</v>
      </c>
      <c r="F33" s="3">
        <v>605041984</v>
      </c>
    </row>
    <row r="34" spans="1:6" ht="15.75" customHeight="1" x14ac:dyDescent="0.15">
      <c r="A34" s="3">
        <v>39965</v>
      </c>
      <c r="B34" s="3">
        <v>923.26</v>
      </c>
      <c r="C34" s="3">
        <v>947.77</v>
      </c>
      <c r="D34" s="3">
        <v>923.26</v>
      </c>
      <c r="E34" s="3">
        <v>942.87</v>
      </c>
      <c r="F34" s="3">
        <v>637043968</v>
      </c>
    </row>
    <row r="35" spans="1:6" ht="15.75" customHeight="1" x14ac:dyDescent="0.15">
      <c r="A35" s="3">
        <v>39966</v>
      </c>
      <c r="B35" s="3">
        <v>942.87</v>
      </c>
      <c r="C35" s="3">
        <v>949.38</v>
      </c>
      <c r="D35" s="3">
        <v>938.46</v>
      </c>
      <c r="E35" s="3">
        <v>944.74</v>
      </c>
      <c r="F35" s="3">
        <v>598734016</v>
      </c>
    </row>
    <row r="36" spans="1:6" ht="15.75" customHeight="1" x14ac:dyDescent="0.15">
      <c r="A36" s="3">
        <v>39967</v>
      </c>
      <c r="B36" s="3">
        <v>942.51</v>
      </c>
      <c r="C36" s="3">
        <v>942.51</v>
      </c>
      <c r="D36" s="3">
        <v>923.85</v>
      </c>
      <c r="E36" s="3">
        <v>931.76</v>
      </c>
      <c r="F36" s="3">
        <v>532376992</v>
      </c>
    </row>
    <row r="37" spans="1:6" ht="15.75" customHeight="1" x14ac:dyDescent="0.15">
      <c r="A37" s="3">
        <v>39968</v>
      </c>
      <c r="B37" s="3">
        <v>932.49</v>
      </c>
      <c r="C37" s="3">
        <v>942.47</v>
      </c>
      <c r="D37" s="3">
        <v>929.32</v>
      </c>
      <c r="E37" s="3">
        <v>942.46</v>
      </c>
      <c r="F37" s="3">
        <v>535288992</v>
      </c>
    </row>
    <row r="38" spans="1:6" ht="15.75" customHeight="1" x14ac:dyDescent="0.15">
      <c r="A38" s="3">
        <v>39969</v>
      </c>
      <c r="B38" s="3">
        <v>945.67</v>
      </c>
      <c r="C38" s="3">
        <v>951.69</v>
      </c>
      <c r="D38" s="3">
        <v>934.13</v>
      </c>
      <c r="E38" s="3">
        <v>940.09</v>
      </c>
      <c r="F38" s="3">
        <v>527791008</v>
      </c>
    </row>
    <row r="39" spans="1:6" ht="15.75" customHeight="1" x14ac:dyDescent="0.15">
      <c r="A39" s="3">
        <v>39972</v>
      </c>
      <c r="B39" s="3">
        <v>938.12</v>
      </c>
      <c r="C39" s="3">
        <v>946.33</v>
      </c>
      <c r="D39" s="3">
        <v>926.44</v>
      </c>
      <c r="E39" s="3">
        <v>939.14</v>
      </c>
      <c r="F39" s="3">
        <v>448343008</v>
      </c>
    </row>
    <row r="40" spans="1:6" ht="13" x14ac:dyDescent="0.15">
      <c r="A40" s="3">
        <v>39973</v>
      </c>
      <c r="B40" s="3">
        <v>940.35</v>
      </c>
      <c r="C40" s="3">
        <v>946.92</v>
      </c>
      <c r="D40" s="3">
        <v>936.15</v>
      </c>
      <c r="E40" s="3">
        <v>942.43</v>
      </c>
      <c r="F40" s="3">
        <v>443995008</v>
      </c>
    </row>
    <row r="41" spans="1:6" ht="13" x14ac:dyDescent="0.15">
      <c r="A41" s="3">
        <v>39974</v>
      </c>
      <c r="B41" s="3">
        <v>942.73</v>
      </c>
      <c r="C41" s="3">
        <v>949.77</v>
      </c>
      <c r="D41" s="3">
        <v>927.97</v>
      </c>
      <c r="E41" s="3">
        <v>939.15</v>
      </c>
      <c r="F41" s="3">
        <v>537942016</v>
      </c>
    </row>
    <row r="42" spans="1:6" ht="13" x14ac:dyDescent="0.15">
      <c r="A42" s="3">
        <v>39975</v>
      </c>
      <c r="B42" s="3">
        <v>939.04</v>
      </c>
      <c r="C42" s="3">
        <v>956.23</v>
      </c>
      <c r="D42" s="3">
        <v>939.04</v>
      </c>
      <c r="E42" s="3">
        <v>944.89</v>
      </c>
      <c r="F42" s="3">
        <v>550083968</v>
      </c>
    </row>
    <row r="43" spans="1:6" ht="13" x14ac:dyDescent="0.15">
      <c r="A43" s="3">
        <v>39976</v>
      </c>
      <c r="B43" s="3">
        <v>943.44</v>
      </c>
      <c r="C43" s="3">
        <v>946.3</v>
      </c>
      <c r="D43" s="3">
        <v>935.66</v>
      </c>
      <c r="E43" s="3">
        <v>946.21</v>
      </c>
      <c r="F43" s="3">
        <v>452812000</v>
      </c>
    </row>
    <row r="44" spans="1:6" ht="13" x14ac:dyDescent="0.15">
      <c r="A44" s="3">
        <v>39979</v>
      </c>
      <c r="B44" s="3">
        <v>942.45</v>
      </c>
      <c r="C44" s="3">
        <v>942.45</v>
      </c>
      <c r="D44" s="3">
        <v>919.65</v>
      </c>
      <c r="E44" s="3">
        <v>923.72</v>
      </c>
      <c r="F44" s="3">
        <v>469788000</v>
      </c>
    </row>
    <row r="45" spans="1:6" ht="13" x14ac:dyDescent="0.15">
      <c r="A45" s="3">
        <v>39980</v>
      </c>
      <c r="B45" s="3">
        <v>925.6</v>
      </c>
      <c r="C45" s="3">
        <v>928</v>
      </c>
      <c r="D45" s="3">
        <v>911.6</v>
      </c>
      <c r="E45" s="3">
        <v>911.97</v>
      </c>
      <c r="F45" s="3">
        <v>495120000</v>
      </c>
    </row>
    <row r="46" spans="1:6" ht="13" x14ac:dyDescent="0.15">
      <c r="A46" s="3">
        <v>39981</v>
      </c>
      <c r="B46" s="3">
        <v>911.89</v>
      </c>
      <c r="C46" s="3">
        <v>918.44</v>
      </c>
      <c r="D46" s="3">
        <v>903.78</v>
      </c>
      <c r="E46" s="3">
        <v>910.71</v>
      </c>
      <c r="F46" s="3">
        <v>552364992</v>
      </c>
    </row>
    <row r="47" spans="1:6" ht="13" x14ac:dyDescent="0.15">
      <c r="A47" s="3">
        <v>39982</v>
      </c>
      <c r="B47" s="3">
        <v>910.86</v>
      </c>
      <c r="C47" s="3">
        <v>921.93</v>
      </c>
      <c r="D47" s="3">
        <v>907.94</v>
      </c>
      <c r="E47" s="3">
        <v>918.37</v>
      </c>
      <c r="F47" s="3">
        <v>468400992</v>
      </c>
    </row>
    <row r="48" spans="1:6" ht="13" x14ac:dyDescent="0.15">
      <c r="A48" s="3">
        <v>39983</v>
      </c>
      <c r="B48" s="3">
        <v>919.96</v>
      </c>
      <c r="C48" s="3">
        <v>927.09</v>
      </c>
      <c r="D48" s="3">
        <v>915.8</v>
      </c>
      <c r="E48" s="3">
        <v>921.23</v>
      </c>
      <c r="F48" s="3">
        <v>571339008</v>
      </c>
    </row>
    <row r="49" spans="1:6" ht="13" x14ac:dyDescent="0.15">
      <c r="A49" s="3">
        <v>39986</v>
      </c>
      <c r="B49" s="3">
        <v>918.13</v>
      </c>
      <c r="C49" s="3">
        <v>918.13</v>
      </c>
      <c r="D49" s="3">
        <v>893.04</v>
      </c>
      <c r="E49" s="3">
        <v>893.04</v>
      </c>
      <c r="F49" s="3">
        <v>490393984</v>
      </c>
    </row>
    <row r="50" spans="1:6" ht="13" x14ac:dyDescent="0.15">
      <c r="A50" s="3">
        <v>39987</v>
      </c>
      <c r="B50" s="3">
        <v>893.46</v>
      </c>
      <c r="C50" s="3">
        <v>898.69</v>
      </c>
      <c r="D50" s="3">
        <v>888.86</v>
      </c>
      <c r="E50" s="3">
        <v>895.1</v>
      </c>
      <c r="F50" s="3">
        <v>507102016</v>
      </c>
    </row>
    <row r="51" spans="1:6" ht="13" x14ac:dyDescent="0.15">
      <c r="A51" s="3">
        <v>39988</v>
      </c>
      <c r="B51" s="3">
        <v>896.31</v>
      </c>
      <c r="C51" s="3">
        <v>910.85</v>
      </c>
      <c r="D51" s="3">
        <v>896.31</v>
      </c>
      <c r="E51" s="3">
        <v>900.94</v>
      </c>
      <c r="F51" s="3">
        <v>463672000</v>
      </c>
    </row>
    <row r="52" spans="1:6" ht="13" x14ac:dyDescent="0.15">
      <c r="A52" s="3">
        <v>39989</v>
      </c>
      <c r="B52" s="3">
        <v>899.45</v>
      </c>
      <c r="C52" s="3">
        <v>921.42</v>
      </c>
      <c r="D52" s="3">
        <v>896.27</v>
      </c>
      <c r="E52" s="3">
        <v>920.26</v>
      </c>
      <c r="F52" s="3">
        <v>491124000</v>
      </c>
    </row>
    <row r="53" spans="1:6" ht="13" x14ac:dyDescent="0.15">
      <c r="A53" s="3">
        <v>39990</v>
      </c>
      <c r="B53" s="3">
        <v>918.84</v>
      </c>
      <c r="C53" s="3">
        <v>922</v>
      </c>
      <c r="D53" s="3">
        <v>913.03</v>
      </c>
      <c r="E53" s="3">
        <v>918.9</v>
      </c>
      <c r="F53" s="3">
        <v>607665984</v>
      </c>
    </row>
    <row r="54" spans="1:6" ht="13" x14ac:dyDescent="0.15">
      <c r="A54" s="3">
        <v>39993</v>
      </c>
      <c r="B54" s="3">
        <v>919.86</v>
      </c>
      <c r="C54" s="3">
        <v>927.99</v>
      </c>
      <c r="D54" s="3">
        <v>916.18</v>
      </c>
      <c r="E54" s="3">
        <v>927.23</v>
      </c>
      <c r="F54" s="3">
        <v>421176000</v>
      </c>
    </row>
    <row r="55" spans="1:6" ht="13" x14ac:dyDescent="0.15">
      <c r="A55" s="3">
        <v>39994</v>
      </c>
      <c r="B55" s="3">
        <v>927.15</v>
      </c>
      <c r="C55" s="3">
        <v>930.01</v>
      </c>
      <c r="D55" s="3">
        <v>912.86</v>
      </c>
      <c r="E55" s="3">
        <v>919.32</v>
      </c>
      <c r="F55" s="3">
        <v>462756992</v>
      </c>
    </row>
    <row r="56" spans="1:6" ht="13" x14ac:dyDescent="0.15">
      <c r="A56" s="3">
        <v>39995</v>
      </c>
      <c r="B56" s="3">
        <v>920.82</v>
      </c>
      <c r="C56" s="3">
        <v>931.92</v>
      </c>
      <c r="D56" s="3">
        <v>920.82</v>
      </c>
      <c r="E56" s="3">
        <v>923.33</v>
      </c>
      <c r="F56" s="3">
        <v>391940000</v>
      </c>
    </row>
    <row r="57" spans="1:6" ht="13" x14ac:dyDescent="0.15">
      <c r="A57" s="3">
        <v>39996</v>
      </c>
      <c r="B57" s="3">
        <v>921.24</v>
      </c>
      <c r="C57" s="3">
        <v>921.24</v>
      </c>
      <c r="D57" s="3">
        <v>896.42</v>
      </c>
      <c r="E57" s="3">
        <v>896.42</v>
      </c>
      <c r="F57" s="3">
        <v>393100000</v>
      </c>
    </row>
    <row r="58" spans="1:6" ht="13" x14ac:dyDescent="0.15">
      <c r="A58" s="3">
        <v>40000</v>
      </c>
      <c r="B58" s="3">
        <v>894.27</v>
      </c>
      <c r="C58" s="3">
        <v>898.72</v>
      </c>
      <c r="D58" s="3">
        <v>886.36</v>
      </c>
      <c r="E58" s="3">
        <v>898.72</v>
      </c>
      <c r="F58" s="3">
        <v>471257984</v>
      </c>
    </row>
    <row r="59" spans="1:6" ht="13" x14ac:dyDescent="0.15">
      <c r="A59" s="3">
        <v>40001</v>
      </c>
      <c r="B59" s="3">
        <v>898.6</v>
      </c>
      <c r="C59" s="3">
        <v>898.6</v>
      </c>
      <c r="D59" s="3">
        <v>879.93</v>
      </c>
      <c r="E59" s="3">
        <v>881.03</v>
      </c>
      <c r="F59" s="3">
        <v>467329984</v>
      </c>
    </row>
    <row r="60" spans="1:6" ht="13" x14ac:dyDescent="0.15">
      <c r="A60" s="3">
        <v>40002</v>
      </c>
      <c r="B60" s="3">
        <v>881.9</v>
      </c>
      <c r="C60" s="3">
        <v>886.8</v>
      </c>
      <c r="D60" s="3">
        <v>869.32</v>
      </c>
      <c r="E60" s="3">
        <v>879.56</v>
      </c>
      <c r="F60" s="3">
        <v>572177984</v>
      </c>
    </row>
    <row r="61" spans="1:6" ht="13" x14ac:dyDescent="0.15">
      <c r="A61" s="3">
        <v>40003</v>
      </c>
      <c r="B61" s="3">
        <v>881.28</v>
      </c>
      <c r="C61" s="3">
        <v>887.86</v>
      </c>
      <c r="D61" s="3">
        <v>878.45</v>
      </c>
      <c r="E61" s="3">
        <v>882.68</v>
      </c>
      <c r="F61" s="3">
        <v>434716992</v>
      </c>
    </row>
    <row r="62" spans="1:6" ht="13" x14ac:dyDescent="0.15">
      <c r="A62" s="3">
        <v>40004</v>
      </c>
      <c r="B62" s="3">
        <v>880.03</v>
      </c>
      <c r="C62" s="3">
        <v>883.57</v>
      </c>
      <c r="D62" s="3">
        <v>872.81</v>
      </c>
      <c r="E62" s="3">
        <v>879.13</v>
      </c>
      <c r="F62" s="3">
        <v>391208000</v>
      </c>
    </row>
    <row r="63" spans="1:6" ht="13" x14ac:dyDescent="0.15">
      <c r="A63" s="3">
        <v>40007</v>
      </c>
      <c r="B63" s="3">
        <v>879.57</v>
      </c>
      <c r="C63" s="3">
        <v>901.05</v>
      </c>
      <c r="D63" s="3">
        <v>875.32</v>
      </c>
      <c r="E63" s="3">
        <v>901.05</v>
      </c>
      <c r="F63" s="3">
        <v>449944000</v>
      </c>
    </row>
    <row r="64" spans="1:6" ht="13" x14ac:dyDescent="0.15">
      <c r="A64" s="3">
        <v>40008</v>
      </c>
      <c r="B64" s="3">
        <v>900.77</v>
      </c>
      <c r="C64" s="3">
        <v>905.84</v>
      </c>
      <c r="D64" s="3">
        <v>896.5</v>
      </c>
      <c r="E64" s="3">
        <v>905.84</v>
      </c>
      <c r="F64" s="3">
        <v>414903008</v>
      </c>
    </row>
    <row r="65" spans="1:6" ht="13" x14ac:dyDescent="0.15">
      <c r="A65" s="3">
        <v>40009</v>
      </c>
      <c r="B65" s="3">
        <v>910.15</v>
      </c>
      <c r="C65" s="3">
        <v>933.95</v>
      </c>
      <c r="D65" s="3">
        <v>910.15</v>
      </c>
      <c r="E65" s="3">
        <v>932.68</v>
      </c>
      <c r="F65" s="3">
        <v>523883008</v>
      </c>
    </row>
    <row r="66" spans="1:6" ht="13" x14ac:dyDescent="0.15">
      <c r="A66" s="3">
        <v>40010</v>
      </c>
      <c r="B66" s="3">
        <v>930.17</v>
      </c>
      <c r="C66" s="3">
        <v>943.96</v>
      </c>
      <c r="D66" s="3">
        <v>927.45</v>
      </c>
      <c r="E66" s="3">
        <v>940.74</v>
      </c>
      <c r="F66" s="3">
        <v>489864000</v>
      </c>
    </row>
    <row r="67" spans="1:6" ht="13" x14ac:dyDescent="0.15">
      <c r="A67" s="3">
        <v>40011</v>
      </c>
      <c r="B67" s="3">
        <v>940.56</v>
      </c>
      <c r="C67" s="3">
        <v>941.89</v>
      </c>
      <c r="D67" s="3">
        <v>934.65</v>
      </c>
      <c r="E67" s="3">
        <v>940.38</v>
      </c>
      <c r="F67" s="3">
        <v>514137984</v>
      </c>
    </row>
    <row r="68" spans="1:6" ht="13" x14ac:dyDescent="0.15">
      <c r="A68" s="3">
        <v>40014</v>
      </c>
      <c r="B68" s="3">
        <v>942.07</v>
      </c>
      <c r="C68" s="3">
        <v>951.62</v>
      </c>
      <c r="D68" s="3">
        <v>940.99</v>
      </c>
      <c r="E68" s="3">
        <v>951.13</v>
      </c>
      <c r="F68" s="3">
        <v>485315008</v>
      </c>
    </row>
    <row r="69" spans="1:6" ht="13" x14ac:dyDescent="0.15">
      <c r="A69" s="3">
        <v>40015</v>
      </c>
      <c r="B69" s="3">
        <v>951.97</v>
      </c>
      <c r="C69" s="3">
        <v>956.53</v>
      </c>
      <c r="D69" s="3">
        <v>943.22</v>
      </c>
      <c r="E69" s="3">
        <v>954.58</v>
      </c>
      <c r="F69" s="3">
        <v>530929984</v>
      </c>
    </row>
    <row r="70" spans="1:6" ht="13" x14ac:dyDescent="0.15">
      <c r="A70" s="3">
        <v>40016</v>
      </c>
      <c r="B70" s="3">
        <v>953.4</v>
      </c>
      <c r="C70" s="3">
        <v>959.83</v>
      </c>
      <c r="D70" s="3">
        <v>947.75</v>
      </c>
      <c r="E70" s="3">
        <v>954.07</v>
      </c>
      <c r="F70" s="3">
        <v>463409984</v>
      </c>
    </row>
    <row r="71" spans="1:6" ht="13" x14ac:dyDescent="0.15">
      <c r="A71" s="3">
        <v>40017</v>
      </c>
      <c r="B71" s="3">
        <v>954.07</v>
      </c>
      <c r="C71" s="3">
        <v>979.42</v>
      </c>
      <c r="D71" s="3">
        <v>953.27</v>
      </c>
      <c r="E71" s="3">
        <v>976.29</v>
      </c>
      <c r="F71" s="3">
        <v>576164992</v>
      </c>
    </row>
    <row r="72" spans="1:6" ht="13" x14ac:dyDescent="0.15">
      <c r="A72" s="3">
        <v>40018</v>
      </c>
      <c r="B72" s="3">
        <v>972.16</v>
      </c>
      <c r="C72" s="3">
        <v>979.79</v>
      </c>
      <c r="D72" s="3">
        <v>965.95</v>
      </c>
      <c r="E72" s="3">
        <v>979.26</v>
      </c>
      <c r="F72" s="3">
        <v>445830016</v>
      </c>
    </row>
    <row r="73" spans="1:6" ht="13" x14ac:dyDescent="0.15">
      <c r="A73" s="3">
        <v>40021</v>
      </c>
      <c r="B73" s="3">
        <v>978.63</v>
      </c>
      <c r="C73" s="3">
        <v>982.49</v>
      </c>
      <c r="D73" s="3">
        <v>972.29</v>
      </c>
      <c r="E73" s="3">
        <v>982.18</v>
      </c>
      <c r="F73" s="3">
        <v>463128992</v>
      </c>
    </row>
    <row r="74" spans="1:6" ht="13" x14ac:dyDescent="0.15">
      <c r="A74" s="3">
        <v>40022</v>
      </c>
      <c r="B74" s="3">
        <v>981.48</v>
      </c>
      <c r="C74" s="3">
        <v>982.35</v>
      </c>
      <c r="D74" s="3">
        <v>969.35</v>
      </c>
      <c r="E74" s="3">
        <v>979.62</v>
      </c>
      <c r="F74" s="3">
        <v>549035008</v>
      </c>
    </row>
    <row r="75" spans="1:6" ht="13" x14ac:dyDescent="0.15">
      <c r="A75" s="3">
        <v>40023</v>
      </c>
      <c r="B75" s="3">
        <v>977.66</v>
      </c>
      <c r="C75" s="3">
        <v>977.76</v>
      </c>
      <c r="D75" s="3">
        <v>968.65</v>
      </c>
      <c r="E75" s="3">
        <v>975.15</v>
      </c>
      <c r="F75" s="3">
        <v>517876992</v>
      </c>
    </row>
    <row r="76" spans="1:6" ht="13" x14ac:dyDescent="0.15">
      <c r="A76" s="3">
        <v>40024</v>
      </c>
      <c r="B76" s="3">
        <v>976.01</v>
      </c>
      <c r="C76" s="3">
        <v>996.68</v>
      </c>
      <c r="D76" s="3">
        <v>976.01</v>
      </c>
      <c r="E76" s="3">
        <v>986.75</v>
      </c>
      <c r="F76" s="3">
        <v>603518016</v>
      </c>
    </row>
    <row r="77" spans="1:6" ht="13" x14ac:dyDescent="0.15">
      <c r="A77" s="3">
        <v>40025</v>
      </c>
      <c r="B77" s="3">
        <v>986.8</v>
      </c>
      <c r="C77" s="3">
        <v>993.18</v>
      </c>
      <c r="D77" s="3">
        <v>982.85</v>
      </c>
      <c r="E77" s="3">
        <v>987.48</v>
      </c>
      <c r="F77" s="3">
        <v>513907008</v>
      </c>
    </row>
    <row r="78" spans="1:6" ht="13" x14ac:dyDescent="0.15">
      <c r="A78" s="3">
        <v>40028</v>
      </c>
      <c r="B78" s="3">
        <v>990.22</v>
      </c>
      <c r="C78" s="3">
        <v>1003.61</v>
      </c>
      <c r="D78" s="3">
        <v>990.22</v>
      </c>
      <c r="E78" s="3">
        <v>1002.63</v>
      </c>
      <c r="F78" s="3">
        <v>560344000</v>
      </c>
    </row>
    <row r="79" spans="1:6" ht="13" x14ac:dyDescent="0.15">
      <c r="A79" s="3">
        <v>40029</v>
      </c>
      <c r="B79" s="3">
        <v>1001.41</v>
      </c>
      <c r="C79" s="3">
        <v>1007.12</v>
      </c>
      <c r="D79" s="3">
        <v>996.68</v>
      </c>
      <c r="E79" s="3">
        <v>1005.65</v>
      </c>
      <c r="F79" s="3">
        <v>571369984</v>
      </c>
    </row>
    <row r="80" spans="1:6" ht="13" x14ac:dyDescent="0.15">
      <c r="A80" s="3">
        <v>40030</v>
      </c>
      <c r="B80" s="3">
        <v>1005.41</v>
      </c>
      <c r="C80" s="3">
        <v>1006.64</v>
      </c>
      <c r="D80" s="3">
        <v>994.31</v>
      </c>
      <c r="E80" s="3">
        <v>1002.72</v>
      </c>
      <c r="F80" s="3">
        <v>324212000</v>
      </c>
    </row>
    <row r="81" spans="1:6" ht="13" x14ac:dyDescent="0.15">
      <c r="A81" s="3">
        <v>40031</v>
      </c>
      <c r="B81" s="3">
        <v>1004.06</v>
      </c>
      <c r="C81" s="3">
        <v>1008</v>
      </c>
      <c r="D81" s="3">
        <v>992.49</v>
      </c>
      <c r="E81" s="3">
        <v>997.08</v>
      </c>
      <c r="F81" s="3">
        <v>675337984</v>
      </c>
    </row>
    <row r="82" spans="1:6" ht="13" x14ac:dyDescent="0.15">
      <c r="A82" s="3">
        <v>40032</v>
      </c>
      <c r="B82" s="3">
        <v>999.83</v>
      </c>
      <c r="C82" s="3">
        <v>1018</v>
      </c>
      <c r="D82" s="3">
        <v>999.83</v>
      </c>
      <c r="E82" s="3">
        <v>1010.48</v>
      </c>
      <c r="F82" s="3">
        <v>682708992</v>
      </c>
    </row>
    <row r="83" spans="1:6" ht="13" x14ac:dyDescent="0.15">
      <c r="A83" s="3">
        <v>40035</v>
      </c>
      <c r="B83" s="3">
        <v>1008.89</v>
      </c>
      <c r="C83" s="3">
        <v>1010.12</v>
      </c>
      <c r="D83" s="3">
        <v>1000.99</v>
      </c>
      <c r="E83" s="3">
        <v>1007.1</v>
      </c>
      <c r="F83" s="3">
        <v>540608000</v>
      </c>
    </row>
    <row r="84" spans="1:6" ht="13" x14ac:dyDescent="0.15">
      <c r="A84" s="3">
        <v>40036</v>
      </c>
      <c r="B84" s="3">
        <v>1005.77</v>
      </c>
      <c r="C84" s="3">
        <v>1005.77</v>
      </c>
      <c r="D84" s="3">
        <v>992.4</v>
      </c>
      <c r="E84" s="3">
        <v>994.35</v>
      </c>
      <c r="F84" s="3">
        <v>577315968</v>
      </c>
    </row>
    <row r="85" spans="1:6" ht="13" x14ac:dyDescent="0.15">
      <c r="A85" s="3">
        <v>40037</v>
      </c>
      <c r="B85" s="3">
        <v>994</v>
      </c>
      <c r="C85" s="3">
        <v>1012.78</v>
      </c>
      <c r="D85" s="3">
        <v>993.36</v>
      </c>
      <c r="E85" s="3">
        <v>1005.81</v>
      </c>
      <c r="F85" s="3">
        <v>549817024</v>
      </c>
    </row>
    <row r="86" spans="1:6" ht="13" x14ac:dyDescent="0.15">
      <c r="A86" s="3">
        <v>40038</v>
      </c>
      <c r="B86" s="3">
        <v>1005.86</v>
      </c>
      <c r="C86" s="3">
        <v>1013.14</v>
      </c>
      <c r="D86" s="3">
        <v>1000.82</v>
      </c>
      <c r="E86" s="3">
        <v>1012.73</v>
      </c>
      <c r="F86" s="3">
        <v>525065984</v>
      </c>
    </row>
    <row r="87" spans="1:6" ht="13" x14ac:dyDescent="0.15">
      <c r="A87" s="3">
        <v>40039</v>
      </c>
      <c r="B87" s="3">
        <v>1012.23</v>
      </c>
      <c r="C87" s="3">
        <v>1012.6</v>
      </c>
      <c r="D87" s="3">
        <v>994.6</v>
      </c>
      <c r="E87" s="3">
        <v>1004.09</v>
      </c>
      <c r="F87" s="3">
        <v>494075008</v>
      </c>
    </row>
    <row r="88" spans="1:6" ht="13" x14ac:dyDescent="0.15">
      <c r="A88" s="3">
        <v>40042</v>
      </c>
      <c r="B88" s="3">
        <v>998.18</v>
      </c>
      <c r="C88" s="3">
        <v>998.18</v>
      </c>
      <c r="D88" s="3">
        <v>978.51</v>
      </c>
      <c r="E88" s="3">
        <v>979.73</v>
      </c>
      <c r="F88" s="3">
        <v>408856992</v>
      </c>
    </row>
    <row r="89" spans="1:6" ht="13" x14ac:dyDescent="0.15">
      <c r="A89" s="3">
        <v>40043</v>
      </c>
      <c r="B89" s="3">
        <v>980.62</v>
      </c>
      <c r="C89" s="3">
        <v>991.2</v>
      </c>
      <c r="D89" s="3">
        <v>980.62</v>
      </c>
      <c r="E89" s="3">
        <v>989.67</v>
      </c>
      <c r="F89" s="3">
        <v>419896992</v>
      </c>
    </row>
    <row r="90" spans="1:6" ht="13" x14ac:dyDescent="0.15">
      <c r="A90" s="3">
        <v>40044</v>
      </c>
      <c r="B90" s="3">
        <v>986.88</v>
      </c>
      <c r="C90" s="3">
        <v>999.61</v>
      </c>
      <c r="D90" s="3">
        <v>980.62</v>
      </c>
      <c r="E90" s="3">
        <v>996.46</v>
      </c>
      <c r="F90" s="3">
        <v>425700000</v>
      </c>
    </row>
    <row r="91" spans="1:6" ht="13" x14ac:dyDescent="0.15">
      <c r="A91" s="3">
        <v>40045</v>
      </c>
      <c r="B91" s="3">
        <v>996.41</v>
      </c>
      <c r="C91" s="3">
        <v>1008.92</v>
      </c>
      <c r="D91" s="3">
        <v>996.39</v>
      </c>
      <c r="E91" s="3">
        <v>1007.37</v>
      </c>
      <c r="F91" s="3">
        <v>489316000</v>
      </c>
    </row>
    <row r="92" spans="1:6" ht="13" x14ac:dyDescent="0.15">
      <c r="A92" s="3">
        <v>40046</v>
      </c>
      <c r="B92" s="3">
        <v>1009.06</v>
      </c>
      <c r="C92" s="3">
        <v>1027.5899999999999</v>
      </c>
      <c r="D92" s="3">
        <v>1009.06</v>
      </c>
      <c r="E92" s="3">
        <v>1026.1300000000001</v>
      </c>
      <c r="F92" s="3">
        <v>588555008</v>
      </c>
    </row>
    <row r="93" spans="1:6" ht="13" x14ac:dyDescent="0.15">
      <c r="A93" s="3">
        <v>40049</v>
      </c>
      <c r="B93" s="3">
        <v>1026.5899999999999</v>
      </c>
      <c r="C93" s="3">
        <v>1035.81</v>
      </c>
      <c r="D93" s="3">
        <v>1022.48</v>
      </c>
      <c r="E93" s="3">
        <v>1025.56</v>
      </c>
      <c r="F93" s="3">
        <v>630244992</v>
      </c>
    </row>
    <row r="94" spans="1:6" ht="13" x14ac:dyDescent="0.15">
      <c r="A94" s="3">
        <v>40050</v>
      </c>
      <c r="B94" s="3">
        <v>1026.6300000000001</v>
      </c>
      <c r="C94" s="3">
        <v>1037.75</v>
      </c>
      <c r="D94" s="3">
        <v>1026.21</v>
      </c>
      <c r="E94" s="3">
        <v>1028</v>
      </c>
      <c r="F94" s="3">
        <v>576873984</v>
      </c>
    </row>
    <row r="95" spans="1:6" ht="13" x14ac:dyDescent="0.15">
      <c r="A95" s="3">
        <v>40051</v>
      </c>
      <c r="B95" s="3">
        <v>1027.3499999999999</v>
      </c>
      <c r="C95" s="3">
        <v>1032.47</v>
      </c>
      <c r="D95" s="3">
        <v>1021.57</v>
      </c>
      <c r="E95" s="3">
        <v>1028.1199999999999</v>
      </c>
      <c r="F95" s="3">
        <v>508006016</v>
      </c>
    </row>
    <row r="96" spans="1:6" ht="13" x14ac:dyDescent="0.15">
      <c r="A96" s="3">
        <v>40052</v>
      </c>
      <c r="B96" s="3">
        <v>1027.81</v>
      </c>
      <c r="C96" s="3">
        <v>1033.32</v>
      </c>
      <c r="D96" s="3">
        <v>1016.2</v>
      </c>
      <c r="E96" s="3">
        <v>1030.98</v>
      </c>
      <c r="F96" s="3">
        <v>578588032</v>
      </c>
    </row>
    <row r="97" spans="1:6" ht="13" x14ac:dyDescent="0.15">
      <c r="A97" s="3">
        <v>40053</v>
      </c>
      <c r="B97" s="3">
        <v>1031.6199999999999</v>
      </c>
      <c r="C97" s="3">
        <v>1039.47</v>
      </c>
      <c r="D97" s="3">
        <v>1023.13</v>
      </c>
      <c r="E97" s="3">
        <v>1028.93</v>
      </c>
      <c r="F97" s="3">
        <v>578577984</v>
      </c>
    </row>
    <row r="98" spans="1:6" ht="13" x14ac:dyDescent="0.15">
      <c r="A98" s="3">
        <v>40056</v>
      </c>
      <c r="B98" s="3">
        <v>1025.21</v>
      </c>
      <c r="C98" s="3">
        <v>1025.21</v>
      </c>
      <c r="D98" s="3">
        <v>1014.62</v>
      </c>
      <c r="E98" s="3">
        <v>1020.62</v>
      </c>
      <c r="F98" s="3">
        <v>500456000</v>
      </c>
    </row>
    <row r="99" spans="1:6" ht="13" x14ac:dyDescent="0.15">
      <c r="A99" s="3">
        <v>40057</v>
      </c>
      <c r="B99" s="3">
        <v>1019.52</v>
      </c>
      <c r="C99" s="3">
        <v>1028.44</v>
      </c>
      <c r="D99" s="3">
        <v>996.28</v>
      </c>
      <c r="E99" s="3">
        <v>998.04</v>
      </c>
      <c r="F99" s="3">
        <v>686236032</v>
      </c>
    </row>
    <row r="100" spans="1:6" ht="13" x14ac:dyDescent="0.15">
      <c r="A100" s="3">
        <v>40058</v>
      </c>
      <c r="B100" s="3">
        <v>996.07</v>
      </c>
      <c r="C100" s="3">
        <v>1000.34</v>
      </c>
      <c r="D100" s="3">
        <v>991.97</v>
      </c>
      <c r="E100" s="3">
        <v>994.75</v>
      </c>
      <c r="F100" s="3">
        <v>584273024</v>
      </c>
    </row>
    <row r="101" spans="1:6" ht="13" x14ac:dyDescent="0.15">
      <c r="A101" s="3">
        <v>40059</v>
      </c>
      <c r="B101" s="3">
        <v>996.12</v>
      </c>
      <c r="C101" s="3">
        <v>1003.43</v>
      </c>
      <c r="D101" s="3">
        <v>992.25</v>
      </c>
      <c r="E101" s="3">
        <v>1003.24</v>
      </c>
      <c r="F101" s="3">
        <v>462428000</v>
      </c>
    </row>
    <row r="102" spans="1:6" ht="13" x14ac:dyDescent="0.15">
      <c r="A102" s="3">
        <v>40060</v>
      </c>
      <c r="B102" s="3">
        <v>1003.84</v>
      </c>
      <c r="C102" s="3">
        <v>1016.48</v>
      </c>
      <c r="D102" s="3">
        <v>1001.65</v>
      </c>
      <c r="E102" s="3">
        <v>1016.4</v>
      </c>
      <c r="F102" s="3">
        <v>409736992</v>
      </c>
    </row>
    <row r="103" spans="1:6" ht="13" x14ac:dyDescent="0.15">
      <c r="A103" s="3">
        <v>40064</v>
      </c>
      <c r="B103" s="3">
        <v>1018.67</v>
      </c>
      <c r="C103" s="3">
        <v>1026.06</v>
      </c>
      <c r="D103" s="3">
        <v>1018.67</v>
      </c>
      <c r="E103" s="3">
        <v>1025.3900000000001</v>
      </c>
      <c r="F103" s="3">
        <v>523516000</v>
      </c>
    </row>
    <row r="104" spans="1:6" ht="13" x14ac:dyDescent="0.15">
      <c r="A104" s="3">
        <v>40065</v>
      </c>
      <c r="B104" s="3">
        <v>1025.3599999999999</v>
      </c>
      <c r="C104" s="3">
        <v>1036.3399999999999</v>
      </c>
      <c r="D104" s="3">
        <v>1023.97</v>
      </c>
      <c r="E104" s="3">
        <v>1033.3699999999999</v>
      </c>
      <c r="F104" s="3">
        <v>520255008</v>
      </c>
    </row>
    <row r="105" spans="1:6" ht="13" x14ac:dyDescent="0.15">
      <c r="A105" s="3">
        <v>40066</v>
      </c>
      <c r="B105" s="3">
        <v>1032.99</v>
      </c>
      <c r="C105" s="3">
        <v>1044.1400000000001</v>
      </c>
      <c r="D105" s="3">
        <v>1028.04</v>
      </c>
      <c r="E105" s="3">
        <v>1044.1400000000001</v>
      </c>
      <c r="F105" s="3">
        <v>519137984</v>
      </c>
    </row>
    <row r="106" spans="1:6" ht="13" x14ac:dyDescent="0.15">
      <c r="A106" s="3">
        <v>40067</v>
      </c>
      <c r="B106" s="3">
        <v>1043.92</v>
      </c>
      <c r="C106" s="3">
        <v>1048.18</v>
      </c>
      <c r="D106" s="3">
        <v>1038.4000000000001</v>
      </c>
      <c r="E106" s="3">
        <v>1042.73</v>
      </c>
      <c r="F106" s="3">
        <v>492260000</v>
      </c>
    </row>
    <row r="107" spans="1:6" ht="13" x14ac:dyDescent="0.15">
      <c r="A107" s="3">
        <v>40070</v>
      </c>
      <c r="B107" s="3">
        <v>1040.1500000000001</v>
      </c>
      <c r="C107" s="3">
        <v>1049.74</v>
      </c>
      <c r="D107" s="3">
        <v>1035</v>
      </c>
      <c r="E107" s="3">
        <v>1049.3399999999999</v>
      </c>
      <c r="F107" s="3">
        <v>497960992</v>
      </c>
    </row>
    <row r="108" spans="1:6" ht="13" x14ac:dyDescent="0.15">
      <c r="A108" s="3">
        <v>40071</v>
      </c>
      <c r="B108" s="3">
        <v>1049.03</v>
      </c>
      <c r="C108" s="3">
        <v>1056.04</v>
      </c>
      <c r="D108" s="3">
        <v>1043.42</v>
      </c>
      <c r="E108" s="3">
        <v>1052.6300000000001</v>
      </c>
      <c r="F108" s="3">
        <v>618561984</v>
      </c>
    </row>
    <row r="109" spans="1:6" ht="13" x14ac:dyDescent="0.15">
      <c r="A109" s="3">
        <v>40072</v>
      </c>
      <c r="B109" s="3">
        <v>1053.99</v>
      </c>
      <c r="C109" s="3">
        <v>1068.76</v>
      </c>
      <c r="D109" s="3">
        <v>1052.8699999999999</v>
      </c>
      <c r="E109" s="3">
        <v>1068.76</v>
      </c>
      <c r="F109" s="3">
        <v>679352960</v>
      </c>
    </row>
    <row r="110" spans="1:6" ht="13" x14ac:dyDescent="0.15">
      <c r="A110" s="3">
        <v>40073</v>
      </c>
      <c r="B110" s="3">
        <v>1067.8699999999999</v>
      </c>
      <c r="C110" s="3">
        <v>1074.77</v>
      </c>
      <c r="D110" s="3">
        <v>1061.19</v>
      </c>
      <c r="E110" s="3">
        <v>1065.49</v>
      </c>
      <c r="F110" s="3">
        <v>666811008</v>
      </c>
    </row>
    <row r="111" spans="1:6" ht="13" x14ac:dyDescent="0.15">
      <c r="A111" s="3">
        <v>40074</v>
      </c>
      <c r="B111" s="3">
        <v>1066.5999999999999</v>
      </c>
      <c r="C111" s="3">
        <v>1071.52</v>
      </c>
      <c r="D111" s="3">
        <v>1064.27</v>
      </c>
      <c r="E111" s="3">
        <v>1068.3</v>
      </c>
      <c r="F111" s="3">
        <v>560796992</v>
      </c>
    </row>
    <row r="112" spans="1:6" ht="13" x14ac:dyDescent="0.15">
      <c r="A112" s="3">
        <v>40077</v>
      </c>
      <c r="B112" s="3">
        <v>1067.1400000000001</v>
      </c>
      <c r="C112" s="3">
        <v>1067.28</v>
      </c>
      <c r="D112" s="3">
        <v>1057.46</v>
      </c>
      <c r="E112" s="3">
        <v>1064.6600000000001</v>
      </c>
      <c r="F112" s="3">
        <v>461528000</v>
      </c>
    </row>
    <row r="113" spans="1:6" ht="13" x14ac:dyDescent="0.15">
      <c r="A113" s="3">
        <v>40078</v>
      </c>
      <c r="B113" s="3">
        <v>1066.3499999999999</v>
      </c>
      <c r="C113" s="3">
        <v>1073.81</v>
      </c>
      <c r="D113" s="3">
        <v>1066.3499999999999</v>
      </c>
      <c r="E113" s="3">
        <v>1071.6600000000001</v>
      </c>
      <c r="F113" s="3">
        <v>524660000</v>
      </c>
    </row>
    <row r="114" spans="1:6" ht="13" x14ac:dyDescent="0.15">
      <c r="A114" s="3">
        <v>40079</v>
      </c>
      <c r="B114" s="3">
        <v>1072.68</v>
      </c>
      <c r="C114" s="3">
        <v>1080.1500000000001</v>
      </c>
      <c r="D114" s="3">
        <v>1060.3900000000001</v>
      </c>
      <c r="E114" s="3">
        <v>1060.8699999999999</v>
      </c>
      <c r="F114" s="3">
        <v>553193024</v>
      </c>
    </row>
    <row r="115" spans="1:6" ht="13" x14ac:dyDescent="0.15">
      <c r="A115" s="3">
        <v>40080</v>
      </c>
      <c r="B115" s="3">
        <v>1062.56</v>
      </c>
      <c r="C115" s="3">
        <v>1066.29</v>
      </c>
      <c r="D115" s="3">
        <v>1045.8499999999999</v>
      </c>
      <c r="E115" s="3">
        <v>1050.78</v>
      </c>
      <c r="F115" s="3">
        <v>550561024</v>
      </c>
    </row>
    <row r="116" spans="1:6" ht="13" x14ac:dyDescent="0.15">
      <c r="A116" s="3">
        <v>40081</v>
      </c>
      <c r="B116" s="3">
        <v>1049.48</v>
      </c>
      <c r="C116" s="3">
        <v>1053.47</v>
      </c>
      <c r="D116" s="3">
        <v>1041.17</v>
      </c>
      <c r="E116" s="3">
        <v>1044.3800000000001</v>
      </c>
      <c r="F116" s="3">
        <v>450708992</v>
      </c>
    </row>
    <row r="117" spans="1:6" ht="13" x14ac:dyDescent="0.15">
      <c r="A117" s="3">
        <v>40084</v>
      </c>
      <c r="B117" s="3">
        <v>1045.3800000000001</v>
      </c>
      <c r="C117" s="3">
        <v>1065.1300000000001</v>
      </c>
      <c r="D117" s="3">
        <v>1045.3800000000001</v>
      </c>
      <c r="E117" s="3">
        <v>1062.98</v>
      </c>
      <c r="F117" s="3">
        <v>372695008</v>
      </c>
    </row>
    <row r="118" spans="1:6" ht="13" x14ac:dyDescent="0.15">
      <c r="A118" s="3">
        <v>40085</v>
      </c>
      <c r="B118" s="3">
        <v>1063.68</v>
      </c>
      <c r="C118" s="3">
        <v>1069.6199999999999</v>
      </c>
      <c r="D118" s="3">
        <v>1057.82</v>
      </c>
      <c r="E118" s="3">
        <v>1060.6099999999999</v>
      </c>
      <c r="F118" s="3">
        <v>494990016</v>
      </c>
    </row>
    <row r="119" spans="1:6" ht="13" x14ac:dyDescent="0.15">
      <c r="A119" s="3">
        <v>40086</v>
      </c>
      <c r="B119" s="3">
        <v>1061.02</v>
      </c>
      <c r="C119" s="3">
        <v>1063.4000000000001</v>
      </c>
      <c r="D119" s="3">
        <v>1046.47</v>
      </c>
      <c r="E119" s="3">
        <v>1057.07</v>
      </c>
      <c r="F119" s="3">
        <v>599886016</v>
      </c>
    </row>
    <row r="120" spans="1:6" ht="13" x14ac:dyDescent="0.15">
      <c r="A120" s="3">
        <v>40087</v>
      </c>
      <c r="B120" s="3">
        <v>1054.9100000000001</v>
      </c>
      <c r="C120" s="3">
        <v>1054.9100000000001</v>
      </c>
      <c r="D120" s="3">
        <v>1029.44</v>
      </c>
      <c r="E120" s="3">
        <v>1029.8499999999999</v>
      </c>
      <c r="F120" s="3">
        <v>579145024</v>
      </c>
    </row>
    <row r="121" spans="1:6" ht="13" x14ac:dyDescent="0.15">
      <c r="A121" s="3">
        <v>40088</v>
      </c>
      <c r="B121" s="3">
        <v>1029.71</v>
      </c>
      <c r="C121" s="3">
        <v>1030.5999999999999</v>
      </c>
      <c r="D121" s="3">
        <v>1019.95</v>
      </c>
      <c r="E121" s="3">
        <v>1025.21</v>
      </c>
      <c r="F121" s="3">
        <v>558323968</v>
      </c>
    </row>
    <row r="122" spans="1:6" ht="13" x14ac:dyDescent="0.15">
      <c r="A122" s="3">
        <v>40091</v>
      </c>
      <c r="B122" s="3">
        <v>1026.8699999999999</v>
      </c>
      <c r="C122" s="3">
        <v>1042.57</v>
      </c>
      <c r="D122" s="3">
        <v>1025.92</v>
      </c>
      <c r="E122" s="3">
        <v>1040.46</v>
      </c>
      <c r="F122" s="3">
        <v>431331008</v>
      </c>
    </row>
    <row r="123" spans="1:6" ht="13" x14ac:dyDescent="0.15">
      <c r="A123" s="3">
        <v>40092</v>
      </c>
      <c r="B123" s="3">
        <v>1042.02</v>
      </c>
      <c r="C123" s="3">
        <v>1060.55</v>
      </c>
      <c r="D123" s="3">
        <v>1042.02</v>
      </c>
      <c r="E123" s="3">
        <v>1054.72</v>
      </c>
      <c r="F123" s="3">
        <v>502984000</v>
      </c>
    </row>
    <row r="124" spans="1:6" ht="13" x14ac:dyDescent="0.15">
      <c r="A124" s="3">
        <v>40093</v>
      </c>
      <c r="B124" s="3">
        <v>1053.6500000000001</v>
      </c>
      <c r="C124" s="3">
        <v>1058.02</v>
      </c>
      <c r="D124" s="3">
        <v>1050.0999999999999</v>
      </c>
      <c r="E124" s="3">
        <v>1057.57</v>
      </c>
      <c r="F124" s="3">
        <v>423822016</v>
      </c>
    </row>
    <row r="125" spans="1:6" ht="13" x14ac:dyDescent="0.15">
      <c r="A125" s="3">
        <v>40094</v>
      </c>
      <c r="B125" s="3">
        <v>1060.03</v>
      </c>
      <c r="C125" s="3">
        <v>1070.67</v>
      </c>
      <c r="D125" s="3">
        <v>1060.03</v>
      </c>
      <c r="E125" s="3">
        <v>1065.48</v>
      </c>
      <c r="F125" s="3">
        <v>498840000</v>
      </c>
    </row>
    <row r="126" spans="1:6" ht="13" x14ac:dyDescent="0.15">
      <c r="A126" s="3">
        <v>40095</v>
      </c>
      <c r="B126" s="3">
        <v>1065.28</v>
      </c>
      <c r="C126" s="3">
        <v>1071.51</v>
      </c>
      <c r="D126" s="3">
        <v>1063</v>
      </c>
      <c r="E126" s="3">
        <v>1071.49</v>
      </c>
      <c r="F126" s="3">
        <v>376377984</v>
      </c>
    </row>
    <row r="127" spans="1:6" ht="13" x14ac:dyDescent="0.15">
      <c r="A127" s="3">
        <v>40098</v>
      </c>
      <c r="B127" s="3">
        <v>1071.6300000000001</v>
      </c>
      <c r="C127" s="3">
        <v>1079.46</v>
      </c>
      <c r="D127" s="3">
        <v>1071.6300000000001</v>
      </c>
      <c r="E127" s="3">
        <v>1076.18</v>
      </c>
      <c r="F127" s="3">
        <v>371043008</v>
      </c>
    </row>
    <row r="128" spans="1:6" ht="13" x14ac:dyDescent="0.15">
      <c r="A128" s="3">
        <v>40099</v>
      </c>
      <c r="B128" s="3">
        <v>1074.96</v>
      </c>
      <c r="C128" s="3">
        <v>1075.3</v>
      </c>
      <c r="D128" s="3">
        <v>1066.71</v>
      </c>
      <c r="E128" s="3">
        <v>1073.18</v>
      </c>
      <c r="F128" s="3">
        <v>432048000</v>
      </c>
    </row>
    <row r="129" spans="1:6" ht="13" x14ac:dyDescent="0.15">
      <c r="A129" s="3">
        <v>40100</v>
      </c>
      <c r="B129" s="3">
        <v>1078.68</v>
      </c>
      <c r="C129" s="3">
        <v>1093.17</v>
      </c>
      <c r="D129" s="3">
        <v>1078.68</v>
      </c>
      <c r="E129" s="3">
        <v>1092.02</v>
      </c>
      <c r="F129" s="3">
        <v>540641984</v>
      </c>
    </row>
    <row r="130" spans="1:6" ht="13" x14ac:dyDescent="0.15">
      <c r="A130" s="3">
        <v>40101</v>
      </c>
      <c r="B130" s="3">
        <v>1090.3599999999999</v>
      </c>
      <c r="C130" s="3">
        <v>1096.56</v>
      </c>
      <c r="D130" s="3">
        <v>1086.4100000000001</v>
      </c>
      <c r="E130" s="3">
        <v>1096.56</v>
      </c>
      <c r="F130" s="3">
        <v>536977984</v>
      </c>
    </row>
    <row r="131" spans="1:6" ht="13" x14ac:dyDescent="0.15">
      <c r="A131" s="3">
        <v>40102</v>
      </c>
      <c r="B131" s="3">
        <v>1094.67</v>
      </c>
      <c r="C131" s="3">
        <v>1094.67</v>
      </c>
      <c r="D131" s="3">
        <v>1081.53</v>
      </c>
      <c r="E131" s="3">
        <v>1087.68</v>
      </c>
      <c r="F131" s="3">
        <v>489473984</v>
      </c>
    </row>
    <row r="132" spans="1:6" ht="13" x14ac:dyDescent="0.15">
      <c r="A132" s="3">
        <v>40105</v>
      </c>
      <c r="B132" s="3">
        <v>1088.22</v>
      </c>
      <c r="C132" s="3">
        <v>1100.17</v>
      </c>
      <c r="D132" s="3">
        <v>1086.48</v>
      </c>
      <c r="E132" s="3">
        <v>1097.9100000000001</v>
      </c>
      <c r="F132" s="3">
        <v>461924000</v>
      </c>
    </row>
    <row r="133" spans="1:6" ht="13" x14ac:dyDescent="0.15">
      <c r="A133" s="3">
        <v>40106</v>
      </c>
      <c r="B133" s="3">
        <v>1098.6400000000001</v>
      </c>
      <c r="C133" s="3">
        <v>1098.6400000000001</v>
      </c>
      <c r="D133" s="3">
        <v>1086.1600000000001</v>
      </c>
      <c r="E133" s="3">
        <v>1091.06</v>
      </c>
      <c r="F133" s="3">
        <v>539692992</v>
      </c>
    </row>
    <row r="134" spans="1:6" ht="13" x14ac:dyDescent="0.15">
      <c r="A134" s="3">
        <v>40107</v>
      </c>
      <c r="B134" s="3">
        <v>1090.3599999999999</v>
      </c>
      <c r="C134" s="3">
        <v>1101.3599999999999</v>
      </c>
      <c r="D134" s="3">
        <v>1080.77</v>
      </c>
      <c r="E134" s="3">
        <v>1081.4000000000001</v>
      </c>
      <c r="F134" s="3">
        <v>561628992</v>
      </c>
    </row>
    <row r="135" spans="1:6" ht="13" x14ac:dyDescent="0.15">
      <c r="A135" s="3">
        <v>40108</v>
      </c>
      <c r="B135" s="3">
        <v>1080.96</v>
      </c>
      <c r="C135" s="3">
        <v>1095.21</v>
      </c>
      <c r="D135" s="3">
        <v>1074.31</v>
      </c>
      <c r="E135" s="3">
        <v>1092.9100000000001</v>
      </c>
      <c r="F135" s="3">
        <v>519240992</v>
      </c>
    </row>
    <row r="136" spans="1:6" ht="13" x14ac:dyDescent="0.15">
      <c r="A136" s="3">
        <v>40109</v>
      </c>
      <c r="B136" s="3">
        <v>1095.6199999999999</v>
      </c>
      <c r="C136" s="3">
        <v>1095.82</v>
      </c>
      <c r="D136" s="3">
        <v>1075.49</v>
      </c>
      <c r="E136" s="3">
        <v>1079.5999999999999</v>
      </c>
      <c r="F136" s="3">
        <v>476745984</v>
      </c>
    </row>
    <row r="137" spans="1:6" ht="13" x14ac:dyDescent="0.15">
      <c r="A137" s="3">
        <v>40112</v>
      </c>
      <c r="B137" s="3">
        <v>1080.3599999999999</v>
      </c>
      <c r="C137" s="3">
        <v>1091.75</v>
      </c>
      <c r="D137" s="3">
        <v>1065.23</v>
      </c>
      <c r="E137" s="3">
        <v>1066.94</v>
      </c>
      <c r="F137" s="3">
        <v>636337984</v>
      </c>
    </row>
    <row r="138" spans="1:6" ht="13" x14ac:dyDescent="0.15">
      <c r="A138" s="3">
        <v>40113</v>
      </c>
      <c r="B138" s="3">
        <v>1067.54</v>
      </c>
      <c r="C138" s="3">
        <v>1072.48</v>
      </c>
      <c r="D138" s="3">
        <v>1060.6199999999999</v>
      </c>
      <c r="E138" s="3">
        <v>1063.4100000000001</v>
      </c>
      <c r="F138" s="3">
        <v>533737984</v>
      </c>
    </row>
    <row r="139" spans="1:6" ht="13" x14ac:dyDescent="0.15">
      <c r="A139" s="3">
        <v>40114</v>
      </c>
      <c r="B139" s="3">
        <v>1061.51</v>
      </c>
      <c r="C139" s="3">
        <v>1063.26</v>
      </c>
      <c r="D139" s="3">
        <v>1042.18</v>
      </c>
      <c r="E139" s="3">
        <v>1042.6300000000001</v>
      </c>
      <c r="F139" s="3">
        <v>660035008</v>
      </c>
    </row>
    <row r="140" spans="1:6" ht="13" x14ac:dyDescent="0.15">
      <c r="A140" s="3">
        <v>40115</v>
      </c>
      <c r="B140" s="3">
        <v>1043.68</v>
      </c>
      <c r="C140" s="3">
        <v>1066.82</v>
      </c>
      <c r="D140" s="3">
        <v>1043.68</v>
      </c>
      <c r="E140" s="3">
        <v>1066.1099999999999</v>
      </c>
      <c r="F140" s="3">
        <v>559504000</v>
      </c>
    </row>
    <row r="141" spans="1:6" ht="13" x14ac:dyDescent="0.15">
      <c r="A141" s="3">
        <v>40116</v>
      </c>
      <c r="B141" s="3">
        <v>1065.4100000000001</v>
      </c>
      <c r="C141" s="3">
        <v>1065.4100000000001</v>
      </c>
      <c r="D141" s="3">
        <v>1033.3800000000001</v>
      </c>
      <c r="E141" s="3">
        <v>1036.18</v>
      </c>
      <c r="F141" s="3">
        <v>651241984</v>
      </c>
    </row>
    <row r="142" spans="1:6" ht="13" x14ac:dyDescent="0.15">
      <c r="A142" s="3">
        <v>40119</v>
      </c>
      <c r="B142" s="3">
        <v>1036.18</v>
      </c>
      <c r="C142" s="3">
        <v>1052.18</v>
      </c>
      <c r="D142" s="3">
        <v>1029.3800000000001</v>
      </c>
      <c r="E142" s="3">
        <v>1042.8800000000001</v>
      </c>
      <c r="F142" s="3">
        <v>620264000</v>
      </c>
    </row>
    <row r="143" spans="1:6" ht="13" x14ac:dyDescent="0.15">
      <c r="A143" s="3">
        <v>40120</v>
      </c>
      <c r="B143" s="3">
        <v>1040.92</v>
      </c>
      <c r="C143" s="3">
        <v>1046.3599999999999</v>
      </c>
      <c r="D143" s="3">
        <v>1033.93</v>
      </c>
      <c r="E143" s="3">
        <v>1045.4100000000001</v>
      </c>
      <c r="F143" s="3">
        <v>548750016</v>
      </c>
    </row>
    <row r="144" spans="1:6" ht="13" x14ac:dyDescent="0.15">
      <c r="A144" s="3">
        <v>40121</v>
      </c>
      <c r="B144" s="3">
        <v>1047.1400000000001</v>
      </c>
      <c r="C144" s="3">
        <v>1061</v>
      </c>
      <c r="D144" s="3">
        <v>1045.1500000000001</v>
      </c>
      <c r="E144" s="3">
        <v>1046.5</v>
      </c>
      <c r="F144" s="3">
        <v>563550976</v>
      </c>
    </row>
    <row r="145" spans="1:6" ht="13" x14ac:dyDescent="0.15">
      <c r="A145" s="3">
        <v>40122</v>
      </c>
      <c r="B145" s="3">
        <v>1047.3</v>
      </c>
      <c r="C145" s="3">
        <v>1066.6500000000001</v>
      </c>
      <c r="D145" s="3">
        <v>1047.3</v>
      </c>
      <c r="E145" s="3">
        <v>1066.6300000000001</v>
      </c>
      <c r="F145" s="3">
        <v>484835008</v>
      </c>
    </row>
    <row r="146" spans="1:6" ht="13" x14ac:dyDescent="0.15">
      <c r="A146" s="3">
        <v>40123</v>
      </c>
      <c r="B146" s="3">
        <v>1064.94</v>
      </c>
      <c r="C146" s="3">
        <v>1071.48</v>
      </c>
      <c r="D146" s="3">
        <v>1059.31</v>
      </c>
      <c r="E146" s="3">
        <v>1069.3</v>
      </c>
      <c r="F146" s="3">
        <v>427712992</v>
      </c>
    </row>
    <row r="147" spans="1:6" ht="13" x14ac:dyDescent="0.15">
      <c r="A147" s="3">
        <v>40126</v>
      </c>
      <c r="B147" s="3">
        <v>1072.31</v>
      </c>
      <c r="C147" s="3">
        <v>1093.18</v>
      </c>
      <c r="D147" s="3">
        <v>1072.31</v>
      </c>
      <c r="E147" s="3">
        <v>1093.07</v>
      </c>
      <c r="F147" s="3">
        <v>446003008</v>
      </c>
    </row>
    <row r="148" spans="1:6" ht="13" x14ac:dyDescent="0.15">
      <c r="A148" s="3">
        <v>40127</v>
      </c>
      <c r="B148" s="3">
        <v>1091.8599999999999</v>
      </c>
      <c r="C148" s="3">
        <v>1096.42</v>
      </c>
      <c r="D148" s="3">
        <v>1087.4000000000001</v>
      </c>
      <c r="E148" s="3">
        <v>1093.01</v>
      </c>
      <c r="F148" s="3">
        <v>439476992</v>
      </c>
    </row>
    <row r="149" spans="1:6" ht="13" x14ac:dyDescent="0.15">
      <c r="A149" s="3">
        <v>40128</v>
      </c>
      <c r="B149" s="3">
        <v>1096.04</v>
      </c>
      <c r="C149" s="3">
        <v>1105.3699999999999</v>
      </c>
      <c r="D149" s="3">
        <v>1093.81</v>
      </c>
      <c r="E149" s="3">
        <v>1098.51</v>
      </c>
      <c r="F149" s="3">
        <v>428670016</v>
      </c>
    </row>
    <row r="150" spans="1:6" ht="13" x14ac:dyDescent="0.15">
      <c r="A150" s="3">
        <v>40129</v>
      </c>
      <c r="B150" s="3">
        <v>1098.31</v>
      </c>
      <c r="C150" s="3">
        <v>1101.97</v>
      </c>
      <c r="D150" s="3">
        <v>1084.9000000000001</v>
      </c>
      <c r="E150" s="3">
        <v>1087.24</v>
      </c>
      <c r="F150" s="3">
        <v>416024992</v>
      </c>
    </row>
    <row r="151" spans="1:6" ht="13" x14ac:dyDescent="0.15">
      <c r="A151" s="3">
        <v>40130</v>
      </c>
      <c r="B151" s="3">
        <v>1087.5899999999999</v>
      </c>
      <c r="C151" s="3">
        <v>1097.79</v>
      </c>
      <c r="D151" s="3">
        <v>1085.32</v>
      </c>
      <c r="E151" s="3">
        <v>1093.48</v>
      </c>
      <c r="F151" s="3">
        <v>379260992</v>
      </c>
    </row>
    <row r="152" spans="1:6" ht="13" x14ac:dyDescent="0.15">
      <c r="A152" s="3">
        <v>40133</v>
      </c>
      <c r="B152" s="3">
        <v>1094.1300000000001</v>
      </c>
      <c r="C152" s="3">
        <v>1113.68</v>
      </c>
      <c r="D152" s="3">
        <v>1094.1300000000001</v>
      </c>
      <c r="E152" s="3">
        <v>1109.3</v>
      </c>
      <c r="F152" s="3">
        <v>456584992</v>
      </c>
    </row>
    <row r="153" spans="1:6" ht="13" x14ac:dyDescent="0.15">
      <c r="A153" s="3">
        <v>40134</v>
      </c>
      <c r="B153" s="3">
        <v>1109.22</v>
      </c>
      <c r="C153" s="3">
        <v>1110.52</v>
      </c>
      <c r="D153" s="3">
        <v>1102.18</v>
      </c>
      <c r="E153" s="3">
        <v>1110.31</v>
      </c>
      <c r="F153" s="3">
        <v>382407008</v>
      </c>
    </row>
    <row r="154" spans="1:6" ht="13" x14ac:dyDescent="0.15">
      <c r="A154" s="3">
        <v>40135</v>
      </c>
      <c r="B154" s="3">
        <v>1109.43</v>
      </c>
      <c r="C154" s="3">
        <v>1111.0999999999999</v>
      </c>
      <c r="D154" s="3">
        <v>1102.69</v>
      </c>
      <c r="E154" s="3">
        <v>1109.8</v>
      </c>
      <c r="F154" s="3">
        <v>429334016</v>
      </c>
    </row>
    <row r="155" spans="1:6" ht="13" x14ac:dyDescent="0.15">
      <c r="A155" s="3">
        <v>40136</v>
      </c>
      <c r="B155" s="3">
        <v>1106.43</v>
      </c>
      <c r="C155" s="3">
        <v>1106.43</v>
      </c>
      <c r="D155" s="3">
        <v>1088.4000000000001</v>
      </c>
      <c r="E155" s="3">
        <v>1094.9000000000001</v>
      </c>
      <c r="F155" s="3">
        <v>417803008</v>
      </c>
    </row>
    <row r="156" spans="1:6" ht="13" x14ac:dyDescent="0.15">
      <c r="A156" s="3">
        <v>40137</v>
      </c>
      <c r="B156" s="3">
        <v>1094.6600000000001</v>
      </c>
      <c r="C156" s="3">
        <v>1094.6600000000001</v>
      </c>
      <c r="D156" s="3">
        <v>1086.81</v>
      </c>
      <c r="E156" s="3">
        <v>1091.3800000000001</v>
      </c>
      <c r="F156" s="3">
        <v>375123008</v>
      </c>
    </row>
    <row r="157" spans="1:6" ht="13" x14ac:dyDescent="0.15">
      <c r="A157" s="3">
        <v>40140</v>
      </c>
      <c r="B157" s="3">
        <v>1094.8599999999999</v>
      </c>
      <c r="C157" s="3">
        <v>1112.3800000000001</v>
      </c>
      <c r="D157" s="3">
        <v>1094.8599999999999</v>
      </c>
      <c r="E157" s="3">
        <v>1106.24</v>
      </c>
      <c r="F157" s="3">
        <v>382792000</v>
      </c>
    </row>
    <row r="158" spans="1:6" ht="13" x14ac:dyDescent="0.15">
      <c r="A158" s="3">
        <v>40141</v>
      </c>
      <c r="B158" s="3">
        <v>1105.82</v>
      </c>
      <c r="C158" s="3">
        <v>1107.56</v>
      </c>
      <c r="D158" s="3">
        <v>1097.6300000000001</v>
      </c>
      <c r="E158" s="3">
        <v>1105.6500000000001</v>
      </c>
      <c r="F158" s="3">
        <v>370081984</v>
      </c>
    </row>
    <row r="159" spans="1:6" ht="13" x14ac:dyDescent="0.15">
      <c r="A159" s="3">
        <v>40142</v>
      </c>
      <c r="B159" s="3">
        <v>1106.49</v>
      </c>
      <c r="C159" s="3">
        <v>1111.18</v>
      </c>
      <c r="D159" s="3">
        <v>1104.75</v>
      </c>
      <c r="E159" s="3">
        <v>1110.6300000000001</v>
      </c>
      <c r="F159" s="3">
        <v>303635008</v>
      </c>
    </row>
    <row r="160" spans="1:6" ht="13" x14ac:dyDescent="0.15">
      <c r="A160" s="3">
        <v>40144</v>
      </c>
      <c r="B160" s="3">
        <v>1105.47</v>
      </c>
      <c r="C160" s="3">
        <v>1105.47</v>
      </c>
      <c r="D160" s="3">
        <v>1083.74</v>
      </c>
      <c r="E160" s="3">
        <v>1091.49</v>
      </c>
      <c r="F160" s="3">
        <v>236291008</v>
      </c>
    </row>
    <row r="161" spans="1:6" ht="13" x14ac:dyDescent="0.15">
      <c r="A161" s="3">
        <v>40147</v>
      </c>
      <c r="B161" s="3">
        <v>1091.06</v>
      </c>
      <c r="C161" s="3">
        <v>1097.24</v>
      </c>
      <c r="D161" s="3">
        <v>1086.25</v>
      </c>
      <c r="E161" s="3">
        <v>1095.6300000000001</v>
      </c>
      <c r="F161" s="3">
        <v>389552000</v>
      </c>
    </row>
    <row r="162" spans="1:6" ht="13" x14ac:dyDescent="0.15">
      <c r="A162" s="3">
        <v>40148</v>
      </c>
      <c r="B162" s="3">
        <v>1098.8900000000001</v>
      </c>
      <c r="C162" s="3">
        <v>1112.28</v>
      </c>
      <c r="D162" s="3">
        <v>1098.8900000000001</v>
      </c>
      <c r="E162" s="3">
        <v>1108.8599999999999</v>
      </c>
      <c r="F162" s="3">
        <v>424931008</v>
      </c>
    </row>
    <row r="163" spans="1:6" ht="13" x14ac:dyDescent="0.15">
      <c r="A163" s="3">
        <v>40149</v>
      </c>
      <c r="B163" s="3">
        <v>1109.03</v>
      </c>
      <c r="C163" s="3">
        <v>1115.57</v>
      </c>
      <c r="D163" s="3">
        <v>1105.29</v>
      </c>
      <c r="E163" s="3">
        <v>1109.24</v>
      </c>
      <c r="F163" s="3">
        <v>394134016</v>
      </c>
    </row>
    <row r="164" spans="1:6" ht="13" x14ac:dyDescent="0.15">
      <c r="A164" s="3">
        <v>40150</v>
      </c>
      <c r="B164" s="3">
        <v>1110.5899999999999</v>
      </c>
      <c r="C164" s="3">
        <v>1117.28</v>
      </c>
      <c r="D164" s="3">
        <v>1098.74</v>
      </c>
      <c r="E164" s="3">
        <v>1099.92</v>
      </c>
      <c r="F164" s="3">
        <v>481003008</v>
      </c>
    </row>
    <row r="165" spans="1:6" ht="13" x14ac:dyDescent="0.15">
      <c r="A165" s="3">
        <v>40151</v>
      </c>
      <c r="B165" s="3">
        <v>1100.43</v>
      </c>
      <c r="C165" s="3">
        <v>1119.1300000000001</v>
      </c>
      <c r="D165" s="3">
        <v>1096.52</v>
      </c>
      <c r="E165" s="3">
        <v>1105.98</v>
      </c>
      <c r="F165" s="3">
        <v>578113984</v>
      </c>
    </row>
    <row r="166" spans="1:6" ht="13" x14ac:dyDescent="0.15">
      <c r="A166" s="3">
        <v>40154</v>
      </c>
      <c r="B166" s="3">
        <v>1105.52</v>
      </c>
      <c r="C166" s="3">
        <v>1110.72</v>
      </c>
      <c r="D166" s="3">
        <v>1100.82</v>
      </c>
      <c r="E166" s="3">
        <v>1103.25</v>
      </c>
      <c r="F166" s="3">
        <v>410336000</v>
      </c>
    </row>
    <row r="167" spans="1:6" ht="13" x14ac:dyDescent="0.15">
      <c r="A167" s="3">
        <v>40155</v>
      </c>
      <c r="B167" s="3">
        <v>1103.04</v>
      </c>
      <c r="C167" s="3">
        <v>1103.04</v>
      </c>
      <c r="D167" s="3">
        <v>1088.6099999999999</v>
      </c>
      <c r="E167" s="3">
        <v>1091.93</v>
      </c>
      <c r="F167" s="3">
        <v>474803008</v>
      </c>
    </row>
    <row r="168" spans="1:6" ht="13" x14ac:dyDescent="0.15">
      <c r="A168" s="3">
        <v>40156</v>
      </c>
      <c r="B168" s="3">
        <v>1091.06</v>
      </c>
      <c r="C168" s="3">
        <v>1097.04</v>
      </c>
      <c r="D168" s="3">
        <v>1085.8900000000001</v>
      </c>
      <c r="E168" s="3">
        <v>1095.94</v>
      </c>
      <c r="F168" s="3">
        <v>411540992</v>
      </c>
    </row>
    <row r="169" spans="1:6" ht="13" x14ac:dyDescent="0.15">
      <c r="A169" s="3">
        <v>40157</v>
      </c>
      <c r="B169" s="3">
        <v>1098.68</v>
      </c>
      <c r="C169" s="3">
        <v>1106.25</v>
      </c>
      <c r="D169" s="3">
        <v>1098.68</v>
      </c>
      <c r="E169" s="3">
        <v>1102.3499999999999</v>
      </c>
      <c r="F169" s="3">
        <v>399648992</v>
      </c>
    </row>
    <row r="170" spans="1:6" ht="13" x14ac:dyDescent="0.15">
      <c r="A170" s="3">
        <v>40158</v>
      </c>
      <c r="B170" s="3">
        <v>1103.96</v>
      </c>
      <c r="C170" s="3">
        <v>1108.5</v>
      </c>
      <c r="D170" s="3">
        <v>1101.3399999999999</v>
      </c>
      <c r="E170" s="3">
        <v>1106.4100000000001</v>
      </c>
      <c r="F170" s="3">
        <v>379108992</v>
      </c>
    </row>
    <row r="171" spans="1:6" ht="13" x14ac:dyDescent="0.15">
      <c r="A171" s="3">
        <v>40161</v>
      </c>
      <c r="B171" s="3">
        <v>1107.8399999999999</v>
      </c>
      <c r="C171" s="3">
        <v>1114.76</v>
      </c>
      <c r="D171" s="3">
        <v>1107.8399999999999</v>
      </c>
      <c r="E171" s="3">
        <v>1114.1099999999999</v>
      </c>
      <c r="F171" s="3">
        <v>454848992</v>
      </c>
    </row>
    <row r="172" spans="1:6" ht="13" x14ac:dyDescent="0.15">
      <c r="A172" s="3">
        <v>40162</v>
      </c>
      <c r="B172" s="3">
        <v>1114.1099999999999</v>
      </c>
      <c r="C172" s="3">
        <v>1114.1099999999999</v>
      </c>
      <c r="D172" s="3">
        <v>1105.3499999999999</v>
      </c>
      <c r="E172" s="3">
        <v>1107.93</v>
      </c>
      <c r="F172" s="3">
        <v>504510016</v>
      </c>
    </row>
    <row r="173" spans="1:6" ht="13" x14ac:dyDescent="0.15">
      <c r="A173" s="3">
        <v>40163</v>
      </c>
      <c r="B173" s="3">
        <v>1108.6099999999999</v>
      </c>
      <c r="C173" s="3">
        <v>1116.21</v>
      </c>
      <c r="D173" s="3">
        <v>1107.96</v>
      </c>
      <c r="E173" s="3">
        <v>1109.18</v>
      </c>
      <c r="F173" s="3">
        <v>482982016</v>
      </c>
    </row>
    <row r="174" spans="1:6" ht="13" x14ac:dyDescent="0.15">
      <c r="A174" s="3">
        <v>40164</v>
      </c>
      <c r="B174" s="3">
        <v>1106.3599999999999</v>
      </c>
      <c r="C174" s="3">
        <v>1106.3599999999999</v>
      </c>
      <c r="D174" s="3">
        <v>1095.8800000000001</v>
      </c>
      <c r="E174" s="3">
        <v>1096.07</v>
      </c>
      <c r="F174" s="3">
        <v>361507040</v>
      </c>
    </row>
    <row r="175" spans="1:6" ht="13" x14ac:dyDescent="0.15">
      <c r="A175" s="3">
        <v>40165</v>
      </c>
      <c r="B175" s="3">
        <v>1097.8599999999999</v>
      </c>
      <c r="C175" s="3">
        <v>1103.74</v>
      </c>
      <c r="D175" s="3">
        <v>1093.8800000000001</v>
      </c>
      <c r="E175" s="3">
        <v>1102.47</v>
      </c>
      <c r="F175" s="3">
        <v>632588992</v>
      </c>
    </row>
    <row r="176" spans="1:6" ht="13" x14ac:dyDescent="0.15">
      <c r="A176" s="3">
        <v>40168</v>
      </c>
      <c r="B176" s="3">
        <v>1105.31</v>
      </c>
      <c r="C176" s="3">
        <v>1117.68</v>
      </c>
      <c r="D176" s="3">
        <v>1105.31</v>
      </c>
      <c r="E176" s="3">
        <v>1114.05</v>
      </c>
      <c r="F176" s="3">
        <v>397734016</v>
      </c>
    </row>
    <row r="177" spans="1:6" ht="13" x14ac:dyDescent="0.15">
      <c r="A177" s="3">
        <v>40169</v>
      </c>
      <c r="B177" s="3">
        <v>1114.51</v>
      </c>
      <c r="C177" s="3">
        <v>1120.27</v>
      </c>
      <c r="D177" s="3">
        <v>1114.51</v>
      </c>
      <c r="E177" s="3">
        <v>1118.02</v>
      </c>
      <c r="F177" s="3">
        <v>364112992</v>
      </c>
    </row>
    <row r="178" spans="1:6" ht="13" x14ac:dyDescent="0.15">
      <c r="A178" s="3">
        <v>40170</v>
      </c>
      <c r="B178" s="3">
        <v>1118.8399999999999</v>
      </c>
      <c r="C178" s="3">
        <v>1121.57</v>
      </c>
      <c r="D178" s="3">
        <v>1116</v>
      </c>
      <c r="E178" s="3">
        <v>1120.5899999999999</v>
      </c>
      <c r="F178" s="3">
        <v>316687008</v>
      </c>
    </row>
    <row r="179" spans="1:6" ht="13" x14ac:dyDescent="0.15">
      <c r="A179" s="3">
        <v>40171</v>
      </c>
      <c r="B179" s="3">
        <v>1121.07</v>
      </c>
      <c r="C179" s="3">
        <v>1126.48</v>
      </c>
      <c r="D179" s="3">
        <v>1121.07</v>
      </c>
      <c r="E179" s="3">
        <v>1126.48</v>
      </c>
      <c r="F179" s="3">
        <v>126771000</v>
      </c>
    </row>
    <row r="180" spans="1:6" ht="13" x14ac:dyDescent="0.15">
      <c r="A180" s="3">
        <v>40175</v>
      </c>
      <c r="B180" s="3">
        <v>1127.53</v>
      </c>
      <c r="C180" s="3">
        <v>1130.3800000000001</v>
      </c>
      <c r="D180" s="3">
        <v>1123.51</v>
      </c>
      <c r="E180" s="3">
        <v>1127.78</v>
      </c>
      <c r="F180" s="3">
        <v>271640000</v>
      </c>
    </row>
    <row r="181" spans="1:6" ht="13" x14ac:dyDescent="0.15">
      <c r="A181" s="3">
        <v>40176</v>
      </c>
      <c r="B181" s="3">
        <v>1128.55</v>
      </c>
      <c r="C181" s="3">
        <v>1130.3800000000001</v>
      </c>
      <c r="D181" s="3">
        <v>1126.07</v>
      </c>
      <c r="E181" s="3">
        <v>1126.19</v>
      </c>
      <c r="F181" s="3">
        <v>249102000</v>
      </c>
    </row>
    <row r="182" spans="1:6" ht="13" x14ac:dyDescent="0.15">
      <c r="A182" s="3">
        <v>40177</v>
      </c>
      <c r="B182" s="3">
        <v>1125.53</v>
      </c>
      <c r="C182" s="3">
        <v>1126.42</v>
      </c>
      <c r="D182" s="3">
        <v>1121.93</v>
      </c>
      <c r="E182" s="3">
        <v>1126.42</v>
      </c>
      <c r="F182" s="3">
        <v>227730000</v>
      </c>
    </row>
    <row r="183" spans="1:6" ht="13" x14ac:dyDescent="0.15">
      <c r="A183" s="3">
        <v>40178</v>
      </c>
      <c r="B183" s="3">
        <v>1126.5999999999999</v>
      </c>
      <c r="C183" s="3">
        <v>1127.6400000000001</v>
      </c>
      <c r="D183" s="3">
        <v>1114.81</v>
      </c>
      <c r="E183" s="3">
        <v>1115.0999999999999</v>
      </c>
      <c r="F183" s="3">
        <v>207699008</v>
      </c>
    </row>
    <row r="184" spans="1:6" ht="13" x14ac:dyDescent="0.15">
      <c r="A184" s="3">
        <v>40182</v>
      </c>
      <c r="B184" s="3">
        <v>1116.56</v>
      </c>
      <c r="C184" s="3">
        <v>1133.8699999999999</v>
      </c>
      <c r="D184" s="3">
        <v>1116.56</v>
      </c>
      <c r="E184" s="3">
        <v>1132.99</v>
      </c>
      <c r="F184" s="3">
        <v>399140000</v>
      </c>
    </row>
    <row r="185" spans="1:6" ht="13" x14ac:dyDescent="0.15">
      <c r="A185" s="3">
        <v>40183</v>
      </c>
      <c r="B185" s="3">
        <v>1132.6600000000001</v>
      </c>
      <c r="C185" s="3">
        <v>1136.6300000000001</v>
      </c>
      <c r="D185" s="3">
        <v>1129.6600000000001</v>
      </c>
      <c r="E185" s="3">
        <v>1136.52</v>
      </c>
      <c r="F185" s="3">
        <v>249102000</v>
      </c>
    </row>
    <row r="186" spans="1:6" ht="13" x14ac:dyDescent="0.15">
      <c r="A186" s="3">
        <v>40184</v>
      </c>
      <c r="B186" s="3">
        <v>1135.71</v>
      </c>
      <c r="C186" s="3">
        <v>1139.18</v>
      </c>
      <c r="D186" s="3">
        <v>1133.94</v>
      </c>
      <c r="E186" s="3">
        <v>1137.1400000000001</v>
      </c>
      <c r="F186" s="3">
        <v>497265984</v>
      </c>
    </row>
    <row r="187" spans="1:6" ht="13" x14ac:dyDescent="0.15">
      <c r="A187" s="3">
        <v>40185</v>
      </c>
      <c r="B187" s="3">
        <v>1136.27</v>
      </c>
      <c r="C187" s="3">
        <v>1142.46</v>
      </c>
      <c r="D187" s="3">
        <v>1131.31</v>
      </c>
      <c r="E187" s="3">
        <v>1141.68</v>
      </c>
      <c r="F187" s="3">
        <v>527068000</v>
      </c>
    </row>
    <row r="188" spans="1:6" ht="13" x14ac:dyDescent="0.15">
      <c r="A188" s="3">
        <v>40186</v>
      </c>
      <c r="B188" s="3">
        <v>1140.52</v>
      </c>
      <c r="C188" s="3">
        <v>1145.3900000000001</v>
      </c>
      <c r="D188" s="3">
        <v>1136.22</v>
      </c>
      <c r="E188" s="3">
        <v>1144.98</v>
      </c>
      <c r="F188" s="3">
        <v>438959008</v>
      </c>
    </row>
    <row r="189" spans="1:6" ht="13" x14ac:dyDescent="0.15">
      <c r="A189" s="3">
        <v>40189</v>
      </c>
      <c r="B189" s="3">
        <v>1145.96</v>
      </c>
      <c r="C189" s="3">
        <v>1149.74</v>
      </c>
      <c r="D189" s="3">
        <v>1047.28</v>
      </c>
      <c r="E189" s="3">
        <v>1146.98</v>
      </c>
      <c r="F189" s="3">
        <v>425577984</v>
      </c>
    </row>
    <row r="190" spans="1:6" ht="13" x14ac:dyDescent="0.15">
      <c r="A190" s="3">
        <v>40190</v>
      </c>
      <c r="B190" s="3">
        <v>1143.81</v>
      </c>
      <c r="C190" s="3">
        <v>1143.81</v>
      </c>
      <c r="D190" s="3">
        <v>1131.77</v>
      </c>
      <c r="E190" s="3">
        <v>1136.22</v>
      </c>
      <c r="F190" s="3">
        <v>471616000</v>
      </c>
    </row>
    <row r="191" spans="1:6" ht="13" x14ac:dyDescent="0.15">
      <c r="A191" s="3">
        <v>40191</v>
      </c>
      <c r="B191" s="3">
        <v>1137.31</v>
      </c>
      <c r="C191" s="3">
        <v>1148.4000000000001</v>
      </c>
      <c r="D191" s="3">
        <v>1133.18</v>
      </c>
      <c r="E191" s="3">
        <v>1145.68</v>
      </c>
      <c r="F191" s="3">
        <v>417036000</v>
      </c>
    </row>
    <row r="192" spans="1:6" ht="13" x14ac:dyDescent="0.15">
      <c r="A192" s="3">
        <v>40192</v>
      </c>
      <c r="B192" s="3">
        <v>1145.68</v>
      </c>
      <c r="C192" s="3">
        <v>1150.4100000000001</v>
      </c>
      <c r="D192" s="3">
        <v>1143.8</v>
      </c>
      <c r="E192" s="3">
        <v>1148.46</v>
      </c>
      <c r="F192" s="3">
        <v>391520000</v>
      </c>
    </row>
    <row r="193" spans="1:6" ht="13" x14ac:dyDescent="0.15">
      <c r="A193" s="3">
        <v>40193</v>
      </c>
      <c r="B193" s="3">
        <v>1147.72</v>
      </c>
      <c r="C193" s="3">
        <v>1147.77</v>
      </c>
      <c r="D193" s="3">
        <v>1131.3900000000001</v>
      </c>
      <c r="E193" s="3">
        <v>1136.03</v>
      </c>
      <c r="F193" s="3">
        <v>475872992</v>
      </c>
    </row>
    <row r="194" spans="1:6" ht="13" x14ac:dyDescent="0.15">
      <c r="A194" s="3">
        <v>40197</v>
      </c>
      <c r="B194" s="3">
        <v>1136.03</v>
      </c>
      <c r="C194" s="3">
        <v>1150.44</v>
      </c>
      <c r="D194" s="3">
        <v>1135.77</v>
      </c>
      <c r="E194" s="3">
        <v>1150.23</v>
      </c>
      <c r="F194" s="3">
        <v>472483008</v>
      </c>
    </row>
    <row r="195" spans="1:6" ht="13" x14ac:dyDescent="0.15">
      <c r="A195" s="3">
        <v>40198</v>
      </c>
      <c r="B195" s="3">
        <v>1147.94</v>
      </c>
      <c r="C195" s="3">
        <v>1147.94</v>
      </c>
      <c r="D195" s="3">
        <v>1129.25</v>
      </c>
      <c r="E195" s="3">
        <v>1138.04</v>
      </c>
      <c r="F195" s="3">
        <v>481056000</v>
      </c>
    </row>
    <row r="196" spans="1:6" ht="13" x14ac:dyDescent="0.15">
      <c r="A196" s="3">
        <v>40199</v>
      </c>
      <c r="B196" s="3">
        <v>1138.68</v>
      </c>
      <c r="C196" s="3">
        <v>1141.57</v>
      </c>
      <c r="D196" s="3">
        <v>1114.8399999999999</v>
      </c>
      <c r="E196" s="3">
        <v>1116.48</v>
      </c>
      <c r="F196" s="3">
        <v>687428992</v>
      </c>
    </row>
    <row r="197" spans="1:6" ht="13" x14ac:dyDescent="0.15">
      <c r="A197" s="3">
        <v>40200</v>
      </c>
      <c r="B197" s="3">
        <v>1115.49</v>
      </c>
      <c r="C197" s="3">
        <v>1115.49</v>
      </c>
      <c r="D197" s="3">
        <v>1090.18</v>
      </c>
      <c r="E197" s="3">
        <v>1091.76</v>
      </c>
      <c r="F197" s="3">
        <v>620865024</v>
      </c>
    </row>
    <row r="198" spans="1:6" ht="13" x14ac:dyDescent="0.15">
      <c r="A198" s="3">
        <v>40203</v>
      </c>
      <c r="B198" s="3">
        <v>1092.4000000000001</v>
      </c>
      <c r="C198" s="3">
        <v>1102.97</v>
      </c>
      <c r="D198" s="3">
        <v>1092.4000000000001</v>
      </c>
      <c r="E198" s="3">
        <v>1096.78</v>
      </c>
      <c r="F198" s="3">
        <v>448139008</v>
      </c>
    </row>
    <row r="199" spans="1:6" ht="13" x14ac:dyDescent="0.15">
      <c r="A199" s="3">
        <v>40204</v>
      </c>
      <c r="B199" s="3">
        <v>1095.8</v>
      </c>
      <c r="C199" s="3">
        <v>1103.68</v>
      </c>
      <c r="D199" s="3">
        <v>1089.8599999999999</v>
      </c>
      <c r="E199" s="3">
        <v>1092.17</v>
      </c>
      <c r="F199" s="3">
        <v>473191008</v>
      </c>
    </row>
    <row r="200" spans="1:6" ht="13" x14ac:dyDescent="0.15">
      <c r="A200" s="3">
        <v>40205</v>
      </c>
      <c r="B200" s="3">
        <v>1091.93</v>
      </c>
      <c r="C200" s="3">
        <v>1099.51</v>
      </c>
      <c r="D200" s="3">
        <v>1083.1099999999999</v>
      </c>
      <c r="E200" s="3">
        <v>1097.5</v>
      </c>
      <c r="F200" s="3">
        <v>531912000</v>
      </c>
    </row>
    <row r="201" spans="1:6" ht="13" x14ac:dyDescent="0.15">
      <c r="A201" s="3">
        <v>40206</v>
      </c>
      <c r="B201" s="3">
        <v>1096.93</v>
      </c>
      <c r="C201" s="3">
        <v>1100.22</v>
      </c>
      <c r="D201" s="3">
        <v>1078.46</v>
      </c>
      <c r="E201" s="3">
        <v>1084.53</v>
      </c>
      <c r="F201" s="3">
        <v>545240000</v>
      </c>
    </row>
    <row r="202" spans="1:6" ht="13" x14ac:dyDescent="0.15">
      <c r="A202" s="3">
        <v>40207</v>
      </c>
      <c r="B202" s="3">
        <v>1087.6099999999999</v>
      </c>
      <c r="C202" s="3">
        <v>1096.44</v>
      </c>
      <c r="D202" s="3">
        <v>1071.5899999999999</v>
      </c>
      <c r="E202" s="3">
        <v>1073.8699999999999</v>
      </c>
      <c r="F202" s="3">
        <v>541284992</v>
      </c>
    </row>
    <row r="203" spans="1:6" ht="13" x14ac:dyDescent="0.15">
      <c r="A203" s="3">
        <v>40210</v>
      </c>
      <c r="B203" s="3">
        <v>1073.8900000000001</v>
      </c>
      <c r="C203" s="3">
        <v>1089.3800000000001</v>
      </c>
      <c r="D203" s="3">
        <v>1073.8900000000001</v>
      </c>
      <c r="E203" s="3">
        <v>1089.18</v>
      </c>
      <c r="F203" s="3">
        <v>407760992</v>
      </c>
    </row>
    <row r="204" spans="1:6" ht="13" x14ac:dyDescent="0.15">
      <c r="A204" s="3">
        <v>40211</v>
      </c>
      <c r="B204" s="3">
        <v>1090.05</v>
      </c>
      <c r="C204" s="3">
        <v>1104.73</v>
      </c>
      <c r="D204" s="3">
        <v>1087.96</v>
      </c>
      <c r="E204" s="3">
        <v>1103.31</v>
      </c>
      <c r="F204" s="3">
        <v>474953984</v>
      </c>
    </row>
    <row r="205" spans="1:6" ht="13" x14ac:dyDescent="0.15">
      <c r="A205" s="3">
        <v>40212</v>
      </c>
      <c r="B205" s="3">
        <v>1100.67</v>
      </c>
      <c r="C205" s="3">
        <v>1102.72</v>
      </c>
      <c r="D205" s="3">
        <v>1093.97</v>
      </c>
      <c r="E205" s="3">
        <v>1097.28</v>
      </c>
      <c r="F205" s="3">
        <v>428544992</v>
      </c>
    </row>
    <row r="206" spans="1:6" ht="13" x14ac:dyDescent="0.15">
      <c r="A206" s="3">
        <v>40213</v>
      </c>
      <c r="B206" s="3">
        <v>1097.25</v>
      </c>
      <c r="C206" s="3">
        <v>1097.25</v>
      </c>
      <c r="D206" s="3">
        <v>1062.78</v>
      </c>
      <c r="E206" s="3">
        <v>1063.1099999999999</v>
      </c>
      <c r="F206" s="3">
        <v>585969024</v>
      </c>
    </row>
    <row r="207" spans="1:6" ht="13" x14ac:dyDescent="0.15">
      <c r="A207" s="3">
        <v>40214</v>
      </c>
      <c r="B207" s="3">
        <v>1064.1199999999999</v>
      </c>
      <c r="C207" s="3">
        <v>1067.1300000000001</v>
      </c>
      <c r="D207" s="3">
        <v>1044.5</v>
      </c>
      <c r="E207" s="3">
        <v>1066.18</v>
      </c>
      <c r="F207" s="3">
        <v>643889984</v>
      </c>
    </row>
    <row r="208" spans="1:6" ht="13" x14ac:dyDescent="0.15">
      <c r="A208" s="3">
        <v>40217</v>
      </c>
      <c r="B208" s="3">
        <v>1065.51</v>
      </c>
      <c r="C208" s="3">
        <v>1071.19</v>
      </c>
      <c r="D208" s="3">
        <v>1056.51</v>
      </c>
      <c r="E208" s="3">
        <v>1056.74</v>
      </c>
      <c r="F208" s="3">
        <v>408982016</v>
      </c>
    </row>
    <row r="209" spans="1:6" ht="13" x14ac:dyDescent="0.15">
      <c r="A209" s="3">
        <v>40218</v>
      </c>
      <c r="B209" s="3">
        <v>1060.06</v>
      </c>
      <c r="C209" s="3">
        <v>1079.28</v>
      </c>
      <c r="D209" s="3">
        <v>1060.06</v>
      </c>
      <c r="E209" s="3">
        <v>1070.52</v>
      </c>
      <c r="F209" s="3">
        <v>511425984</v>
      </c>
    </row>
    <row r="210" spans="1:6" ht="13" x14ac:dyDescent="0.15">
      <c r="A210" s="3">
        <v>40219</v>
      </c>
      <c r="B210" s="3">
        <v>1069.68</v>
      </c>
      <c r="C210" s="3">
        <v>1073.67</v>
      </c>
      <c r="D210" s="3">
        <v>1059.3399999999999</v>
      </c>
      <c r="E210" s="3">
        <v>1068.1300000000001</v>
      </c>
      <c r="F210" s="3">
        <v>425144992</v>
      </c>
    </row>
    <row r="211" spans="1:6" ht="13" x14ac:dyDescent="0.15">
      <c r="A211" s="3">
        <v>40220</v>
      </c>
      <c r="B211" s="3">
        <v>1067.0999999999999</v>
      </c>
      <c r="C211" s="3">
        <v>1080.04</v>
      </c>
      <c r="D211" s="3">
        <v>1060.5899999999999</v>
      </c>
      <c r="E211" s="3">
        <v>1078.47</v>
      </c>
      <c r="F211" s="3">
        <v>440087008</v>
      </c>
    </row>
    <row r="212" spans="1:6" ht="13" x14ac:dyDescent="0.15">
      <c r="A212" s="3">
        <v>40221</v>
      </c>
      <c r="B212" s="3">
        <v>1075.94</v>
      </c>
      <c r="C212" s="3">
        <v>1077.81</v>
      </c>
      <c r="D212" s="3">
        <v>1062.97</v>
      </c>
      <c r="E212" s="3">
        <v>1075.51</v>
      </c>
      <c r="F212" s="3">
        <v>416068000</v>
      </c>
    </row>
    <row r="213" spans="1:6" ht="13" x14ac:dyDescent="0.15">
      <c r="A213" s="3">
        <v>40225</v>
      </c>
      <c r="B213" s="3">
        <v>1079.1300000000001</v>
      </c>
      <c r="C213" s="3">
        <v>1095.67</v>
      </c>
      <c r="D213" s="3">
        <v>1079.1300000000001</v>
      </c>
      <c r="E213" s="3">
        <v>1094.8699999999999</v>
      </c>
      <c r="F213" s="3">
        <v>408076992</v>
      </c>
    </row>
    <row r="214" spans="1:6" ht="13" x14ac:dyDescent="0.15">
      <c r="A214" s="3">
        <v>40226</v>
      </c>
      <c r="B214" s="3">
        <v>1096.1400000000001</v>
      </c>
      <c r="C214" s="3">
        <v>1101.03</v>
      </c>
      <c r="D214" s="3">
        <v>1094.72</v>
      </c>
      <c r="E214" s="3">
        <v>1099.51</v>
      </c>
      <c r="F214" s="3">
        <v>425923008</v>
      </c>
    </row>
    <row r="215" spans="1:6" ht="13" x14ac:dyDescent="0.15">
      <c r="A215" s="3">
        <v>40227</v>
      </c>
      <c r="B215" s="3">
        <v>1099.03</v>
      </c>
      <c r="C215" s="3">
        <v>1108.24</v>
      </c>
      <c r="D215" s="3">
        <v>1097.48</v>
      </c>
      <c r="E215" s="3">
        <v>1106.75</v>
      </c>
      <c r="F215" s="3">
        <v>387862016</v>
      </c>
    </row>
    <row r="216" spans="1:6" ht="13" x14ac:dyDescent="0.15">
      <c r="A216" s="3">
        <v>40228</v>
      </c>
      <c r="B216" s="3">
        <v>1105.49</v>
      </c>
      <c r="C216" s="3">
        <v>1112.42</v>
      </c>
      <c r="D216" s="3">
        <v>1100.8</v>
      </c>
      <c r="E216" s="3">
        <v>1109.17</v>
      </c>
      <c r="F216" s="3">
        <v>394428000</v>
      </c>
    </row>
    <row r="217" spans="1:6" ht="13" x14ac:dyDescent="0.15">
      <c r="A217" s="3">
        <v>40231</v>
      </c>
      <c r="B217" s="3">
        <v>1110</v>
      </c>
      <c r="C217" s="3">
        <v>1112.29</v>
      </c>
      <c r="D217" s="3">
        <v>1105.3800000000001</v>
      </c>
      <c r="E217" s="3">
        <v>1108.01</v>
      </c>
      <c r="F217" s="3">
        <v>381444000</v>
      </c>
    </row>
    <row r="218" spans="1:6" ht="13" x14ac:dyDescent="0.15">
      <c r="A218" s="3">
        <v>40232</v>
      </c>
      <c r="B218" s="3">
        <v>1107.49</v>
      </c>
      <c r="C218" s="3">
        <v>1108.57</v>
      </c>
      <c r="D218" s="3">
        <v>1092.18</v>
      </c>
      <c r="E218" s="3">
        <v>1094.5999999999999</v>
      </c>
      <c r="F218" s="3">
        <v>452104992</v>
      </c>
    </row>
    <row r="219" spans="1:6" ht="13" x14ac:dyDescent="0.15">
      <c r="A219" s="3">
        <v>40233</v>
      </c>
      <c r="B219" s="3">
        <v>1095.8900000000001</v>
      </c>
      <c r="C219" s="3">
        <v>1106.42</v>
      </c>
      <c r="D219" s="3">
        <v>1095.5</v>
      </c>
      <c r="E219" s="3">
        <v>1105.24</v>
      </c>
      <c r="F219" s="3">
        <v>416836000</v>
      </c>
    </row>
    <row r="220" spans="1:6" ht="13" x14ac:dyDescent="0.15">
      <c r="A220" s="3">
        <v>40234</v>
      </c>
      <c r="B220" s="3">
        <v>1101.24</v>
      </c>
      <c r="C220" s="3">
        <v>1103.5</v>
      </c>
      <c r="D220" s="3">
        <v>1086.02</v>
      </c>
      <c r="E220" s="3">
        <v>1102.93</v>
      </c>
      <c r="F220" s="3">
        <v>452112992</v>
      </c>
    </row>
    <row r="221" spans="1:6" ht="13" x14ac:dyDescent="0.15">
      <c r="A221" s="3">
        <v>40235</v>
      </c>
      <c r="B221" s="3">
        <v>1103.0999999999999</v>
      </c>
      <c r="C221" s="3">
        <v>1107.24</v>
      </c>
      <c r="D221" s="3">
        <v>1097.56</v>
      </c>
      <c r="E221" s="3">
        <v>1104.49</v>
      </c>
      <c r="F221" s="3">
        <v>394519008</v>
      </c>
    </row>
    <row r="222" spans="1:6" ht="13" x14ac:dyDescent="0.15">
      <c r="A222" s="3">
        <v>40238</v>
      </c>
      <c r="B222" s="3">
        <v>1105.3599999999999</v>
      </c>
      <c r="C222" s="3">
        <v>1116.1099999999999</v>
      </c>
      <c r="D222" s="3">
        <v>1105.3599999999999</v>
      </c>
      <c r="E222" s="3">
        <v>1115.71</v>
      </c>
      <c r="F222" s="3">
        <v>384764000</v>
      </c>
    </row>
    <row r="223" spans="1:6" ht="13" x14ac:dyDescent="0.15">
      <c r="A223" s="3">
        <v>40239</v>
      </c>
      <c r="B223" s="3">
        <v>1117.01</v>
      </c>
      <c r="C223" s="3">
        <v>1123.46</v>
      </c>
      <c r="D223" s="3">
        <v>1116.51</v>
      </c>
      <c r="E223" s="3">
        <v>1118.31</v>
      </c>
      <c r="F223" s="3">
        <v>413468000</v>
      </c>
    </row>
    <row r="224" spans="1:6" ht="13" x14ac:dyDescent="0.15">
      <c r="A224" s="3">
        <v>40240</v>
      </c>
      <c r="B224" s="3">
        <v>1119.3599999999999</v>
      </c>
      <c r="C224" s="3">
        <v>1125.6400000000001</v>
      </c>
      <c r="D224" s="3">
        <v>1116.57</v>
      </c>
      <c r="E224" s="3">
        <v>1118.79</v>
      </c>
      <c r="F224" s="3">
        <v>395132000</v>
      </c>
    </row>
    <row r="225" spans="1:6" ht="13" x14ac:dyDescent="0.15">
      <c r="A225" s="3">
        <v>40241</v>
      </c>
      <c r="B225" s="3">
        <v>1119.1199999999999</v>
      </c>
      <c r="C225" s="3">
        <v>1123.73</v>
      </c>
      <c r="D225" s="3">
        <v>1116.6600000000001</v>
      </c>
      <c r="E225" s="3">
        <v>1122.97</v>
      </c>
      <c r="F225" s="3">
        <v>394500992</v>
      </c>
    </row>
    <row r="226" spans="1:6" ht="13" x14ac:dyDescent="0.15">
      <c r="A226" s="3">
        <v>40242</v>
      </c>
      <c r="B226" s="3">
        <v>1125.1199999999999</v>
      </c>
      <c r="C226" s="3">
        <v>1139.3800000000001</v>
      </c>
      <c r="D226" s="3">
        <v>1125.1199999999999</v>
      </c>
      <c r="E226" s="3">
        <v>1138.69</v>
      </c>
      <c r="F226" s="3">
        <v>413300000</v>
      </c>
    </row>
    <row r="227" spans="1:6" ht="13" x14ac:dyDescent="0.15">
      <c r="A227" s="3">
        <v>40245</v>
      </c>
      <c r="B227" s="3">
        <v>1138.4000000000001</v>
      </c>
      <c r="C227" s="3">
        <v>1141.05</v>
      </c>
      <c r="D227" s="3">
        <v>1136.77</v>
      </c>
      <c r="E227" s="3">
        <v>1138.5</v>
      </c>
      <c r="F227" s="3">
        <v>377468000</v>
      </c>
    </row>
    <row r="228" spans="1:6" ht="13" x14ac:dyDescent="0.15">
      <c r="A228" s="3">
        <v>40246</v>
      </c>
      <c r="B228" s="3">
        <v>1137.56</v>
      </c>
      <c r="C228" s="3">
        <v>1145.3699999999999</v>
      </c>
      <c r="D228" s="3">
        <v>1134.9000000000001</v>
      </c>
      <c r="E228" s="3">
        <v>1140.44</v>
      </c>
      <c r="F228" s="3">
        <v>518556992</v>
      </c>
    </row>
    <row r="229" spans="1:6" ht="13" x14ac:dyDescent="0.15">
      <c r="A229" s="3">
        <v>40247</v>
      </c>
      <c r="B229" s="3">
        <v>1140.22</v>
      </c>
      <c r="C229" s="3">
        <v>1148.26</v>
      </c>
      <c r="D229" s="3">
        <v>1140.0899999999999</v>
      </c>
      <c r="E229" s="3">
        <v>1145.6099999999999</v>
      </c>
      <c r="F229" s="3">
        <v>546912000</v>
      </c>
    </row>
    <row r="230" spans="1:6" ht="13" x14ac:dyDescent="0.15">
      <c r="A230" s="3">
        <v>40248</v>
      </c>
      <c r="B230" s="3">
        <v>1143.96</v>
      </c>
      <c r="C230" s="3">
        <v>1150.24</v>
      </c>
      <c r="D230" s="3">
        <v>1138.99</v>
      </c>
      <c r="E230" s="3">
        <v>1150.24</v>
      </c>
      <c r="F230" s="3">
        <v>466905984</v>
      </c>
    </row>
    <row r="231" spans="1:6" ht="13" x14ac:dyDescent="0.15">
      <c r="A231" s="3">
        <v>40249</v>
      </c>
      <c r="B231" s="3">
        <v>1151.71</v>
      </c>
      <c r="C231" s="3">
        <v>1153.4100000000001</v>
      </c>
      <c r="D231" s="3">
        <v>1146.97</v>
      </c>
      <c r="E231" s="3">
        <v>1149.99</v>
      </c>
      <c r="F231" s="3">
        <v>492816000</v>
      </c>
    </row>
    <row r="232" spans="1:6" ht="13" x14ac:dyDescent="0.15">
      <c r="A232" s="3">
        <v>40252</v>
      </c>
      <c r="B232" s="3">
        <v>1148.53</v>
      </c>
      <c r="C232" s="3">
        <v>1150.98</v>
      </c>
      <c r="D232" s="3">
        <v>1141.44</v>
      </c>
      <c r="E232" s="3">
        <v>1150.51</v>
      </c>
      <c r="F232" s="3">
        <v>416411008</v>
      </c>
    </row>
    <row r="233" spans="1:6" ht="13" x14ac:dyDescent="0.15">
      <c r="A233" s="3">
        <v>40253</v>
      </c>
      <c r="B233" s="3">
        <v>1150.83</v>
      </c>
      <c r="C233" s="3">
        <v>1160.28</v>
      </c>
      <c r="D233" s="3">
        <v>1150.3499999999999</v>
      </c>
      <c r="E233" s="3">
        <v>1159.46</v>
      </c>
      <c r="F233" s="3">
        <v>436976992</v>
      </c>
    </row>
    <row r="234" spans="1:6" ht="13" x14ac:dyDescent="0.15">
      <c r="A234" s="3">
        <v>40254</v>
      </c>
      <c r="B234" s="3">
        <v>1159.46</v>
      </c>
      <c r="C234" s="3">
        <v>1169.8399999999999</v>
      </c>
      <c r="D234" s="3">
        <v>1159.46</v>
      </c>
      <c r="E234" s="3">
        <v>1166.21</v>
      </c>
      <c r="F234" s="3">
        <v>496320000</v>
      </c>
    </row>
    <row r="235" spans="1:6" ht="13" x14ac:dyDescent="0.15">
      <c r="A235" s="3">
        <v>40255</v>
      </c>
      <c r="B235" s="3">
        <v>1166.1300000000001</v>
      </c>
      <c r="C235" s="3">
        <v>1167.77</v>
      </c>
      <c r="D235" s="3">
        <v>1161.1600000000001</v>
      </c>
      <c r="E235" s="3">
        <v>1165.82</v>
      </c>
      <c r="F235" s="3">
        <v>423451008</v>
      </c>
    </row>
    <row r="236" spans="1:6" ht="13" x14ac:dyDescent="0.15">
      <c r="A236" s="3">
        <v>40256</v>
      </c>
      <c r="B236" s="3">
        <v>1166.68</v>
      </c>
      <c r="C236" s="3">
        <v>1169.19</v>
      </c>
      <c r="D236" s="3">
        <v>1155.32</v>
      </c>
      <c r="E236" s="3">
        <v>1159.9000000000001</v>
      </c>
      <c r="F236" s="3">
        <v>521240992</v>
      </c>
    </row>
    <row r="237" spans="1:6" ht="13" x14ac:dyDescent="0.15">
      <c r="A237" s="3">
        <v>40259</v>
      </c>
      <c r="B237" s="3">
        <v>1157.25</v>
      </c>
      <c r="C237" s="3">
        <v>1167.81</v>
      </c>
      <c r="D237" s="3">
        <v>1152.8800000000001</v>
      </c>
      <c r="E237" s="3">
        <v>1165.81</v>
      </c>
      <c r="F237" s="3">
        <v>426168000</v>
      </c>
    </row>
    <row r="238" spans="1:6" ht="13" x14ac:dyDescent="0.15">
      <c r="A238" s="3">
        <v>40260</v>
      </c>
      <c r="B238" s="3">
        <v>1166.47</v>
      </c>
      <c r="C238" s="3">
        <v>1174.72</v>
      </c>
      <c r="D238" s="3">
        <v>1163.82</v>
      </c>
      <c r="E238" s="3">
        <v>1174.17</v>
      </c>
      <c r="F238" s="3">
        <v>441164000</v>
      </c>
    </row>
    <row r="239" spans="1:6" ht="13" x14ac:dyDescent="0.15">
      <c r="A239" s="3">
        <v>40261</v>
      </c>
      <c r="B239" s="3">
        <v>1172.69</v>
      </c>
      <c r="C239" s="3">
        <v>1173.04</v>
      </c>
      <c r="D239" s="3">
        <v>1166.01</v>
      </c>
      <c r="E239" s="3">
        <v>1167.72</v>
      </c>
      <c r="F239" s="3">
        <v>470575008</v>
      </c>
    </row>
    <row r="240" spans="1:6" ht="13" x14ac:dyDescent="0.15">
      <c r="A240" s="3">
        <v>40262</v>
      </c>
      <c r="B240" s="3">
        <v>1170.03</v>
      </c>
      <c r="C240" s="3">
        <v>1180.68</v>
      </c>
      <c r="D240" s="3">
        <v>1165.0899999999999</v>
      </c>
      <c r="E240" s="3">
        <v>1165.73</v>
      </c>
      <c r="F240" s="3">
        <v>566889984</v>
      </c>
    </row>
    <row r="241" spans="1:6" ht="13" x14ac:dyDescent="0.15">
      <c r="A241" s="3">
        <v>40263</v>
      </c>
      <c r="B241" s="3">
        <v>1167.57</v>
      </c>
      <c r="C241" s="3">
        <v>1173.93</v>
      </c>
      <c r="D241" s="3">
        <v>1161.48</v>
      </c>
      <c r="E241" s="3">
        <v>1166.5899999999999</v>
      </c>
      <c r="F241" s="3">
        <v>470841984</v>
      </c>
    </row>
    <row r="242" spans="1:6" ht="13" x14ac:dyDescent="0.15">
      <c r="A242" s="3">
        <v>40266</v>
      </c>
      <c r="B242" s="3">
        <v>1167.71</v>
      </c>
      <c r="C242" s="3">
        <v>1174.8499999999999</v>
      </c>
      <c r="D242" s="3">
        <v>1167.71</v>
      </c>
      <c r="E242" s="3">
        <v>1173.22</v>
      </c>
      <c r="F242" s="3">
        <v>437558016</v>
      </c>
    </row>
    <row r="243" spans="1:6" ht="13" x14ac:dyDescent="0.15">
      <c r="A243" s="3">
        <v>40267</v>
      </c>
      <c r="B243" s="3">
        <v>1173.75</v>
      </c>
      <c r="C243" s="3">
        <v>1177.82</v>
      </c>
      <c r="D243" s="3">
        <v>1168.92</v>
      </c>
      <c r="E243" s="3">
        <v>1173.27</v>
      </c>
      <c r="F243" s="3">
        <v>408500000</v>
      </c>
    </row>
    <row r="244" spans="1:6" ht="13" x14ac:dyDescent="0.15">
      <c r="A244" s="3">
        <v>40268</v>
      </c>
      <c r="B244" s="3">
        <v>1171.75</v>
      </c>
      <c r="C244" s="3">
        <v>1174.56</v>
      </c>
      <c r="D244" s="3">
        <v>1165.77</v>
      </c>
      <c r="E244" s="3">
        <v>1169.43</v>
      </c>
      <c r="F244" s="3">
        <v>448433984</v>
      </c>
    </row>
    <row r="245" spans="1:6" ht="13" x14ac:dyDescent="0.15">
      <c r="A245" s="3">
        <v>40269</v>
      </c>
      <c r="B245" s="3">
        <v>1171.23</v>
      </c>
      <c r="C245" s="3">
        <v>1181.43</v>
      </c>
      <c r="D245" s="3">
        <v>1170.68</v>
      </c>
      <c r="E245" s="3">
        <v>1178.0999999999999</v>
      </c>
      <c r="F245" s="3">
        <v>400687008</v>
      </c>
    </row>
    <row r="246" spans="1:6" ht="13" x14ac:dyDescent="0.15">
      <c r="A246" s="3">
        <v>40273</v>
      </c>
      <c r="B246" s="3">
        <v>1178.71</v>
      </c>
      <c r="C246" s="3">
        <v>1187.73</v>
      </c>
      <c r="D246" s="3">
        <v>1178.71</v>
      </c>
      <c r="E246" s="3">
        <v>1187.43</v>
      </c>
      <c r="F246" s="3">
        <v>388161984</v>
      </c>
    </row>
    <row r="247" spans="1:6" ht="13" x14ac:dyDescent="0.15">
      <c r="A247" s="3">
        <v>40274</v>
      </c>
      <c r="B247" s="3">
        <v>1186.01</v>
      </c>
      <c r="C247" s="3">
        <v>1191.8</v>
      </c>
      <c r="D247" s="3">
        <v>1182.77</v>
      </c>
      <c r="E247" s="3">
        <v>1189.43</v>
      </c>
      <c r="F247" s="3">
        <v>408617984</v>
      </c>
    </row>
    <row r="248" spans="1:6" ht="13" x14ac:dyDescent="0.15">
      <c r="A248" s="3">
        <v>40275</v>
      </c>
      <c r="B248" s="3">
        <v>1188.23</v>
      </c>
      <c r="C248" s="3">
        <v>1189.5999999999999</v>
      </c>
      <c r="D248" s="3">
        <v>1177.25</v>
      </c>
      <c r="E248" s="3">
        <v>1182.44</v>
      </c>
      <c r="F248" s="3">
        <v>510143008</v>
      </c>
    </row>
    <row r="249" spans="1:6" ht="13" x14ac:dyDescent="0.15">
      <c r="A249" s="3">
        <v>40276</v>
      </c>
      <c r="B249" s="3">
        <v>1181.75</v>
      </c>
      <c r="C249" s="3">
        <v>1188.55</v>
      </c>
      <c r="D249" s="3">
        <v>1175.1199999999999</v>
      </c>
      <c r="E249" s="3">
        <v>1186.43</v>
      </c>
      <c r="F249" s="3">
        <v>472696992</v>
      </c>
    </row>
    <row r="250" spans="1:6" ht="13" x14ac:dyDescent="0.15">
      <c r="A250" s="3">
        <v>40277</v>
      </c>
      <c r="B250" s="3">
        <v>1187.47</v>
      </c>
      <c r="C250" s="3">
        <v>1194.6600000000001</v>
      </c>
      <c r="D250" s="3">
        <v>1187.1500000000001</v>
      </c>
      <c r="E250" s="3">
        <v>1194.3699999999999</v>
      </c>
      <c r="F250" s="3">
        <v>451156992</v>
      </c>
    </row>
    <row r="251" spans="1:6" ht="13" x14ac:dyDescent="0.15">
      <c r="A251" s="3">
        <v>40280</v>
      </c>
      <c r="B251" s="3">
        <v>1194.93</v>
      </c>
      <c r="C251" s="3">
        <v>1199.19</v>
      </c>
      <c r="D251" s="3">
        <v>1194.71</v>
      </c>
      <c r="E251" s="3">
        <v>1196.48</v>
      </c>
      <c r="F251" s="3">
        <v>460708992</v>
      </c>
    </row>
    <row r="252" spans="1:6" ht="13" x14ac:dyDescent="0.15">
      <c r="A252" s="3">
        <v>40281</v>
      </c>
      <c r="B252" s="3">
        <v>1195.93</v>
      </c>
      <c r="C252" s="3">
        <v>1199.04</v>
      </c>
      <c r="D252" s="3">
        <v>1188.81</v>
      </c>
      <c r="E252" s="3">
        <v>1197.3</v>
      </c>
      <c r="F252" s="3">
        <v>540358016</v>
      </c>
    </row>
    <row r="253" spans="1:6" ht="13" x14ac:dyDescent="0.15">
      <c r="A253" s="3">
        <v>40282</v>
      </c>
      <c r="B253" s="3">
        <v>1198.68</v>
      </c>
      <c r="C253" s="3">
        <v>1210.6500000000001</v>
      </c>
      <c r="D253" s="3">
        <v>1198.68</v>
      </c>
      <c r="E253" s="3">
        <v>1210.6500000000001</v>
      </c>
      <c r="F253" s="3">
        <v>576003968</v>
      </c>
    </row>
    <row r="254" spans="1:6" ht="13" x14ac:dyDescent="0.15">
      <c r="A254" s="3">
        <v>40283</v>
      </c>
      <c r="B254" s="3">
        <v>1210.77</v>
      </c>
      <c r="C254" s="3">
        <v>1213.92</v>
      </c>
      <c r="D254" s="3">
        <v>1208.5</v>
      </c>
      <c r="E254" s="3">
        <v>1211.67</v>
      </c>
      <c r="F254" s="3">
        <v>599532992</v>
      </c>
    </row>
    <row r="255" spans="1:6" ht="13" x14ac:dyDescent="0.15">
      <c r="A255" s="3">
        <v>40284</v>
      </c>
      <c r="B255" s="3">
        <v>1210.17</v>
      </c>
      <c r="C255" s="3">
        <v>1210.17</v>
      </c>
      <c r="D255" s="3">
        <v>1186.77</v>
      </c>
      <c r="E255" s="3">
        <v>1192.1300000000001</v>
      </c>
      <c r="F255" s="3">
        <v>310847040</v>
      </c>
    </row>
    <row r="256" spans="1:6" ht="13" x14ac:dyDescent="0.15">
      <c r="A256" s="3">
        <v>40287</v>
      </c>
      <c r="B256" s="3">
        <v>1192.06</v>
      </c>
      <c r="C256" s="3">
        <v>1197.8699999999999</v>
      </c>
      <c r="D256" s="3">
        <v>1183.68</v>
      </c>
      <c r="E256" s="3">
        <v>1197.52</v>
      </c>
      <c r="F256" s="3">
        <v>659774016</v>
      </c>
    </row>
    <row r="257" spans="1:6" ht="13" x14ac:dyDescent="0.15">
      <c r="A257" s="3">
        <v>40288</v>
      </c>
      <c r="B257" s="3">
        <v>1199.04</v>
      </c>
      <c r="C257" s="3">
        <v>1208.57</v>
      </c>
      <c r="D257" s="3">
        <v>1199.04</v>
      </c>
      <c r="E257" s="3">
        <v>1207.17</v>
      </c>
      <c r="F257" s="3">
        <v>531659008</v>
      </c>
    </row>
    <row r="258" spans="1:6" ht="13" x14ac:dyDescent="0.15">
      <c r="A258" s="3">
        <v>40289</v>
      </c>
      <c r="B258" s="3">
        <v>1207.1600000000001</v>
      </c>
      <c r="C258" s="3">
        <v>1210.99</v>
      </c>
      <c r="D258" s="3">
        <v>1198.8499999999999</v>
      </c>
      <c r="E258" s="3">
        <v>1205.93</v>
      </c>
      <c r="F258" s="3">
        <v>572430976</v>
      </c>
    </row>
    <row r="259" spans="1:6" ht="13" x14ac:dyDescent="0.15">
      <c r="A259" s="3">
        <v>40290</v>
      </c>
      <c r="B259" s="3">
        <v>1202.52</v>
      </c>
      <c r="C259" s="3">
        <v>1210.27</v>
      </c>
      <c r="D259" s="3">
        <v>1190.18</v>
      </c>
      <c r="E259" s="3">
        <v>1208.67</v>
      </c>
      <c r="F259" s="3">
        <v>603577984</v>
      </c>
    </row>
    <row r="260" spans="1:6" ht="13" x14ac:dyDescent="0.15">
      <c r="A260" s="3">
        <v>40291</v>
      </c>
      <c r="B260" s="3">
        <v>1207.8699999999999</v>
      </c>
      <c r="C260" s="3">
        <v>1217.28</v>
      </c>
      <c r="D260" s="3">
        <v>1205.0999999999999</v>
      </c>
      <c r="E260" s="3">
        <v>1217.28</v>
      </c>
      <c r="F260" s="3">
        <v>532606016</v>
      </c>
    </row>
    <row r="261" spans="1:6" ht="13" x14ac:dyDescent="0.15">
      <c r="A261" s="3">
        <v>40294</v>
      </c>
      <c r="B261" s="3">
        <v>1217.06</v>
      </c>
      <c r="C261" s="3">
        <v>1219.8</v>
      </c>
      <c r="D261" s="3">
        <v>1211.06</v>
      </c>
      <c r="E261" s="3">
        <v>1212.05</v>
      </c>
      <c r="F261" s="3">
        <v>564776000</v>
      </c>
    </row>
    <row r="262" spans="1:6" ht="13" x14ac:dyDescent="0.15">
      <c r="A262" s="3">
        <v>40295</v>
      </c>
      <c r="B262" s="3">
        <v>1209.92</v>
      </c>
      <c r="C262" s="3">
        <v>1211.3800000000001</v>
      </c>
      <c r="D262" s="3">
        <v>1181.6199999999999</v>
      </c>
      <c r="E262" s="3">
        <v>1183.71</v>
      </c>
      <c r="F262" s="3">
        <v>345454016</v>
      </c>
    </row>
    <row r="263" spans="1:6" ht="13" x14ac:dyDescent="0.15">
      <c r="A263" s="3">
        <v>40296</v>
      </c>
      <c r="B263" s="3">
        <v>1184.5899999999999</v>
      </c>
      <c r="C263" s="3">
        <v>1195.05</v>
      </c>
      <c r="D263" s="3">
        <v>1181.81</v>
      </c>
      <c r="E263" s="3">
        <v>1191.3599999999999</v>
      </c>
      <c r="F263" s="3">
        <v>634230976</v>
      </c>
    </row>
    <row r="264" spans="1:6" ht="13" x14ac:dyDescent="0.15">
      <c r="A264" s="3">
        <v>40297</v>
      </c>
      <c r="B264" s="3">
        <v>1193.3</v>
      </c>
      <c r="C264" s="3">
        <v>1209.3599999999999</v>
      </c>
      <c r="D264" s="3">
        <v>1193.3</v>
      </c>
      <c r="E264" s="3">
        <v>1206.78</v>
      </c>
      <c r="F264" s="3">
        <v>605940992</v>
      </c>
    </row>
    <row r="265" spans="1:6" ht="13" x14ac:dyDescent="0.15">
      <c r="A265" s="3">
        <v>40298</v>
      </c>
      <c r="B265" s="3">
        <v>1206.77</v>
      </c>
      <c r="C265" s="3">
        <v>1207.99</v>
      </c>
      <c r="D265" s="3">
        <v>1186.31</v>
      </c>
      <c r="E265" s="3">
        <v>1186.68</v>
      </c>
      <c r="F265" s="3">
        <v>604825984</v>
      </c>
    </row>
    <row r="266" spans="1:6" ht="13" x14ac:dyDescent="0.15">
      <c r="A266" s="3">
        <v>40301</v>
      </c>
      <c r="B266" s="3">
        <v>1188.57</v>
      </c>
      <c r="C266" s="3">
        <v>1205.1300000000001</v>
      </c>
      <c r="D266" s="3">
        <v>1188.57</v>
      </c>
      <c r="E266" s="3">
        <v>1202.26</v>
      </c>
      <c r="F266" s="3">
        <v>493804992</v>
      </c>
    </row>
    <row r="267" spans="1:6" ht="13" x14ac:dyDescent="0.15">
      <c r="A267" s="3">
        <v>40302</v>
      </c>
      <c r="B267" s="3">
        <v>1197.5</v>
      </c>
      <c r="C267" s="3">
        <v>1197.5</v>
      </c>
      <c r="D267" s="3">
        <v>1168.1199999999999</v>
      </c>
      <c r="E267" s="3">
        <v>1173.5999999999999</v>
      </c>
      <c r="F267" s="3">
        <v>659472000</v>
      </c>
    </row>
    <row r="268" spans="1:6" ht="13" x14ac:dyDescent="0.15">
      <c r="A268" s="3">
        <v>40303</v>
      </c>
      <c r="B268" s="3">
        <v>1169.24</v>
      </c>
      <c r="C268" s="3">
        <v>1175.94</v>
      </c>
      <c r="D268" s="3">
        <v>1158.1500000000001</v>
      </c>
      <c r="E268" s="3">
        <v>1165.8699999999999</v>
      </c>
      <c r="F268" s="3">
        <v>679593984</v>
      </c>
    </row>
    <row r="269" spans="1:6" ht="13" x14ac:dyDescent="0.15">
      <c r="A269" s="3">
        <v>40304</v>
      </c>
      <c r="B269" s="3">
        <v>1164.3800000000001</v>
      </c>
      <c r="C269" s="3">
        <v>1167.57</v>
      </c>
      <c r="D269" s="3">
        <v>1065.79</v>
      </c>
      <c r="E269" s="3">
        <v>1128.1500000000001</v>
      </c>
      <c r="F269" s="3">
        <v>106178096</v>
      </c>
    </row>
    <row r="270" spans="1:6" ht="13" x14ac:dyDescent="0.15">
      <c r="A270" s="3">
        <v>40305</v>
      </c>
      <c r="B270" s="3">
        <v>1127.04</v>
      </c>
      <c r="C270" s="3">
        <v>1135.1300000000001</v>
      </c>
      <c r="D270" s="3">
        <v>1094.1500000000001</v>
      </c>
      <c r="E270" s="3">
        <v>1110.8800000000001</v>
      </c>
      <c r="F270" s="3">
        <v>447291040</v>
      </c>
    </row>
    <row r="271" spans="1:6" ht="13" x14ac:dyDescent="0.15">
      <c r="A271" s="3">
        <v>40308</v>
      </c>
      <c r="B271" s="3">
        <v>1122.27</v>
      </c>
      <c r="C271" s="3">
        <v>1163.8499999999999</v>
      </c>
      <c r="D271" s="3">
        <v>1122.27</v>
      </c>
      <c r="E271" s="3">
        <v>1159.73</v>
      </c>
      <c r="F271" s="3">
        <v>689369984</v>
      </c>
    </row>
    <row r="272" spans="1:6" ht="13" x14ac:dyDescent="0.15">
      <c r="A272" s="3">
        <v>40309</v>
      </c>
      <c r="B272" s="3">
        <v>1156.3900000000001</v>
      </c>
      <c r="C272" s="3">
        <v>1170.48</v>
      </c>
      <c r="D272" s="3">
        <v>1147.71</v>
      </c>
      <c r="E272" s="3">
        <v>1155.79</v>
      </c>
      <c r="F272" s="3">
        <v>584254976</v>
      </c>
    </row>
    <row r="273" spans="1:6" ht="13" x14ac:dyDescent="0.15">
      <c r="A273" s="3">
        <v>40310</v>
      </c>
      <c r="B273" s="3">
        <v>1155.43</v>
      </c>
      <c r="C273" s="3">
        <v>1172.8699999999999</v>
      </c>
      <c r="D273" s="3">
        <v>1155.43</v>
      </c>
      <c r="E273" s="3">
        <v>1171.67</v>
      </c>
      <c r="F273" s="3">
        <v>522545984</v>
      </c>
    </row>
    <row r="274" spans="1:6" ht="13" x14ac:dyDescent="0.15">
      <c r="A274" s="3">
        <v>40311</v>
      </c>
      <c r="B274" s="3">
        <v>1170.04</v>
      </c>
      <c r="C274" s="3">
        <v>1173.56</v>
      </c>
      <c r="D274" s="3">
        <v>1156.1400000000001</v>
      </c>
      <c r="E274" s="3">
        <v>1157.43</v>
      </c>
      <c r="F274" s="3">
        <v>487064000</v>
      </c>
    </row>
    <row r="275" spans="1:6" ht="13" x14ac:dyDescent="0.15">
      <c r="A275" s="3">
        <v>40312</v>
      </c>
      <c r="B275" s="3">
        <v>1157.18</v>
      </c>
      <c r="C275" s="3">
        <v>1157.18</v>
      </c>
      <c r="D275" s="3">
        <v>1126.1400000000001</v>
      </c>
      <c r="E275" s="3">
        <v>1135.68</v>
      </c>
      <c r="F275" s="3">
        <v>612640000</v>
      </c>
    </row>
    <row r="276" spans="1:6" ht="13" x14ac:dyDescent="0.15">
      <c r="A276" s="3">
        <v>40315</v>
      </c>
      <c r="B276" s="3">
        <v>1136.52</v>
      </c>
      <c r="C276" s="3">
        <v>1141.8800000000001</v>
      </c>
      <c r="D276" s="3">
        <v>1114.96</v>
      </c>
      <c r="E276" s="3">
        <v>1136.94</v>
      </c>
      <c r="F276" s="3">
        <v>592291968</v>
      </c>
    </row>
    <row r="277" spans="1:6" ht="13" x14ac:dyDescent="0.15">
      <c r="A277" s="3">
        <v>40316</v>
      </c>
      <c r="B277" s="3">
        <v>1138.78</v>
      </c>
      <c r="C277" s="3">
        <v>1148.6600000000001</v>
      </c>
      <c r="D277" s="3">
        <v>1117.2</v>
      </c>
      <c r="E277" s="3">
        <v>1120.8</v>
      </c>
      <c r="F277" s="3">
        <v>617084032</v>
      </c>
    </row>
    <row r="278" spans="1:6" ht="13" x14ac:dyDescent="0.15">
      <c r="A278" s="3">
        <v>40317</v>
      </c>
      <c r="B278" s="3">
        <v>1119.57</v>
      </c>
      <c r="C278" s="3">
        <v>1124.27</v>
      </c>
      <c r="D278" s="3">
        <v>1100.6600000000001</v>
      </c>
      <c r="E278" s="3">
        <v>1115.05</v>
      </c>
      <c r="F278" s="3">
        <v>676579968</v>
      </c>
    </row>
    <row r="279" spans="1:6" ht="13" x14ac:dyDescent="0.15">
      <c r="A279" s="3">
        <v>40318</v>
      </c>
      <c r="B279" s="3">
        <v>1107.3399999999999</v>
      </c>
      <c r="C279" s="3">
        <v>1107.3399999999999</v>
      </c>
      <c r="D279" s="3">
        <v>1071.58</v>
      </c>
      <c r="E279" s="3">
        <v>1071.5899999999999</v>
      </c>
      <c r="F279" s="3">
        <v>332856960</v>
      </c>
    </row>
    <row r="280" spans="1:6" ht="13" x14ac:dyDescent="0.15">
      <c r="A280" s="3">
        <v>40319</v>
      </c>
      <c r="B280" s="3">
        <v>1067.26</v>
      </c>
      <c r="C280" s="3">
        <v>1090.1600000000001</v>
      </c>
      <c r="D280" s="3">
        <v>1055.9000000000001</v>
      </c>
      <c r="E280" s="3">
        <v>1087.69</v>
      </c>
      <c r="F280" s="3">
        <v>545212992</v>
      </c>
    </row>
    <row r="281" spans="1:6" ht="13" x14ac:dyDescent="0.15">
      <c r="A281" s="3">
        <v>40322</v>
      </c>
      <c r="B281" s="3">
        <v>1084.78</v>
      </c>
      <c r="C281" s="3">
        <v>1089.95</v>
      </c>
      <c r="D281" s="3">
        <v>1072.7</v>
      </c>
      <c r="E281" s="3">
        <v>1073.6500000000001</v>
      </c>
      <c r="F281" s="3">
        <v>522404000</v>
      </c>
    </row>
    <row r="282" spans="1:6" ht="13" x14ac:dyDescent="0.15">
      <c r="A282" s="3">
        <v>40323</v>
      </c>
      <c r="B282" s="3">
        <v>1067.42</v>
      </c>
      <c r="C282" s="3">
        <v>1074.75</v>
      </c>
      <c r="D282" s="3">
        <v>1040.78</v>
      </c>
      <c r="E282" s="3">
        <v>1074.03</v>
      </c>
      <c r="F282" s="3">
        <v>332958016</v>
      </c>
    </row>
    <row r="283" spans="1:6" ht="13" x14ac:dyDescent="0.15">
      <c r="A283" s="3">
        <v>40324</v>
      </c>
      <c r="B283" s="3">
        <v>1075.51</v>
      </c>
      <c r="C283" s="3">
        <v>1090.75</v>
      </c>
      <c r="D283" s="3">
        <v>1065.5899999999999</v>
      </c>
      <c r="E283" s="3">
        <v>1067.95</v>
      </c>
      <c r="F283" s="3">
        <v>452104992</v>
      </c>
    </row>
    <row r="284" spans="1:6" ht="13" x14ac:dyDescent="0.15">
      <c r="A284" s="3">
        <v>40325</v>
      </c>
      <c r="B284" s="3">
        <v>1074.27</v>
      </c>
      <c r="C284" s="3">
        <v>1103.52</v>
      </c>
      <c r="D284" s="3">
        <v>1074.27</v>
      </c>
      <c r="E284" s="3">
        <v>1103.06</v>
      </c>
      <c r="F284" s="3">
        <v>569846016</v>
      </c>
    </row>
    <row r="285" spans="1:6" ht="13" x14ac:dyDescent="0.15">
      <c r="A285" s="3">
        <v>40326</v>
      </c>
      <c r="B285" s="3">
        <v>1102.5899999999999</v>
      </c>
      <c r="C285" s="3">
        <v>1102.5899999999999</v>
      </c>
      <c r="D285" s="3">
        <v>1084.78</v>
      </c>
      <c r="E285" s="3">
        <v>1089.4100000000001</v>
      </c>
      <c r="F285" s="3">
        <v>487120992</v>
      </c>
    </row>
    <row r="286" spans="1:6" ht="13" x14ac:dyDescent="0.15">
      <c r="A286" s="3">
        <v>40330</v>
      </c>
      <c r="B286" s="3">
        <v>1087.3</v>
      </c>
      <c r="C286" s="3">
        <v>1094.77</v>
      </c>
      <c r="D286" s="3">
        <v>1069.8900000000001</v>
      </c>
      <c r="E286" s="3">
        <v>1070.71</v>
      </c>
      <c r="F286" s="3">
        <v>527148000</v>
      </c>
    </row>
    <row r="287" spans="1:6" ht="13" x14ac:dyDescent="0.15">
      <c r="A287" s="3">
        <v>40331</v>
      </c>
      <c r="B287" s="3">
        <v>1073.01</v>
      </c>
      <c r="C287" s="3">
        <v>1098.56</v>
      </c>
      <c r="D287" s="3">
        <v>1072.03</v>
      </c>
      <c r="E287" s="3">
        <v>1098.3800000000001</v>
      </c>
      <c r="F287" s="3">
        <v>502636000</v>
      </c>
    </row>
    <row r="288" spans="1:6" ht="13" x14ac:dyDescent="0.15">
      <c r="A288" s="3">
        <v>40332</v>
      </c>
      <c r="B288" s="3">
        <v>1098.82</v>
      </c>
      <c r="C288" s="3">
        <v>1105.67</v>
      </c>
      <c r="D288" s="3">
        <v>1091.81</v>
      </c>
      <c r="E288" s="3">
        <v>1102.83</v>
      </c>
      <c r="F288" s="3">
        <v>499596992</v>
      </c>
    </row>
    <row r="289" spans="1:6" ht="13" x14ac:dyDescent="0.15">
      <c r="A289" s="3">
        <v>40333</v>
      </c>
      <c r="B289" s="3">
        <v>1098.43</v>
      </c>
      <c r="C289" s="3">
        <v>1098.43</v>
      </c>
      <c r="D289" s="3">
        <v>1060.5</v>
      </c>
      <c r="E289" s="3">
        <v>1064.8800000000001</v>
      </c>
      <c r="F289" s="3">
        <v>618057984</v>
      </c>
    </row>
    <row r="290" spans="1:6" ht="13" x14ac:dyDescent="0.15">
      <c r="A290" s="3">
        <v>40336</v>
      </c>
      <c r="B290" s="3">
        <v>1065.8399999999999</v>
      </c>
      <c r="C290" s="3">
        <v>1071.3599999999999</v>
      </c>
      <c r="D290" s="3">
        <v>1049.8599999999999</v>
      </c>
      <c r="E290" s="3">
        <v>1050.47</v>
      </c>
      <c r="F290" s="3">
        <v>546755968</v>
      </c>
    </row>
    <row r="291" spans="1:6" ht="13" x14ac:dyDescent="0.15">
      <c r="A291" s="3">
        <v>40337</v>
      </c>
      <c r="B291" s="3">
        <v>1050.81</v>
      </c>
      <c r="C291" s="3">
        <v>1063.1500000000001</v>
      </c>
      <c r="D291" s="3">
        <v>1042.17</v>
      </c>
      <c r="E291" s="3">
        <v>1062</v>
      </c>
      <c r="F291" s="3">
        <v>619275008</v>
      </c>
    </row>
    <row r="292" spans="1:6" ht="13" x14ac:dyDescent="0.15">
      <c r="A292" s="3">
        <v>40338</v>
      </c>
      <c r="B292" s="3">
        <v>1062.75</v>
      </c>
      <c r="C292" s="3">
        <v>1077.74</v>
      </c>
      <c r="D292" s="3">
        <v>1052.25</v>
      </c>
      <c r="E292" s="3">
        <v>1055.69</v>
      </c>
      <c r="F292" s="3">
        <v>598320000</v>
      </c>
    </row>
    <row r="293" spans="1:6" ht="13" x14ac:dyDescent="0.15">
      <c r="A293" s="3">
        <v>40339</v>
      </c>
      <c r="B293" s="3">
        <v>1058.77</v>
      </c>
      <c r="C293" s="3">
        <v>1087.8499999999999</v>
      </c>
      <c r="D293" s="3">
        <v>1058.77</v>
      </c>
      <c r="E293" s="3">
        <v>1086.8399999999999</v>
      </c>
      <c r="F293" s="3">
        <v>514478016</v>
      </c>
    </row>
    <row r="294" spans="1:6" ht="13" x14ac:dyDescent="0.15">
      <c r="A294" s="3">
        <v>40340</v>
      </c>
      <c r="B294" s="3">
        <v>1082.6500000000001</v>
      </c>
      <c r="C294" s="3">
        <v>1092.25</v>
      </c>
      <c r="D294" s="3">
        <v>1077.1199999999999</v>
      </c>
      <c r="E294" s="3">
        <v>1091.5999999999999</v>
      </c>
      <c r="F294" s="3">
        <v>405928000</v>
      </c>
    </row>
    <row r="295" spans="1:6" ht="13" x14ac:dyDescent="0.15">
      <c r="A295" s="3">
        <v>40343</v>
      </c>
      <c r="B295" s="3">
        <v>1095</v>
      </c>
      <c r="C295" s="3">
        <v>1105.9100000000001</v>
      </c>
      <c r="D295" s="3">
        <v>1089.03</v>
      </c>
      <c r="E295" s="3">
        <v>1089.6300000000001</v>
      </c>
      <c r="F295" s="3">
        <v>442583008</v>
      </c>
    </row>
    <row r="296" spans="1:6" ht="13" x14ac:dyDescent="0.15">
      <c r="A296" s="3">
        <v>40344</v>
      </c>
      <c r="B296" s="3">
        <v>1091.21</v>
      </c>
      <c r="C296" s="3">
        <v>1115.5899999999999</v>
      </c>
      <c r="D296" s="3">
        <v>1091.21</v>
      </c>
      <c r="E296" s="3">
        <v>1115.23</v>
      </c>
      <c r="F296" s="3">
        <v>464448992</v>
      </c>
    </row>
    <row r="297" spans="1:6" ht="13" x14ac:dyDescent="0.15">
      <c r="A297" s="3">
        <v>40345</v>
      </c>
      <c r="B297" s="3">
        <v>1114.02</v>
      </c>
      <c r="C297" s="3">
        <v>1118.74</v>
      </c>
      <c r="D297" s="3">
        <v>1107.1300000000001</v>
      </c>
      <c r="E297" s="3">
        <v>1114.6099999999999</v>
      </c>
      <c r="F297" s="3">
        <v>500260000</v>
      </c>
    </row>
    <row r="298" spans="1:6" ht="13" x14ac:dyDescent="0.15">
      <c r="A298" s="3">
        <v>40346</v>
      </c>
      <c r="B298" s="3">
        <v>1115.98</v>
      </c>
      <c r="C298" s="3">
        <v>1117.72</v>
      </c>
      <c r="D298" s="3">
        <v>1105.8699999999999</v>
      </c>
      <c r="E298" s="3">
        <v>1116.04</v>
      </c>
      <c r="F298" s="3">
        <v>455776000</v>
      </c>
    </row>
    <row r="299" spans="1:6" ht="13" x14ac:dyDescent="0.15">
      <c r="A299" s="3">
        <v>40347</v>
      </c>
      <c r="B299" s="3">
        <v>1116.1600000000001</v>
      </c>
      <c r="C299" s="3">
        <v>1121.01</v>
      </c>
      <c r="D299" s="3">
        <v>1113.93</v>
      </c>
      <c r="E299" s="3">
        <v>1117.51</v>
      </c>
      <c r="F299" s="3">
        <v>455536000</v>
      </c>
    </row>
    <row r="300" spans="1:6" ht="13" x14ac:dyDescent="0.15">
      <c r="A300" s="3">
        <v>40350</v>
      </c>
      <c r="B300" s="3">
        <v>1122.79</v>
      </c>
      <c r="C300" s="3">
        <v>1131.23</v>
      </c>
      <c r="D300" s="3">
        <v>1108.24</v>
      </c>
      <c r="E300" s="3">
        <v>1113.2</v>
      </c>
      <c r="F300" s="3">
        <v>451436000</v>
      </c>
    </row>
    <row r="301" spans="1:6" ht="13" x14ac:dyDescent="0.15">
      <c r="A301" s="3">
        <v>40351</v>
      </c>
      <c r="B301" s="3">
        <v>1113.9000000000001</v>
      </c>
      <c r="C301" s="3">
        <v>1118.5</v>
      </c>
      <c r="D301" s="3">
        <v>1094.18</v>
      </c>
      <c r="E301" s="3">
        <v>1095.31</v>
      </c>
      <c r="F301" s="3">
        <v>451438016</v>
      </c>
    </row>
    <row r="302" spans="1:6" ht="13" x14ac:dyDescent="0.15">
      <c r="A302" s="3">
        <v>40352</v>
      </c>
      <c r="B302" s="3">
        <v>1095.57</v>
      </c>
      <c r="C302" s="3">
        <v>1099.6400000000001</v>
      </c>
      <c r="D302" s="3">
        <v>1085.31</v>
      </c>
      <c r="E302" s="3">
        <v>1092.04</v>
      </c>
      <c r="F302" s="3">
        <v>452615008</v>
      </c>
    </row>
    <row r="303" spans="1:6" ht="13" x14ac:dyDescent="0.15">
      <c r="A303" s="3">
        <v>40353</v>
      </c>
      <c r="B303" s="3">
        <v>1090.93</v>
      </c>
      <c r="C303" s="3">
        <v>1090.93</v>
      </c>
      <c r="D303" s="3">
        <v>1071.5999999999999</v>
      </c>
      <c r="E303" s="3">
        <v>1073.69</v>
      </c>
      <c r="F303" s="3">
        <v>481483008</v>
      </c>
    </row>
    <row r="304" spans="1:6" ht="13" x14ac:dyDescent="0.15">
      <c r="A304" s="3">
        <v>40354</v>
      </c>
      <c r="B304" s="3">
        <v>1075.0999999999999</v>
      </c>
      <c r="C304" s="3">
        <v>1083.56</v>
      </c>
      <c r="D304" s="3">
        <v>1067.8900000000001</v>
      </c>
      <c r="E304" s="3">
        <v>1076.76</v>
      </c>
      <c r="F304" s="3">
        <v>512884000</v>
      </c>
    </row>
    <row r="305" spans="1:6" ht="13" x14ac:dyDescent="0.15">
      <c r="A305" s="3">
        <v>40357</v>
      </c>
      <c r="B305" s="3">
        <v>1077.5</v>
      </c>
      <c r="C305" s="3">
        <v>1082.5999999999999</v>
      </c>
      <c r="D305" s="3">
        <v>1071.45</v>
      </c>
      <c r="E305" s="3">
        <v>1074.57</v>
      </c>
      <c r="F305" s="3">
        <v>389640992</v>
      </c>
    </row>
    <row r="306" spans="1:6" ht="13" x14ac:dyDescent="0.15">
      <c r="A306" s="3">
        <v>40358</v>
      </c>
      <c r="B306" s="3">
        <v>1071.0999999999999</v>
      </c>
      <c r="C306" s="3">
        <v>1071.0999999999999</v>
      </c>
      <c r="D306" s="3">
        <v>1035.18</v>
      </c>
      <c r="E306" s="3">
        <v>1041.24</v>
      </c>
      <c r="F306" s="3">
        <v>613670016</v>
      </c>
    </row>
    <row r="307" spans="1:6" ht="13" x14ac:dyDescent="0.15">
      <c r="A307" s="3">
        <v>40359</v>
      </c>
      <c r="B307" s="3">
        <v>1040.56</v>
      </c>
      <c r="C307" s="3">
        <v>1048.08</v>
      </c>
      <c r="D307" s="3">
        <v>1028.33</v>
      </c>
      <c r="E307" s="3">
        <v>1030.71</v>
      </c>
      <c r="F307" s="3">
        <v>506708000</v>
      </c>
    </row>
    <row r="308" spans="1:6" ht="13" x14ac:dyDescent="0.15">
      <c r="A308" s="3">
        <v>40360</v>
      </c>
      <c r="B308" s="3">
        <v>1031.0999999999999</v>
      </c>
      <c r="C308" s="3">
        <v>1033.58</v>
      </c>
      <c r="D308" s="3">
        <v>1010.91</v>
      </c>
      <c r="E308" s="3">
        <v>1027.3699999999999</v>
      </c>
      <c r="F308" s="3">
        <v>643577024</v>
      </c>
    </row>
    <row r="309" spans="1:6" ht="13" x14ac:dyDescent="0.15">
      <c r="A309" s="3">
        <v>40361</v>
      </c>
      <c r="B309" s="3">
        <v>1027.6500000000001</v>
      </c>
      <c r="C309" s="3">
        <v>1032.95</v>
      </c>
      <c r="D309" s="3">
        <v>1015.93</v>
      </c>
      <c r="E309" s="3">
        <v>1022.58</v>
      </c>
      <c r="F309" s="3">
        <v>396849984</v>
      </c>
    </row>
    <row r="310" spans="1:6" ht="13" x14ac:dyDescent="0.15">
      <c r="A310" s="3">
        <v>40365</v>
      </c>
      <c r="B310" s="3">
        <v>1028.0899999999999</v>
      </c>
      <c r="C310" s="3">
        <v>1042.5</v>
      </c>
      <c r="D310" s="3">
        <v>1018.35</v>
      </c>
      <c r="E310" s="3">
        <v>1028.06</v>
      </c>
      <c r="F310" s="3">
        <v>469124000</v>
      </c>
    </row>
    <row r="311" spans="1:6" ht="13" x14ac:dyDescent="0.15">
      <c r="A311" s="3">
        <v>40366</v>
      </c>
      <c r="B311" s="3">
        <v>1028.54</v>
      </c>
      <c r="C311" s="3">
        <v>1060.8900000000001</v>
      </c>
      <c r="D311" s="3">
        <v>1028.54</v>
      </c>
      <c r="E311" s="3">
        <v>1060.27</v>
      </c>
      <c r="F311" s="3">
        <v>493121984</v>
      </c>
    </row>
    <row r="312" spans="1:6" ht="13" x14ac:dyDescent="0.15">
      <c r="A312" s="3">
        <v>40367</v>
      </c>
      <c r="B312" s="3">
        <v>1062.92</v>
      </c>
      <c r="C312" s="3">
        <v>1071.25</v>
      </c>
      <c r="D312" s="3">
        <v>1058.24</v>
      </c>
      <c r="E312" s="3">
        <v>1070.25</v>
      </c>
      <c r="F312" s="3">
        <v>454846016</v>
      </c>
    </row>
    <row r="313" spans="1:6" ht="13" x14ac:dyDescent="0.15">
      <c r="A313" s="3">
        <v>40368</v>
      </c>
      <c r="B313" s="3">
        <v>1070.5</v>
      </c>
      <c r="C313" s="3">
        <v>1078.1600000000001</v>
      </c>
      <c r="D313" s="3">
        <v>1068.0999999999999</v>
      </c>
      <c r="E313" s="3">
        <v>1077.96</v>
      </c>
      <c r="F313" s="3">
        <v>350656992</v>
      </c>
    </row>
    <row r="314" spans="1:6" ht="13" x14ac:dyDescent="0.15">
      <c r="A314" s="3">
        <v>40371</v>
      </c>
      <c r="B314" s="3">
        <v>1077.23</v>
      </c>
      <c r="C314" s="3">
        <v>1080.78</v>
      </c>
      <c r="D314" s="3">
        <v>1070.45</v>
      </c>
      <c r="E314" s="3">
        <v>1078.75</v>
      </c>
      <c r="F314" s="3">
        <v>342699008</v>
      </c>
    </row>
    <row r="315" spans="1:6" ht="13" x14ac:dyDescent="0.15">
      <c r="A315" s="3">
        <v>40372</v>
      </c>
      <c r="B315" s="3">
        <v>1080.6500000000001</v>
      </c>
      <c r="C315" s="3">
        <v>1099.46</v>
      </c>
      <c r="D315" s="3">
        <v>1080.6500000000001</v>
      </c>
      <c r="E315" s="3">
        <v>1095.3399999999999</v>
      </c>
      <c r="F315" s="3">
        <v>464046016</v>
      </c>
    </row>
    <row r="316" spans="1:6" ht="13" x14ac:dyDescent="0.15">
      <c r="A316" s="3">
        <v>40373</v>
      </c>
      <c r="B316" s="3">
        <v>1095.6099999999999</v>
      </c>
      <c r="C316" s="3">
        <v>1099.08</v>
      </c>
      <c r="D316" s="3">
        <v>1087.68</v>
      </c>
      <c r="E316" s="3">
        <v>1095.17</v>
      </c>
      <c r="F316" s="3">
        <v>452104992</v>
      </c>
    </row>
    <row r="317" spans="1:6" ht="13" x14ac:dyDescent="0.15">
      <c r="A317" s="3">
        <v>40374</v>
      </c>
      <c r="B317" s="3">
        <v>1094.46</v>
      </c>
      <c r="C317" s="3">
        <v>1098.6600000000001</v>
      </c>
      <c r="D317" s="3">
        <v>1080.53</v>
      </c>
      <c r="E317" s="3">
        <v>1096.48</v>
      </c>
      <c r="F317" s="3">
        <v>455247008</v>
      </c>
    </row>
    <row r="318" spans="1:6" ht="13" x14ac:dyDescent="0.15">
      <c r="A318" s="3">
        <v>40375</v>
      </c>
      <c r="B318" s="3">
        <v>1093.8499999999999</v>
      </c>
      <c r="C318" s="3">
        <v>1093.8499999999999</v>
      </c>
      <c r="D318" s="3">
        <v>1063.32</v>
      </c>
      <c r="E318" s="3">
        <v>1064.8800000000001</v>
      </c>
      <c r="F318" s="3">
        <v>529735008</v>
      </c>
    </row>
    <row r="319" spans="1:6" ht="13" x14ac:dyDescent="0.15">
      <c r="A319" s="3">
        <v>40378</v>
      </c>
      <c r="B319" s="3">
        <v>1066.8499999999999</v>
      </c>
      <c r="C319" s="3">
        <v>1074.7</v>
      </c>
      <c r="D319" s="3">
        <v>1061.1099999999999</v>
      </c>
      <c r="E319" s="3">
        <v>1071.25</v>
      </c>
      <c r="F319" s="3">
        <v>408950016</v>
      </c>
    </row>
    <row r="320" spans="1:6" ht="13" x14ac:dyDescent="0.15">
      <c r="A320" s="3">
        <v>40379</v>
      </c>
      <c r="B320" s="3">
        <v>1064.53</v>
      </c>
      <c r="C320" s="3">
        <v>1083.94</v>
      </c>
      <c r="D320" s="3">
        <v>1056.8800000000001</v>
      </c>
      <c r="E320" s="3">
        <v>1083.48</v>
      </c>
      <c r="F320" s="3">
        <v>471328000</v>
      </c>
    </row>
    <row r="321" spans="1:6" ht="13" x14ac:dyDescent="0.15">
      <c r="A321" s="3">
        <v>40380</v>
      </c>
      <c r="B321" s="3">
        <v>1086.67</v>
      </c>
      <c r="C321" s="3">
        <v>1088.96</v>
      </c>
      <c r="D321" s="3">
        <v>1065.25</v>
      </c>
      <c r="E321" s="3">
        <v>1069.5899999999999</v>
      </c>
      <c r="F321" s="3">
        <v>474718016</v>
      </c>
    </row>
    <row r="322" spans="1:6" ht="13" x14ac:dyDescent="0.15">
      <c r="A322" s="3">
        <v>40381</v>
      </c>
      <c r="B322" s="3">
        <v>1072.1400000000001</v>
      </c>
      <c r="C322" s="3">
        <v>1097.5</v>
      </c>
      <c r="D322" s="3">
        <v>1072.1400000000001</v>
      </c>
      <c r="E322" s="3">
        <v>1093.67</v>
      </c>
      <c r="F322" s="3">
        <v>482689984</v>
      </c>
    </row>
    <row r="323" spans="1:6" ht="13" x14ac:dyDescent="0.15">
      <c r="A323" s="3">
        <v>40382</v>
      </c>
      <c r="B323" s="3">
        <v>1092.17</v>
      </c>
      <c r="C323" s="3">
        <v>1103.73</v>
      </c>
      <c r="D323" s="3">
        <v>1087.8800000000001</v>
      </c>
      <c r="E323" s="3">
        <v>1102.6600000000001</v>
      </c>
      <c r="F323" s="3">
        <v>452456992</v>
      </c>
    </row>
    <row r="324" spans="1:6" ht="13" x14ac:dyDescent="0.15">
      <c r="A324" s="3">
        <v>40385</v>
      </c>
      <c r="B324" s="3">
        <v>1102.8900000000001</v>
      </c>
      <c r="C324" s="3">
        <v>1115.01</v>
      </c>
      <c r="D324" s="3">
        <v>1101.3</v>
      </c>
      <c r="E324" s="3">
        <v>1115.01</v>
      </c>
      <c r="F324" s="3">
        <v>400964992</v>
      </c>
    </row>
    <row r="325" spans="1:6" ht="13" x14ac:dyDescent="0.15">
      <c r="A325" s="3">
        <v>40386</v>
      </c>
      <c r="B325" s="3">
        <v>1117.3599999999999</v>
      </c>
      <c r="C325" s="3">
        <v>1120.95</v>
      </c>
      <c r="D325" s="3">
        <v>1109.78</v>
      </c>
      <c r="E325" s="3">
        <v>1113.8399999999999</v>
      </c>
      <c r="F325" s="3">
        <v>472568992</v>
      </c>
    </row>
    <row r="326" spans="1:6" ht="13" x14ac:dyDescent="0.15">
      <c r="A326" s="3">
        <v>40387</v>
      </c>
      <c r="B326" s="3">
        <v>1112.8399999999999</v>
      </c>
      <c r="C326" s="3">
        <v>1114.6600000000001</v>
      </c>
      <c r="D326" s="3">
        <v>1103.1099999999999</v>
      </c>
      <c r="E326" s="3">
        <v>1106.1300000000001</v>
      </c>
      <c r="F326" s="3">
        <v>400239008</v>
      </c>
    </row>
    <row r="327" spans="1:6" ht="13" x14ac:dyDescent="0.15">
      <c r="A327" s="3">
        <v>40388</v>
      </c>
      <c r="B327" s="3">
        <v>1108.07</v>
      </c>
      <c r="C327" s="3">
        <v>1115.9000000000001</v>
      </c>
      <c r="D327" s="3">
        <v>1092.82</v>
      </c>
      <c r="E327" s="3">
        <v>1101.53</v>
      </c>
      <c r="F327" s="3">
        <v>461241984</v>
      </c>
    </row>
    <row r="328" spans="1:6" ht="13" x14ac:dyDescent="0.15">
      <c r="A328" s="3">
        <v>40389</v>
      </c>
      <c r="B328" s="3">
        <v>1098.44</v>
      </c>
      <c r="C328" s="3">
        <v>1106.44</v>
      </c>
      <c r="D328" s="3">
        <v>1088.01</v>
      </c>
      <c r="E328" s="3">
        <v>1101.5999999999999</v>
      </c>
      <c r="F328" s="3">
        <v>400644992</v>
      </c>
    </row>
    <row r="329" spans="1:6" ht="13" x14ac:dyDescent="0.15">
      <c r="A329" s="3">
        <v>40392</v>
      </c>
      <c r="B329" s="3">
        <v>1107.53</v>
      </c>
      <c r="C329" s="3">
        <v>1127.3</v>
      </c>
      <c r="D329" s="3">
        <v>1107.53</v>
      </c>
      <c r="E329" s="3">
        <v>1125.8599999999999</v>
      </c>
      <c r="F329" s="3">
        <v>414417984</v>
      </c>
    </row>
    <row r="330" spans="1:6" ht="13" x14ac:dyDescent="0.15">
      <c r="A330" s="3">
        <v>40393</v>
      </c>
      <c r="B330" s="3">
        <v>1125.3399999999999</v>
      </c>
      <c r="C330" s="3">
        <v>1125.44</v>
      </c>
      <c r="D330" s="3">
        <v>1116.76</v>
      </c>
      <c r="E330" s="3">
        <v>1120.46</v>
      </c>
      <c r="F330" s="3">
        <v>407182016</v>
      </c>
    </row>
    <row r="331" spans="1:6" ht="13" x14ac:dyDescent="0.15">
      <c r="A331" s="3">
        <v>40394</v>
      </c>
      <c r="B331" s="3">
        <v>1121.06</v>
      </c>
      <c r="C331" s="3">
        <v>1128.75</v>
      </c>
      <c r="D331" s="3">
        <v>1119.46</v>
      </c>
      <c r="E331" s="3">
        <v>1127.24</v>
      </c>
      <c r="F331" s="3">
        <v>405784992</v>
      </c>
    </row>
    <row r="332" spans="1:6" ht="13" x14ac:dyDescent="0.15">
      <c r="A332" s="3">
        <v>40395</v>
      </c>
      <c r="B332" s="3">
        <v>1125.78</v>
      </c>
      <c r="C332" s="3">
        <v>1126.56</v>
      </c>
      <c r="D332" s="3">
        <v>1118.81</v>
      </c>
      <c r="E332" s="3">
        <v>1125.81</v>
      </c>
      <c r="F332" s="3">
        <v>368556000</v>
      </c>
    </row>
    <row r="333" spans="1:6" ht="13" x14ac:dyDescent="0.15">
      <c r="A333" s="3">
        <v>40396</v>
      </c>
      <c r="B333" s="3">
        <v>1122.07</v>
      </c>
      <c r="C333" s="3">
        <v>1123.06</v>
      </c>
      <c r="D333" s="3">
        <v>1107.17</v>
      </c>
      <c r="E333" s="3">
        <v>1121.6400000000001</v>
      </c>
      <c r="F333" s="3">
        <v>385788992</v>
      </c>
    </row>
    <row r="334" spans="1:6" ht="13" x14ac:dyDescent="0.15">
      <c r="A334" s="3">
        <v>40399</v>
      </c>
      <c r="B334" s="3">
        <v>1122.8</v>
      </c>
      <c r="C334" s="3">
        <v>1129.24</v>
      </c>
      <c r="D334" s="3">
        <v>1120.9100000000001</v>
      </c>
      <c r="E334" s="3">
        <v>1127.79</v>
      </c>
      <c r="F334" s="3">
        <v>319163008</v>
      </c>
    </row>
    <row r="335" spans="1:6" ht="13" x14ac:dyDescent="0.15">
      <c r="A335" s="3">
        <v>40400</v>
      </c>
      <c r="B335" s="3">
        <v>1122.92</v>
      </c>
      <c r="C335" s="3">
        <v>1127.1600000000001</v>
      </c>
      <c r="D335" s="3">
        <v>1111.58</v>
      </c>
      <c r="E335" s="3">
        <v>1121.06</v>
      </c>
      <c r="F335" s="3">
        <v>397936000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81"/>
  <sheetViews>
    <sheetView workbookViewId="0"/>
  </sheetViews>
  <sheetFormatPr baseColWidth="10" defaultColWidth="14.5" defaultRowHeight="15.75" customHeight="1" x14ac:dyDescent="0.15"/>
  <cols>
    <col min="1" max="1" width="6.33203125" customWidth="1"/>
    <col min="2" max="5" width="7.83203125" customWidth="1"/>
    <col min="6" max="6" width="10.5" customWidth="1"/>
  </cols>
  <sheetData>
    <row r="1" spans="1:6" ht="15.75" customHeight="1" x14ac:dyDescent="0.15">
      <c r="A1" s="3" t="s">
        <v>12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</row>
    <row r="2" spans="1:6" ht="15.75" customHeight="1" x14ac:dyDescent="0.15">
      <c r="A2" s="3">
        <v>37692</v>
      </c>
      <c r="B2" s="3">
        <v>799.89</v>
      </c>
      <c r="C2" s="3">
        <v>804.19</v>
      </c>
      <c r="D2" s="3">
        <v>788.9</v>
      </c>
      <c r="E2" s="3">
        <v>804.19</v>
      </c>
      <c r="F2" s="3">
        <v>162000000</v>
      </c>
    </row>
    <row r="3" spans="1:6" ht="15.75" customHeight="1" x14ac:dyDescent="0.15">
      <c r="A3" s="3">
        <v>37693</v>
      </c>
      <c r="B3" s="3">
        <v>806.48</v>
      </c>
      <c r="C3" s="3">
        <v>832.02</v>
      </c>
      <c r="D3" s="3">
        <v>806.48</v>
      </c>
      <c r="E3" s="3">
        <v>831.9</v>
      </c>
      <c r="F3" s="3">
        <v>181630000</v>
      </c>
    </row>
    <row r="4" spans="1:6" ht="15.75" customHeight="1" x14ac:dyDescent="0.15">
      <c r="A4" s="3">
        <v>37694</v>
      </c>
      <c r="B4" s="3">
        <v>831.89</v>
      </c>
      <c r="C4" s="3">
        <v>841.39</v>
      </c>
      <c r="D4" s="3">
        <v>828.26</v>
      </c>
      <c r="E4" s="3">
        <v>833.27</v>
      </c>
      <c r="F4" s="3">
        <v>154190000</v>
      </c>
    </row>
    <row r="5" spans="1:6" ht="15.75" customHeight="1" x14ac:dyDescent="0.15">
      <c r="A5" s="3">
        <v>37697</v>
      </c>
      <c r="B5" s="3">
        <v>832.09</v>
      </c>
      <c r="C5" s="3">
        <v>862.79</v>
      </c>
      <c r="D5" s="3">
        <v>827.17</v>
      </c>
      <c r="E5" s="3">
        <v>862.79</v>
      </c>
      <c r="F5" s="3">
        <v>170042000</v>
      </c>
    </row>
    <row r="6" spans="1:6" ht="15.75" customHeight="1" x14ac:dyDescent="0.15">
      <c r="A6" s="3">
        <v>37698</v>
      </c>
      <c r="B6" s="3">
        <v>862.78</v>
      </c>
      <c r="C6" s="3">
        <v>866.94</v>
      </c>
      <c r="D6" s="3">
        <v>857.36</v>
      </c>
      <c r="E6" s="3">
        <v>866.45</v>
      </c>
      <c r="F6" s="3">
        <v>155510000</v>
      </c>
    </row>
    <row r="7" spans="1:6" ht="15.75" customHeight="1" x14ac:dyDescent="0.15">
      <c r="A7" s="3">
        <v>37699</v>
      </c>
      <c r="B7" s="3">
        <v>865.85</v>
      </c>
      <c r="C7" s="3">
        <v>874.99</v>
      </c>
      <c r="D7" s="3">
        <v>861.21</v>
      </c>
      <c r="E7" s="3">
        <v>874.02</v>
      </c>
      <c r="F7" s="3">
        <v>147340000</v>
      </c>
    </row>
    <row r="8" spans="1:6" ht="15.75" customHeight="1" x14ac:dyDescent="0.15">
      <c r="A8" s="3">
        <v>37700</v>
      </c>
      <c r="B8" s="3">
        <v>872.8</v>
      </c>
      <c r="C8" s="3">
        <v>879.6</v>
      </c>
      <c r="D8" s="3">
        <v>859.01</v>
      </c>
      <c r="E8" s="3">
        <v>875.84</v>
      </c>
      <c r="F8" s="3">
        <v>143910000</v>
      </c>
    </row>
    <row r="9" spans="1:6" ht="15.75" customHeight="1" x14ac:dyDescent="0.15">
      <c r="A9" s="3">
        <v>37701</v>
      </c>
      <c r="B9" s="3">
        <v>879.12</v>
      </c>
      <c r="C9" s="3">
        <v>895.89</v>
      </c>
      <c r="D9" s="3">
        <v>877.65</v>
      </c>
      <c r="E9" s="3">
        <v>895.89</v>
      </c>
      <c r="F9" s="3">
        <v>188371008</v>
      </c>
    </row>
    <row r="10" spans="1:6" ht="15.75" customHeight="1" x14ac:dyDescent="0.15">
      <c r="A10" s="3">
        <v>37704</v>
      </c>
      <c r="B10" s="3">
        <v>890.91</v>
      </c>
      <c r="C10" s="3">
        <v>890.91</v>
      </c>
      <c r="D10" s="3">
        <v>862.02</v>
      </c>
      <c r="E10" s="3">
        <v>864.23</v>
      </c>
      <c r="F10" s="3">
        <v>129300000</v>
      </c>
    </row>
    <row r="11" spans="1:6" ht="15.75" customHeight="1" x14ac:dyDescent="0.15">
      <c r="A11" s="3">
        <v>37705</v>
      </c>
      <c r="B11" s="3">
        <v>864.89</v>
      </c>
      <c r="C11" s="3">
        <v>879.87</v>
      </c>
      <c r="D11" s="3">
        <v>862.59</v>
      </c>
      <c r="E11" s="3">
        <v>874.74</v>
      </c>
      <c r="F11" s="3">
        <v>133340000</v>
      </c>
    </row>
    <row r="12" spans="1:6" ht="15.75" customHeight="1" x14ac:dyDescent="0.15">
      <c r="A12" s="3">
        <v>37706</v>
      </c>
      <c r="B12" s="3">
        <v>874.54</v>
      </c>
      <c r="C12" s="3">
        <v>875.8</v>
      </c>
      <c r="D12" s="3">
        <v>866.47</v>
      </c>
      <c r="E12" s="3">
        <v>869.95</v>
      </c>
      <c r="F12" s="3">
        <v>131970000</v>
      </c>
    </row>
    <row r="13" spans="1:6" ht="15.75" customHeight="1" x14ac:dyDescent="0.15">
      <c r="A13" s="3">
        <v>37707</v>
      </c>
      <c r="B13" s="3">
        <v>868.56</v>
      </c>
      <c r="C13" s="3">
        <v>874.15</v>
      </c>
      <c r="D13" s="3">
        <v>858.09</v>
      </c>
      <c r="E13" s="3">
        <v>868.52</v>
      </c>
      <c r="F13" s="3">
        <v>123290000</v>
      </c>
    </row>
    <row r="14" spans="1:6" ht="15.75" customHeight="1" x14ac:dyDescent="0.15">
      <c r="A14" s="3">
        <v>37708</v>
      </c>
      <c r="B14" s="3">
        <v>866.71</v>
      </c>
      <c r="C14" s="3">
        <v>869.88</v>
      </c>
      <c r="D14" s="3">
        <v>860.83</v>
      </c>
      <c r="E14" s="3">
        <v>863.5</v>
      </c>
      <c r="F14" s="3">
        <v>122700000</v>
      </c>
    </row>
    <row r="15" spans="1:6" ht="15.75" customHeight="1" x14ac:dyDescent="0.15">
      <c r="A15" s="3">
        <v>37711</v>
      </c>
      <c r="B15" s="3">
        <v>863.18</v>
      </c>
      <c r="C15" s="3">
        <v>863.18</v>
      </c>
      <c r="D15" s="3">
        <v>843.68</v>
      </c>
      <c r="E15" s="3">
        <v>848.18</v>
      </c>
      <c r="F15" s="3">
        <v>149550000</v>
      </c>
    </row>
    <row r="16" spans="1:6" ht="15.75" customHeight="1" x14ac:dyDescent="0.15">
      <c r="A16" s="3">
        <v>37712</v>
      </c>
      <c r="B16" s="3">
        <v>849.05</v>
      </c>
      <c r="C16" s="3">
        <v>861.28</v>
      </c>
      <c r="D16" s="3">
        <v>847.85</v>
      </c>
      <c r="E16" s="3">
        <v>858.48</v>
      </c>
      <c r="F16" s="3">
        <v>146160000</v>
      </c>
    </row>
    <row r="17" spans="1:6" ht="15.75" customHeight="1" x14ac:dyDescent="0.15">
      <c r="A17" s="3">
        <v>37713</v>
      </c>
      <c r="B17" s="3">
        <v>858.48</v>
      </c>
      <c r="C17" s="3">
        <v>884.57</v>
      </c>
      <c r="D17" s="3">
        <v>858.48</v>
      </c>
      <c r="E17" s="3">
        <v>880.9</v>
      </c>
      <c r="F17" s="3">
        <v>158980000</v>
      </c>
    </row>
    <row r="18" spans="1:6" ht="15.75" customHeight="1" x14ac:dyDescent="0.15">
      <c r="A18" s="3">
        <v>37714</v>
      </c>
      <c r="B18" s="3">
        <v>882.07</v>
      </c>
      <c r="C18" s="3">
        <v>885.89</v>
      </c>
      <c r="D18" s="3">
        <v>876.12</v>
      </c>
      <c r="E18" s="3">
        <v>876.45</v>
      </c>
      <c r="F18" s="3">
        <v>133950000</v>
      </c>
    </row>
    <row r="19" spans="1:6" ht="15.75" customHeight="1" x14ac:dyDescent="0.15">
      <c r="A19" s="3">
        <v>37715</v>
      </c>
      <c r="B19" s="3">
        <v>877.06</v>
      </c>
      <c r="C19" s="3">
        <v>882.73</v>
      </c>
      <c r="D19" s="3">
        <v>874.23</v>
      </c>
      <c r="E19" s="3">
        <v>878.85</v>
      </c>
      <c r="F19" s="3">
        <v>124120000</v>
      </c>
    </row>
    <row r="20" spans="1:6" ht="15.75" customHeight="1" x14ac:dyDescent="0.15">
      <c r="A20" s="3">
        <v>37718</v>
      </c>
      <c r="B20" s="3">
        <v>884.48</v>
      </c>
      <c r="C20" s="3">
        <v>904.89</v>
      </c>
      <c r="D20" s="3">
        <v>879.78</v>
      </c>
      <c r="E20" s="3">
        <v>879.93</v>
      </c>
      <c r="F20" s="3">
        <v>149400000</v>
      </c>
    </row>
    <row r="21" spans="1:6" ht="15.75" customHeight="1" x14ac:dyDescent="0.15">
      <c r="A21" s="3">
        <v>37719</v>
      </c>
      <c r="B21" s="3">
        <v>880.01</v>
      </c>
      <c r="C21" s="3">
        <v>883.11</v>
      </c>
      <c r="D21" s="3">
        <v>874.68</v>
      </c>
      <c r="E21" s="3">
        <v>878.29</v>
      </c>
      <c r="F21" s="3">
        <v>123540000</v>
      </c>
    </row>
    <row r="22" spans="1:6" ht="15.75" customHeight="1" x14ac:dyDescent="0.15">
      <c r="A22" s="3">
        <v>37720</v>
      </c>
      <c r="B22" s="3">
        <v>878.65</v>
      </c>
      <c r="C22" s="3">
        <v>887.35</v>
      </c>
      <c r="D22" s="3">
        <v>865.72</v>
      </c>
      <c r="E22" s="3">
        <v>865.99</v>
      </c>
      <c r="F22" s="3">
        <v>129370000</v>
      </c>
    </row>
    <row r="23" spans="1:6" ht="15.75" customHeight="1" x14ac:dyDescent="0.15">
      <c r="A23" s="3">
        <v>37721</v>
      </c>
      <c r="B23" s="3">
        <v>866.61</v>
      </c>
      <c r="C23" s="3">
        <v>871.78</v>
      </c>
      <c r="D23" s="3">
        <v>862.76</v>
      </c>
      <c r="E23" s="3">
        <v>871.58</v>
      </c>
      <c r="F23" s="3">
        <v>127530000</v>
      </c>
    </row>
    <row r="24" spans="1:6" ht="15.75" customHeight="1" x14ac:dyDescent="0.15">
      <c r="A24" s="3">
        <v>37722</v>
      </c>
      <c r="B24" s="3">
        <v>871.58</v>
      </c>
      <c r="C24" s="3">
        <v>883.34</v>
      </c>
      <c r="D24" s="3">
        <v>865.92</v>
      </c>
      <c r="E24" s="3">
        <v>868.3</v>
      </c>
      <c r="F24" s="3">
        <v>114160000</v>
      </c>
    </row>
    <row r="25" spans="1:6" ht="15.75" customHeight="1" x14ac:dyDescent="0.15">
      <c r="A25" s="3">
        <v>37725</v>
      </c>
      <c r="B25" s="3">
        <v>868.51</v>
      </c>
      <c r="C25" s="3">
        <v>885.26</v>
      </c>
      <c r="D25" s="3">
        <v>868.51</v>
      </c>
      <c r="E25" s="3">
        <v>885.23</v>
      </c>
      <c r="F25" s="3">
        <v>113100000</v>
      </c>
    </row>
    <row r="26" spans="1:6" ht="15.75" customHeight="1" x14ac:dyDescent="0.15">
      <c r="A26" s="3">
        <v>37726</v>
      </c>
      <c r="B26" s="3">
        <v>884.78</v>
      </c>
      <c r="C26" s="3">
        <v>891.27</v>
      </c>
      <c r="D26" s="3">
        <v>881.85</v>
      </c>
      <c r="E26" s="3">
        <v>890.81</v>
      </c>
      <c r="F26" s="3">
        <v>146020000</v>
      </c>
    </row>
    <row r="27" spans="1:6" ht="15.75" customHeight="1" x14ac:dyDescent="0.15">
      <c r="A27" s="3">
        <v>37727</v>
      </c>
      <c r="B27" s="3">
        <v>890.81</v>
      </c>
      <c r="C27" s="3">
        <v>896.77</v>
      </c>
      <c r="D27" s="3">
        <v>877.93</v>
      </c>
      <c r="E27" s="3">
        <v>879.91</v>
      </c>
      <c r="F27" s="3">
        <v>158760000</v>
      </c>
    </row>
    <row r="28" spans="1:6" ht="15.75" customHeight="1" x14ac:dyDescent="0.15">
      <c r="A28" s="3">
        <v>37728</v>
      </c>
      <c r="B28" s="3">
        <v>879.2</v>
      </c>
      <c r="C28" s="3">
        <v>893.83</v>
      </c>
      <c r="D28" s="3">
        <v>879.2</v>
      </c>
      <c r="E28" s="3">
        <v>893.58</v>
      </c>
      <c r="F28" s="3">
        <v>143060000</v>
      </c>
    </row>
    <row r="29" spans="1:6" ht="15.75" customHeight="1" x14ac:dyDescent="0.15">
      <c r="A29" s="3">
        <v>37732</v>
      </c>
      <c r="B29" s="3">
        <v>893.66</v>
      </c>
      <c r="C29" s="3">
        <v>898.01</v>
      </c>
      <c r="D29" s="3">
        <v>888.17</v>
      </c>
      <c r="E29" s="3">
        <v>892.01</v>
      </c>
      <c r="F29" s="3">
        <v>111870000</v>
      </c>
    </row>
    <row r="30" spans="1:6" ht="15.75" customHeight="1" x14ac:dyDescent="0.15">
      <c r="A30" s="3">
        <v>37733</v>
      </c>
      <c r="B30" s="3">
        <v>890.63</v>
      </c>
      <c r="C30" s="3">
        <v>911.74</v>
      </c>
      <c r="D30" s="3">
        <v>886.7</v>
      </c>
      <c r="E30" s="3">
        <v>911.37</v>
      </c>
      <c r="F30" s="3">
        <v>163120000</v>
      </c>
    </row>
    <row r="31" spans="1:6" ht="15.75" customHeight="1" x14ac:dyDescent="0.15">
      <c r="A31" s="3">
        <v>37734</v>
      </c>
      <c r="B31" s="3">
        <v>911.5</v>
      </c>
      <c r="C31" s="3">
        <v>919.74</v>
      </c>
      <c r="D31" s="3">
        <v>909.89</v>
      </c>
      <c r="E31" s="3">
        <v>919.02</v>
      </c>
      <c r="F31" s="3">
        <v>166720000</v>
      </c>
    </row>
    <row r="32" spans="1:6" ht="15.75" customHeight="1" x14ac:dyDescent="0.15">
      <c r="A32" s="3">
        <v>37735</v>
      </c>
      <c r="B32" s="3">
        <v>917.21</v>
      </c>
      <c r="C32" s="3">
        <v>917.21</v>
      </c>
      <c r="D32" s="3">
        <v>906.69</v>
      </c>
      <c r="E32" s="3">
        <v>911.43</v>
      </c>
      <c r="F32" s="3">
        <v>164810000</v>
      </c>
    </row>
    <row r="33" spans="1:6" ht="15.75" customHeight="1" x14ac:dyDescent="0.15">
      <c r="A33" s="3">
        <v>37736</v>
      </c>
      <c r="B33" s="3">
        <v>910.57</v>
      </c>
      <c r="C33" s="3">
        <v>911.13</v>
      </c>
      <c r="D33" s="3">
        <v>897.52</v>
      </c>
      <c r="E33" s="3">
        <v>898.81</v>
      </c>
      <c r="F33" s="3">
        <v>133580000</v>
      </c>
    </row>
    <row r="34" spans="1:6" ht="15.75" customHeight="1" x14ac:dyDescent="0.15">
      <c r="A34" s="3">
        <v>37739</v>
      </c>
      <c r="B34" s="3">
        <v>899.19</v>
      </c>
      <c r="C34" s="3">
        <v>918.15</v>
      </c>
      <c r="D34" s="3">
        <v>899.19</v>
      </c>
      <c r="E34" s="3">
        <v>914.84</v>
      </c>
      <c r="F34" s="3">
        <v>127300000</v>
      </c>
    </row>
    <row r="35" spans="1:6" ht="15.75" customHeight="1" x14ac:dyDescent="0.15">
      <c r="A35" s="3">
        <v>37740</v>
      </c>
      <c r="B35" s="3">
        <v>914.84</v>
      </c>
      <c r="C35" s="3">
        <v>924.24</v>
      </c>
      <c r="D35" s="3">
        <v>911.1</v>
      </c>
      <c r="E35" s="3">
        <v>917.84</v>
      </c>
      <c r="F35" s="3">
        <v>152560000</v>
      </c>
    </row>
    <row r="36" spans="1:6" ht="15.75" customHeight="1" x14ac:dyDescent="0.15">
      <c r="A36" s="3">
        <v>37741</v>
      </c>
      <c r="B36" s="3">
        <v>917.34</v>
      </c>
      <c r="C36" s="3">
        <v>922.01</v>
      </c>
      <c r="D36" s="3">
        <v>911.7</v>
      </c>
      <c r="E36" s="3">
        <v>916.92</v>
      </c>
      <c r="F36" s="3">
        <v>178851008</v>
      </c>
    </row>
    <row r="37" spans="1:6" ht="15.75" customHeight="1" x14ac:dyDescent="0.15">
      <c r="A37" s="3">
        <v>37742</v>
      </c>
      <c r="B37" s="3">
        <v>916.8</v>
      </c>
      <c r="C37" s="3">
        <v>919.68</v>
      </c>
      <c r="D37" s="3">
        <v>902.83</v>
      </c>
      <c r="E37" s="3">
        <v>916.3</v>
      </c>
      <c r="F37" s="3">
        <v>139750000</v>
      </c>
    </row>
    <row r="38" spans="1:6" ht="15.75" customHeight="1" x14ac:dyDescent="0.15">
      <c r="A38" s="3">
        <v>37743</v>
      </c>
      <c r="B38" s="3">
        <v>915.08</v>
      </c>
      <c r="C38" s="3">
        <v>930.56</v>
      </c>
      <c r="D38" s="3">
        <v>912.35</v>
      </c>
      <c r="E38" s="3">
        <v>930.08</v>
      </c>
      <c r="F38" s="3">
        <v>155430000</v>
      </c>
    </row>
    <row r="39" spans="1:6" ht="15.75" customHeight="1" x14ac:dyDescent="0.15">
      <c r="A39" s="3">
        <v>37746</v>
      </c>
      <c r="B39" s="3">
        <v>930.57</v>
      </c>
      <c r="C39" s="3">
        <v>933.88</v>
      </c>
      <c r="D39" s="3">
        <v>924.55</v>
      </c>
      <c r="E39" s="3">
        <v>926.55</v>
      </c>
      <c r="F39" s="3">
        <v>144630000</v>
      </c>
    </row>
    <row r="40" spans="1:6" ht="13" x14ac:dyDescent="0.15">
      <c r="A40" s="3">
        <v>37747</v>
      </c>
      <c r="B40" s="3">
        <v>926.38</v>
      </c>
      <c r="C40" s="3">
        <v>939.61</v>
      </c>
      <c r="D40" s="3">
        <v>926.38</v>
      </c>
      <c r="E40" s="3">
        <v>934.39</v>
      </c>
      <c r="F40" s="3">
        <v>164960000</v>
      </c>
    </row>
    <row r="41" spans="1:6" ht="13" x14ac:dyDescent="0.15">
      <c r="A41" s="3">
        <v>37748</v>
      </c>
      <c r="B41" s="3">
        <v>932.75</v>
      </c>
      <c r="C41" s="3">
        <v>937.22</v>
      </c>
      <c r="D41" s="3">
        <v>926.41</v>
      </c>
      <c r="E41" s="3">
        <v>929.62</v>
      </c>
      <c r="F41" s="3">
        <v>153190000</v>
      </c>
    </row>
    <row r="42" spans="1:6" ht="13" x14ac:dyDescent="0.15">
      <c r="A42" s="3">
        <v>37749</v>
      </c>
      <c r="B42" s="3">
        <v>929.62</v>
      </c>
      <c r="C42" s="3">
        <v>929.62</v>
      </c>
      <c r="D42" s="3">
        <v>919.72</v>
      </c>
      <c r="E42" s="3">
        <v>920.27</v>
      </c>
      <c r="F42" s="3">
        <v>137960000</v>
      </c>
    </row>
    <row r="43" spans="1:6" ht="13" x14ac:dyDescent="0.15">
      <c r="A43" s="3">
        <v>37750</v>
      </c>
      <c r="B43" s="3">
        <v>921.85</v>
      </c>
      <c r="C43" s="3">
        <v>933.77</v>
      </c>
      <c r="D43" s="3">
        <v>921.85</v>
      </c>
      <c r="E43" s="3">
        <v>933.41</v>
      </c>
      <c r="F43" s="3">
        <v>132610000</v>
      </c>
    </row>
    <row r="44" spans="1:6" ht="13" x14ac:dyDescent="0.15">
      <c r="A44" s="3">
        <v>37753</v>
      </c>
      <c r="B44" s="3">
        <v>933.05</v>
      </c>
      <c r="C44" s="3">
        <v>946.84</v>
      </c>
      <c r="D44" s="3">
        <v>929.3</v>
      </c>
      <c r="E44" s="3">
        <v>945.11</v>
      </c>
      <c r="F44" s="3">
        <v>137880000</v>
      </c>
    </row>
    <row r="45" spans="1:6" ht="13" x14ac:dyDescent="0.15">
      <c r="A45" s="3">
        <v>37754</v>
      </c>
      <c r="B45" s="3">
        <v>945.11</v>
      </c>
      <c r="C45" s="3">
        <v>947.51</v>
      </c>
      <c r="D45" s="3">
        <v>938.91</v>
      </c>
      <c r="E45" s="3">
        <v>942.3</v>
      </c>
      <c r="F45" s="3">
        <v>141810000</v>
      </c>
    </row>
    <row r="46" spans="1:6" ht="13" x14ac:dyDescent="0.15">
      <c r="A46" s="3">
        <v>37755</v>
      </c>
      <c r="B46" s="3">
        <v>943.18</v>
      </c>
      <c r="C46" s="3">
        <v>947.29</v>
      </c>
      <c r="D46" s="3">
        <v>935.24</v>
      </c>
      <c r="E46" s="3">
        <v>939.28</v>
      </c>
      <c r="F46" s="3">
        <v>140180000</v>
      </c>
    </row>
    <row r="47" spans="1:6" ht="13" x14ac:dyDescent="0.15">
      <c r="A47" s="3">
        <v>37756</v>
      </c>
      <c r="B47" s="3">
        <v>940.47</v>
      </c>
      <c r="C47" s="3">
        <v>948.23</v>
      </c>
      <c r="D47" s="3">
        <v>938.79</v>
      </c>
      <c r="E47" s="3">
        <v>946.67</v>
      </c>
      <c r="F47" s="3">
        <v>150870000</v>
      </c>
    </row>
    <row r="48" spans="1:6" ht="13" x14ac:dyDescent="0.15">
      <c r="A48" s="3">
        <v>37757</v>
      </c>
      <c r="B48" s="3">
        <v>946.5</v>
      </c>
      <c r="C48" s="3">
        <v>948.65</v>
      </c>
      <c r="D48" s="3">
        <v>938.6</v>
      </c>
      <c r="E48" s="3">
        <v>944.3</v>
      </c>
      <c r="F48" s="3">
        <v>150550000</v>
      </c>
    </row>
    <row r="49" spans="1:6" ht="13" x14ac:dyDescent="0.15">
      <c r="A49" s="3">
        <v>37760</v>
      </c>
      <c r="B49" s="3">
        <v>942.46</v>
      </c>
      <c r="C49" s="3">
        <v>942.46</v>
      </c>
      <c r="D49" s="3">
        <v>920.23</v>
      </c>
      <c r="E49" s="3">
        <v>920.77</v>
      </c>
      <c r="F49" s="3">
        <v>137570000</v>
      </c>
    </row>
    <row r="50" spans="1:6" ht="13" x14ac:dyDescent="0.15">
      <c r="A50" s="3">
        <v>37761</v>
      </c>
      <c r="B50" s="3">
        <v>921.62</v>
      </c>
      <c r="C50" s="3">
        <v>925.34</v>
      </c>
      <c r="D50" s="3">
        <v>912.05</v>
      </c>
      <c r="E50" s="3">
        <v>919.73</v>
      </c>
      <c r="F50" s="3">
        <v>150530000</v>
      </c>
    </row>
    <row r="51" spans="1:6" ht="13" x14ac:dyDescent="0.15">
      <c r="A51" s="3">
        <v>37762</v>
      </c>
      <c r="B51" s="3">
        <v>919.01</v>
      </c>
      <c r="C51" s="3">
        <v>923.85</v>
      </c>
      <c r="D51" s="3">
        <v>914.91</v>
      </c>
      <c r="E51" s="3">
        <v>923.42</v>
      </c>
      <c r="F51" s="3">
        <v>145780000</v>
      </c>
    </row>
    <row r="52" spans="1:6" ht="13" x14ac:dyDescent="0.15">
      <c r="A52" s="3">
        <v>37763</v>
      </c>
      <c r="B52" s="3">
        <v>923.53</v>
      </c>
      <c r="C52" s="3">
        <v>935.3</v>
      </c>
      <c r="D52" s="3">
        <v>922.54</v>
      </c>
      <c r="E52" s="3">
        <v>931.87</v>
      </c>
      <c r="F52" s="3">
        <v>144850000</v>
      </c>
    </row>
    <row r="53" spans="1:6" ht="13" x14ac:dyDescent="0.15">
      <c r="A53" s="3">
        <v>37764</v>
      </c>
      <c r="B53" s="3">
        <v>931.68</v>
      </c>
      <c r="C53" s="3">
        <v>935.2</v>
      </c>
      <c r="D53" s="3">
        <v>927.42</v>
      </c>
      <c r="E53" s="3">
        <v>933.22</v>
      </c>
      <c r="F53" s="3">
        <v>120100000</v>
      </c>
    </row>
    <row r="54" spans="1:6" ht="13" x14ac:dyDescent="0.15">
      <c r="A54" s="3">
        <v>37768</v>
      </c>
      <c r="B54" s="3">
        <v>932.16</v>
      </c>
      <c r="C54" s="3">
        <v>952.76</v>
      </c>
      <c r="D54" s="3">
        <v>927.33</v>
      </c>
      <c r="E54" s="3">
        <v>951.48</v>
      </c>
      <c r="F54" s="3">
        <v>153200000</v>
      </c>
    </row>
    <row r="55" spans="1:6" ht="13" x14ac:dyDescent="0.15">
      <c r="A55" s="3">
        <v>37769</v>
      </c>
      <c r="B55" s="3">
        <v>951.78</v>
      </c>
      <c r="C55" s="3">
        <v>959.39</v>
      </c>
      <c r="D55" s="3">
        <v>950.12</v>
      </c>
      <c r="E55" s="3">
        <v>953.22</v>
      </c>
      <c r="F55" s="3">
        <v>155900000</v>
      </c>
    </row>
    <row r="56" spans="1:6" ht="13" x14ac:dyDescent="0.15">
      <c r="A56" s="3">
        <v>37770</v>
      </c>
      <c r="B56" s="3">
        <v>953.22</v>
      </c>
      <c r="C56" s="3">
        <v>962.08</v>
      </c>
      <c r="D56" s="3">
        <v>946.23</v>
      </c>
      <c r="E56" s="3">
        <v>949.64</v>
      </c>
      <c r="F56" s="3">
        <v>168580000</v>
      </c>
    </row>
    <row r="57" spans="1:6" ht="13" x14ac:dyDescent="0.15">
      <c r="A57" s="3">
        <v>37771</v>
      </c>
      <c r="B57" s="3">
        <v>950.7</v>
      </c>
      <c r="C57" s="3">
        <v>965.38</v>
      </c>
      <c r="D57" s="3">
        <v>950.7</v>
      </c>
      <c r="E57" s="3">
        <v>963.59</v>
      </c>
      <c r="F57" s="3">
        <v>168880000</v>
      </c>
    </row>
    <row r="58" spans="1:6" ht="13" x14ac:dyDescent="0.15">
      <c r="A58" s="3">
        <v>37774</v>
      </c>
      <c r="B58" s="3">
        <v>965.31</v>
      </c>
      <c r="C58" s="3">
        <v>979.11</v>
      </c>
      <c r="D58" s="3">
        <v>965.31</v>
      </c>
      <c r="E58" s="3">
        <v>967</v>
      </c>
      <c r="F58" s="3">
        <v>166250000</v>
      </c>
    </row>
    <row r="59" spans="1:6" ht="13" x14ac:dyDescent="0.15">
      <c r="A59" s="3">
        <v>37775</v>
      </c>
      <c r="B59" s="3">
        <v>967.07</v>
      </c>
      <c r="C59" s="3">
        <v>973.02</v>
      </c>
      <c r="D59" s="3">
        <v>964.47</v>
      </c>
      <c r="E59" s="3">
        <v>971.56</v>
      </c>
      <c r="F59" s="3">
        <v>145020000</v>
      </c>
    </row>
    <row r="60" spans="1:6" ht="13" x14ac:dyDescent="0.15">
      <c r="A60" s="3">
        <v>37776</v>
      </c>
      <c r="B60" s="3">
        <v>971.69</v>
      </c>
      <c r="C60" s="3">
        <v>987.85</v>
      </c>
      <c r="D60" s="3">
        <v>970.72</v>
      </c>
      <c r="E60" s="3">
        <v>986.24</v>
      </c>
      <c r="F60" s="3">
        <v>161870000</v>
      </c>
    </row>
    <row r="61" spans="1:6" ht="13" x14ac:dyDescent="0.15">
      <c r="A61" s="3">
        <v>37777</v>
      </c>
      <c r="B61" s="3">
        <v>983.94</v>
      </c>
      <c r="C61" s="3">
        <v>990.14</v>
      </c>
      <c r="D61" s="3">
        <v>978.13</v>
      </c>
      <c r="E61" s="3">
        <v>990.14</v>
      </c>
      <c r="F61" s="3">
        <v>169310000</v>
      </c>
    </row>
    <row r="62" spans="1:6" ht="13" x14ac:dyDescent="0.15">
      <c r="A62" s="3">
        <v>37778</v>
      </c>
      <c r="B62" s="3">
        <v>990.14</v>
      </c>
      <c r="C62" s="3">
        <v>1007.69</v>
      </c>
      <c r="D62" s="3">
        <v>986.01</v>
      </c>
      <c r="E62" s="3">
        <v>987.76</v>
      </c>
      <c r="F62" s="3">
        <v>183720000</v>
      </c>
    </row>
    <row r="63" spans="1:6" ht="13" x14ac:dyDescent="0.15">
      <c r="A63" s="3">
        <v>37781</v>
      </c>
      <c r="B63" s="3">
        <v>986.82</v>
      </c>
      <c r="C63" s="3">
        <v>986.82</v>
      </c>
      <c r="D63" s="3">
        <v>972.59</v>
      </c>
      <c r="E63" s="3">
        <v>975.93</v>
      </c>
      <c r="F63" s="3">
        <v>130700000</v>
      </c>
    </row>
    <row r="64" spans="1:6" ht="13" x14ac:dyDescent="0.15">
      <c r="A64" s="3">
        <v>37782</v>
      </c>
      <c r="B64" s="3">
        <v>975.93</v>
      </c>
      <c r="C64" s="3">
        <v>984.84</v>
      </c>
      <c r="D64" s="3">
        <v>975.93</v>
      </c>
      <c r="E64" s="3">
        <v>984.84</v>
      </c>
      <c r="F64" s="3">
        <v>127540000</v>
      </c>
    </row>
    <row r="65" spans="1:6" ht="13" x14ac:dyDescent="0.15">
      <c r="A65" s="3">
        <v>37783</v>
      </c>
      <c r="B65" s="3">
        <v>984.84</v>
      </c>
      <c r="C65" s="3">
        <v>997.48</v>
      </c>
      <c r="D65" s="3">
        <v>981.61</v>
      </c>
      <c r="E65" s="3">
        <v>997.48</v>
      </c>
      <c r="F65" s="3">
        <v>152000000</v>
      </c>
    </row>
    <row r="66" spans="1:6" ht="13" x14ac:dyDescent="0.15">
      <c r="A66" s="3">
        <v>37784</v>
      </c>
      <c r="B66" s="3">
        <v>997.48</v>
      </c>
      <c r="C66" s="3">
        <v>1002.74</v>
      </c>
      <c r="D66" s="3">
        <v>991.27</v>
      </c>
      <c r="E66" s="3">
        <v>998.51</v>
      </c>
      <c r="F66" s="3">
        <v>155310000</v>
      </c>
    </row>
    <row r="67" spans="1:6" ht="13" x14ac:dyDescent="0.15">
      <c r="A67" s="3">
        <v>37785</v>
      </c>
      <c r="B67" s="3">
        <v>999.02</v>
      </c>
      <c r="C67" s="3">
        <v>1000.92</v>
      </c>
      <c r="D67" s="3">
        <v>984.27</v>
      </c>
      <c r="E67" s="3">
        <v>988.61</v>
      </c>
      <c r="F67" s="3">
        <v>127160000</v>
      </c>
    </row>
    <row r="68" spans="1:6" ht="13" x14ac:dyDescent="0.15">
      <c r="A68" s="3">
        <v>37788</v>
      </c>
      <c r="B68" s="3">
        <v>988.61</v>
      </c>
      <c r="C68" s="3">
        <v>1010.86</v>
      </c>
      <c r="D68" s="3">
        <v>988.61</v>
      </c>
      <c r="E68" s="3">
        <v>1010.74</v>
      </c>
      <c r="F68" s="3">
        <v>134590000</v>
      </c>
    </row>
    <row r="69" spans="1:6" ht="13" x14ac:dyDescent="0.15">
      <c r="A69" s="3">
        <v>37789</v>
      </c>
      <c r="B69" s="3">
        <v>1011.35</v>
      </c>
      <c r="C69" s="3">
        <v>1015.33</v>
      </c>
      <c r="D69" s="3">
        <v>1007.04</v>
      </c>
      <c r="E69" s="3">
        <v>1011.66</v>
      </c>
      <c r="F69" s="3">
        <v>147970000</v>
      </c>
    </row>
    <row r="70" spans="1:6" ht="13" x14ac:dyDescent="0.15">
      <c r="A70" s="3">
        <v>37790</v>
      </c>
      <c r="B70" s="3">
        <v>1011.14</v>
      </c>
      <c r="C70" s="3">
        <v>1015.12</v>
      </c>
      <c r="D70" s="3">
        <v>1004.61</v>
      </c>
      <c r="E70" s="3">
        <v>1010.09</v>
      </c>
      <c r="F70" s="3">
        <v>148890000</v>
      </c>
    </row>
    <row r="71" spans="1:6" ht="13" x14ac:dyDescent="0.15">
      <c r="A71" s="3">
        <v>37791</v>
      </c>
      <c r="B71" s="3">
        <v>1010.05</v>
      </c>
      <c r="C71" s="3">
        <v>1011.22</v>
      </c>
      <c r="D71" s="3">
        <v>993.08</v>
      </c>
      <c r="E71" s="3">
        <v>994.7</v>
      </c>
      <c r="F71" s="3">
        <v>153010000</v>
      </c>
    </row>
    <row r="72" spans="1:6" ht="13" x14ac:dyDescent="0.15">
      <c r="A72" s="3">
        <v>37792</v>
      </c>
      <c r="B72" s="3">
        <v>996.13</v>
      </c>
      <c r="C72" s="3">
        <v>1002.09</v>
      </c>
      <c r="D72" s="3">
        <v>993.36</v>
      </c>
      <c r="E72" s="3">
        <v>995.69</v>
      </c>
      <c r="F72" s="3">
        <v>169800000</v>
      </c>
    </row>
    <row r="73" spans="1:6" ht="13" x14ac:dyDescent="0.15">
      <c r="A73" s="3">
        <v>37795</v>
      </c>
      <c r="B73" s="3">
        <v>995.25</v>
      </c>
      <c r="C73" s="3">
        <v>995.25</v>
      </c>
      <c r="D73" s="3">
        <v>977.4</v>
      </c>
      <c r="E73" s="3">
        <v>981.64</v>
      </c>
      <c r="F73" s="3">
        <v>139810000</v>
      </c>
    </row>
    <row r="74" spans="1:6" ht="13" x14ac:dyDescent="0.15">
      <c r="A74" s="3">
        <v>37796</v>
      </c>
      <c r="B74" s="3">
        <v>980.68</v>
      </c>
      <c r="C74" s="3">
        <v>987.84</v>
      </c>
      <c r="D74" s="3">
        <v>979.08</v>
      </c>
      <c r="E74" s="3">
        <v>983.45</v>
      </c>
      <c r="F74" s="3">
        <v>138830000</v>
      </c>
    </row>
    <row r="75" spans="1:6" ht="13" x14ac:dyDescent="0.15">
      <c r="A75" s="3">
        <v>37797</v>
      </c>
      <c r="B75" s="3">
        <v>983.58</v>
      </c>
      <c r="C75" s="3">
        <v>991.64</v>
      </c>
      <c r="D75" s="3">
        <v>974.86</v>
      </c>
      <c r="E75" s="3">
        <v>975.32</v>
      </c>
      <c r="F75" s="3">
        <v>145920000</v>
      </c>
    </row>
    <row r="76" spans="1:6" ht="13" x14ac:dyDescent="0.15">
      <c r="A76" s="3">
        <v>37798</v>
      </c>
      <c r="B76" s="3">
        <v>976.42</v>
      </c>
      <c r="C76" s="3">
        <v>986.53</v>
      </c>
      <c r="D76" s="3">
        <v>973.8</v>
      </c>
      <c r="E76" s="3">
        <v>985.82</v>
      </c>
      <c r="F76" s="3">
        <v>138740000</v>
      </c>
    </row>
    <row r="77" spans="1:6" ht="13" x14ac:dyDescent="0.15">
      <c r="A77" s="3">
        <v>37799</v>
      </c>
      <c r="B77" s="3">
        <v>985.82</v>
      </c>
      <c r="C77" s="3">
        <v>988.88</v>
      </c>
      <c r="D77" s="3">
        <v>974.03</v>
      </c>
      <c r="E77" s="3">
        <v>976.22</v>
      </c>
      <c r="F77" s="3">
        <v>126780000</v>
      </c>
    </row>
    <row r="78" spans="1:6" ht="13" x14ac:dyDescent="0.15">
      <c r="A78" s="3">
        <v>37802</v>
      </c>
      <c r="B78" s="3">
        <v>977.35</v>
      </c>
      <c r="C78" s="3">
        <v>983.61</v>
      </c>
      <c r="D78" s="3">
        <v>973.6</v>
      </c>
      <c r="E78" s="3">
        <v>974.5</v>
      </c>
      <c r="F78" s="3">
        <v>158720000</v>
      </c>
    </row>
    <row r="79" spans="1:6" ht="13" x14ac:dyDescent="0.15">
      <c r="A79" s="3">
        <v>37803</v>
      </c>
      <c r="B79" s="3">
        <v>973.83</v>
      </c>
      <c r="C79" s="3">
        <v>983.26</v>
      </c>
      <c r="D79" s="3">
        <v>962.1</v>
      </c>
      <c r="E79" s="3">
        <v>982.32</v>
      </c>
      <c r="F79" s="3">
        <v>146020000</v>
      </c>
    </row>
    <row r="80" spans="1:6" ht="13" x14ac:dyDescent="0.15">
      <c r="A80" s="3">
        <v>37804</v>
      </c>
      <c r="B80" s="3">
        <v>983.34</v>
      </c>
      <c r="C80" s="3">
        <v>993.78</v>
      </c>
      <c r="D80" s="3">
        <v>983.34</v>
      </c>
      <c r="E80" s="3">
        <v>993.75</v>
      </c>
      <c r="F80" s="3">
        <v>151930000</v>
      </c>
    </row>
    <row r="81" spans="1:6" ht="13" x14ac:dyDescent="0.15">
      <c r="A81" s="3">
        <v>37805</v>
      </c>
      <c r="B81" s="3">
        <v>992.55</v>
      </c>
      <c r="C81" s="3">
        <v>995</v>
      </c>
      <c r="D81" s="3">
        <v>983.34</v>
      </c>
      <c r="E81" s="3">
        <v>985.7</v>
      </c>
      <c r="F81" s="3">
        <v>37590000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73"/>
  <sheetViews>
    <sheetView workbookViewId="0"/>
  </sheetViews>
  <sheetFormatPr baseColWidth="10" defaultColWidth="14.5" defaultRowHeight="15.75" customHeight="1" x14ac:dyDescent="0.15"/>
  <cols>
    <col min="1" max="1" width="6.33203125" customWidth="1"/>
    <col min="2" max="5" width="7.83203125" customWidth="1"/>
    <col min="6" max="6" width="11.5" customWidth="1"/>
  </cols>
  <sheetData>
    <row r="1" spans="1:6" ht="15.75" customHeight="1" x14ac:dyDescent="0.15">
      <c r="A1" s="3" t="s">
        <v>12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</row>
    <row r="2" spans="1:6" ht="15.75" customHeight="1" x14ac:dyDescent="0.15">
      <c r="A2" s="3">
        <v>41701</v>
      </c>
      <c r="B2" s="3">
        <v>1857.68</v>
      </c>
      <c r="C2" s="3">
        <v>1857.68</v>
      </c>
      <c r="D2" s="3">
        <v>1834.44</v>
      </c>
      <c r="E2" s="3">
        <v>1845.73</v>
      </c>
      <c r="F2" s="3">
        <v>498448768</v>
      </c>
    </row>
    <row r="3" spans="1:6" ht="15.75" customHeight="1" x14ac:dyDescent="0.15">
      <c r="A3" s="3">
        <v>41702</v>
      </c>
      <c r="B3" s="3">
        <v>1849.23</v>
      </c>
      <c r="C3" s="3">
        <v>1876.23</v>
      </c>
      <c r="D3" s="3">
        <v>1849.23</v>
      </c>
      <c r="E3" s="3">
        <v>1873.91</v>
      </c>
      <c r="F3" s="3">
        <v>544430336</v>
      </c>
    </row>
    <row r="4" spans="1:6" ht="15.75" customHeight="1" x14ac:dyDescent="0.15">
      <c r="A4" s="3">
        <v>41703</v>
      </c>
      <c r="B4" s="3">
        <v>1874.05</v>
      </c>
      <c r="C4" s="3">
        <v>1876.53</v>
      </c>
      <c r="D4" s="3">
        <v>1871.11</v>
      </c>
      <c r="E4" s="3">
        <v>1873.81</v>
      </c>
      <c r="F4" s="3">
        <v>482063616</v>
      </c>
    </row>
    <row r="5" spans="1:6" ht="15.75" customHeight="1" x14ac:dyDescent="0.15">
      <c r="A5" s="3">
        <v>41704</v>
      </c>
      <c r="B5" s="3">
        <v>1874.18</v>
      </c>
      <c r="C5" s="3">
        <v>1881.94</v>
      </c>
      <c r="D5" s="3">
        <v>1874.18</v>
      </c>
      <c r="E5" s="3">
        <v>1877.03</v>
      </c>
      <c r="F5" s="3">
        <v>498552704</v>
      </c>
    </row>
    <row r="6" spans="1:6" ht="15.75" customHeight="1" x14ac:dyDescent="0.15">
      <c r="A6" s="3">
        <v>41705</v>
      </c>
      <c r="B6" s="3">
        <v>1878.52</v>
      </c>
      <c r="C6" s="3">
        <v>1883.57</v>
      </c>
      <c r="D6" s="3">
        <v>1870.56</v>
      </c>
      <c r="E6" s="3">
        <v>1878.04</v>
      </c>
      <c r="F6" s="3">
        <v>497019936</v>
      </c>
    </row>
    <row r="7" spans="1:6" ht="15.75" customHeight="1" x14ac:dyDescent="0.15">
      <c r="A7" s="3">
        <v>41708</v>
      </c>
      <c r="B7" s="3">
        <v>1877.86</v>
      </c>
      <c r="C7" s="3">
        <v>1877.87</v>
      </c>
      <c r="D7" s="3">
        <v>1867.04</v>
      </c>
      <c r="E7" s="3">
        <v>1877.17</v>
      </c>
      <c r="F7" s="3">
        <v>430730688</v>
      </c>
    </row>
    <row r="8" spans="1:6" ht="15.75" customHeight="1" x14ac:dyDescent="0.15">
      <c r="A8" s="3">
        <v>41709</v>
      </c>
      <c r="B8" s="3">
        <v>1878.26</v>
      </c>
      <c r="C8" s="3">
        <v>1882.35</v>
      </c>
      <c r="D8" s="3">
        <v>1863.88</v>
      </c>
      <c r="E8" s="3">
        <v>1867.63</v>
      </c>
      <c r="F8" s="3">
        <v>442974144</v>
      </c>
    </row>
    <row r="9" spans="1:6" ht="15.75" customHeight="1" x14ac:dyDescent="0.15">
      <c r="A9" s="3">
        <v>41710</v>
      </c>
      <c r="B9" s="3">
        <v>1866.15</v>
      </c>
      <c r="C9" s="3">
        <v>1868.38</v>
      </c>
      <c r="D9" s="3">
        <v>1854.38</v>
      </c>
      <c r="E9" s="3">
        <v>1868.2</v>
      </c>
      <c r="F9" s="3">
        <v>449356704</v>
      </c>
    </row>
    <row r="10" spans="1:6" ht="15.75" customHeight="1" x14ac:dyDescent="0.15">
      <c r="A10" s="3">
        <v>41711</v>
      </c>
      <c r="B10" s="3">
        <v>1869.06</v>
      </c>
      <c r="C10" s="3">
        <v>1874.4</v>
      </c>
      <c r="D10" s="3">
        <v>1841.86</v>
      </c>
      <c r="E10" s="3">
        <v>1846.34</v>
      </c>
      <c r="F10" s="3">
        <v>512705472</v>
      </c>
    </row>
    <row r="11" spans="1:6" ht="15.75" customHeight="1" x14ac:dyDescent="0.15">
      <c r="A11" s="3">
        <v>41712</v>
      </c>
      <c r="B11" s="3">
        <v>1845.07</v>
      </c>
      <c r="C11" s="3">
        <v>1852.44</v>
      </c>
      <c r="D11" s="3">
        <v>1839.57</v>
      </c>
      <c r="E11" s="3">
        <v>1841.13</v>
      </c>
      <c r="F11" s="3">
        <v>491435968</v>
      </c>
    </row>
    <row r="12" spans="1:6" ht="15.75" customHeight="1" x14ac:dyDescent="0.15">
      <c r="A12" s="3">
        <v>41715</v>
      </c>
      <c r="B12" s="3">
        <v>1842.81</v>
      </c>
      <c r="C12" s="3">
        <v>1862.3</v>
      </c>
      <c r="D12" s="3">
        <v>1842.81</v>
      </c>
      <c r="E12" s="3">
        <v>1858.83</v>
      </c>
      <c r="F12" s="3">
        <v>452577696</v>
      </c>
    </row>
    <row r="13" spans="1:6" ht="15.75" customHeight="1" x14ac:dyDescent="0.15">
      <c r="A13" s="3">
        <v>41716</v>
      </c>
      <c r="B13" s="3">
        <v>1858.92</v>
      </c>
      <c r="C13" s="3">
        <v>1873.76</v>
      </c>
      <c r="D13" s="3">
        <v>1858.92</v>
      </c>
      <c r="E13" s="3">
        <v>1872.25</v>
      </c>
      <c r="F13" s="3">
        <v>408679072</v>
      </c>
    </row>
    <row r="14" spans="1:6" ht="15.75" customHeight="1" x14ac:dyDescent="0.15">
      <c r="A14" s="3">
        <v>41717</v>
      </c>
      <c r="B14" s="3">
        <v>1872.25</v>
      </c>
      <c r="C14" s="3">
        <v>1874.14</v>
      </c>
      <c r="D14" s="3">
        <v>1850.35</v>
      </c>
      <c r="E14" s="3">
        <v>1860.77</v>
      </c>
      <c r="F14" s="3">
        <v>499471264</v>
      </c>
    </row>
    <row r="15" spans="1:6" ht="15.75" customHeight="1" x14ac:dyDescent="0.15">
      <c r="A15" s="3">
        <v>41718</v>
      </c>
      <c r="B15" s="3">
        <v>1860.09</v>
      </c>
      <c r="C15" s="3">
        <v>1873.49</v>
      </c>
      <c r="D15" s="3">
        <v>1854.63</v>
      </c>
      <c r="E15" s="3">
        <v>1872.01</v>
      </c>
      <c r="F15" s="3">
        <v>466686112</v>
      </c>
    </row>
    <row r="16" spans="1:6" ht="15.75" customHeight="1" x14ac:dyDescent="0.15">
      <c r="A16" s="3">
        <v>41719</v>
      </c>
      <c r="B16" s="3">
        <v>1874.53</v>
      </c>
      <c r="C16" s="3">
        <v>1883.97</v>
      </c>
      <c r="D16" s="3">
        <v>1863.46</v>
      </c>
      <c r="E16" s="3">
        <v>1866.4</v>
      </c>
      <c r="F16" s="3">
        <v>467074272</v>
      </c>
    </row>
    <row r="17" spans="1:6" ht="15.75" customHeight="1" x14ac:dyDescent="0.15">
      <c r="A17" s="3">
        <v>41722</v>
      </c>
      <c r="B17" s="3">
        <v>1867.67</v>
      </c>
      <c r="C17" s="3">
        <v>1873.34</v>
      </c>
      <c r="D17" s="3">
        <v>1849.69</v>
      </c>
      <c r="E17" s="3">
        <v>1857.44</v>
      </c>
      <c r="F17" s="3">
        <v>587997696</v>
      </c>
    </row>
    <row r="18" spans="1:6" ht="15.75" customHeight="1" x14ac:dyDescent="0.15">
      <c r="A18" s="3">
        <v>41723</v>
      </c>
      <c r="B18" s="3">
        <v>1859.48</v>
      </c>
      <c r="C18" s="3">
        <v>1871.87</v>
      </c>
      <c r="D18" s="3">
        <v>1855.96</v>
      </c>
      <c r="E18" s="3">
        <v>1865.62</v>
      </c>
      <c r="F18" s="3">
        <v>491555168</v>
      </c>
    </row>
    <row r="19" spans="1:6" ht="15.75" customHeight="1" x14ac:dyDescent="0.15">
      <c r="A19" s="3">
        <v>41724</v>
      </c>
      <c r="B19" s="3">
        <v>1867.09</v>
      </c>
      <c r="C19" s="3">
        <v>1875.92</v>
      </c>
      <c r="D19" s="3">
        <v>1852.56</v>
      </c>
      <c r="E19" s="3">
        <v>1852.56</v>
      </c>
      <c r="F19" s="3">
        <v>557786240</v>
      </c>
    </row>
    <row r="20" spans="1:6" ht="15.75" customHeight="1" x14ac:dyDescent="0.15">
      <c r="A20" s="3">
        <v>41725</v>
      </c>
      <c r="B20" s="3">
        <v>1852.11</v>
      </c>
      <c r="C20" s="3">
        <v>1855.55</v>
      </c>
      <c r="D20" s="3">
        <v>1842.11</v>
      </c>
      <c r="E20" s="3">
        <v>1849.04</v>
      </c>
      <c r="F20" s="3">
        <v>582975808</v>
      </c>
    </row>
    <row r="21" spans="1:6" ht="15.75" customHeight="1" x14ac:dyDescent="0.15">
      <c r="A21" s="3">
        <v>41726</v>
      </c>
      <c r="B21" s="3">
        <v>1850.07</v>
      </c>
      <c r="C21" s="3">
        <v>1866.63</v>
      </c>
      <c r="D21" s="3">
        <v>1850.07</v>
      </c>
      <c r="E21" s="3">
        <v>1857.62</v>
      </c>
      <c r="F21" s="3">
        <v>453530272</v>
      </c>
    </row>
    <row r="22" spans="1:6" ht="15.75" customHeight="1" x14ac:dyDescent="0.15">
      <c r="A22" s="3">
        <v>41729</v>
      </c>
      <c r="B22" s="3">
        <v>1859.16</v>
      </c>
      <c r="C22" s="3">
        <v>1875.18</v>
      </c>
      <c r="D22" s="3">
        <v>1859.16</v>
      </c>
      <c r="E22" s="3">
        <v>1872.34</v>
      </c>
      <c r="F22" s="3">
        <v>577791232</v>
      </c>
    </row>
    <row r="23" spans="1:6" ht="15.75" customHeight="1" x14ac:dyDescent="0.15">
      <c r="A23" s="3">
        <v>41730</v>
      </c>
      <c r="B23" s="3">
        <v>1873.96</v>
      </c>
      <c r="C23" s="3">
        <v>1885.84</v>
      </c>
      <c r="D23" s="3">
        <v>1873.96</v>
      </c>
      <c r="E23" s="3">
        <v>1885.52</v>
      </c>
      <c r="F23" s="3">
        <v>517284000</v>
      </c>
    </row>
    <row r="24" spans="1:6" ht="15.75" customHeight="1" x14ac:dyDescent="0.15">
      <c r="A24" s="3">
        <v>41731</v>
      </c>
      <c r="B24" s="3">
        <v>1886.61</v>
      </c>
      <c r="C24" s="3">
        <v>1893.17</v>
      </c>
      <c r="D24" s="3">
        <v>1883.79</v>
      </c>
      <c r="E24" s="3">
        <v>1890.9</v>
      </c>
      <c r="F24" s="3">
        <v>464985888</v>
      </c>
    </row>
    <row r="25" spans="1:6" ht="15.75" customHeight="1" x14ac:dyDescent="0.15">
      <c r="A25" s="3">
        <v>41732</v>
      </c>
      <c r="B25" s="3">
        <v>1891.43</v>
      </c>
      <c r="C25" s="3">
        <v>1893.8</v>
      </c>
      <c r="D25" s="3">
        <v>1882.65</v>
      </c>
      <c r="E25" s="3">
        <v>1888.77</v>
      </c>
      <c r="F25" s="3">
        <v>486754784</v>
      </c>
    </row>
    <row r="26" spans="1:6" ht="15.75" customHeight="1" x14ac:dyDescent="0.15">
      <c r="A26" s="3">
        <v>41733</v>
      </c>
      <c r="B26" s="3">
        <v>1890.25</v>
      </c>
      <c r="C26" s="3">
        <v>1897.28</v>
      </c>
      <c r="D26" s="3">
        <v>1863.26</v>
      </c>
      <c r="E26" s="3">
        <v>1865.09</v>
      </c>
      <c r="F26" s="3">
        <v>638944640</v>
      </c>
    </row>
    <row r="27" spans="1:6" ht="15.75" customHeight="1" x14ac:dyDescent="0.15">
      <c r="A27" s="3">
        <v>41736</v>
      </c>
      <c r="B27" s="3">
        <v>1863.92</v>
      </c>
      <c r="C27" s="3">
        <v>1864.04</v>
      </c>
      <c r="D27" s="3">
        <v>1841.48</v>
      </c>
      <c r="E27" s="3">
        <v>1845.04</v>
      </c>
      <c r="F27" s="3">
        <v>658198976</v>
      </c>
    </row>
    <row r="28" spans="1:6" ht="15.75" customHeight="1" x14ac:dyDescent="0.15">
      <c r="A28" s="3">
        <v>41737</v>
      </c>
      <c r="B28" s="3">
        <v>1845.48</v>
      </c>
      <c r="C28" s="3">
        <v>1854.95</v>
      </c>
      <c r="D28" s="3">
        <v>1837.49</v>
      </c>
      <c r="E28" s="3">
        <v>1851.96</v>
      </c>
      <c r="F28" s="3">
        <v>552294976</v>
      </c>
    </row>
    <row r="29" spans="1:6" ht="15.75" customHeight="1" x14ac:dyDescent="0.15">
      <c r="A29" s="3">
        <v>41738</v>
      </c>
      <c r="B29" s="3">
        <v>1852.64</v>
      </c>
      <c r="C29" s="3">
        <v>1872.43</v>
      </c>
      <c r="D29" s="3">
        <v>1852.38</v>
      </c>
      <c r="E29" s="3">
        <v>1872.18</v>
      </c>
      <c r="F29" s="3">
        <v>528252320</v>
      </c>
    </row>
    <row r="30" spans="1:6" ht="15.75" customHeight="1" x14ac:dyDescent="0.15">
      <c r="A30" s="3">
        <v>41739</v>
      </c>
      <c r="B30" s="3">
        <v>1872.28</v>
      </c>
      <c r="C30" s="3">
        <v>1872.53</v>
      </c>
      <c r="D30" s="3">
        <v>1830.87</v>
      </c>
      <c r="E30" s="3">
        <v>1833.08</v>
      </c>
      <c r="F30" s="3">
        <v>636842176</v>
      </c>
    </row>
    <row r="31" spans="1:6" ht="15.75" customHeight="1" x14ac:dyDescent="0.15">
      <c r="A31" s="3">
        <v>41740</v>
      </c>
      <c r="B31" s="3">
        <v>1830.65</v>
      </c>
      <c r="C31" s="3">
        <v>1835.07</v>
      </c>
      <c r="D31" s="3">
        <v>1814.36</v>
      </c>
      <c r="E31" s="3">
        <v>1815.69</v>
      </c>
      <c r="F31" s="3">
        <v>662168000</v>
      </c>
    </row>
    <row r="32" spans="1:6" ht="15.75" customHeight="1" x14ac:dyDescent="0.15">
      <c r="A32" s="3">
        <v>41743</v>
      </c>
      <c r="B32" s="3">
        <v>1818.18</v>
      </c>
      <c r="C32" s="3">
        <v>1834.19</v>
      </c>
      <c r="D32" s="3">
        <v>1815.8</v>
      </c>
      <c r="E32" s="3">
        <v>1830.61</v>
      </c>
      <c r="F32" s="3">
        <v>524937984</v>
      </c>
    </row>
    <row r="33" spans="1:6" ht="15.75" customHeight="1" x14ac:dyDescent="0.15">
      <c r="A33" s="3">
        <v>41744</v>
      </c>
      <c r="B33" s="3">
        <v>1831.45</v>
      </c>
      <c r="C33" s="3">
        <v>1844.02</v>
      </c>
      <c r="D33" s="3">
        <v>1816.29</v>
      </c>
      <c r="E33" s="3">
        <v>1842.98</v>
      </c>
      <c r="F33" s="3">
        <v>591081920</v>
      </c>
    </row>
    <row r="34" spans="1:6" ht="15.75" customHeight="1" x14ac:dyDescent="0.15">
      <c r="A34" s="3">
        <v>41745</v>
      </c>
      <c r="B34" s="3">
        <v>1846.01</v>
      </c>
      <c r="C34" s="3">
        <v>1862.31</v>
      </c>
      <c r="D34" s="3">
        <v>1846.01</v>
      </c>
      <c r="E34" s="3">
        <v>1862.31</v>
      </c>
      <c r="F34" s="3">
        <v>536467008</v>
      </c>
    </row>
    <row r="35" spans="1:6" ht="15.75" customHeight="1" x14ac:dyDescent="0.15">
      <c r="A35" s="3">
        <v>41746</v>
      </c>
      <c r="B35" s="3">
        <v>1861.73</v>
      </c>
      <c r="C35" s="3">
        <v>1869.63</v>
      </c>
      <c r="D35" s="3">
        <v>1856.72</v>
      </c>
      <c r="E35" s="3">
        <v>1864.85</v>
      </c>
      <c r="F35" s="3">
        <v>665615680</v>
      </c>
    </row>
    <row r="36" spans="1:6" ht="15.75" customHeight="1" x14ac:dyDescent="0.15">
      <c r="A36" s="3">
        <v>41750</v>
      </c>
      <c r="B36" s="3">
        <v>1865.79</v>
      </c>
      <c r="C36" s="3">
        <v>1871.89</v>
      </c>
      <c r="D36" s="3">
        <v>1863.18</v>
      </c>
      <c r="E36" s="3">
        <v>1871.89</v>
      </c>
      <c r="F36" s="3">
        <v>445363456</v>
      </c>
    </row>
    <row r="37" spans="1:6" ht="15.75" customHeight="1" x14ac:dyDescent="0.15">
      <c r="A37" s="3">
        <v>41751</v>
      </c>
      <c r="B37" s="3">
        <v>1872.57</v>
      </c>
      <c r="C37" s="3">
        <v>1884.89</v>
      </c>
      <c r="D37" s="3">
        <v>1872.57</v>
      </c>
      <c r="E37" s="3">
        <v>1879.55</v>
      </c>
      <c r="F37" s="3">
        <v>492930048</v>
      </c>
    </row>
    <row r="38" spans="1:6" ht="15.75" customHeight="1" x14ac:dyDescent="0.15">
      <c r="A38" s="3">
        <v>41752</v>
      </c>
      <c r="B38" s="3">
        <v>1879.32</v>
      </c>
      <c r="C38" s="3">
        <v>1879.75</v>
      </c>
      <c r="D38" s="3">
        <v>1873.91</v>
      </c>
      <c r="E38" s="3">
        <v>1875.39</v>
      </c>
      <c r="F38" s="3">
        <v>477160160</v>
      </c>
    </row>
    <row r="39" spans="1:6" ht="15.75" customHeight="1" x14ac:dyDescent="0.15">
      <c r="A39" s="3">
        <v>41753</v>
      </c>
      <c r="B39" s="3">
        <v>1881.97</v>
      </c>
      <c r="C39" s="3">
        <v>1884.06</v>
      </c>
      <c r="D39" s="3">
        <v>1870.24</v>
      </c>
      <c r="E39" s="3">
        <v>1878.61</v>
      </c>
      <c r="F39" s="3">
        <v>523635648</v>
      </c>
    </row>
    <row r="40" spans="1:6" ht="13" x14ac:dyDescent="0.15">
      <c r="A40" s="3">
        <v>41754</v>
      </c>
      <c r="B40" s="3">
        <v>1877.72</v>
      </c>
      <c r="C40" s="3">
        <v>1877.72</v>
      </c>
      <c r="D40" s="3">
        <v>1859.7</v>
      </c>
      <c r="E40" s="3">
        <v>1863.4</v>
      </c>
      <c r="F40" s="3">
        <v>526693760</v>
      </c>
    </row>
    <row r="41" spans="1:6" ht="13" x14ac:dyDescent="0.15">
      <c r="A41" s="3">
        <v>41757</v>
      </c>
      <c r="B41" s="3">
        <v>1865</v>
      </c>
      <c r="C41" s="3">
        <v>1877.01</v>
      </c>
      <c r="D41" s="3">
        <v>1850.61</v>
      </c>
      <c r="E41" s="3">
        <v>1869.43</v>
      </c>
      <c r="F41" s="3">
        <v>644484864</v>
      </c>
    </row>
    <row r="42" spans="1:6" ht="13" x14ac:dyDescent="0.15">
      <c r="A42" s="3">
        <v>41758</v>
      </c>
      <c r="B42" s="3">
        <v>1870.78</v>
      </c>
      <c r="C42" s="3">
        <v>1880.6</v>
      </c>
      <c r="D42" s="3">
        <v>1870.78</v>
      </c>
      <c r="E42" s="3">
        <v>1878.33</v>
      </c>
      <c r="F42" s="3">
        <v>489629056</v>
      </c>
    </row>
    <row r="43" spans="1:6" ht="13" x14ac:dyDescent="0.15">
      <c r="A43" s="3">
        <v>41759</v>
      </c>
      <c r="B43" s="3">
        <v>1877.1</v>
      </c>
      <c r="C43" s="3">
        <v>1885.2</v>
      </c>
      <c r="D43" s="3">
        <v>1872.69</v>
      </c>
      <c r="E43" s="3">
        <v>1883.95</v>
      </c>
      <c r="F43" s="3">
        <v>628293440</v>
      </c>
    </row>
    <row r="44" spans="1:6" ht="13" x14ac:dyDescent="0.15">
      <c r="A44" s="3">
        <v>41760</v>
      </c>
      <c r="B44" s="3">
        <v>1884.39</v>
      </c>
      <c r="C44" s="3">
        <v>1888.59</v>
      </c>
      <c r="D44" s="3">
        <v>1878.04</v>
      </c>
      <c r="E44" s="3">
        <v>1883.68</v>
      </c>
      <c r="F44" s="3">
        <v>467927456</v>
      </c>
    </row>
    <row r="45" spans="1:6" ht="13" x14ac:dyDescent="0.15">
      <c r="A45" s="3">
        <v>41761</v>
      </c>
      <c r="B45" s="3">
        <v>1885.3</v>
      </c>
      <c r="C45" s="3">
        <v>1891.33</v>
      </c>
      <c r="D45" s="3">
        <v>1878.5</v>
      </c>
      <c r="E45" s="3">
        <v>1881.14</v>
      </c>
      <c r="F45" s="3">
        <v>463646976</v>
      </c>
    </row>
    <row r="46" spans="1:6" ht="13" x14ac:dyDescent="0.15">
      <c r="A46" s="3">
        <v>41764</v>
      </c>
      <c r="B46" s="3">
        <v>1879.45</v>
      </c>
      <c r="C46" s="3">
        <v>1885.51</v>
      </c>
      <c r="D46" s="3">
        <v>1866.77</v>
      </c>
      <c r="E46" s="3">
        <v>1884.66</v>
      </c>
      <c r="F46" s="3">
        <v>417757888</v>
      </c>
    </row>
    <row r="47" spans="1:6" ht="13" x14ac:dyDescent="0.15">
      <c r="A47" s="3">
        <v>41765</v>
      </c>
      <c r="B47" s="3">
        <v>1883.69</v>
      </c>
      <c r="C47" s="3">
        <v>1883.69</v>
      </c>
      <c r="D47" s="3">
        <v>1867.72</v>
      </c>
      <c r="E47" s="3">
        <v>1867.72</v>
      </c>
      <c r="F47" s="3">
        <v>474352512</v>
      </c>
    </row>
    <row r="48" spans="1:6" ht="13" x14ac:dyDescent="0.15">
      <c r="A48" s="3">
        <v>41766</v>
      </c>
      <c r="B48" s="3">
        <v>1868.53</v>
      </c>
      <c r="C48" s="3">
        <v>1878.83</v>
      </c>
      <c r="D48" s="3">
        <v>1859.79</v>
      </c>
      <c r="E48" s="3">
        <v>1878.21</v>
      </c>
      <c r="F48" s="3">
        <v>563477184</v>
      </c>
    </row>
    <row r="49" spans="1:6" ht="13" x14ac:dyDescent="0.15">
      <c r="A49" s="3">
        <v>41767</v>
      </c>
      <c r="B49" s="3">
        <v>1877.39</v>
      </c>
      <c r="C49" s="3">
        <v>1889.07</v>
      </c>
      <c r="D49" s="3">
        <v>1870.05</v>
      </c>
      <c r="E49" s="3">
        <v>1875.63</v>
      </c>
      <c r="F49" s="3">
        <v>488601056</v>
      </c>
    </row>
    <row r="50" spans="1:6" ht="13" x14ac:dyDescent="0.15">
      <c r="A50" s="3">
        <v>41768</v>
      </c>
      <c r="B50" s="3">
        <v>1875.27</v>
      </c>
      <c r="C50" s="3">
        <v>1878.57</v>
      </c>
      <c r="D50" s="3">
        <v>1867.02</v>
      </c>
      <c r="E50" s="3">
        <v>1878.48</v>
      </c>
      <c r="F50" s="3">
        <v>473517760</v>
      </c>
    </row>
    <row r="51" spans="1:6" ht="13" x14ac:dyDescent="0.15">
      <c r="A51" s="3">
        <v>41771</v>
      </c>
      <c r="B51" s="3">
        <v>1880.03</v>
      </c>
      <c r="C51" s="3">
        <v>1897.13</v>
      </c>
      <c r="D51" s="3">
        <v>1880.03</v>
      </c>
      <c r="E51" s="3">
        <v>1896.65</v>
      </c>
      <c r="F51" s="3">
        <v>448873920</v>
      </c>
    </row>
    <row r="52" spans="1:6" ht="13" x14ac:dyDescent="0.15">
      <c r="A52" s="3">
        <v>41772</v>
      </c>
      <c r="B52" s="3">
        <v>1896.75</v>
      </c>
      <c r="C52" s="3">
        <v>1902.17</v>
      </c>
      <c r="D52" s="3">
        <v>1896.06</v>
      </c>
      <c r="E52" s="3">
        <v>1897.45</v>
      </c>
      <c r="F52" s="3">
        <v>418316096</v>
      </c>
    </row>
    <row r="53" spans="1:6" ht="13" x14ac:dyDescent="0.15">
      <c r="A53" s="3">
        <v>41773</v>
      </c>
      <c r="B53" s="3">
        <v>1897.13</v>
      </c>
      <c r="C53" s="3">
        <v>1897.13</v>
      </c>
      <c r="D53" s="3">
        <v>1885.77</v>
      </c>
      <c r="E53" s="3">
        <v>1888.53</v>
      </c>
      <c r="F53" s="3">
        <v>421797344</v>
      </c>
    </row>
    <row r="54" spans="1:6" ht="13" x14ac:dyDescent="0.15">
      <c r="A54" s="3">
        <v>41774</v>
      </c>
      <c r="B54" s="3">
        <v>1888.16</v>
      </c>
      <c r="C54" s="3">
        <v>1888.16</v>
      </c>
      <c r="D54" s="3">
        <v>1862.36</v>
      </c>
      <c r="E54" s="3">
        <v>1870.85</v>
      </c>
      <c r="F54" s="3">
        <v>547150144</v>
      </c>
    </row>
    <row r="55" spans="1:6" ht="13" x14ac:dyDescent="0.15">
      <c r="A55" s="3">
        <v>41775</v>
      </c>
      <c r="B55" s="3">
        <v>1871.19</v>
      </c>
      <c r="C55" s="3">
        <v>1878.28</v>
      </c>
      <c r="D55" s="3">
        <v>1864.82</v>
      </c>
      <c r="E55" s="3">
        <v>1877.86</v>
      </c>
      <c r="F55" s="3">
        <v>624141440</v>
      </c>
    </row>
    <row r="56" spans="1:6" ht="13" x14ac:dyDescent="0.15">
      <c r="A56" s="3">
        <v>41778</v>
      </c>
      <c r="B56" s="3">
        <v>1876.66</v>
      </c>
      <c r="C56" s="3">
        <v>1886</v>
      </c>
      <c r="D56" s="3">
        <v>1872.42</v>
      </c>
      <c r="E56" s="3">
        <v>1885.08</v>
      </c>
      <c r="F56" s="3">
        <v>433358368</v>
      </c>
    </row>
    <row r="57" spans="1:6" ht="13" x14ac:dyDescent="0.15">
      <c r="A57" s="3">
        <v>41779</v>
      </c>
      <c r="B57" s="3">
        <v>1884.88</v>
      </c>
      <c r="C57" s="3">
        <v>1884.88</v>
      </c>
      <c r="D57" s="3">
        <v>1868.14</v>
      </c>
      <c r="E57" s="3">
        <v>1872.83</v>
      </c>
      <c r="F57" s="3">
        <v>434958592</v>
      </c>
    </row>
    <row r="58" spans="1:6" ht="13" x14ac:dyDescent="0.15">
      <c r="A58" s="3">
        <v>41780</v>
      </c>
      <c r="B58" s="3">
        <v>1873.34</v>
      </c>
      <c r="C58" s="3">
        <v>1888.8</v>
      </c>
      <c r="D58" s="3">
        <v>1873.34</v>
      </c>
      <c r="E58" s="3">
        <v>1888.03</v>
      </c>
      <c r="F58" s="3">
        <v>410737824</v>
      </c>
    </row>
    <row r="59" spans="1:6" ht="13" x14ac:dyDescent="0.15">
      <c r="A59" s="3">
        <v>41781</v>
      </c>
      <c r="B59" s="3">
        <v>1888.19</v>
      </c>
      <c r="C59" s="3">
        <v>1896.33</v>
      </c>
      <c r="D59" s="3">
        <v>1885.39</v>
      </c>
      <c r="E59" s="3">
        <v>1892.49</v>
      </c>
      <c r="F59" s="3">
        <v>385627136</v>
      </c>
    </row>
    <row r="60" spans="1:6" ht="13" x14ac:dyDescent="0.15">
      <c r="A60" s="3">
        <v>41782</v>
      </c>
      <c r="B60" s="3">
        <v>1893.32</v>
      </c>
      <c r="C60" s="3">
        <v>1901.26</v>
      </c>
      <c r="D60" s="3">
        <v>1893.32</v>
      </c>
      <c r="E60" s="3">
        <v>1900.53</v>
      </c>
      <c r="F60" s="3">
        <v>373453440</v>
      </c>
    </row>
    <row r="61" spans="1:6" ht="13" x14ac:dyDescent="0.15">
      <c r="A61" s="3">
        <v>41786</v>
      </c>
      <c r="B61" s="3">
        <v>1902.01</v>
      </c>
      <c r="C61" s="3">
        <v>1912.28</v>
      </c>
      <c r="D61" s="3">
        <v>1902.01</v>
      </c>
      <c r="E61" s="3">
        <v>1911.91</v>
      </c>
      <c r="F61" s="3">
        <v>469651584</v>
      </c>
    </row>
    <row r="62" spans="1:6" ht="13" x14ac:dyDescent="0.15">
      <c r="A62" s="3">
        <v>41787</v>
      </c>
      <c r="B62" s="3">
        <v>1911.77</v>
      </c>
      <c r="C62" s="3">
        <v>1914.46</v>
      </c>
      <c r="D62" s="3">
        <v>1907.3</v>
      </c>
      <c r="E62" s="3">
        <v>1909.78</v>
      </c>
      <c r="F62" s="3">
        <v>408913632</v>
      </c>
    </row>
    <row r="63" spans="1:6" ht="13" x14ac:dyDescent="0.15">
      <c r="A63" s="3">
        <v>41788</v>
      </c>
      <c r="B63" s="3">
        <v>1910.6</v>
      </c>
      <c r="C63" s="3">
        <v>1920.03</v>
      </c>
      <c r="D63" s="3">
        <v>1909.82</v>
      </c>
      <c r="E63" s="3">
        <v>1920.03</v>
      </c>
      <c r="F63" s="3">
        <v>371582016</v>
      </c>
    </row>
    <row r="64" spans="1:6" ht="13" x14ac:dyDescent="0.15">
      <c r="A64" s="3">
        <v>41789</v>
      </c>
      <c r="B64" s="3">
        <v>1920.33</v>
      </c>
      <c r="C64" s="3">
        <v>1924.03</v>
      </c>
      <c r="D64" s="3">
        <v>1916.64</v>
      </c>
      <c r="E64" s="3">
        <v>1923.57</v>
      </c>
      <c r="F64" s="3">
        <v>600479040</v>
      </c>
    </row>
    <row r="65" spans="1:6" ht="13" x14ac:dyDescent="0.15">
      <c r="A65" s="3">
        <v>41792</v>
      </c>
      <c r="B65" s="3">
        <v>1923.87</v>
      </c>
      <c r="C65" s="3">
        <v>1925.88</v>
      </c>
      <c r="D65" s="3">
        <v>1915.98</v>
      </c>
      <c r="E65" s="3">
        <v>1924.97</v>
      </c>
      <c r="F65" s="3">
        <v>376839328</v>
      </c>
    </row>
    <row r="66" spans="1:6" ht="13" x14ac:dyDescent="0.15">
      <c r="A66" s="3">
        <v>41793</v>
      </c>
      <c r="B66" s="3">
        <v>1923.07</v>
      </c>
      <c r="C66" s="3">
        <v>1925.07</v>
      </c>
      <c r="D66" s="3">
        <v>1918.79</v>
      </c>
      <c r="E66" s="3">
        <v>1924.24</v>
      </c>
      <c r="F66" s="3">
        <v>414828224</v>
      </c>
    </row>
    <row r="67" spans="1:6" ht="13" x14ac:dyDescent="0.15">
      <c r="A67" s="3">
        <v>41794</v>
      </c>
      <c r="B67" s="3">
        <v>1923.06</v>
      </c>
      <c r="C67" s="3">
        <v>1928.63</v>
      </c>
      <c r="D67" s="3">
        <v>1918.6</v>
      </c>
      <c r="E67" s="3">
        <v>1927.88</v>
      </c>
      <c r="F67" s="3">
        <v>403720832</v>
      </c>
    </row>
    <row r="68" spans="1:6" ht="13" x14ac:dyDescent="0.15">
      <c r="A68" s="3">
        <v>41795</v>
      </c>
      <c r="B68" s="3">
        <v>1928.52</v>
      </c>
      <c r="C68" s="3">
        <v>1941.74</v>
      </c>
      <c r="D68" s="3">
        <v>1922.93</v>
      </c>
      <c r="E68" s="3">
        <v>1940.46</v>
      </c>
      <c r="F68" s="3">
        <v>431114816</v>
      </c>
    </row>
    <row r="69" spans="1:6" ht="13" x14ac:dyDescent="0.15">
      <c r="A69" s="3">
        <v>41796</v>
      </c>
      <c r="B69" s="3">
        <v>1942.41</v>
      </c>
      <c r="C69" s="3">
        <v>1949.44</v>
      </c>
      <c r="D69" s="3">
        <v>1942.41</v>
      </c>
      <c r="E69" s="3">
        <v>1949.44</v>
      </c>
      <c r="F69" s="3">
        <v>445146016</v>
      </c>
    </row>
    <row r="70" spans="1:6" ht="13" x14ac:dyDescent="0.15">
      <c r="A70" s="3">
        <v>41799</v>
      </c>
      <c r="B70" s="3">
        <v>1948.97</v>
      </c>
      <c r="C70" s="3">
        <v>1955.55</v>
      </c>
      <c r="D70" s="3">
        <v>1947.16</v>
      </c>
      <c r="E70" s="3">
        <v>1951.27</v>
      </c>
      <c r="F70" s="3">
        <v>422394272</v>
      </c>
    </row>
    <row r="71" spans="1:6" ht="13" x14ac:dyDescent="0.15">
      <c r="A71" s="3">
        <v>41800</v>
      </c>
      <c r="B71" s="3">
        <v>1950.34</v>
      </c>
      <c r="C71" s="3">
        <v>1950.86</v>
      </c>
      <c r="D71" s="3">
        <v>1944.64</v>
      </c>
      <c r="E71" s="3">
        <v>1950.79</v>
      </c>
      <c r="F71" s="3">
        <v>405657120</v>
      </c>
    </row>
    <row r="72" spans="1:6" ht="13" x14ac:dyDescent="0.15">
      <c r="A72" s="3">
        <v>41801</v>
      </c>
      <c r="B72" s="3">
        <v>1949.37</v>
      </c>
      <c r="C72" s="3">
        <v>1949.37</v>
      </c>
      <c r="D72" s="3">
        <v>1940.08</v>
      </c>
      <c r="E72" s="3">
        <v>1943.89</v>
      </c>
      <c r="F72" s="3">
        <v>387269952</v>
      </c>
    </row>
    <row r="73" spans="1:6" ht="13" x14ac:dyDescent="0.15">
      <c r="A73" s="3">
        <v>41802</v>
      </c>
      <c r="B73" s="3">
        <v>1943.35</v>
      </c>
      <c r="C73" s="3">
        <v>1943.35</v>
      </c>
      <c r="D73" s="3">
        <v>1925.78</v>
      </c>
      <c r="E73" s="3">
        <v>1930.11</v>
      </c>
      <c r="F73" s="3">
        <v>459652960</v>
      </c>
    </row>
    <row r="74" spans="1:6" ht="13" x14ac:dyDescent="0.15">
      <c r="A74" s="3">
        <v>41803</v>
      </c>
      <c r="B74" s="3">
        <v>1930.8</v>
      </c>
      <c r="C74" s="3">
        <v>1937.3</v>
      </c>
      <c r="D74" s="3">
        <v>1927.69</v>
      </c>
      <c r="E74" s="3">
        <v>1936.16</v>
      </c>
      <c r="F74" s="3">
        <v>445365184</v>
      </c>
    </row>
    <row r="75" spans="1:6" ht="13" x14ac:dyDescent="0.15">
      <c r="A75" s="3">
        <v>41806</v>
      </c>
      <c r="B75" s="3">
        <v>1934.84</v>
      </c>
      <c r="C75" s="3">
        <v>1941.15</v>
      </c>
      <c r="D75" s="3">
        <v>1930.91</v>
      </c>
      <c r="E75" s="3">
        <v>1937.78</v>
      </c>
      <c r="F75" s="3">
        <v>437282624</v>
      </c>
    </row>
    <row r="76" spans="1:6" ht="13" x14ac:dyDescent="0.15">
      <c r="A76" s="3">
        <v>41807</v>
      </c>
      <c r="B76" s="3">
        <v>1937.15</v>
      </c>
      <c r="C76" s="3">
        <v>1943.69</v>
      </c>
      <c r="D76" s="3">
        <v>1933.55</v>
      </c>
      <c r="E76" s="3">
        <v>1941.99</v>
      </c>
      <c r="F76" s="3">
        <v>405728416</v>
      </c>
    </row>
    <row r="77" spans="1:6" ht="13" x14ac:dyDescent="0.15">
      <c r="A77" s="3">
        <v>41808</v>
      </c>
      <c r="B77" s="3">
        <v>1942.73</v>
      </c>
      <c r="C77" s="3">
        <v>1957.74</v>
      </c>
      <c r="D77" s="3">
        <v>1939.29</v>
      </c>
      <c r="E77" s="3">
        <v>1956.98</v>
      </c>
      <c r="F77" s="3">
        <v>436444992</v>
      </c>
    </row>
    <row r="78" spans="1:6" ht="13" x14ac:dyDescent="0.15">
      <c r="A78" s="3">
        <v>41809</v>
      </c>
      <c r="B78" s="3">
        <v>1957.5</v>
      </c>
      <c r="C78" s="3">
        <v>1959.87</v>
      </c>
      <c r="D78" s="3">
        <v>1952.26</v>
      </c>
      <c r="E78" s="3">
        <v>1959.48</v>
      </c>
      <c r="F78" s="3">
        <v>475988512</v>
      </c>
    </row>
    <row r="79" spans="1:6" ht="13" x14ac:dyDescent="0.15">
      <c r="A79" s="3">
        <v>41810</v>
      </c>
      <c r="B79" s="3">
        <v>1960.45</v>
      </c>
      <c r="C79" s="3">
        <v>1963.91</v>
      </c>
      <c r="D79" s="3">
        <v>1959.17</v>
      </c>
      <c r="E79" s="3">
        <v>1962.87</v>
      </c>
      <c r="F79" s="3">
        <v>135843744</v>
      </c>
    </row>
    <row r="80" spans="1:6" ht="13" x14ac:dyDescent="0.15">
      <c r="A80" s="3">
        <v>41813</v>
      </c>
      <c r="B80" s="3">
        <v>1962.92</v>
      </c>
      <c r="C80" s="3">
        <v>1963.74</v>
      </c>
      <c r="D80" s="3">
        <v>1958.89</v>
      </c>
      <c r="E80" s="3">
        <v>1962.61</v>
      </c>
      <c r="F80" s="3">
        <v>411647168</v>
      </c>
    </row>
    <row r="81" spans="1:6" ht="13" x14ac:dyDescent="0.15">
      <c r="A81" s="3">
        <v>41814</v>
      </c>
      <c r="B81" s="3">
        <v>1961.97</v>
      </c>
      <c r="C81" s="3">
        <v>1968.17</v>
      </c>
      <c r="D81" s="3">
        <v>1948.34</v>
      </c>
      <c r="E81" s="3">
        <v>1949.98</v>
      </c>
      <c r="F81" s="3">
        <v>470764128</v>
      </c>
    </row>
    <row r="82" spans="1:6" ht="13" x14ac:dyDescent="0.15">
      <c r="A82" s="3">
        <v>41815</v>
      </c>
      <c r="B82" s="3">
        <v>1949.27</v>
      </c>
      <c r="C82" s="3">
        <v>1960.83</v>
      </c>
      <c r="D82" s="3">
        <v>1947.49</v>
      </c>
      <c r="E82" s="3">
        <v>1959.53</v>
      </c>
      <c r="F82" s="3">
        <v>455221600</v>
      </c>
    </row>
    <row r="83" spans="1:6" ht="13" x14ac:dyDescent="0.15">
      <c r="A83" s="3">
        <v>41816</v>
      </c>
      <c r="B83" s="3">
        <v>1959.89</v>
      </c>
      <c r="C83" s="3">
        <v>1959.89</v>
      </c>
      <c r="D83" s="3">
        <v>1944.69</v>
      </c>
      <c r="E83" s="3">
        <v>1957.22</v>
      </c>
      <c r="F83" s="3">
        <v>404513120</v>
      </c>
    </row>
    <row r="84" spans="1:6" ht="13" x14ac:dyDescent="0.15">
      <c r="A84" s="3">
        <v>41817</v>
      </c>
      <c r="B84" s="3">
        <v>1956.56</v>
      </c>
      <c r="C84" s="3">
        <v>1961.47</v>
      </c>
      <c r="D84" s="3">
        <v>1952.18</v>
      </c>
      <c r="E84" s="3">
        <v>1960.96</v>
      </c>
      <c r="F84" s="3">
        <v>736911552</v>
      </c>
    </row>
    <row r="85" spans="1:6" ht="13" x14ac:dyDescent="0.15">
      <c r="A85" s="3">
        <v>41820</v>
      </c>
      <c r="B85" s="3">
        <v>1960.79</v>
      </c>
      <c r="C85" s="3">
        <v>1964.24</v>
      </c>
      <c r="D85" s="3">
        <v>1958.22</v>
      </c>
      <c r="E85" s="3">
        <v>1960.23</v>
      </c>
      <c r="F85" s="3">
        <v>527424320</v>
      </c>
    </row>
    <row r="86" spans="1:6" ht="13" x14ac:dyDescent="0.15">
      <c r="A86" s="3">
        <v>41821</v>
      </c>
      <c r="B86" s="3">
        <v>1962.29</v>
      </c>
      <c r="C86" s="3">
        <v>1978.58</v>
      </c>
      <c r="D86" s="3">
        <v>1962.29</v>
      </c>
      <c r="E86" s="3">
        <v>1973.32</v>
      </c>
      <c r="F86" s="3">
        <v>438726336</v>
      </c>
    </row>
    <row r="87" spans="1:6" ht="13" x14ac:dyDescent="0.15">
      <c r="A87" s="3">
        <v>41822</v>
      </c>
      <c r="B87" s="3">
        <v>1973.06</v>
      </c>
      <c r="C87" s="3">
        <v>1976.67</v>
      </c>
      <c r="D87" s="3">
        <v>1972.58</v>
      </c>
      <c r="E87" s="3">
        <v>1974.62</v>
      </c>
      <c r="F87" s="3">
        <v>386013920</v>
      </c>
    </row>
    <row r="88" spans="1:6" ht="13" x14ac:dyDescent="0.15">
      <c r="A88" s="3">
        <v>41823</v>
      </c>
      <c r="B88" s="3">
        <v>1975.88</v>
      </c>
      <c r="C88" s="3">
        <v>1985.59</v>
      </c>
      <c r="D88" s="3">
        <v>1975.88</v>
      </c>
      <c r="E88" s="3">
        <v>1985.44</v>
      </c>
      <c r="F88" s="3">
        <v>366541184</v>
      </c>
    </row>
    <row r="89" spans="1:6" ht="13" x14ac:dyDescent="0.15">
      <c r="A89" s="3">
        <v>41827</v>
      </c>
      <c r="B89" s="3">
        <v>1984.22</v>
      </c>
      <c r="C89" s="3">
        <v>1984.22</v>
      </c>
      <c r="D89" s="3">
        <v>1974.88</v>
      </c>
      <c r="E89" s="3">
        <v>1977.65</v>
      </c>
      <c r="F89" s="3">
        <v>399477312</v>
      </c>
    </row>
    <row r="90" spans="1:6" ht="13" x14ac:dyDescent="0.15">
      <c r="A90" s="3">
        <v>41828</v>
      </c>
      <c r="B90" s="3">
        <v>1976.39</v>
      </c>
      <c r="C90" s="3">
        <v>1976.39</v>
      </c>
      <c r="D90" s="3">
        <v>1959.46</v>
      </c>
      <c r="E90" s="3">
        <v>1963.71</v>
      </c>
      <c r="F90" s="3">
        <v>482711136</v>
      </c>
    </row>
    <row r="91" spans="1:6" ht="13" x14ac:dyDescent="0.15">
      <c r="A91" s="3">
        <v>41829</v>
      </c>
      <c r="B91" s="3">
        <v>1965.1</v>
      </c>
      <c r="C91" s="3">
        <v>1974.15</v>
      </c>
      <c r="D91" s="3">
        <v>1965.1</v>
      </c>
      <c r="E91" s="3">
        <v>1972.83</v>
      </c>
      <c r="F91" s="3">
        <v>414846592</v>
      </c>
    </row>
    <row r="92" spans="1:6" ht="13" x14ac:dyDescent="0.15">
      <c r="A92" s="3">
        <v>41830</v>
      </c>
      <c r="B92" s="3">
        <v>1966.67</v>
      </c>
      <c r="C92" s="3">
        <v>1969.84</v>
      </c>
      <c r="D92" s="3">
        <v>1952.86</v>
      </c>
      <c r="E92" s="3">
        <v>1964.68</v>
      </c>
      <c r="F92" s="3">
        <v>417454240</v>
      </c>
    </row>
    <row r="93" spans="1:6" ht="13" x14ac:dyDescent="0.15">
      <c r="A93" s="3">
        <v>41831</v>
      </c>
      <c r="B93" s="3">
        <v>1965.76</v>
      </c>
      <c r="C93" s="3">
        <v>1968.67</v>
      </c>
      <c r="D93" s="3">
        <v>1959.63</v>
      </c>
      <c r="E93" s="3">
        <v>1967.57</v>
      </c>
      <c r="F93" s="3">
        <v>375539200</v>
      </c>
    </row>
    <row r="94" spans="1:6" ht="13" x14ac:dyDescent="0.15">
      <c r="A94" s="3">
        <v>41834</v>
      </c>
      <c r="B94" s="3">
        <v>1969.86</v>
      </c>
      <c r="C94" s="3">
        <v>1979.85</v>
      </c>
      <c r="D94" s="3">
        <v>1969.86</v>
      </c>
      <c r="E94" s="3">
        <v>1977.1</v>
      </c>
      <c r="F94" s="3">
        <v>398058944</v>
      </c>
    </row>
    <row r="95" spans="1:6" ht="13" x14ac:dyDescent="0.15">
      <c r="A95" s="3">
        <v>41835</v>
      </c>
      <c r="B95" s="3">
        <v>1977.36</v>
      </c>
      <c r="C95" s="3">
        <v>1982.52</v>
      </c>
      <c r="D95" s="3">
        <v>1965.34</v>
      </c>
      <c r="E95" s="3">
        <v>1973.28</v>
      </c>
      <c r="F95" s="3">
        <v>543763072</v>
      </c>
    </row>
    <row r="96" spans="1:6" ht="13" x14ac:dyDescent="0.15">
      <c r="A96" s="3">
        <v>41836</v>
      </c>
      <c r="B96" s="3">
        <v>1976.35</v>
      </c>
      <c r="C96" s="3">
        <v>1983.94</v>
      </c>
      <c r="D96" s="3">
        <v>1975.67</v>
      </c>
      <c r="E96" s="3">
        <v>1981.57</v>
      </c>
      <c r="F96" s="3">
        <v>517286592</v>
      </c>
    </row>
    <row r="97" spans="1:6" ht="13" x14ac:dyDescent="0.15">
      <c r="A97" s="3">
        <v>41837</v>
      </c>
      <c r="B97" s="3">
        <v>1979.75</v>
      </c>
      <c r="C97" s="3">
        <v>1981.8</v>
      </c>
      <c r="D97" s="3">
        <v>1955.59</v>
      </c>
      <c r="E97" s="3">
        <v>1958.12</v>
      </c>
      <c r="F97" s="3">
        <v>541465984</v>
      </c>
    </row>
    <row r="98" spans="1:6" ht="13" x14ac:dyDescent="0.15">
      <c r="A98" s="3">
        <v>41838</v>
      </c>
      <c r="B98" s="3">
        <v>1961.54</v>
      </c>
      <c r="C98" s="3">
        <v>1979.91</v>
      </c>
      <c r="D98" s="3">
        <v>1960.82</v>
      </c>
      <c r="E98" s="3">
        <v>1978.22</v>
      </c>
      <c r="F98" s="3">
        <v>582922816</v>
      </c>
    </row>
    <row r="99" spans="1:6" ht="13" x14ac:dyDescent="0.15">
      <c r="A99" s="3">
        <v>41841</v>
      </c>
      <c r="B99" s="3">
        <v>1976.93</v>
      </c>
      <c r="C99" s="3">
        <v>1976.93</v>
      </c>
      <c r="D99" s="3">
        <v>1965.77</v>
      </c>
      <c r="E99" s="3">
        <v>1973.63</v>
      </c>
      <c r="F99" s="3">
        <v>397271328</v>
      </c>
    </row>
    <row r="100" spans="1:6" ht="13" x14ac:dyDescent="0.15">
      <c r="A100" s="3">
        <v>41842</v>
      </c>
      <c r="B100" s="3">
        <v>1975.65</v>
      </c>
      <c r="C100" s="3">
        <v>1986.24</v>
      </c>
      <c r="D100" s="3">
        <v>1975.65</v>
      </c>
      <c r="E100" s="3">
        <v>1983.53</v>
      </c>
      <c r="F100" s="3">
        <v>425403744</v>
      </c>
    </row>
    <row r="101" spans="1:6" ht="13" x14ac:dyDescent="0.15">
      <c r="A101" s="3">
        <v>41843</v>
      </c>
      <c r="B101" s="3">
        <v>1985.32</v>
      </c>
      <c r="C101" s="3">
        <v>1989.23</v>
      </c>
      <c r="D101" s="3">
        <v>1982.44</v>
      </c>
      <c r="E101" s="3">
        <v>1987.01</v>
      </c>
      <c r="F101" s="3">
        <v>466605984</v>
      </c>
    </row>
    <row r="102" spans="1:6" ht="13" x14ac:dyDescent="0.15">
      <c r="A102" s="3">
        <v>41844</v>
      </c>
      <c r="B102" s="3">
        <v>1988.07</v>
      </c>
      <c r="C102" s="3">
        <v>1991.39</v>
      </c>
      <c r="D102" s="3">
        <v>1985.79</v>
      </c>
      <c r="E102" s="3">
        <v>1987.98</v>
      </c>
      <c r="F102" s="3">
        <v>471341632</v>
      </c>
    </row>
    <row r="103" spans="1:6" ht="13" x14ac:dyDescent="0.15">
      <c r="A103" s="3">
        <v>41845</v>
      </c>
      <c r="B103" s="3">
        <v>1984.6</v>
      </c>
      <c r="C103" s="3">
        <v>1984.6</v>
      </c>
      <c r="D103" s="3">
        <v>1974.37</v>
      </c>
      <c r="E103" s="3">
        <v>1978.34</v>
      </c>
      <c r="F103" s="3">
        <v>414624480</v>
      </c>
    </row>
    <row r="104" spans="1:6" ht="13" x14ac:dyDescent="0.15">
      <c r="A104" s="3">
        <v>41848</v>
      </c>
      <c r="B104" s="3">
        <v>1978.25</v>
      </c>
      <c r="C104" s="3">
        <v>1981.52</v>
      </c>
      <c r="D104" s="3">
        <v>1967.31</v>
      </c>
      <c r="E104" s="3">
        <v>1978.91</v>
      </c>
      <c r="F104" s="3">
        <v>436383552</v>
      </c>
    </row>
    <row r="105" spans="1:6" ht="13" x14ac:dyDescent="0.15">
      <c r="A105" s="3">
        <v>41849</v>
      </c>
      <c r="B105" s="3">
        <v>1980.03</v>
      </c>
      <c r="C105" s="3">
        <v>1984.85</v>
      </c>
      <c r="D105" s="3">
        <v>1969.95</v>
      </c>
      <c r="E105" s="3">
        <v>1969.95</v>
      </c>
      <c r="F105" s="3">
        <v>492773696</v>
      </c>
    </row>
    <row r="106" spans="1:6" ht="13" x14ac:dyDescent="0.15">
      <c r="A106" s="3">
        <v>41850</v>
      </c>
      <c r="B106" s="3">
        <v>1973.21</v>
      </c>
      <c r="C106" s="3">
        <v>1978.9</v>
      </c>
      <c r="D106" s="3">
        <v>1962.42</v>
      </c>
      <c r="E106" s="3">
        <v>1970.07</v>
      </c>
      <c r="F106" s="3">
        <v>476732960</v>
      </c>
    </row>
    <row r="107" spans="1:6" ht="13" x14ac:dyDescent="0.15">
      <c r="A107" s="3">
        <v>41851</v>
      </c>
      <c r="B107" s="3">
        <v>1965.14</v>
      </c>
      <c r="C107" s="3">
        <v>1965.14</v>
      </c>
      <c r="D107" s="3">
        <v>1930.67</v>
      </c>
      <c r="E107" s="3">
        <v>1930.67</v>
      </c>
      <c r="F107" s="3">
        <v>623585088</v>
      </c>
    </row>
    <row r="108" spans="1:6" ht="13" x14ac:dyDescent="0.15">
      <c r="A108" s="3">
        <v>41852</v>
      </c>
      <c r="B108" s="3">
        <v>1929.8</v>
      </c>
      <c r="C108" s="3">
        <v>1937.35</v>
      </c>
      <c r="D108" s="3">
        <v>1916.37</v>
      </c>
      <c r="E108" s="3">
        <v>1925.15</v>
      </c>
      <c r="F108" s="3">
        <v>519196608</v>
      </c>
    </row>
    <row r="109" spans="1:6" ht="13" x14ac:dyDescent="0.15">
      <c r="A109" s="3">
        <v>41855</v>
      </c>
      <c r="B109" s="3">
        <v>1926.62</v>
      </c>
      <c r="C109" s="3">
        <v>1942.92</v>
      </c>
      <c r="D109" s="3">
        <v>1921.2</v>
      </c>
      <c r="E109" s="3">
        <v>1938.99</v>
      </c>
      <c r="F109" s="3">
        <v>468853792</v>
      </c>
    </row>
    <row r="110" spans="1:6" ht="13" x14ac:dyDescent="0.15">
      <c r="A110" s="3">
        <v>41856</v>
      </c>
      <c r="B110" s="3">
        <v>1936.34</v>
      </c>
      <c r="C110" s="3">
        <v>1936.34</v>
      </c>
      <c r="D110" s="3">
        <v>1913.77</v>
      </c>
      <c r="E110" s="3">
        <v>1920.21</v>
      </c>
      <c r="F110" s="3">
        <v>500420000</v>
      </c>
    </row>
    <row r="111" spans="1:6" ht="13" x14ac:dyDescent="0.15">
      <c r="A111" s="3">
        <v>41857</v>
      </c>
      <c r="B111" s="3">
        <v>1917.29</v>
      </c>
      <c r="C111" s="3">
        <v>1927.91</v>
      </c>
      <c r="D111" s="3">
        <v>1911.45</v>
      </c>
      <c r="E111" s="3">
        <v>1920.24</v>
      </c>
      <c r="F111" s="3">
        <v>488338656</v>
      </c>
    </row>
    <row r="112" spans="1:6" ht="13" x14ac:dyDescent="0.15">
      <c r="A112" s="3">
        <v>41858</v>
      </c>
      <c r="B112" s="3">
        <v>1923.03</v>
      </c>
      <c r="C112" s="3">
        <v>1928.89</v>
      </c>
      <c r="D112" s="3">
        <v>1904.78</v>
      </c>
      <c r="E112" s="3">
        <v>1909.57</v>
      </c>
      <c r="F112" s="3">
        <v>474034080</v>
      </c>
    </row>
    <row r="113" spans="1:6" ht="13" x14ac:dyDescent="0.15">
      <c r="A113" s="3">
        <v>41859</v>
      </c>
      <c r="B113" s="3">
        <v>1910.35</v>
      </c>
      <c r="C113" s="3">
        <v>1932.38</v>
      </c>
      <c r="D113" s="3">
        <v>1909.01</v>
      </c>
      <c r="E113" s="3">
        <v>1931.59</v>
      </c>
      <c r="F113" s="3">
        <v>456035264</v>
      </c>
    </row>
    <row r="114" spans="1:6" ht="13" x14ac:dyDescent="0.15">
      <c r="A114" s="3">
        <v>41862</v>
      </c>
      <c r="B114" s="3">
        <v>1933.43</v>
      </c>
      <c r="C114" s="3">
        <v>1944.9</v>
      </c>
      <c r="D114" s="3">
        <v>1933.43</v>
      </c>
      <c r="E114" s="3">
        <v>1936.92</v>
      </c>
      <c r="F114" s="3">
        <v>399487776</v>
      </c>
    </row>
    <row r="115" spans="1:6" ht="13" x14ac:dyDescent="0.15">
      <c r="A115" s="3">
        <v>41863</v>
      </c>
      <c r="B115" s="3">
        <v>1935.73</v>
      </c>
      <c r="C115" s="3">
        <v>1939.65</v>
      </c>
      <c r="D115" s="3">
        <v>1928.29</v>
      </c>
      <c r="E115" s="3">
        <v>1933.75</v>
      </c>
      <c r="F115" s="3">
        <v>352008416</v>
      </c>
    </row>
    <row r="116" spans="1:6" ht="13" x14ac:dyDescent="0.15">
      <c r="A116" s="3">
        <v>41864</v>
      </c>
      <c r="B116" s="3">
        <v>1935.6</v>
      </c>
      <c r="C116" s="3">
        <v>1948.41</v>
      </c>
      <c r="D116" s="3">
        <v>1935.6</v>
      </c>
      <c r="E116" s="3">
        <v>1946.72</v>
      </c>
      <c r="F116" s="3">
        <v>368222432</v>
      </c>
    </row>
    <row r="117" spans="1:6" ht="13" x14ac:dyDescent="0.15">
      <c r="A117" s="3">
        <v>41865</v>
      </c>
      <c r="B117" s="3">
        <v>1947.41</v>
      </c>
      <c r="C117" s="3">
        <v>1955.23</v>
      </c>
      <c r="D117" s="3">
        <v>1947.41</v>
      </c>
      <c r="E117" s="3">
        <v>1955.18</v>
      </c>
      <c r="F117" s="3">
        <v>322059744</v>
      </c>
    </row>
    <row r="118" spans="1:6" ht="13" x14ac:dyDescent="0.15">
      <c r="A118" s="3">
        <v>41866</v>
      </c>
      <c r="B118" s="3">
        <v>1958.87</v>
      </c>
      <c r="C118" s="3">
        <v>1964.04</v>
      </c>
      <c r="D118" s="3">
        <v>1941.5</v>
      </c>
      <c r="E118" s="3">
        <v>1955.06</v>
      </c>
      <c r="F118" s="3">
        <v>599516480</v>
      </c>
    </row>
    <row r="119" spans="1:6" ht="13" x14ac:dyDescent="0.15">
      <c r="A119" s="3">
        <v>41869</v>
      </c>
      <c r="B119" s="3">
        <v>1958.36</v>
      </c>
      <c r="C119" s="3">
        <v>1971.99</v>
      </c>
      <c r="D119" s="3">
        <v>1958.36</v>
      </c>
      <c r="E119" s="3">
        <v>1971.74</v>
      </c>
      <c r="F119" s="3">
        <v>422127616</v>
      </c>
    </row>
    <row r="120" spans="1:6" ht="13" x14ac:dyDescent="0.15">
      <c r="A120" s="3">
        <v>41870</v>
      </c>
      <c r="B120" s="3">
        <v>1972.73</v>
      </c>
      <c r="C120" s="3">
        <v>1982.57</v>
      </c>
      <c r="D120" s="3">
        <v>1972.73</v>
      </c>
      <c r="E120" s="3">
        <v>1981.6</v>
      </c>
      <c r="F120" s="3">
        <v>393011680</v>
      </c>
    </row>
    <row r="121" spans="1:6" ht="13" x14ac:dyDescent="0.15">
      <c r="A121" s="3">
        <v>41871</v>
      </c>
      <c r="B121" s="3">
        <v>1980.46</v>
      </c>
      <c r="C121" s="3">
        <v>1988.57</v>
      </c>
      <c r="D121" s="3">
        <v>1977.68</v>
      </c>
      <c r="E121" s="3">
        <v>1986.51</v>
      </c>
      <c r="F121" s="3">
        <v>378220000</v>
      </c>
    </row>
    <row r="122" spans="1:6" ht="13" x14ac:dyDescent="0.15">
      <c r="A122" s="3">
        <v>41872</v>
      </c>
      <c r="B122" s="3">
        <v>1986.82</v>
      </c>
      <c r="C122" s="3">
        <v>1994.76</v>
      </c>
      <c r="D122" s="3">
        <v>1986.82</v>
      </c>
      <c r="E122" s="3">
        <v>1992.37</v>
      </c>
      <c r="F122" s="3">
        <v>394988352</v>
      </c>
    </row>
    <row r="123" spans="1:6" ht="13" x14ac:dyDescent="0.15">
      <c r="A123" s="3">
        <v>41873</v>
      </c>
      <c r="B123" s="3">
        <v>1992.6</v>
      </c>
      <c r="C123" s="3">
        <v>1993.54</v>
      </c>
      <c r="D123" s="3">
        <v>1984.76</v>
      </c>
      <c r="E123" s="3">
        <v>1988.4</v>
      </c>
      <c r="F123" s="3">
        <v>377743072</v>
      </c>
    </row>
    <row r="124" spans="1:6" ht="13" x14ac:dyDescent="0.15">
      <c r="A124" s="3">
        <v>41876</v>
      </c>
      <c r="B124" s="3">
        <v>1991.74</v>
      </c>
      <c r="C124" s="3">
        <v>2001.95</v>
      </c>
      <c r="D124" s="3">
        <v>1991.74</v>
      </c>
      <c r="E124" s="3">
        <v>1997.92</v>
      </c>
      <c r="F124" s="3">
        <v>336815040</v>
      </c>
    </row>
    <row r="125" spans="1:6" ht="13" x14ac:dyDescent="0.15">
      <c r="A125" s="3">
        <v>41877</v>
      </c>
      <c r="B125" s="3">
        <v>1998.59</v>
      </c>
      <c r="C125" s="3">
        <v>2005.04</v>
      </c>
      <c r="D125" s="3">
        <v>1998.59</v>
      </c>
      <c r="E125" s="3">
        <v>2000.02</v>
      </c>
      <c r="F125" s="3">
        <v>314070336</v>
      </c>
    </row>
    <row r="126" spans="1:6" ht="13" x14ac:dyDescent="0.15">
      <c r="A126" s="3">
        <v>41878</v>
      </c>
      <c r="B126" s="3">
        <v>2000.54</v>
      </c>
      <c r="C126" s="3">
        <v>2002.14</v>
      </c>
      <c r="D126" s="3">
        <v>1996.2</v>
      </c>
      <c r="E126" s="3">
        <v>2000.12</v>
      </c>
      <c r="F126" s="3">
        <v>342139168</v>
      </c>
    </row>
    <row r="127" spans="1:6" ht="13" x14ac:dyDescent="0.15">
      <c r="A127" s="3">
        <v>41879</v>
      </c>
      <c r="B127" s="3">
        <v>1997.42</v>
      </c>
      <c r="C127" s="3">
        <v>1998.55</v>
      </c>
      <c r="D127" s="3">
        <v>1990.52</v>
      </c>
      <c r="E127" s="3">
        <v>1996.74</v>
      </c>
      <c r="F127" s="3">
        <v>315864576</v>
      </c>
    </row>
    <row r="128" spans="1:6" ht="13" x14ac:dyDescent="0.15">
      <c r="A128" s="3">
        <v>41880</v>
      </c>
      <c r="B128" s="3">
        <v>1998.45</v>
      </c>
      <c r="C128" s="3">
        <v>2003.38</v>
      </c>
      <c r="D128" s="3">
        <v>1994.65</v>
      </c>
      <c r="E128" s="3">
        <v>2003.37</v>
      </c>
      <c r="F128" s="3">
        <v>425006592</v>
      </c>
    </row>
    <row r="129" spans="1:6" ht="13" x14ac:dyDescent="0.15">
      <c r="A129" s="3">
        <v>41884</v>
      </c>
      <c r="B129" s="3">
        <v>2004.07</v>
      </c>
      <c r="C129" s="3">
        <v>2006.12</v>
      </c>
      <c r="D129" s="3">
        <v>1994.85</v>
      </c>
      <c r="E129" s="3">
        <v>2002.28</v>
      </c>
      <c r="F129" s="3">
        <v>399408928</v>
      </c>
    </row>
    <row r="130" spans="1:6" ht="13" x14ac:dyDescent="0.15">
      <c r="A130" s="3">
        <v>41885</v>
      </c>
      <c r="B130" s="3">
        <v>2003.57</v>
      </c>
      <c r="C130" s="3">
        <v>2009.28</v>
      </c>
      <c r="D130" s="3">
        <v>1998.14</v>
      </c>
      <c r="E130" s="3">
        <v>2000.72</v>
      </c>
      <c r="F130" s="3">
        <v>396727104</v>
      </c>
    </row>
    <row r="131" spans="1:6" ht="13" x14ac:dyDescent="0.15">
      <c r="A131" s="3">
        <v>41886</v>
      </c>
      <c r="B131" s="3">
        <v>2001.67</v>
      </c>
      <c r="C131" s="3">
        <v>2011.17</v>
      </c>
      <c r="D131" s="3">
        <v>1992.54</v>
      </c>
      <c r="E131" s="3">
        <v>1997.65</v>
      </c>
      <c r="F131" s="3">
        <v>426739232</v>
      </c>
    </row>
    <row r="132" spans="1:6" ht="13" x14ac:dyDescent="0.15">
      <c r="A132" s="3">
        <v>41887</v>
      </c>
      <c r="B132" s="3">
        <v>1998</v>
      </c>
      <c r="C132" s="3">
        <v>2007.71</v>
      </c>
      <c r="D132" s="3">
        <v>1990.1</v>
      </c>
      <c r="E132" s="3">
        <v>2007.71</v>
      </c>
      <c r="F132" s="3">
        <v>450544256</v>
      </c>
    </row>
    <row r="133" spans="1:6" ht="13" x14ac:dyDescent="0.15">
      <c r="A133" s="3">
        <v>41890</v>
      </c>
      <c r="B133" s="3">
        <v>2007.17</v>
      </c>
      <c r="C133" s="3">
        <v>2007.17</v>
      </c>
      <c r="D133" s="3">
        <v>1995.6</v>
      </c>
      <c r="E133" s="3">
        <v>2001.54</v>
      </c>
      <c r="F133" s="3">
        <v>411948928</v>
      </c>
    </row>
    <row r="134" spans="1:6" ht="13" x14ac:dyDescent="0.15">
      <c r="A134" s="3">
        <v>41891</v>
      </c>
      <c r="B134" s="3">
        <v>2000.73</v>
      </c>
      <c r="C134" s="3">
        <v>2001.01</v>
      </c>
      <c r="D134" s="3">
        <v>1984.61</v>
      </c>
      <c r="E134" s="3">
        <v>1988.44</v>
      </c>
      <c r="F134" s="3">
        <v>450948928</v>
      </c>
    </row>
    <row r="135" spans="1:6" ht="13" x14ac:dyDescent="0.15">
      <c r="A135" s="3">
        <v>41892</v>
      </c>
      <c r="B135" s="3">
        <v>1988.41</v>
      </c>
      <c r="C135" s="3">
        <v>1996.66</v>
      </c>
      <c r="D135" s="3">
        <v>1982.99</v>
      </c>
      <c r="E135" s="3">
        <v>1995.69</v>
      </c>
      <c r="F135" s="3">
        <v>427113792</v>
      </c>
    </row>
    <row r="136" spans="1:6" ht="13" x14ac:dyDescent="0.15">
      <c r="A136" s="3">
        <v>41893</v>
      </c>
      <c r="B136" s="3">
        <v>1992.85</v>
      </c>
      <c r="C136" s="3">
        <v>1997.65</v>
      </c>
      <c r="D136" s="3">
        <v>1985.93</v>
      </c>
      <c r="E136" s="3">
        <v>1997.45</v>
      </c>
      <c r="F136" s="3">
        <v>399767616</v>
      </c>
    </row>
    <row r="137" spans="1:6" ht="13" x14ac:dyDescent="0.15">
      <c r="A137" s="3">
        <v>41894</v>
      </c>
      <c r="B137" s="3">
        <v>1996.74</v>
      </c>
      <c r="C137" s="3">
        <v>1996.74</v>
      </c>
      <c r="D137" s="3">
        <v>1980.26</v>
      </c>
      <c r="E137" s="3">
        <v>1985.54</v>
      </c>
      <c r="F137" s="3">
        <v>499805376</v>
      </c>
    </row>
    <row r="138" spans="1:6" ht="13" x14ac:dyDescent="0.15">
      <c r="A138" s="3">
        <v>41897</v>
      </c>
      <c r="B138" s="3">
        <v>1986.04</v>
      </c>
      <c r="C138" s="3">
        <v>1987.18</v>
      </c>
      <c r="D138" s="3">
        <v>1978.48</v>
      </c>
      <c r="E138" s="3">
        <v>1984.13</v>
      </c>
      <c r="F138" s="3">
        <v>433781856</v>
      </c>
    </row>
    <row r="139" spans="1:6" ht="13" x14ac:dyDescent="0.15">
      <c r="A139" s="3">
        <v>41898</v>
      </c>
      <c r="B139" s="3">
        <v>1981.93</v>
      </c>
      <c r="C139" s="3">
        <v>2002.28</v>
      </c>
      <c r="D139" s="3">
        <v>1979.06</v>
      </c>
      <c r="E139" s="3">
        <v>1998.98</v>
      </c>
      <c r="F139" s="3">
        <v>441700512</v>
      </c>
    </row>
    <row r="140" spans="1:6" ht="13" x14ac:dyDescent="0.15">
      <c r="A140" s="3">
        <v>41899</v>
      </c>
      <c r="B140" s="3">
        <v>1999.3</v>
      </c>
      <c r="C140" s="3">
        <v>2010.74</v>
      </c>
      <c r="D140" s="3">
        <v>1993.29</v>
      </c>
      <c r="E140" s="3">
        <v>2001.57</v>
      </c>
      <c r="F140" s="3">
        <v>478405792</v>
      </c>
    </row>
    <row r="141" spans="1:6" ht="13" x14ac:dyDescent="0.15">
      <c r="A141" s="3">
        <v>41900</v>
      </c>
      <c r="B141" s="3">
        <v>2003.07</v>
      </c>
      <c r="C141" s="3">
        <v>2012.34</v>
      </c>
      <c r="D141" s="3">
        <v>2003.07</v>
      </c>
      <c r="E141" s="3">
        <v>2011.36</v>
      </c>
      <c r="F141" s="3">
        <v>475835744</v>
      </c>
    </row>
    <row r="142" spans="1:6" ht="13" x14ac:dyDescent="0.15">
      <c r="A142" s="3">
        <v>41901</v>
      </c>
      <c r="B142" s="3">
        <v>2012.74</v>
      </c>
      <c r="C142" s="3">
        <v>2019.26</v>
      </c>
      <c r="D142" s="3">
        <v>2006.59</v>
      </c>
      <c r="E142" s="3">
        <v>2010.4</v>
      </c>
      <c r="F142" s="3">
        <v>325794080</v>
      </c>
    </row>
    <row r="143" spans="1:6" ht="13" x14ac:dyDescent="0.15">
      <c r="A143" s="3">
        <v>41904</v>
      </c>
      <c r="B143" s="3">
        <v>2009.08</v>
      </c>
      <c r="C143" s="3">
        <v>2009.08</v>
      </c>
      <c r="D143" s="3">
        <v>1991.01</v>
      </c>
      <c r="E143" s="3">
        <v>1994.29</v>
      </c>
      <c r="F143" s="3">
        <v>474788992</v>
      </c>
    </row>
    <row r="144" spans="1:6" ht="13" x14ac:dyDescent="0.15">
      <c r="A144" s="3">
        <v>41905</v>
      </c>
      <c r="B144" s="3">
        <v>1992.78</v>
      </c>
      <c r="C144" s="3">
        <v>1995.41</v>
      </c>
      <c r="D144" s="3">
        <v>1982.77</v>
      </c>
      <c r="E144" s="3">
        <v>1982.77</v>
      </c>
      <c r="F144" s="3">
        <v>483571104</v>
      </c>
    </row>
    <row r="145" spans="1:6" ht="13" x14ac:dyDescent="0.15">
      <c r="A145" s="3">
        <v>41906</v>
      </c>
      <c r="B145" s="3">
        <v>1983.34</v>
      </c>
      <c r="C145" s="3">
        <v>1999.79</v>
      </c>
      <c r="D145" s="3">
        <v>1978.63</v>
      </c>
      <c r="E145" s="3">
        <v>1998.3</v>
      </c>
      <c r="F145" s="3">
        <v>485944832</v>
      </c>
    </row>
    <row r="146" spans="1:6" ht="13" x14ac:dyDescent="0.15">
      <c r="A146" s="3">
        <v>41907</v>
      </c>
      <c r="B146" s="3">
        <v>1997.32</v>
      </c>
      <c r="C146" s="3">
        <v>1997.32</v>
      </c>
      <c r="D146" s="3">
        <v>1965.99</v>
      </c>
      <c r="E146" s="3">
        <v>1965.99</v>
      </c>
      <c r="F146" s="3">
        <v>525835552</v>
      </c>
    </row>
    <row r="147" spans="1:6" ht="13" x14ac:dyDescent="0.15">
      <c r="A147" s="3">
        <v>41908</v>
      </c>
      <c r="B147" s="3">
        <v>1966.22</v>
      </c>
      <c r="C147" s="3">
        <v>1986.37</v>
      </c>
      <c r="D147" s="3">
        <v>1966.22</v>
      </c>
      <c r="E147" s="3">
        <v>1982.85</v>
      </c>
      <c r="F147" s="3">
        <v>436233504</v>
      </c>
    </row>
    <row r="148" spans="1:6" ht="13" x14ac:dyDescent="0.15">
      <c r="A148" s="3">
        <v>41911</v>
      </c>
      <c r="B148" s="3">
        <v>1978.96</v>
      </c>
      <c r="C148" s="3">
        <v>1981.28</v>
      </c>
      <c r="D148" s="3">
        <v>1964.04</v>
      </c>
      <c r="E148" s="3">
        <v>1977.8</v>
      </c>
      <c r="F148" s="3">
        <v>421735136</v>
      </c>
    </row>
    <row r="149" spans="1:6" ht="13" x14ac:dyDescent="0.15">
      <c r="A149" s="3">
        <v>41912</v>
      </c>
      <c r="B149" s="3">
        <v>1978.21</v>
      </c>
      <c r="C149" s="3">
        <v>1985.17</v>
      </c>
      <c r="D149" s="3">
        <v>1968.96</v>
      </c>
      <c r="E149" s="3">
        <v>1972.29</v>
      </c>
      <c r="F149" s="3">
        <v>590836928</v>
      </c>
    </row>
    <row r="150" spans="1:6" ht="13" x14ac:dyDescent="0.15">
      <c r="A150" s="3">
        <v>41913</v>
      </c>
      <c r="B150" s="3">
        <v>1971.44</v>
      </c>
      <c r="C150" s="3">
        <v>1971.44</v>
      </c>
      <c r="D150" s="3">
        <v>1941.72</v>
      </c>
      <c r="E150" s="3">
        <v>1946.16</v>
      </c>
      <c r="F150" s="3">
        <v>585256448</v>
      </c>
    </row>
    <row r="151" spans="1:6" ht="13" x14ac:dyDescent="0.15">
      <c r="A151" s="3">
        <v>41914</v>
      </c>
      <c r="B151" s="3">
        <v>1945.83</v>
      </c>
      <c r="C151" s="3">
        <v>1952.32</v>
      </c>
      <c r="D151" s="3">
        <v>1926.03</v>
      </c>
      <c r="E151" s="3">
        <v>1946.17</v>
      </c>
      <c r="F151" s="3">
        <v>513024416</v>
      </c>
    </row>
    <row r="152" spans="1:6" ht="13" x14ac:dyDescent="0.15">
      <c r="A152" s="3">
        <v>41915</v>
      </c>
      <c r="B152" s="3">
        <v>1948.12</v>
      </c>
      <c r="C152" s="3">
        <v>1971.19</v>
      </c>
      <c r="D152" s="3">
        <v>1948.12</v>
      </c>
      <c r="E152" s="3">
        <v>1967.9</v>
      </c>
      <c r="F152" s="3">
        <v>544368512</v>
      </c>
    </row>
    <row r="153" spans="1:6" ht="13" x14ac:dyDescent="0.15">
      <c r="A153" s="3">
        <v>41918</v>
      </c>
      <c r="B153" s="3">
        <v>1970.01</v>
      </c>
      <c r="C153" s="3">
        <v>1977.84</v>
      </c>
      <c r="D153" s="3">
        <v>1958.43</v>
      </c>
      <c r="E153" s="3">
        <v>1964.82</v>
      </c>
      <c r="F153" s="3">
        <v>433650400</v>
      </c>
    </row>
    <row r="154" spans="1:6" ht="13" x14ac:dyDescent="0.15">
      <c r="A154" s="3">
        <v>41919</v>
      </c>
      <c r="B154" s="3">
        <v>1962.36</v>
      </c>
      <c r="C154" s="3">
        <v>1962.36</v>
      </c>
      <c r="D154" s="3">
        <v>1934.87</v>
      </c>
      <c r="E154" s="3">
        <v>1935.1</v>
      </c>
      <c r="F154" s="3">
        <v>519118432</v>
      </c>
    </row>
    <row r="155" spans="1:6" ht="13" x14ac:dyDescent="0.15">
      <c r="A155" s="3">
        <v>41920</v>
      </c>
      <c r="B155" s="3">
        <v>1935.55</v>
      </c>
      <c r="C155" s="3">
        <v>1970.36</v>
      </c>
      <c r="D155" s="3">
        <v>1925.25</v>
      </c>
      <c r="E155" s="3">
        <v>1968.89</v>
      </c>
      <c r="F155" s="3">
        <v>610644288</v>
      </c>
    </row>
    <row r="156" spans="1:6" ht="13" x14ac:dyDescent="0.15">
      <c r="A156" s="3">
        <v>41921</v>
      </c>
      <c r="B156" s="3">
        <v>1967.68</v>
      </c>
      <c r="C156" s="3">
        <v>1967.68</v>
      </c>
      <c r="D156" s="3">
        <v>1927.56</v>
      </c>
      <c r="E156" s="3">
        <v>1928.21</v>
      </c>
      <c r="F156" s="3">
        <v>604516224</v>
      </c>
    </row>
    <row r="157" spans="1:6" ht="13" x14ac:dyDescent="0.15">
      <c r="A157" s="3">
        <v>41922</v>
      </c>
      <c r="B157" s="3">
        <v>1925.63</v>
      </c>
      <c r="C157" s="3">
        <v>1936.98</v>
      </c>
      <c r="D157" s="3">
        <v>1906.05</v>
      </c>
      <c r="E157" s="3">
        <v>1906.13</v>
      </c>
      <c r="F157" s="3">
        <v>757461760</v>
      </c>
    </row>
    <row r="158" spans="1:6" ht="13" x14ac:dyDescent="0.15">
      <c r="A158" s="3">
        <v>41925</v>
      </c>
      <c r="B158" s="3">
        <v>1905.65</v>
      </c>
      <c r="C158" s="3">
        <v>1912.09</v>
      </c>
      <c r="D158" s="3">
        <v>1874.14</v>
      </c>
      <c r="E158" s="3">
        <v>1874.74</v>
      </c>
      <c r="F158" s="3">
        <v>670445952</v>
      </c>
    </row>
    <row r="159" spans="1:6" ht="13" x14ac:dyDescent="0.15">
      <c r="A159" s="3">
        <v>41926</v>
      </c>
      <c r="B159" s="3">
        <v>1877.11</v>
      </c>
      <c r="C159" s="3">
        <v>1898.71</v>
      </c>
      <c r="D159" s="3">
        <v>1871.79</v>
      </c>
      <c r="E159" s="3">
        <v>1877.7</v>
      </c>
      <c r="F159" s="3">
        <v>689240960</v>
      </c>
    </row>
    <row r="160" spans="1:6" ht="13" x14ac:dyDescent="0.15">
      <c r="A160" s="3">
        <v>41927</v>
      </c>
      <c r="B160" s="3">
        <v>1874.18</v>
      </c>
      <c r="C160" s="3">
        <v>1874.18</v>
      </c>
      <c r="D160" s="3">
        <v>1820.66</v>
      </c>
      <c r="E160" s="3">
        <v>1862.49</v>
      </c>
      <c r="F160" s="3">
        <v>926166336</v>
      </c>
    </row>
    <row r="161" spans="1:6" ht="13" x14ac:dyDescent="0.15">
      <c r="A161" s="3">
        <v>41928</v>
      </c>
      <c r="B161" s="3">
        <v>1855.95</v>
      </c>
      <c r="C161" s="3">
        <v>1876.01</v>
      </c>
      <c r="D161" s="3">
        <v>1835.02</v>
      </c>
      <c r="E161" s="3">
        <v>1862.76</v>
      </c>
      <c r="F161" s="3">
        <v>795639104</v>
      </c>
    </row>
    <row r="162" spans="1:6" ht="13" x14ac:dyDescent="0.15">
      <c r="A162" s="3">
        <v>41929</v>
      </c>
      <c r="B162" s="3">
        <v>1864.91</v>
      </c>
      <c r="C162" s="3">
        <v>1898.16</v>
      </c>
      <c r="D162" s="3">
        <v>1864.91</v>
      </c>
      <c r="E162" s="3">
        <v>1886.76</v>
      </c>
      <c r="F162" s="3">
        <v>804988672</v>
      </c>
    </row>
    <row r="163" spans="1:6" ht="13" x14ac:dyDescent="0.15">
      <c r="A163" s="3">
        <v>41932</v>
      </c>
      <c r="B163" s="3">
        <v>1885.62</v>
      </c>
      <c r="C163" s="3">
        <v>1905.03</v>
      </c>
      <c r="D163" s="3">
        <v>1882.3</v>
      </c>
      <c r="E163" s="3">
        <v>1904.01</v>
      </c>
      <c r="F163" s="3">
        <v>529325760</v>
      </c>
    </row>
    <row r="164" spans="1:6" ht="13" x14ac:dyDescent="0.15">
      <c r="A164" s="3">
        <v>41933</v>
      </c>
      <c r="B164" s="3">
        <v>1909.38</v>
      </c>
      <c r="C164" s="3">
        <v>1942.45</v>
      </c>
      <c r="D164" s="3">
        <v>1909.38</v>
      </c>
      <c r="E164" s="3">
        <v>1941.28</v>
      </c>
      <c r="F164" s="3">
        <v>585981440</v>
      </c>
    </row>
    <row r="165" spans="1:6" ht="13" x14ac:dyDescent="0.15">
      <c r="A165" s="3">
        <v>41934</v>
      </c>
      <c r="B165" s="3">
        <v>1941.29</v>
      </c>
      <c r="C165" s="3">
        <v>1949.31</v>
      </c>
      <c r="D165" s="3">
        <v>1926.83</v>
      </c>
      <c r="E165" s="3">
        <v>1927.11</v>
      </c>
      <c r="F165" s="3">
        <v>601060032</v>
      </c>
    </row>
    <row r="166" spans="1:6" ht="13" x14ac:dyDescent="0.15">
      <c r="A166" s="3">
        <v>41935</v>
      </c>
      <c r="B166" s="3">
        <v>1931.02</v>
      </c>
      <c r="C166" s="3">
        <v>1961.95</v>
      </c>
      <c r="D166" s="3">
        <v>1931.02</v>
      </c>
      <c r="E166" s="3">
        <v>1950.82</v>
      </c>
      <c r="F166" s="3">
        <v>559505152</v>
      </c>
    </row>
    <row r="167" spans="1:6" ht="13" x14ac:dyDescent="0.15">
      <c r="A167" s="3">
        <v>41936</v>
      </c>
      <c r="B167" s="3">
        <v>1951.59</v>
      </c>
      <c r="C167" s="3">
        <v>1965.27</v>
      </c>
      <c r="D167" s="3">
        <v>1946.27</v>
      </c>
      <c r="E167" s="3">
        <v>1964.58</v>
      </c>
      <c r="F167" s="3">
        <v>499136544</v>
      </c>
    </row>
    <row r="168" spans="1:6" ht="13" x14ac:dyDescent="0.15">
      <c r="A168" s="3">
        <v>41939</v>
      </c>
      <c r="B168" s="3">
        <v>1962.97</v>
      </c>
      <c r="C168" s="3">
        <v>1964.64</v>
      </c>
      <c r="D168" s="3">
        <v>1951.37</v>
      </c>
      <c r="E168" s="3">
        <v>1961.63</v>
      </c>
      <c r="F168" s="3">
        <v>465703584</v>
      </c>
    </row>
    <row r="169" spans="1:6" ht="13" x14ac:dyDescent="0.15">
      <c r="A169" s="3">
        <v>41940</v>
      </c>
      <c r="B169" s="3">
        <v>1964.14</v>
      </c>
      <c r="C169" s="3">
        <v>1985.05</v>
      </c>
      <c r="D169" s="3">
        <v>1964.14</v>
      </c>
      <c r="E169" s="3">
        <v>1985.05</v>
      </c>
      <c r="F169" s="3">
        <v>514150432</v>
      </c>
    </row>
    <row r="170" spans="1:6" ht="13" x14ac:dyDescent="0.15">
      <c r="A170" s="3">
        <v>41941</v>
      </c>
      <c r="B170" s="3">
        <v>1983.29</v>
      </c>
      <c r="C170" s="3">
        <v>1991.4</v>
      </c>
      <c r="D170" s="3">
        <v>1969.04</v>
      </c>
      <c r="E170" s="3">
        <v>1982.3</v>
      </c>
      <c r="F170" s="3">
        <v>550800320</v>
      </c>
    </row>
    <row r="171" spans="1:6" ht="13" x14ac:dyDescent="0.15">
      <c r="A171" s="3">
        <v>41942</v>
      </c>
      <c r="B171" s="3">
        <v>1979.49</v>
      </c>
      <c r="C171" s="3">
        <v>1999.4</v>
      </c>
      <c r="D171" s="3">
        <v>1974.75</v>
      </c>
      <c r="E171" s="3">
        <v>1994.65</v>
      </c>
      <c r="F171" s="3">
        <v>511882080</v>
      </c>
    </row>
    <row r="172" spans="1:6" ht="13" x14ac:dyDescent="0.15">
      <c r="A172" s="3">
        <v>41943</v>
      </c>
      <c r="B172" s="3">
        <v>2001.2</v>
      </c>
      <c r="C172" s="3">
        <v>2018.19</v>
      </c>
      <c r="D172" s="3">
        <v>2001.2</v>
      </c>
      <c r="E172" s="3">
        <v>2018.05</v>
      </c>
      <c r="F172" s="3">
        <v>699228288</v>
      </c>
    </row>
    <row r="173" spans="1:6" ht="13" x14ac:dyDescent="0.15">
      <c r="A173" s="3">
        <v>41946</v>
      </c>
      <c r="B173" s="3">
        <v>2018.21</v>
      </c>
      <c r="C173" s="3">
        <v>2024.46</v>
      </c>
      <c r="D173" s="3">
        <v>2013.68</v>
      </c>
      <c r="E173" s="3">
        <v>2017.81</v>
      </c>
      <c r="F173" s="3">
        <v>495456864</v>
      </c>
    </row>
    <row r="174" spans="1:6" ht="13" x14ac:dyDescent="0.15">
      <c r="A174" s="3">
        <v>41947</v>
      </c>
      <c r="B174" s="3">
        <v>2015.81</v>
      </c>
      <c r="C174" s="3">
        <v>2015.98</v>
      </c>
      <c r="D174" s="3">
        <v>2001.01</v>
      </c>
      <c r="E174" s="3">
        <v>2012.1</v>
      </c>
      <c r="F174" s="3">
        <v>523568992</v>
      </c>
    </row>
    <row r="175" spans="1:6" ht="13" x14ac:dyDescent="0.15">
      <c r="A175" s="3">
        <v>41948</v>
      </c>
      <c r="B175" s="3">
        <v>2015.29</v>
      </c>
      <c r="C175" s="3">
        <v>2023.77</v>
      </c>
      <c r="D175" s="3">
        <v>2014.42</v>
      </c>
      <c r="E175" s="3">
        <v>2023.57</v>
      </c>
      <c r="F175" s="3">
        <v>510768896</v>
      </c>
    </row>
    <row r="176" spans="1:6" ht="13" x14ac:dyDescent="0.15">
      <c r="A176" s="3">
        <v>41949</v>
      </c>
      <c r="B176" s="3">
        <v>2023.33</v>
      </c>
      <c r="C176" s="3">
        <v>2031.61</v>
      </c>
      <c r="D176" s="3">
        <v>2015.86</v>
      </c>
      <c r="E176" s="3">
        <v>2031.21</v>
      </c>
      <c r="F176" s="3">
        <v>497799904</v>
      </c>
    </row>
    <row r="177" spans="1:6" ht="13" x14ac:dyDescent="0.15">
      <c r="A177" s="3">
        <v>41950</v>
      </c>
      <c r="B177" s="3">
        <v>2032.36</v>
      </c>
      <c r="C177" s="3">
        <v>2034.26</v>
      </c>
      <c r="D177" s="3">
        <v>2025.07</v>
      </c>
      <c r="E177" s="3">
        <v>2031.92</v>
      </c>
      <c r="F177" s="3">
        <v>507586944</v>
      </c>
    </row>
    <row r="178" spans="1:6" ht="13" x14ac:dyDescent="0.15">
      <c r="A178" s="3">
        <v>41953</v>
      </c>
      <c r="B178" s="3">
        <v>2032.01</v>
      </c>
      <c r="C178" s="3">
        <v>2038.7</v>
      </c>
      <c r="D178" s="3">
        <v>2030.17</v>
      </c>
      <c r="E178" s="3">
        <v>2038.26</v>
      </c>
      <c r="F178" s="3">
        <v>459537472</v>
      </c>
    </row>
    <row r="179" spans="1:6" ht="13" x14ac:dyDescent="0.15">
      <c r="A179" s="3">
        <v>41954</v>
      </c>
      <c r="B179" s="3">
        <v>2038.2</v>
      </c>
      <c r="C179" s="3">
        <v>2041.28</v>
      </c>
      <c r="D179" s="3">
        <v>2035.28</v>
      </c>
      <c r="E179" s="3">
        <v>2039.68</v>
      </c>
      <c r="F179" s="3">
        <v>379125632</v>
      </c>
    </row>
    <row r="180" spans="1:6" ht="13" x14ac:dyDescent="0.15">
      <c r="A180" s="3">
        <v>41955</v>
      </c>
      <c r="B180" s="3">
        <v>2037.75</v>
      </c>
      <c r="C180" s="3">
        <v>2040.33</v>
      </c>
      <c r="D180" s="3">
        <v>2031.95</v>
      </c>
      <c r="E180" s="3">
        <v>2038.25</v>
      </c>
      <c r="F180" s="3">
        <v>460395136</v>
      </c>
    </row>
    <row r="181" spans="1:6" ht="13" x14ac:dyDescent="0.15">
      <c r="A181" s="3">
        <v>41956</v>
      </c>
      <c r="B181" s="3">
        <v>2039.21</v>
      </c>
      <c r="C181" s="3">
        <v>2046.18</v>
      </c>
      <c r="D181" s="3">
        <v>2030.44</v>
      </c>
      <c r="E181" s="3">
        <v>2039.33</v>
      </c>
      <c r="F181" s="3">
        <v>470696320</v>
      </c>
    </row>
    <row r="182" spans="1:6" ht="13" x14ac:dyDescent="0.15">
      <c r="A182" s="3">
        <v>41957</v>
      </c>
      <c r="B182" s="3">
        <v>2039.74</v>
      </c>
      <c r="C182" s="3">
        <v>2042.22</v>
      </c>
      <c r="D182" s="3">
        <v>2035.2</v>
      </c>
      <c r="E182" s="3">
        <v>2039.82</v>
      </c>
      <c r="F182" s="3">
        <v>447791200</v>
      </c>
    </row>
    <row r="183" spans="1:6" ht="13" x14ac:dyDescent="0.15">
      <c r="A183" s="3">
        <v>41960</v>
      </c>
      <c r="B183" s="3">
        <v>2038.29</v>
      </c>
      <c r="C183" s="3">
        <v>2043.07</v>
      </c>
      <c r="D183" s="3">
        <v>2034.46</v>
      </c>
      <c r="E183" s="3">
        <v>2041.32</v>
      </c>
      <c r="F183" s="3">
        <v>465969760</v>
      </c>
    </row>
    <row r="184" spans="1:6" ht="13" x14ac:dyDescent="0.15">
      <c r="A184" s="3">
        <v>41961</v>
      </c>
      <c r="B184" s="3">
        <v>2041.48</v>
      </c>
      <c r="C184" s="3">
        <v>2056.08</v>
      </c>
      <c r="D184" s="3">
        <v>2041.48</v>
      </c>
      <c r="E184" s="3">
        <v>2051.8000000000002</v>
      </c>
      <c r="F184" s="3">
        <v>465624672</v>
      </c>
    </row>
    <row r="185" spans="1:6" ht="13" x14ac:dyDescent="0.15">
      <c r="A185" s="3">
        <v>41962</v>
      </c>
      <c r="B185" s="3">
        <v>2051.16</v>
      </c>
      <c r="C185" s="3">
        <v>2052.14</v>
      </c>
      <c r="D185" s="3">
        <v>2040.37</v>
      </c>
      <c r="E185" s="3">
        <v>2048.7199999999998</v>
      </c>
      <c r="F185" s="3">
        <v>456731072</v>
      </c>
    </row>
    <row r="186" spans="1:6" ht="13" x14ac:dyDescent="0.15">
      <c r="A186" s="3">
        <v>41963</v>
      </c>
      <c r="B186" s="3">
        <v>2045.87</v>
      </c>
      <c r="C186" s="3">
        <v>2053.84</v>
      </c>
      <c r="D186" s="3">
        <v>2040.49</v>
      </c>
      <c r="E186" s="3">
        <v>2052.75</v>
      </c>
      <c r="F186" s="3">
        <v>444921696</v>
      </c>
    </row>
    <row r="187" spans="1:6" ht="13" x14ac:dyDescent="0.15">
      <c r="A187" s="3">
        <v>41964</v>
      </c>
      <c r="B187" s="3">
        <v>2057.46</v>
      </c>
      <c r="C187" s="3">
        <v>2071.46</v>
      </c>
      <c r="D187" s="3">
        <v>2056.75</v>
      </c>
      <c r="E187" s="3">
        <v>2063.5</v>
      </c>
      <c r="F187" s="3">
        <v>725419264</v>
      </c>
    </row>
    <row r="188" spans="1:6" ht="13" x14ac:dyDescent="0.15">
      <c r="A188" s="3">
        <v>41967</v>
      </c>
      <c r="B188" s="3">
        <v>2065.0700000000002</v>
      </c>
      <c r="C188" s="3">
        <v>2070.17</v>
      </c>
      <c r="D188" s="3">
        <v>2065.0700000000002</v>
      </c>
      <c r="E188" s="3">
        <v>2069.41</v>
      </c>
      <c r="F188" s="3">
        <v>483141728</v>
      </c>
    </row>
    <row r="189" spans="1:6" ht="13" x14ac:dyDescent="0.15">
      <c r="A189" s="3">
        <v>41968</v>
      </c>
      <c r="B189" s="3">
        <v>2070.15</v>
      </c>
      <c r="C189" s="3">
        <v>2074.21</v>
      </c>
      <c r="D189" s="3">
        <v>2064.75</v>
      </c>
      <c r="E189" s="3">
        <v>2067.0300000000002</v>
      </c>
      <c r="F189" s="3">
        <v>587138688</v>
      </c>
    </row>
    <row r="190" spans="1:6" ht="13" x14ac:dyDescent="0.15">
      <c r="A190" s="3">
        <v>41969</v>
      </c>
      <c r="B190" s="3">
        <v>2067.36</v>
      </c>
      <c r="C190" s="3">
        <v>2073.29</v>
      </c>
      <c r="D190" s="3">
        <v>2066.62</v>
      </c>
      <c r="E190" s="3">
        <v>2072.83</v>
      </c>
      <c r="F190" s="3">
        <v>510044160</v>
      </c>
    </row>
    <row r="191" spans="1:6" ht="13" x14ac:dyDescent="0.15">
      <c r="A191" s="3">
        <v>41971</v>
      </c>
      <c r="B191" s="3">
        <v>2074.7800000000002</v>
      </c>
      <c r="C191" s="3">
        <v>2075.7600000000002</v>
      </c>
      <c r="D191" s="3">
        <v>2065.06</v>
      </c>
      <c r="E191" s="3">
        <v>2067.56</v>
      </c>
      <c r="F191" s="3">
        <v>411804576</v>
      </c>
    </row>
    <row r="192" spans="1:6" ht="13" x14ac:dyDescent="0.15">
      <c r="A192" s="3">
        <v>41974</v>
      </c>
      <c r="B192" s="3">
        <v>2065.7800000000002</v>
      </c>
      <c r="C192" s="3">
        <v>2065.7800000000002</v>
      </c>
      <c r="D192" s="3">
        <v>2049.5700000000002</v>
      </c>
      <c r="E192" s="3">
        <v>2053.44</v>
      </c>
      <c r="F192" s="3">
        <v>547602432</v>
      </c>
    </row>
    <row r="193" spans="1:6" ht="13" x14ac:dyDescent="0.15">
      <c r="A193" s="3">
        <v>41975</v>
      </c>
      <c r="B193" s="3">
        <v>2053.77</v>
      </c>
      <c r="C193" s="3">
        <v>2068.77</v>
      </c>
      <c r="D193" s="3">
        <v>2053.77</v>
      </c>
      <c r="E193" s="3">
        <v>2066.5500000000002</v>
      </c>
      <c r="F193" s="3">
        <v>498385216</v>
      </c>
    </row>
    <row r="194" spans="1:6" ht="13" x14ac:dyDescent="0.15">
      <c r="A194" s="3">
        <v>41976</v>
      </c>
      <c r="B194" s="3">
        <v>2067.4499999999998</v>
      </c>
      <c r="C194" s="3">
        <v>2076.2800000000002</v>
      </c>
      <c r="D194" s="3">
        <v>2066.65</v>
      </c>
      <c r="E194" s="3">
        <v>2074.33</v>
      </c>
      <c r="F194" s="3">
        <v>536229440</v>
      </c>
    </row>
    <row r="195" spans="1:6" ht="13" x14ac:dyDescent="0.15">
      <c r="A195" s="3">
        <v>41977</v>
      </c>
      <c r="B195" s="3">
        <v>2073.64</v>
      </c>
      <c r="C195" s="3">
        <v>2077.34</v>
      </c>
      <c r="D195" s="3">
        <v>2062.34</v>
      </c>
      <c r="E195" s="3">
        <v>2071.92</v>
      </c>
      <c r="F195" s="3">
        <v>495730432</v>
      </c>
    </row>
    <row r="196" spans="1:6" ht="13" x14ac:dyDescent="0.15">
      <c r="A196" s="3">
        <v>41978</v>
      </c>
      <c r="B196" s="3">
        <v>2072.7800000000002</v>
      </c>
      <c r="C196" s="3">
        <v>2079.4699999999998</v>
      </c>
      <c r="D196" s="3">
        <v>2070.81</v>
      </c>
      <c r="E196" s="3">
        <v>2075.37</v>
      </c>
      <c r="F196" s="3">
        <v>492962880</v>
      </c>
    </row>
    <row r="197" spans="1:6" ht="13" x14ac:dyDescent="0.15">
      <c r="A197" s="3">
        <v>41981</v>
      </c>
      <c r="B197" s="3">
        <v>2074.84</v>
      </c>
      <c r="C197" s="3">
        <v>2075.7800000000002</v>
      </c>
      <c r="D197" s="3">
        <v>2054.27</v>
      </c>
      <c r="E197" s="3">
        <v>2060.31</v>
      </c>
      <c r="F197" s="3">
        <v>547783936</v>
      </c>
    </row>
    <row r="198" spans="1:6" ht="13" x14ac:dyDescent="0.15">
      <c r="A198" s="3">
        <v>41982</v>
      </c>
      <c r="B198" s="3">
        <v>2056.5500000000002</v>
      </c>
      <c r="C198" s="3">
        <v>2060.6</v>
      </c>
      <c r="D198" s="3">
        <v>2034.17</v>
      </c>
      <c r="E198" s="3">
        <v>2059.8200000000002</v>
      </c>
      <c r="F198" s="3">
        <v>530021152</v>
      </c>
    </row>
    <row r="199" spans="1:6" ht="13" x14ac:dyDescent="0.15">
      <c r="A199" s="3">
        <v>41983</v>
      </c>
      <c r="B199" s="3">
        <v>2058.86</v>
      </c>
      <c r="C199" s="3">
        <v>2058.86</v>
      </c>
      <c r="D199" s="3">
        <v>2024.26</v>
      </c>
      <c r="E199" s="3">
        <v>2026.14</v>
      </c>
      <c r="F199" s="3">
        <v>619302592</v>
      </c>
    </row>
    <row r="200" spans="1:6" ht="13" x14ac:dyDescent="0.15">
      <c r="A200" s="3">
        <v>41984</v>
      </c>
      <c r="B200" s="3">
        <v>2027.92</v>
      </c>
      <c r="C200" s="3">
        <v>2055.5300000000002</v>
      </c>
      <c r="D200" s="3">
        <v>2027.92</v>
      </c>
      <c r="E200" s="3">
        <v>2035.33</v>
      </c>
      <c r="F200" s="3">
        <v>527454464</v>
      </c>
    </row>
    <row r="201" spans="1:6" ht="13" x14ac:dyDescent="0.15">
      <c r="A201" s="3">
        <v>41985</v>
      </c>
      <c r="B201" s="3">
        <v>2030.36</v>
      </c>
      <c r="C201" s="3">
        <v>2032.25</v>
      </c>
      <c r="D201" s="3">
        <v>2002.33</v>
      </c>
      <c r="E201" s="3">
        <v>2002.33</v>
      </c>
      <c r="F201" s="3">
        <v>657404416</v>
      </c>
    </row>
    <row r="202" spans="1:6" ht="13" x14ac:dyDescent="0.15">
      <c r="A202" s="3">
        <v>41988</v>
      </c>
      <c r="B202" s="3">
        <v>2005.03</v>
      </c>
      <c r="C202" s="3">
        <v>2018.69</v>
      </c>
      <c r="D202" s="3">
        <v>1982.26</v>
      </c>
      <c r="E202" s="3">
        <v>1989.63</v>
      </c>
      <c r="F202" s="3">
        <v>669997120</v>
      </c>
    </row>
    <row r="203" spans="1:6" ht="13" x14ac:dyDescent="0.15">
      <c r="A203" s="3">
        <v>41989</v>
      </c>
      <c r="B203" s="3">
        <v>1986.71</v>
      </c>
      <c r="C203" s="3">
        <v>2016.89</v>
      </c>
      <c r="D203" s="3">
        <v>1972.56</v>
      </c>
      <c r="E203" s="3">
        <v>1972.74</v>
      </c>
      <c r="F203" s="3">
        <v>690234176</v>
      </c>
    </row>
    <row r="204" spans="1:6" ht="13" x14ac:dyDescent="0.15">
      <c r="A204" s="3">
        <v>41990</v>
      </c>
      <c r="B204" s="3">
        <v>1973.77</v>
      </c>
      <c r="C204" s="3">
        <v>2016.75</v>
      </c>
      <c r="D204" s="3">
        <v>1973.77</v>
      </c>
      <c r="E204" s="3">
        <v>2012.89</v>
      </c>
      <c r="F204" s="3">
        <v>658787392</v>
      </c>
    </row>
    <row r="205" spans="1:6" ht="13" x14ac:dyDescent="0.15">
      <c r="A205" s="3">
        <v>41991</v>
      </c>
      <c r="B205" s="3">
        <v>2018.98</v>
      </c>
      <c r="C205" s="3">
        <v>2061.23</v>
      </c>
      <c r="D205" s="3">
        <v>2018.98</v>
      </c>
      <c r="E205" s="3">
        <v>2061.23</v>
      </c>
      <c r="F205" s="3">
        <v>667150336</v>
      </c>
    </row>
    <row r="206" spans="1:6" ht="13" x14ac:dyDescent="0.15">
      <c r="A206" s="3">
        <v>41992</v>
      </c>
      <c r="B206" s="3">
        <v>2061.04</v>
      </c>
      <c r="C206" s="3">
        <v>2077.85</v>
      </c>
      <c r="D206" s="3">
        <v>2061.0300000000002</v>
      </c>
      <c r="E206" s="3">
        <v>2070.65</v>
      </c>
      <c r="F206" s="3">
        <v>560226816</v>
      </c>
    </row>
    <row r="207" spans="1:6" ht="13" x14ac:dyDescent="0.15">
      <c r="A207" s="3">
        <v>41995</v>
      </c>
      <c r="B207" s="3">
        <v>2069.2800000000002</v>
      </c>
      <c r="C207" s="3">
        <v>2078.7600000000002</v>
      </c>
      <c r="D207" s="3">
        <v>2069.2800000000002</v>
      </c>
      <c r="E207" s="3">
        <v>2078.54</v>
      </c>
      <c r="F207" s="3">
        <v>550799168</v>
      </c>
    </row>
    <row r="208" spans="1:6" ht="13" x14ac:dyDescent="0.15">
      <c r="A208" s="3">
        <v>41996</v>
      </c>
      <c r="B208" s="3">
        <v>2081.48</v>
      </c>
      <c r="C208" s="3">
        <v>2086.73</v>
      </c>
      <c r="D208" s="3">
        <v>2079.77</v>
      </c>
      <c r="E208" s="3">
        <v>2082.17</v>
      </c>
      <c r="F208" s="3">
        <v>473266656</v>
      </c>
    </row>
    <row r="209" spans="1:6" ht="13" x14ac:dyDescent="0.15">
      <c r="A209" s="3">
        <v>41997</v>
      </c>
      <c r="B209" s="3">
        <v>2083.25</v>
      </c>
      <c r="C209" s="3">
        <v>2087.56</v>
      </c>
      <c r="D209" s="3">
        <v>2081.86</v>
      </c>
      <c r="E209" s="3">
        <v>2081.88</v>
      </c>
      <c r="F209" s="3">
        <v>224945664</v>
      </c>
    </row>
    <row r="210" spans="1:6" ht="13" x14ac:dyDescent="0.15">
      <c r="A210" s="3">
        <v>41999</v>
      </c>
      <c r="B210" s="3">
        <v>2084.3000000000002</v>
      </c>
      <c r="C210" s="3">
        <v>2092.6999999999998</v>
      </c>
      <c r="D210" s="3">
        <v>2084.3000000000002</v>
      </c>
      <c r="E210" s="3">
        <v>2088.77</v>
      </c>
      <c r="F210" s="3">
        <v>286763392</v>
      </c>
    </row>
    <row r="211" spans="1:6" ht="13" x14ac:dyDescent="0.15">
      <c r="A211" s="3">
        <v>42002</v>
      </c>
      <c r="B211" s="3">
        <v>2087.63</v>
      </c>
      <c r="C211" s="3">
        <v>2093.5500000000002</v>
      </c>
      <c r="D211" s="3">
        <v>2085.75</v>
      </c>
      <c r="E211" s="3">
        <v>2090.5700000000002</v>
      </c>
      <c r="F211" s="3">
        <v>331929440</v>
      </c>
    </row>
    <row r="212" spans="1:6" ht="13" x14ac:dyDescent="0.15">
      <c r="A212" s="3">
        <v>42003</v>
      </c>
      <c r="B212" s="3">
        <v>2088.4899999999998</v>
      </c>
      <c r="C212" s="3">
        <v>2088.4899999999998</v>
      </c>
      <c r="D212" s="3">
        <v>2079.5300000000002</v>
      </c>
      <c r="E212" s="3">
        <v>2080.35</v>
      </c>
      <c r="F212" s="3">
        <v>307724448</v>
      </c>
    </row>
    <row r="213" spans="1:6" ht="13" x14ac:dyDescent="0.15">
      <c r="A213" s="3">
        <v>42004</v>
      </c>
      <c r="B213" s="3">
        <v>2082.11</v>
      </c>
      <c r="C213" s="3">
        <v>2085.58</v>
      </c>
      <c r="D213" s="3">
        <v>2057.94</v>
      </c>
      <c r="E213" s="3">
        <v>2058.9</v>
      </c>
      <c r="F213" s="3">
        <v>415208832</v>
      </c>
    </row>
    <row r="214" spans="1:6" ht="13" x14ac:dyDescent="0.15">
      <c r="A214" s="3">
        <v>42006</v>
      </c>
      <c r="B214" s="3">
        <v>2058.9</v>
      </c>
      <c r="C214" s="3">
        <v>2072.36</v>
      </c>
      <c r="D214" s="3">
        <v>2046.04</v>
      </c>
      <c r="E214" s="3">
        <v>2058.1999999999998</v>
      </c>
      <c r="F214" s="3">
        <v>426937581</v>
      </c>
    </row>
    <row r="215" spans="1:6" ht="13" x14ac:dyDescent="0.15">
      <c r="A215" s="3">
        <v>42009</v>
      </c>
      <c r="B215" s="3">
        <v>2054.44</v>
      </c>
      <c r="C215" s="3">
        <v>2054.44</v>
      </c>
      <c r="D215" s="3">
        <v>2017.34</v>
      </c>
      <c r="E215" s="3">
        <v>2020.58</v>
      </c>
      <c r="F215" s="3">
        <v>611506858</v>
      </c>
    </row>
    <row r="216" spans="1:6" ht="13" x14ac:dyDescent="0.15">
      <c r="A216" s="3">
        <v>42010</v>
      </c>
      <c r="B216" s="3">
        <v>2022.15</v>
      </c>
      <c r="C216" s="3">
        <v>2030.25</v>
      </c>
      <c r="D216" s="3">
        <v>1992.44</v>
      </c>
      <c r="E216" s="3">
        <v>2002.61</v>
      </c>
      <c r="F216" s="3">
        <v>628224413</v>
      </c>
    </row>
    <row r="217" spans="1:6" ht="13" x14ac:dyDescent="0.15">
      <c r="A217" s="3">
        <v>42011</v>
      </c>
      <c r="B217" s="3">
        <v>2005.55</v>
      </c>
      <c r="C217" s="3">
        <v>2029.61</v>
      </c>
      <c r="D217" s="3">
        <v>2005.55</v>
      </c>
      <c r="E217" s="3">
        <v>2025.9</v>
      </c>
      <c r="F217" s="3">
        <v>538478740</v>
      </c>
    </row>
    <row r="218" spans="1:6" ht="13" x14ac:dyDescent="0.15">
      <c r="A218" s="3">
        <v>42012</v>
      </c>
      <c r="B218" s="3">
        <v>2030.61</v>
      </c>
      <c r="C218" s="3">
        <v>2064.08</v>
      </c>
      <c r="D218" s="3">
        <v>2030.61</v>
      </c>
      <c r="E218" s="3">
        <v>2062.14</v>
      </c>
      <c r="F218" s="3">
        <v>604827987</v>
      </c>
    </row>
    <row r="219" spans="1:6" ht="13" x14ac:dyDescent="0.15">
      <c r="A219" s="3">
        <v>42013</v>
      </c>
      <c r="B219" s="3">
        <v>2063.4499999999998</v>
      </c>
      <c r="C219" s="3">
        <v>2064.4299999999998</v>
      </c>
      <c r="D219" s="3">
        <v>2038.33</v>
      </c>
      <c r="E219" s="3">
        <v>2044.81</v>
      </c>
      <c r="F219" s="3">
        <v>503887901</v>
      </c>
    </row>
    <row r="220" spans="1:6" ht="13" x14ac:dyDescent="0.15">
      <c r="A220" s="3">
        <v>42016</v>
      </c>
      <c r="B220" s="3">
        <v>2046.13</v>
      </c>
      <c r="C220" s="3">
        <v>2049.3000000000002</v>
      </c>
      <c r="D220" s="3">
        <v>2022.58</v>
      </c>
      <c r="E220" s="3">
        <v>2028.26</v>
      </c>
      <c r="F220" s="3">
        <v>536631269</v>
      </c>
    </row>
    <row r="221" spans="1:6" ht="13" x14ac:dyDescent="0.15">
      <c r="A221" s="3">
        <v>42017</v>
      </c>
      <c r="B221" s="3">
        <v>2031.58</v>
      </c>
      <c r="C221" s="3">
        <v>2056.9299999999998</v>
      </c>
      <c r="D221" s="3">
        <v>2008.25</v>
      </c>
      <c r="E221" s="3">
        <v>2023.03</v>
      </c>
      <c r="F221" s="3">
        <v>610182246</v>
      </c>
    </row>
    <row r="222" spans="1:6" ht="13" x14ac:dyDescent="0.15">
      <c r="A222" s="3">
        <v>42018</v>
      </c>
      <c r="B222" s="3">
        <v>2018.4</v>
      </c>
      <c r="C222" s="3">
        <v>2018.4</v>
      </c>
      <c r="D222" s="3">
        <v>1988.44</v>
      </c>
      <c r="E222" s="3">
        <v>2011.27</v>
      </c>
      <c r="F222" s="3">
        <v>673001114</v>
      </c>
    </row>
    <row r="223" spans="1:6" ht="13" x14ac:dyDescent="0.15">
      <c r="A223" s="3">
        <v>42019</v>
      </c>
      <c r="B223" s="3">
        <v>2013.75</v>
      </c>
      <c r="C223" s="3">
        <v>2021.35</v>
      </c>
      <c r="D223" s="3">
        <v>1991.47</v>
      </c>
      <c r="E223" s="3">
        <v>1992.67</v>
      </c>
      <c r="F223" s="3">
        <v>608258039</v>
      </c>
    </row>
    <row r="224" spans="1:6" ht="13" x14ac:dyDescent="0.15">
      <c r="A224" s="3">
        <v>42020</v>
      </c>
      <c r="B224" s="3">
        <v>1992.25</v>
      </c>
      <c r="C224" s="3">
        <v>2020.46</v>
      </c>
      <c r="D224" s="3">
        <v>1988.12</v>
      </c>
      <c r="E224" s="3">
        <v>2019.42</v>
      </c>
      <c r="F224" s="3">
        <v>731828339</v>
      </c>
    </row>
    <row r="225" spans="1:6" ht="13" x14ac:dyDescent="0.15">
      <c r="A225" s="3">
        <v>42024</v>
      </c>
      <c r="B225" s="3">
        <v>2020.76</v>
      </c>
      <c r="C225" s="3">
        <v>2028.94</v>
      </c>
      <c r="D225" s="3">
        <v>2004.49</v>
      </c>
      <c r="E225" s="3">
        <v>2022.55</v>
      </c>
      <c r="F225" s="3">
        <v>605394244</v>
      </c>
    </row>
    <row r="226" spans="1:6" ht="13" x14ac:dyDescent="0.15">
      <c r="A226" s="3">
        <v>42025</v>
      </c>
      <c r="B226" s="3">
        <v>2020.19</v>
      </c>
      <c r="C226" s="3">
        <v>2038.29</v>
      </c>
      <c r="D226" s="3">
        <v>2012.04</v>
      </c>
      <c r="E226" s="3">
        <v>2032.12</v>
      </c>
      <c r="F226" s="3">
        <v>538996626</v>
      </c>
    </row>
    <row r="227" spans="1:6" ht="13" x14ac:dyDescent="0.15">
      <c r="A227" s="3">
        <v>42026</v>
      </c>
      <c r="B227" s="3">
        <v>2034.3</v>
      </c>
      <c r="C227" s="3">
        <v>2064.62</v>
      </c>
      <c r="D227" s="3">
        <v>2026.38</v>
      </c>
      <c r="E227" s="3">
        <v>2063.15</v>
      </c>
      <c r="F227" s="3">
        <v>643547837</v>
      </c>
    </row>
    <row r="228" spans="1:6" ht="13" x14ac:dyDescent="0.15">
      <c r="A228" s="3">
        <v>42027</v>
      </c>
      <c r="B228" s="3">
        <v>2062.98</v>
      </c>
      <c r="C228" s="3">
        <v>2062.98</v>
      </c>
      <c r="D228" s="3">
        <v>2050.54</v>
      </c>
      <c r="E228" s="3">
        <v>2051.8200000000002</v>
      </c>
      <c r="F228" s="3">
        <v>535455933</v>
      </c>
    </row>
    <row r="229" spans="1:6" ht="13" x14ac:dyDescent="0.15">
      <c r="A229" s="3">
        <v>42030</v>
      </c>
      <c r="B229" s="3">
        <v>2050.42</v>
      </c>
      <c r="C229" s="3">
        <v>2057.62</v>
      </c>
      <c r="D229" s="3">
        <v>2040.97</v>
      </c>
      <c r="E229" s="3">
        <v>2057.09</v>
      </c>
      <c r="F229" s="3">
        <v>525986275</v>
      </c>
    </row>
    <row r="230" spans="1:6" ht="13" x14ac:dyDescent="0.15">
      <c r="A230" s="3">
        <v>42031</v>
      </c>
      <c r="B230" s="3">
        <v>2047.86</v>
      </c>
      <c r="C230" s="3">
        <v>2047.86</v>
      </c>
      <c r="D230" s="3">
        <v>2019.91</v>
      </c>
      <c r="E230" s="3">
        <v>2029.55</v>
      </c>
      <c r="F230" s="3">
        <v>562176423</v>
      </c>
    </row>
    <row r="231" spans="1:6" ht="13" x14ac:dyDescent="0.15">
      <c r="A231" s="3">
        <v>42032</v>
      </c>
      <c r="B231" s="3">
        <v>2032.34</v>
      </c>
      <c r="C231" s="3">
        <v>2042.49</v>
      </c>
      <c r="D231" s="3">
        <v>2001.49</v>
      </c>
      <c r="E231" s="3">
        <v>2002.16</v>
      </c>
      <c r="F231" s="3">
        <v>648480471</v>
      </c>
    </row>
    <row r="232" spans="1:6" ht="13" x14ac:dyDescent="0.15">
      <c r="A232" s="3">
        <v>42033</v>
      </c>
      <c r="B232" s="3">
        <v>2002.45</v>
      </c>
      <c r="C232" s="3">
        <v>2024.64</v>
      </c>
      <c r="D232" s="3">
        <v>1989.18</v>
      </c>
      <c r="E232" s="3">
        <v>2021.25</v>
      </c>
      <c r="F232" s="3">
        <v>620130124</v>
      </c>
    </row>
    <row r="233" spans="1:6" ht="13" x14ac:dyDescent="0.15">
      <c r="A233" s="3">
        <v>42034</v>
      </c>
      <c r="B233" s="3">
        <v>2019.35</v>
      </c>
      <c r="C233" s="3">
        <v>2023.32</v>
      </c>
      <c r="D233" s="3">
        <v>1993.38</v>
      </c>
      <c r="E233" s="3">
        <v>1994.99</v>
      </c>
      <c r="F233" s="3">
        <v>893217502</v>
      </c>
    </row>
    <row r="234" spans="1:6" ht="13" x14ac:dyDescent="0.15">
      <c r="A234" s="3">
        <v>42037</v>
      </c>
      <c r="B234" s="3">
        <v>1996.67</v>
      </c>
      <c r="C234" s="3">
        <v>2021.66</v>
      </c>
      <c r="D234" s="3">
        <v>1980.9</v>
      </c>
      <c r="E234" s="3">
        <v>2020.85</v>
      </c>
      <c r="F234" s="3">
        <v>637708675</v>
      </c>
    </row>
    <row r="235" spans="1:6" ht="13" x14ac:dyDescent="0.15">
      <c r="A235" s="3">
        <v>42038</v>
      </c>
      <c r="B235" s="3">
        <v>2022.71</v>
      </c>
      <c r="C235" s="3">
        <v>2050.3000000000002</v>
      </c>
      <c r="D235" s="3">
        <v>2022.71</v>
      </c>
      <c r="E235" s="3">
        <v>2050.0300000000002</v>
      </c>
      <c r="F235" s="3">
        <v>658300755</v>
      </c>
    </row>
    <row r="236" spans="1:6" ht="13" x14ac:dyDescent="0.15">
      <c r="A236" s="3">
        <v>42039</v>
      </c>
      <c r="B236" s="3">
        <v>2048.86</v>
      </c>
      <c r="C236" s="3">
        <v>2054.7399999999998</v>
      </c>
      <c r="D236" s="3">
        <v>2036.72</v>
      </c>
      <c r="E236" s="3">
        <v>2041.51</v>
      </c>
      <c r="F236" s="3">
        <v>638853840</v>
      </c>
    </row>
    <row r="237" spans="1:6" ht="13" x14ac:dyDescent="0.15">
      <c r="A237" s="3">
        <v>42040</v>
      </c>
      <c r="B237" s="3">
        <v>2043.45</v>
      </c>
      <c r="C237" s="3">
        <v>2063.5500000000002</v>
      </c>
      <c r="D237" s="3">
        <v>2043.45</v>
      </c>
      <c r="E237" s="3">
        <v>2062.52</v>
      </c>
      <c r="F237" s="3">
        <v>532688569</v>
      </c>
    </row>
    <row r="238" spans="1:6" ht="13" x14ac:dyDescent="0.15">
      <c r="A238" s="3">
        <v>42041</v>
      </c>
      <c r="B238" s="3">
        <v>2062.2800000000002</v>
      </c>
      <c r="C238" s="3">
        <v>2072.4</v>
      </c>
      <c r="D238" s="3">
        <v>2049.9699999999998</v>
      </c>
      <c r="E238" s="3">
        <v>2055.4699999999998</v>
      </c>
      <c r="F238" s="3">
        <v>590733024</v>
      </c>
    </row>
    <row r="239" spans="1:6" ht="13" x14ac:dyDescent="0.15">
      <c r="A239" s="3">
        <v>42044</v>
      </c>
      <c r="B239" s="3">
        <v>2053.4699999999998</v>
      </c>
      <c r="C239" s="3">
        <v>2056.16</v>
      </c>
      <c r="D239" s="3">
        <v>2041.88</v>
      </c>
      <c r="E239" s="3">
        <v>2046.74</v>
      </c>
      <c r="F239" s="3">
        <v>502321634</v>
      </c>
    </row>
    <row r="240" spans="1:6" ht="13" x14ac:dyDescent="0.15">
      <c r="A240" s="3">
        <v>42045</v>
      </c>
      <c r="B240" s="3">
        <v>2049.38</v>
      </c>
      <c r="C240" s="3">
        <v>2070.86</v>
      </c>
      <c r="D240" s="3">
        <v>2048.62</v>
      </c>
      <c r="E240" s="3">
        <v>2068.59</v>
      </c>
      <c r="F240" s="3">
        <v>537838874</v>
      </c>
    </row>
    <row r="241" spans="1:6" ht="13" x14ac:dyDescent="0.15">
      <c r="A241" s="3">
        <v>42046</v>
      </c>
      <c r="B241" s="3">
        <v>2068.5500000000002</v>
      </c>
      <c r="C241" s="3">
        <v>2073.48</v>
      </c>
      <c r="D241" s="3">
        <v>2057.9899999999998</v>
      </c>
      <c r="E241" s="3">
        <v>2068.5300000000002</v>
      </c>
      <c r="F241" s="3">
        <v>502374735</v>
      </c>
    </row>
    <row r="242" spans="1:6" ht="13" x14ac:dyDescent="0.15">
      <c r="A242" s="3">
        <v>42047</v>
      </c>
      <c r="B242" s="3">
        <v>2069.98</v>
      </c>
      <c r="C242" s="3">
        <v>2088.5300000000002</v>
      </c>
      <c r="D242" s="3">
        <v>2069.98</v>
      </c>
      <c r="E242" s="3">
        <v>2088.48</v>
      </c>
      <c r="F242" s="3">
        <v>563402483</v>
      </c>
    </row>
    <row r="243" spans="1:6" ht="13" x14ac:dyDescent="0.15">
      <c r="A243" s="3">
        <v>42048</v>
      </c>
      <c r="B243" s="3">
        <v>2088.7800000000002</v>
      </c>
      <c r="C243" s="3">
        <v>2097.0300000000002</v>
      </c>
      <c r="D243" s="3">
        <v>2086.6999999999998</v>
      </c>
      <c r="E243" s="3">
        <v>2096.9899999999998</v>
      </c>
      <c r="F243" s="3">
        <v>501223065</v>
      </c>
    </row>
    <row r="244" spans="1:6" ht="13" x14ac:dyDescent="0.15">
      <c r="A244" s="3">
        <v>42052</v>
      </c>
      <c r="B244" s="3">
        <v>2096.4699999999998</v>
      </c>
      <c r="C244" s="3">
        <v>2101.3000000000002</v>
      </c>
      <c r="D244" s="3">
        <v>2089.8000000000002</v>
      </c>
      <c r="E244" s="3">
        <v>2100.34</v>
      </c>
      <c r="F244" s="3">
        <v>557220441</v>
      </c>
    </row>
    <row r="245" spans="1:6" ht="13" x14ac:dyDescent="0.15">
      <c r="A245" s="3">
        <v>42053</v>
      </c>
      <c r="B245" s="3">
        <v>2099.16</v>
      </c>
      <c r="C245" s="3">
        <v>2100.23</v>
      </c>
      <c r="D245" s="3">
        <v>2092.15</v>
      </c>
      <c r="E245" s="3">
        <v>2099.6799999999998</v>
      </c>
      <c r="F245" s="3">
        <v>458222878</v>
      </c>
    </row>
    <row r="246" spans="1:6" ht="13" x14ac:dyDescent="0.15">
      <c r="A246" s="3">
        <v>42054</v>
      </c>
      <c r="B246" s="3">
        <v>2099.25</v>
      </c>
      <c r="C246" s="3">
        <v>2102.13</v>
      </c>
      <c r="D246" s="3">
        <v>2090.79</v>
      </c>
      <c r="E246" s="3">
        <v>2097.4499999999998</v>
      </c>
      <c r="F246" s="3">
        <v>462240272</v>
      </c>
    </row>
    <row r="247" spans="1:6" ht="13" x14ac:dyDescent="0.15">
      <c r="A247" s="3">
        <v>42055</v>
      </c>
      <c r="B247" s="3">
        <v>2097.65</v>
      </c>
      <c r="C247" s="3">
        <v>2110.61</v>
      </c>
      <c r="D247" s="3">
        <v>2085.44</v>
      </c>
      <c r="E247" s="3">
        <v>2110.3000000000002</v>
      </c>
      <c r="F247" s="3">
        <v>621832126</v>
      </c>
    </row>
    <row r="248" spans="1:6" ht="13" x14ac:dyDescent="0.15">
      <c r="A248" s="3">
        <v>42058</v>
      </c>
      <c r="B248" s="3">
        <v>2109.83</v>
      </c>
      <c r="C248" s="3">
        <v>2110.0500000000002</v>
      </c>
      <c r="D248" s="3">
        <v>2103</v>
      </c>
      <c r="E248" s="3">
        <v>2109.66</v>
      </c>
      <c r="F248" s="3">
        <v>497016103</v>
      </c>
    </row>
    <row r="249" spans="1:6" ht="13" x14ac:dyDescent="0.15">
      <c r="A249" s="3">
        <v>42059</v>
      </c>
      <c r="B249" s="3">
        <v>2109.1</v>
      </c>
      <c r="C249" s="3">
        <v>2117.94</v>
      </c>
      <c r="D249" s="3">
        <v>2105.87</v>
      </c>
      <c r="E249" s="3">
        <v>2115.48</v>
      </c>
      <c r="F249" s="3">
        <v>499805150</v>
      </c>
    </row>
    <row r="250" spans="1:6" ht="13" x14ac:dyDescent="0.15">
      <c r="A250" s="3">
        <v>42060</v>
      </c>
      <c r="B250" s="3">
        <v>2115.3000000000002</v>
      </c>
      <c r="C250" s="3">
        <v>2119.59</v>
      </c>
      <c r="D250" s="3">
        <v>2109.89</v>
      </c>
      <c r="E250" s="3">
        <v>2113.86</v>
      </c>
      <c r="F250" s="3">
        <v>481020383</v>
      </c>
    </row>
    <row r="251" spans="1:6" ht="13" x14ac:dyDescent="0.15">
      <c r="A251" s="3">
        <v>42061</v>
      </c>
      <c r="B251" s="3">
        <v>2113.91</v>
      </c>
      <c r="C251" s="3">
        <v>2113.91</v>
      </c>
      <c r="D251" s="3">
        <v>2103.7600000000002</v>
      </c>
      <c r="E251" s="3">
        <v>2110.7399999999998</v>
      </c>
      <c r="F251" s="3">
        <v>504308836</v>
      </c>
    </row>
    <row r="252" spans="1:6" ht="13" x14ac:dyDescent="0.15">
      <c r="A252" s="3">
        <v>42062</v>
      </c>
      <c r="B252" s="3">
        <v>2110.88</v>
      </c>
      <c r="C252" s="3">
        <v>2112.7399999999998</v>
      </c>
      <c r="D252" s="3">
        <v>2103.75</v>
      </c>
      <c r="E252" s="3">
        <v>2104.5</v>
      </c>
      <c r="F252" s="3">
        <v>596556881</v>
      </c>
    </row>
    <row r="253" spans="1:6" ht="13" x14ac:dyDescent="0.15">
      <c r="A253" s="3">
        <v>42065</v>
      </c>
      <c r="B253" s="3">
        <v>2105.23</v>
      </c>
      <c r="C253" s="3">
        <v>2117.52</v>
      </c>
      <c r="D253" s="3">
        <v>2104.5</v>
      </c>
      <c r="E253" s="3">
        <v>2117.39</v>
      </c>
      <c r="F253" s="3">
        <v>516612174</v>
      </c>
    </row>
    <row r="254" spans="1:6" ht="13" x14ac:dyDescent="0.15">
      <c r="A254" s="3">
        <v>42066</v>
      </c>
      <c r="B254" s="3">
        <v>2115.7600000000002</v>
      </c>
      <c r="C254" s="3">
        <v>2115.7600000000002</v>
      </c>
      <c r="D254" s="3">
        <v>2098.2600000000002</v>
      </c>
      <c r="E254" s="3">
        <v>2107.7800000000002</v>
      </c>
      <c r="F254" s="3">
        <v>488593539</v>
      </c>
    </row>
    <row r="255" spans="1:6" ht="13" x14ac:dyDescent="0.15">
      <c r="A255" s="3">
        <v>42067</v>
      </c>
      <c r="B255" s="3">
        <v>2107.7199999999998</v>
      </c>
      <c r="C255" s="3">
        <v>2107.7199999999998</v>
      </c>
      <c r="D255" s="3">
        <v>2087.62</v>
      </c>
      <c r="E255" s="3">
        <v>2098.5300000000002</v>
      </c>
      <c r="F255" s="3">
        <v>489025555</v>
      </c>
    </row>
    <row r="256" spans="1:6" ht="13" x14ac:dyDescent="0.15">
      <c r="A256" s="3">
        <v>42068</v>
      </c>
      <c r="B256" s="3">
        <v>2098.54</v>
      </c>
      <c r="C256" s="3">
        <v>2104.25</v>
      </c>
      <c r="D256" s="3">
        <v>2095.2199999999998</v>
      </c>
      <c r="E256" s="3">
        <v>2101.04</v>
      </c>
      <c r="F256" s="3">
        <v>479611957</v>
      </c>
    </row>
    <row r="257" spans="1:6" ht="13" x14ac:dyDescent="0.15">
      <c r="A257" s="3">
        <v>42069</v>
      </c>
      <c r="B257" s="3">
        <v>2100.91</v>
      </c>
      <c r="C257" s="3">
        <v>2100.91</v>
      </c>
      <c r="D257" s="3">
        <v>2067.27</v>
      </c>
      <c r="E257" s="3">
        <v>2071.2600000000002</v>
      </c>
      <c r="F257" s="3">
        <v>654413604</v>
      </c>
    </row>
    <row r="258" spans="1:6" ht="13" x14ac:dyDescent="0.15">
      <c r="A258" s="3">
        <v>42072</v>
      </c>
      <c r="B258" s="3">
        <v>2072.25</v>
      </c>
      <c r="C258" s="3">
        <v>2083.4899999999998</v>
      </c>
      <c r="D258" s="3">
        <v>2072.21</v>
      </c>
      <c r="E258" s="3">
        <v>2079.4299999999998</v>
      </c>
      <c r="F258" s="3">
        <v>491672606</v>
      </c>
    </row>
    <row r="259" spans="1:6" ht="13" x14ac:dyDescent="0.15">
      <c r="A259" s="3">
        <v>42073</v>
      </c>
      <c r="B259" s="3">
        <v>2076.14</v>
      </c>
      <c r="C259" s="3">
        <v>2076.14</v>
      </c>
      <c r="D259" s="3">
        <v>2044.16</v>
      </c>
      <c r="E259" s="3">
        <v>2044.16</v>
      </c>
      <c r="F259" s="3">
        <v>618042903</v>
      </c>
    </row>
    <row r="260" spans="1:6" ht="13" x14ac:dyDescent="0.15">
      <c r="A260" s="3">
        <v>42074</v>
      </c>
      <c r="B260" s="3">
        <v>2044.69</v>
      </c>
      <c r="C260" s="3">
        <v>2050.08</v>
      </c>
      <c r="D260" s="3">
        <v>2039.69</v>
      </c>
      <c r="E260" s="3">
        <v>2040.24</v>
      </c>
      <c r="F260" s="3">
        <v>540138591</v>
      </c>
    </row>
    <row r="261" spans="1:6" ht="13" x14ac:dyDescent="0.15">
      <c r="A261" s="3">
        <v>42075</v>
      </c>
      <c r="B261" s="3">
        <v>2041.1</v>
      </c>
      <c r="C261" s="3">
        <v>2066.41</v>
      </c>
      <c r="D261" s="3">
        <v>2041.1</v>
      </c>
      <c r="E261" s="3">
        <v>2065.9499999999998</v>
      </c>
      <c r="F261" s="3">
        <v>541588132</v>
      </c>
    </row>
    <row r="262" spans="1:6" ht="13" x14ac:dyDescent="0.15">
      <c r="A262" s="3">
        <v>42076</v>
      </c>
      <c r="B262" s="3">
        <v>2064.56</v>
      </c>
      <c r="C262" s="3">
        <v>2064.56</v>
      </c>
      <c r="D262" s="3">
        <v>2041.17</v>
      </c>
      <c r="E262" s="3">
        <v>2053.4</v>
      </c>
      <c r="F262" s="3">
        <v>553445667</v>
      </c>
    </row>
    <row r="263" spans="1:6" ht="13" x14ac:dyDescent="0.15">
      <c r="A263" s="3">
        <v>42079</v>
      </c>
      <c r="B263" s="3">
        <v>2055.35</v>
      </c>
      <c r="C263" s="3">
        <v>2081.41</v>
      </c>
      <c r="D263" s="3">
        <v>2055.35</v>
      </c>
      <c r="E263" s="3">
        <v>2081.19</v>
      </c>
      <c r="F263" s="3">
        <v>541612324</v>
      </c>
    </row>
    <row r="264" spans="1:6" ht="13" x14ac:dyDescent="0.15">
      <c r="A264" s="3">
        <v>42080</v>
      </c>
      <c r="B264" s="3">
        <v>2080.59</v>
      </c>
      <c r="C264" s="3">
        <v>2080.59</v>
      </c>
      <c r="D264" s="3">
        <v>2065.08</v>
      </c>
      <c r="E264" s="3">
        <v>2074.2800000000002</v>
      </c>
      <c r="F264" s="3">
        <v>475714134</v>
      </c>
    </row>
    <row r="265" spans="1:6" ht="13" x14ac:dyDescent="0.15">
      <c r="A265" s="3">
        <v>42081</v>
      </c>
      <c r="B265" s="3">
        <v>2072.84</v>
      </c>
      <c r="C265" s="3">
        <v>2106.85</v>
      </c>
      <c r="D265" s="3">
        <v>2061.23</v>
      </c>
      <c r="E265" s="3">
        <v>2099.5</v>
      </c>
      <c r="F265" s="3">
        <v>628925946</v>
      </c>
    </row>
    <row r="266" spans="1:6" ht="13" x14ac:dyDescent="0.15">
      <c r="A266" s="3">
        <v>42082</v>
      </c>
      <c r="B266" s="3">
        <v>2098.69</v>
      </c>
      <c r="C266" s="3">
        <v>2098.69</v>
      </c>
      <c r="D266" s="3">
        <v>2085.56</v>
      </c>
      <c r="E266" s="3">
        <v>2089.27</v>
      </c>
      <c r="F266" s="3">
        <v>528262488</v>
      </c>
    </row>
    <row r="267" spans="1:6" ht="13" x14ac:dyDescent="0.15">
      <c r="A267" s="3">
        <v>42083</v>
      </c>
      <c r="B267" s="3">
        <v>2090.3200000000002</v>
      </c>
      <c r="C267" s="3">
        <v>2113.92</v>
      </c>
      <c r="D267" s="3">
        <v>2090.3200000000002</v>
      </c>
      <c r="E267" s="3">
        <v>2108.1</v>
      </c>
      <c r="F267" s="3">
        <v>487080664</v>
      </c>
    </row>
    <row r="268" spans="1:6" ht="13" x14ac:dyDescent="0.15">
      <c r="A268" s="3">
        <v>42086</v>
      </c>
      <c r="B268" s="3">
        <v>2107.9899999999998</v>
      </c>
      <c r="C268" s="3">
        <v>2114.86</v>
      </c>
      <c r="D268" s="3">
        <v>2104.42</v>
      </c>
      <c r="E268" s="3">
        <v>2104.42</v>
      </c>
      <c r="F268" s="3">
        <v>500086465</v>
      </c>
    </row>
    <row r="269" spans="1:6" ht="13" x14ac:dyDescent="0.15">
      <c r="A269" s="3">
        <v>42087</v>
      </c>
      <c r="B269" s="3">
        <v>2103.94</v>
      </c>
      <c r="C269" s="3">
        <v>2107.63</v>
      </c>
      <c r="D269" s="3">
        <v>2091.5</v>
      </c>
      <c r="E269" s="3">
        <v>2091.5</v>
      </c>
      <c r="F269" s="3">
        <v>512610880</v>
      </c>
    </row>
    <row r="270" spans="1:6" ht="13" x14ac:dyDescent="0.15">
      <c r="A270" s="3">
        <v>42088</v>
      </c>
      <c r="B270" s="3">
        <v>2093.1</v>
      </c>
      <c r="C270" s="3">
        <v>2097.4299999999998</v>
      </c>
      <c r="D270" s="3">
        <v>2061.0500000000002</v>
      </c>
      <c r="E270" s="3">
        <v>2061.0500000000002</v>
      </c>
      <c r="F270" s="3">
        <v>582073426</v>
      </c>
    </row>
    <row r="271" spans="1:6" ht="13" x14ac:dyDescent="0.15">
      <c r="A271" s="3">
        <v>42089</v>
      </c>
      <c r="B271" s="3">
        <v>2059.94</v>
      </c>
      <c r="C271" s="3">
        <v>2067.15</v>
      </c>
      <c r="D271" s="3">
        <v>2045.5</v>
      </c>
      <c r="E271" s="3">
        <v>2056.15</v>
      </c>
      <c r="F271" s="3">
        <v>619686786</v>
      </c>
    </row>
    <row r="272" spans="1:6" ht="13" x14ac:dyDescent="0.15">
      <c r="A272" s="3">
        <v>42090</v>
      </c>
      <c r="B272" s="3">
        <v>2055.7800000000002</v>
      </c>
      <c r="C272" s="3">
        <v>2062.83</v>
      </c>
      <c r="D272" s="3">
        <v>2052.96</v>
      </c>
      <c r="E272" s="3">
        <v>2061.02</v>
      </c>
      <c r="F272" s="3">
        <v>537750961</v>
      </c>
    </row>
    <row r="273" spans="1:6" ht="13" x14ac:dyDescent="0.15">
      <c r="A273" s="3">
        <v>42093</v>
      </c>
      <c r="B273" s="3">
        <v>2064.11</v>
      </c>
      <c r="C273" s="3">
        <v>2088.9699999999998</v>
      </c>
      <c r="D273" s="3">
        <v>2064.11</v>
      </c>
      <c r="E273" s="3">
        <v>2086.2399999999998</v>
      </c>
      <c r="F273" s="3">
        <v>493690723</v>
      </c>
    </row>
    <row r="274" spans="1:6" ht="13" x14ac:dyDescent="0.15">
      <c r="A274" s="3">
        <v>42094</v>
      </c>
      <c r="B274" s="3">
        <v>2084.0500000000002</v>
      </c>
      <c r="C274" s="3">
        <v>2084.0500000000002</v>
      </c>
      <c r="D274" s="3">
        <v>2067.04</v>
      </c>
      <c r="E274" s="3">
        <v>2067.89</v>
      </c>
      <c r="F274" s="3">
        <v>663987797</v>
      </c>
    </row>
    <row r="275" spans="1:6" ht="13" x14ac:dyDescent="0.15">
      <c r="A275" s="3">
        <v>42095</v>
      </c>
      <c r="B275" s="3">
        <v>2067.63</v>
      </c>
      <c r="C275" s="3">
        <v>2067.63</v>
      </c>
      <c r="D275" s="3">
        <v>2048.38</v>
      </c>
      <c r="E275" s="3">
        <v>2059.69</v>
      </c>
      <c r="F275" s="3">
        <v>564988727</v>
      </c>
    </row>
    <row r="276" spans="1:6" ht="13" x14ac:dyDescent="0.15">
      <c r="A276" s="3">
        <v>42096</v>
      </c>
      <c r="B276" s="3">
        <v>2060.0300000000002</v>
      </c>
      <c r="C276" s="3">
        <v>2072.17</v>
      </c>
      <c r="D276" s="3">
        <v>2057.3200000000002</v>
      </c>
      <c r="E276" s="3">
        <v>2066.96</v>
      </c>
      <c r="F276" s="3">
        <v>484704255</v>
      </c>
    </row>
    <row r="277" spans="1:6" ht="13" x14ac:dyDescent="0.15">
      <c r="A277" s="3">
        <v>42100</v>
      </c>
      <c r="B277" s="3">
        <v>2064.87</v>
      </c>
      <c r="C277" s="3">
        <v>2086.9899999999998</v>
      </c>
      <c r="D277" s="3">
        <v>2056.52</v>
      </c>
      <c r="E277" s="3">
        <v>2080.62</v>
      </c>
      <c r="F277" s="3">
        <v>603791492</v>
      </c>
    </row>
    <row r="278" spans="1:6" ht="13" x14ac:dyDescent="0.15">
      <c r="A278" s="3">
        <v>42101</v>
      </c>
      <c r="B278" s="3">
        <v>2080.79</v>
      </c>
      <c r="C278" s="3">
        <v>2089.81</v>
      </c>
      <c r="D278" s="3">
        <v>2076.1</v>
      </c>
      <c r="E278" s="3">
        <v>2076.33</v>
      </c>
      <c r="F278" s="3">
        <v>436475554</v>
      </c>
    </row>
    <row r="279" spans="1:6" ht="13" x14ac:dyDescent="0.15">
      <c r="A279" s="3">
        <v>42102</v>
      </c>
      <c r="B279" s="3">
        <v>2076.94</v>
      </c>
      <c r="C279" s="3">
        <v>2086.69</v>
      </c>
      <c r="D279" s="3">
        <v>2073.3000000000002</v>
      </c>
      <c r="E279" s="3">
        <v>2081.9</v>
      </c>
      <c r="F279" s="3">
        <v>488249204</v>
      </c>
    </row>
    <row r="280" spans="1:6" ht="13" x14ac:dyDescent="0.15">
      <c r="A280" s="3">
        <v>42103</v>
      </c>
      <c r="B280" s="3">
        <v>2081.29</v>
      </c>
      <c r="C280" s="3">
        <v>2093.31</v>
      </c>
      <c r="D280" s="3">
        <v>2074.29</v>
      </c>
      <c r="E280" s="3">
        <v>2091.1799999999998</v>
      </c>
      <c r="F280" s="3">
        <v>473659522</v>
      </c>
    </row>
    <row r="281" spans="1:6" ht="13" x14ac:dyDescent="0.15">
      <c r="A281" s="3">
        <v>42104</v>
      </c>
      <c r="B281" s="3">
        <v>2091.5100000000002</v>
      </c>
      <c r="C281" s="3">
        <v>2102.61</v>
      </c>
      <c r="D281" s="3">
        <v>2091.5100000000002</v>
      </c>
      <c r="E281" s="3">
        <v>2102.06</v>
      </c>
      <c r="F281" s="3">
        <v>467375544</v>
      </c>
    </row>
    <row r="282" spans="1:6" ht="13" x14ac:dyDescent="0.15">
      <c r="A282" s="3">
        <v>42107</v>
      </c>
      <c r="B282" s="3">
        <v>2102.0300000000002</v>
      </c>
      <c r="C282" s="3">
        <v>2107.65</v>
      </c>
      <c r="D282" s="3">
        <v>2092.33</v>
      </c>
      <c r="E282" s="3">
        <v>2092.4299999999998</v>
      </c>
      <c r="F282" s="3">
        <v>489876530</v>
      </c>
    </row>
    <row r="283" spans="1:6" ht="13" x14ac:dyDescent="0.15">
      <c r="A283" s="3">
        <v>42108</v>
      </c>
      <c r="B283" s="3">
        <v>2092.2800000000002</v>
      </c>
      <c r="C283" s="3">
        <v>2098.62</v>
      </c>
      <c r="D283" s="3">
        <v>2083.2399999999998</v>
      </c>
      <c r="E283" s="3">
        <v>2095.84</v>
      </c>
      <c r="F283" s="3">
        <v>449838753</v>
      </c>
    </row>
    <row r="284" spans="1:6" ht="13" x14ac:dyDescent="0.15">
      <c r="A284" s="3">
        <v>42109</v>
      </c>
      <c r="B284" s="3">
        <v>2097.8200000000002</v>
      </c>
      <c r="C284" s="3">
        <v>2111.91</v>
      </c>
      <c r="D284" s="3">
        <v>2097.8200000000002</v>
      </c>
      <c r="E284" s="3">
        <v>2106.63</v>
      </c>
      <c r="F284" s="3">
        <v>561622715</v>
      </c>
    </row>
    <row r="285" spans="1:6" ht="13" x14ac:dyDescent="0.15">
      <c r="A285" s="3">
        <v>42110</v>
      </c>
      <c r="B285" s="3">
        <v>2105.96</v>
      </c>
      <c r="C285" s="3">
        <v>2111.3000000000002</v>
      </c>
      <c r="D285" s="3">
        <v>2100.02</v>
      </c>
      <c r="E285" s="3">
        <v>2104.9899999999998</v>
      </c>
      <c r="F285" s="3">
        <v>494694374</v>
      </c>
    </row>
    <row r="286" spans="1:6" ht="13" x14ac:dyDescent="0.15">
      <c r="A286" s="3">
        <v>42111</v>
      </c>
      <c r="B286" s="3">
        <v>2102.58</v>
      </c>
      <c r="C286" s="3">
        <v>2102.58</v>
      </c>
      <c r="D286" s="3">
        <v>2072.37</v>
      </c>
      <c r="E286" s="3">
        <v>2081.1799999999998</v>
      </c>
      <c r="F286" s="3">
        <v>661794713</v>
      </c>
    </row>
    <row r="287" spans="1:6" ht="13" x14ac:dyDescent="0.15">
      <c r="A287" s="3">
        <v>42114</v>
      </c>
      <c r="B287" s="3">
        <v>2084.11</v>
      </c>
      <c r="C287" s="3">
        <v>2103.94</v>
      </c>
      <c r="D287" s="3">
        <v>2084.11</v>
      </c>
      <c r="E287" s="3">
        <v>2100.4</v>
      </c>
      <c r="F287" s="3">
        <v>481863950</v>
      </c>
    </row>
    <row r="288" spans="1:6" ht="13" x14ac:dyDescent="0.15">
      <c r="A288" s="3">
        <v>42115</v>
      </c>
      <c r="B288" s="3">
        <v>2102.8200000000002</v>
      </c>
      <c r="C288" s="3">
        <v>2109.64</v>
      </c>
      <c r="D288" s="3">
        <v>2094.38</v>
      </c>
      <c r="E288" s="3">
        <v>2097.29</v>
      </c>
      <c r="F288" s="3">
        <v>485076830</v>
      </c>
    </row>
    <row r="289" spans="1:6" ht="13" x14ac:dyDescent="0.15">
      <c r="A289" s="3">
        <v>42116</v>
      </c>
      <c r="B289" s="3">
        <v>2098.27</v>
      </c>
      <c r="C289" s="3">
        <v>2109.98</v>
      </c>
      <c r="D289" s="3">
        <v>2091.0500000000002</v>
      </c>
      <c r="E289" s="3">
        <v>2107.96</v>
      </c>
      <c r="F289" s="3">
        <v>505662373</v>
      </c>
    </row>
    <row r="290" spans="1:6" ht="13" x14ac:dyDescent="0.15">
      <c r="A290" s="3">
        <v>42117</v>
      </c>
      <c r="B290" s="3">
        <v>2107.21</v>
      </c>
      <c r="C290" s="3">
        <v>2120.4899999999998</v>
      </c>
      <c r="D290" s="3">
        <v>2103.19</v>
      </c>
      <c r="E290" s="3">
        <v>2112.9299999999998</v>
      </c>
      <c r="F290" s="3">
        <v>566843506</v>
      </c>
    </row>
    <row r="291" spans="1:6" ht="13" x14ac:dyDescent="0.15">
      <c r="A291" s="3">
        <v>42118</v>
      </c>
      <c r="B291" s="3">
        <v>2112.8000000000002</v>
      </c>
      <c r="C291" s="3">
        <v>2120.92</v>
      </c>
      <c r="D291" s="3">
        <v>2112.8000000000002</v>
      </c>
      <c r="E291" s="3">
        <v>2117.69</v>
      </c>
      <c r="F291" s="3">
        <v>555376586</v>
      </c>
    </row>
    <row r="292" spans="1:6" ht="13" x14ac:dyDescent="0.15">
      <c r="A292" s="3">
        <v>42121</v>
      </c>
      <c r="B292" s="3">
        <v>2119.29</v>
      </c>
      <c r="C292" s="3">
        <v>2125.92</v>
      </c>
      <c r="D292" s="3">
        <v>2107.04</v>
      </c>
      <c r="E292" s="3">
        <v>2108.92</v>
      </c>
      <c r="F292" s="3">
        <v>590999229</v>
      </c>
    </row>
    <row r="293" spans="1:6" ht="13" x14ac:dyDescent="0.15">
      <c r="A293" s="3">
        <v>42122</v>
      </c>
      <c r="B293" s="3">
        <v>2108.35</v>
      </c>
      <c r="C293" s="3">
        <v>2116.09</v>
      </c>
      <c r="D293" s="3">
        <v>2094.89</v>
      </c>
      <c r="E293" s="3">
        <v>2114.7600000000002</v>
      </c>
      <c r="F293" s="3">
        <v>549650994</v>
      </c>
    </row>
    <row r="294" spans="1:6" ht="13" x14ac:dyDescent="0.15">
      <c r="A294" s="3">
        <v>42123</v>
      </c>
      <c r="B294" s="3">
        <v>2112.4899999999998</v>
      </c>
      <c r="C294" s="3">
        <v>2113.65</v>
      </c>
      <c r="D294" s="3">
        <v>2097.41</v>
      </c>
      <c r="E294" s="3">
        <v>2106.85</v>
      </c>
      <c r="F294" s="3">
        <v>550784916</v>
      </c>
    </row>
    <row r="295" spans="1:6" ht="13" x14ac:dyDescent="0.15">
      <c r="A295" s="3">
        <v>42124</v>
      </c>
      <c r="B295" s="3">
        <v>2105.52</v>
      </c>
      <c r="C295" s="3">
        <v>2105.52</v>
      </c>
      <c r="D295" s="3">
        <v>2077.59</v>
      </c>
      <c r="E295" s="3">
        <v>2085.5100000000002</v>
      </c>
      <c r="F295" s="3">
        <v>686082642</v>
      </c>
    </row>
    <row r="296" spans="1:6" ht="13" x14ac:dyDescent="0.15">
      <c r="A296" s="3">
        <v>42125</v>
      </c>
      <c r="B296" s="3">
        <v>2087.38</v>
      </c>
      <c r="C296" s="3">
        <v>2108.41</v>
      </c>
      <c r="D296" s="3">
        <v>2087.38</v>
      </c>
      <c r="E296" s="3">
        <v>2108.29</v>
      </c>
      <c r="F296" s="3">
        <v>509568789</v>
      </c>
    </row>
    <row r="297" spans="1:6" ht="13" x14ac:dyDescent="0.15">
      <c r="A297" s="3">
        <v>42128</v>
      </c>
      <c r="B297" s="3">
        <v>2110.23</v>
      </c>
      <c r="C297" s="3">
        <v>2120.9499999999998</v>
      </c>
      <c r="D297" s="3">
        <v>2110.23</v>
      </c>
      <c r="E297" s="3">
        <v>2114.4899999999998</v>
      </c>
      <c r="F297" s="3">
        <v>458688406</v>
      </c>
    </row>
    <row r="298" spans="1:6" ht="13" x14ac:dyDescent="0.15">
      <c r="A298" s="3">
        <v>42129</v>
      </c>
      <c r="B298" s="3">
        <v>2112.63</v>
      </c>
      <c r="C298" s="3">
        <v>2115.2399999999998</v>
      </c>
      <c r="D298" s="3">
        <v>2088.46</v>
      </c>
      <c r="E298" s="3">
        <v>2089.46</v>
      </c>
      <c r="F298" s="3">
        <v>532113899</v>
      </c>
    </row>
    <row r="299" spans="1:6" ht="13" x14ac:dyDescent="0.15">
      <c r="A299" s="3">
        <v>42130</v>
      </c>
      <c r="B299" s="3">
        <v>2091.2600000000002</v>
      </c>
      <c r="C299" s="3">
        <v>2098.42</v>
      </c>
      <c r="D299" s="3">
        <v>2067.9299999999998</v>
      </c>
      <c r="E299" s="3">
        <v>2080.15</v>
      </c>
      <c r="F299" s="3">
        <v>552153155</v>
      </c>
    </row>
    <row r="300" spans="1:6" ht="13" x14ac:dyDescent="0.15">
      <c r="A300" s="3">
        <v>42131</v>
      </c>
      <c r="B300" s="3">
        <v>2079.96</v>
      </c>
      <c r="C300" s="3">
        <v>2092.9</v>
      </c>
      <c r="D300" s="3">
        <v>2074.9899999999998</v>
      </c>
      <c r="E300" s="3">
        <v>2088</v>
      </c>
      <c r="F300" s="3">
        <v>523758356</v>
      </c>
    </row>
    <row r="301" spans="1:6" ht="13" x14ac:dyDescent="0.15">
      <c r="A301" s="3">
        <v>42132</v>
      </c>
      <c r="B301" s="3">
        <v>2092.13</v>
      </c>
      <c r="C301" s="3">
        <v>2117.66</v>
      </c>
      <c r="D301" s="3">
        <v>2092.13</v>
      </c>
      <c r="E301" s="3">
        <v>2116.1</v>
      </c>
      <c r="F301" s="3">
        <v>524517688</v>
      </c>
    </row>
    <row r="302" spans="1:6" ht="13" x14ac:dyDescent="0.15">
      <c r="A302" s="3">
        <v>42135</v>
      </c>
      <c r="B302" s="3">
        <v>2115.56</v>
      </c>
      <c r="C302" s="3">
        <v>2117.69</v>
      </c>
      <c r="D302" s="3">
        <v>2104.58</v>
      </c>
      <c r="E302" s="3">
        <v>2105.33</v>
      </c>
      <c r="F302" s="3">
        <v>467022504</v>
      </c>
    </row>
    <row r="303" spans="1:6" ht="13" x14ac:dyDescent="0.15">
      <c r="A303" s="3">
        <v>42136</v>
      </c>
      <c r="B303" s="3">
        <v>2102.87</v>
      </c>
      <c r="C303" s="3">
        <v>2105.06</v>
      </c>
      <c r="D303" s="3">
        <v>2085.5700000000002</v>
      </c>
      <c r="E303" s="3">
        <v>2099.12</v>
      </c>
      <c r="F303" s="3">
        <v>468682965</v>
      </c>
    </row>
    <row r="304" spans="1:6" ht="13" x14ac:dyDescent="0.15">
      <c r="A304" s="3">
        <v>42137</v>
      </c>
      <c r="B304" s="3">
        <v>2099.62</v>
      </c>
      <c r="C304" s="3">
        <v>2110.19</v>
      </c>
      <c r="D304" s="3">
        <v>2096.04</v>
      </c>
      <c r="E304" s="3">
        <v>2098.48</v>
      </c>
      <c r="F304" s="3">
        <v>473510272</v>
      </c>
    </row>
    <row r="305" spans="1:6" ht="13" x14ac:dyDescent="0.15">
      <c r="A305" s="3">
        <v>42138</v>
      </c>
      <c r="B305" s="3">
        <v>2100.4299999999998</v>
      </c>
      <c r="C305" s="3">
        <v>2121.4499999999998</v>
      </c>
      <c r="D305" s="3">
        <v>2100.4299999999998</v>
      </c>
      <c r="E305" s="3">
        <v>2121.1</v>
      </c>
      <c r="F305" s="3">
        <v>477949241</v>
      </c>
    </row>
    <row r="306" spans="1:6" ht="13" x14ac:dyDescent="0.15">
      <c r="A306" s="3">
        <v>42139</v>
      </c>
      <c r="B306" s="3">
        <v>2122.0700000000002</v>
      </c>
      <c r="C306" s="3">
        <v>2123.89</v>
      </c>
      <c r="D306" s="3">
        <v>2116.79</v>
      </c>
      <c r="E306" s="3">
        <v>2122.73</v>
      </c>
      <c r="F306" s="3">
        <v>609123759</v>
      </c>
    </row>
    <row r="307" spans="1:6" ht="13" x14ac:dyDescent="0.15">
      <c r="A307" s="3">
        <v>42142</v>
      </c>
      <c r="B307" s="3">
        <v>2121.3000000000002</v>
      </c>
      <c r="C307" s="3">
        <v>2131.7800000000002</v>
      </c>
      <c r="D307" s="3">
        <v>2120.0100000000002</v>
      </c>
      <c r="E307" s="3">
        <v>2129.1999999999998</v>
      </c>
      <c r="F307" s="3">
        <v>444239990</v>
      </c>
    </row>
    <row r="308" spans="1:6" ht="13" x14ac:dyDescent="0.15">
      <c r="A308" s="3">
        <v>42143</v>
      </c>
      <c r="B308" s="3">
        <v>2129.4499999999998</v>
      </c>
      <c r="C308" s="3">
        <v>2133.02</v>
      </c>
      <c r="D308" s="3">
        <v>2124.5</v>
      </c>
      <c r="E308" s="3">
        <v>2127.83</v>
      </c>
      <c r="F308" s="3">
        <v>493349176</v>
      </c>
    </row>
    <row r="309" spans="1:6" ht="13" x14ac:dyDescent="0.15">
      <c r="A309" s="3">
        <v>42144</v>
      </c>
      <c r="B309" s="3">
        <v>2127.79</v>
      </c>
      <c r="C309" s="3">
        <v>2134.7199999999998</v>
      </c>
      <c r="D309" s="3">
        <v>2122.59</v>
      </c>
      <c r="E309" s="3">
        <v>2125.85</v>
      </c>
      <c r="F309" s="3">
        <v>477723201</v>
      </c>
    </row>
    <row r="310" spans="1:6" ht="13" x14ac:dyDescent="0.15">
      <c r="A310" s="3">
        <v>42145</v>
      </c>
      <c r="B310" s="3">
        <v>2125.5500000000002</v>
      </c>
      <c r="C310" s="3">
        <v>2134.2800000000002</v>
      </c>
      <c r="D310" s="3">
        <v>2122.9499999999998</v>
      </c>
      <c r="E310" s="3">
        <v>2130.8200000000002</v>
      </c>
      <c r="F310" s="3">
        <v>468557139</v>
      </c>
    </row>
    <row r="311" spans="1:6" ht="13" x14ac:dyDescent="0.15">
      <c r="A311" s="3">
        <v>42146</v>
      </c>
      <c r="B311" s="3">
        <v>2130.36</v>
      </c>
      <c r="C311" s="3">
        <v>2132.15</v>
      </c>
      <c r="D311" s="3">
        <v>2126.06</v>
      </c>
      <c r="E311" s="3">
        <v>2126.06</v>
      </c>
      <c r="F311" s="3">
        <v>423419513</v>
      </c>
    </row>
    <row r="312" spans="1:6" ht="13" x14ac:dyDescent="0.15">
      <c r="A312" s="3">
        <v>42150</v>
      </c>
      <c r="B312" s="3">
        <v>2125.34</v>
      </c>
      <c r="C312" s="3">
        <v>2125.34</v>
      </c>
      <c r="D312" s="3">
        <v>2099.1799999999998</v>
      </c>
      <c r="E312" s="3">
        <v>2104.1999999999998</v>
      </c>
      <c r="F312" s="3">
        <v>557833108</v>
      </c>
    </row>
    <row r="313" spans="1:6" ht="13" x14ac:dyDescent="0.15">
      <c r="A313" s="3">
        <v>42151</v>
      </c>
      <c r="B313" s="3">
        <v>2105.13</v>
      </c>
      <c r="C313" s="3">
        <v>2126.2199999999998</v>
      </c>
      <c r="D313" s="3">
        <v>2105.13</v>
      </c>
      <c r="E313" s="3">
        <v>2123.48</v>
      </c>
      <c r="F313" s="3">
        <v>511248450</v>
      </c>
    </row>
    <row r="314" spans="1:6" ht="13" x14ac:dyDescent="0.15">
      <c r="A314" s="3">
        <v>42152</v>
      </c>
      <c r="B314" s="3">
        <v>2122.27</v>
      </c>
      <c r="C314" s="3">
        <v>2122.27</v>
      </c>
      <c r="D314" s="3">
        <v>2112.86</v>
      </c>
      <c r="E314" s="3">
        <v>2120.79</v>
      </c>
      <c r="F314" s="3">
        <v>434135669</v>
      </c>
    </row>
    <row r="315" spans="1:6" ht="13" x14ac:dyDescent="0.15">
      <c r="A315" s="3">
        <v>42153</v>
      </c>
      <c r="B315" s="3">
        <v>2120.66</v>
      </c>
      <c r="C315" s="3">
        <v>2120.66</v>
      </c>
      <c r="D315" s="3">
        <v>2104.89</v>
      </c>
      <c r="E315" s="3">
        <v>2107.39</v>
      </c>
      <c r="F315" s="3">
        <v>760129761</v>
      </c>
    </row>
    <row r="316" spans="1:6" ht="13" x14ac:dyDescent="0.15">
      <c r="A316" s="3">
        <v>42156</v>
      </c>
      <c r="B316" s="3">
        <v>2108.64</v>
      </c>
      <c r="C316" s="3">
        <v>2119.15</v>
      </c>
      <c r="D316" s="3">
        <v>2102.54</v>
      </c>
      <c r="E316" s="3">
        <v>2111.73</v>
      </c>
      <c r="F316" s="3">
        <v>488083175</v>
      </c>
    </row>
    <row r="317" spans="1:6" ht="13" x14ac:dyDescent="0.15">
      <c r="A317" s="3">
        <v>42157</v>
      </c>
      <c r="B317" s="3">
        <v>2110.41</v>
      </c>
      <c r="C317" s="3">
        <v>2117.59</v>
      </c>
      <c r="D317" s="3">
        <v>2099.14</v>
      </c>
      <c r="E317" s="3">
        <v>2109.6</v>
      </c>
      <c r="F317" s="3">
        <v>471166195</v>
      </c>
    </row>
    <row r="318" spans="1:6" ht="13" x14ac:dyDescent="0.15">
      <c r="A318" s="3">
        <v>42158</v>
      </c>
      <c r="B318" s="3">
        <v>2110.64</v>
      </c>
      <c r="C318" s="3">
        <v>2121.92</v>
      </c>
      <c r="D318" s="3">
        <v>2109.61</v>
      </c>
      <c r="E318" s="3">
        <v>2114.0700000000002</v>
      </c>
      <c r="F318" s="3">
        <v>464527279</v>
      </c>
    </row>
    <row r="319" spans="1:6" ht="13" x14ac:dyDescent="0.15">
      <c r="A319" s="3">
        <v>42159</v>
      </c>
      <c r="B319" s="3">
        <v>2112.35</v>
      </c>
      <c r="C319" s="3">
        <v>2112.89</v>
      </c>
      <c r="D319" s="3">
        <v>2093.23</v>
      </c>
      <c r="E319" s="3">
        <v>2095.84</v>
      </c>
      <c r="F319" s="3">
        <v>521557720</v>
      </c>
    </row>
    <row r="320" spans="1:6" ht="13" x14ac:dyDescent="0.15">
      <c r="A320" s="3">
        <v>42160</v>
      </c>
      <c r="B320" s="3">
        <v>2095.09</v>
      </c>
      <c r="C320" s="3">
        <v>2100.9899999999998</v>
      </c>
      <c r="D320" s="3">
        <v>2085.67</v>
      </c>
      <c r="E320" s="3">
        <v>2092.83</v>
      </c>
      <c r="F320" s="3">
        <v>559311850</v>
      </c>
    </row>
    <row r="321" spans="1:6" ht="13" x14ac:dyDescent="0.15">
      <c r="A321" s="3">
        <v>42163</v>
      </c>
      <c r="B321" s="3">
        <v>2092.34</v>
      </c>
      <c r="C321" s="3">
        <v>2093.0100000000002</v>
      </c>
      <c r="D321" s="3">
        <v>2079.11</v>
      </c>
      <c r="E321" s="3">
        <v>2079.2800000000002</v>
      </c>
      <c r="F321" s="3">
        <v>488323296</v>
      </c>
    </row>
    <row r="322" spans="1:6" ht="13" x14ac:dyDescent="0.15">
      <c r="A322" s="3">
        <v>42164</v>
      </c>
      <c r="B322" s="3">
        <v>2079.0700000000002</v>
      </c>
      <c r="C322" s="3">
        <v>2085.62</v>
      </c>
      <c r="D322" s="3">
        <v>2072.14</v>
      </c>
      <c r="E322" s="3">
        <v>2080.15</v>
      </c>
      <c r="F322" s="3">
        <v>488823113</v>
      </c>
    </row>
    <row r="323" spans="1:6" ht="13" x14ac:dyDescent="0.15">
      <c r="A323" s="3">
        <v>42165</v>
      </c>
      <c r="B323" s="3">
        <v>2081.12</v>
      </c>
      <c r="C323" s="3">
        <v>2108.5</v>
      </c>
      <c r="D323" s="3">
        <v>2081.12</v>
      </c>
      <c r="E323" s="3">
        <v>2105.1999999999998</v>
      </c>
      <c r="F323" s="3">
        <v>507555252</v>
      </c>
    </row>
    <row r="324" spans="1:6" ht="13" x14ac:dyDescent="0.15">
      <c r="A324" s="3">
        <v>42166</v>
      </c>
      <c r="B324" s="3">
        <v>2106.2399999999998</v>
      </c>
      <c r="C324" s="3">
        <v>2115.02</v>
      </c>
      <c r="D324" s="3">
        <v>2106.2399999999998</v>
      </c>
      <c r="E324" s="3">
        <v>2108.86</v>
      </c>
      <c r="F324" s="3">
        <v>529774046</v>
      </c>
    </row>
    <row r="325" spans="1:6" ht="13" x14ac:dyDescent="0.15">
      <c r="A325" s="3">
        <v>42167</v>
      </c>
      <c r="B325" s="3">
        <v>2107.4299999999998</v>
      </c>
      <c r="C325" s="3">
        <v>2107.4299999999998</v>
      </c>
      <c r="D325" s="3">
        <v>2091.33</v>
      </c>
      <c r="E325" s="3">
        <v>2094.11</v>
      </c>
      <c r="F325" s="3">
        <v>449503626</v>
      </c>
    </row>
    <row r="326" spans="1:6" ht="13" x14ac:dyDescent="0.15">
      <c r="A326" s="3">
        <v>42170</v>
      </c>
      <c r="B326" s="3">
        <v>2091.34</v>
      </c>
      <c r="C326" s="3">
        <v>2091.34</v>
      </c>
      <c r="D326" s="3">
        <v>2072.4899999999998</v>
      </c>
      <c r="E326" s="3">
        <v>2084.4299999999998</v>
      </c>
      <c r="F326" s="3">
        <v>504787125</v>
      </c>
    </row>
    <row r="327" spans="1:6" ht="13" x14ac:dyDescent="0.15">
      <c r="A327" s="3">
        <v>42171</v>
      </c>
      <c r="B327" s="3">
        <v>2084.2600000000002</v>
      </c>
      <c r="C327" s="3">
        <v>2097.4</v>
      </c>
      <c r="D327" s="3">
        <v>2082.1</v>
      </c>
      <c r="E327" s="3">
        <v>2096.29</v>
      </c>
      <c r="F327" s="3">
        <v>410710293</v>
      </c>
    </row>
    <row r="328" spans="1:6" ht="13" x14ac:dyDescent="0.15">
      <c r="A328" s="3">
        <v>42172</v>
      </c>
      <c r="B328" s="3">
        <v>2097.4</v>
      </c>
      <c r="C328" s="3">
        <v>2106.79</v>
      </c>
      <c r="D328" s="3">
        <v>2088.86</v>
      </c>
      <c r="E328" s="3">
        <v>2100.44</v>
      </c>
      <c r="F328" s="3">
        <v>480805890</v>
      </c>
    </row>
    <row r="329" spans="1:6" ht="13" x14ac:dyDescent="0.15">
      <c r="A329" s="3">
        <v>42173</v>
      </c>
      <c r="B329" s="3">
        <v>2101.58</v>
      </c>
      <c r="C329" s="3">
        <v>2126.65</v>
      </c>
      <c r="D329" s="3">
        <v>2101.58</v>
      </c>
      <c r="E329" s="3">
        <v>2121.2399999999998</v>
      </c>
      <c r="F329" s="3">
        <v>544428661</v>
      </c>
    </row>
    <row r="330" spans="1:6" ht="13" x14ac:dyDescent="0.15">
      <c r="A330" s="3">
        <v>42174</v>
      </c>
      <c r="B330" s="3">
        <v>2121.0300000000002</v>
      </c>
      <c r="C330" s="3">
        <v>2121.64</v>
      </c>
      <c r="D330" s="3">
        <v>2109.38</v>
      </c>
      <c r="E330" s="3">
        <v>2109.9899999999998</v>
      </c>
      <c r="F330" s="3">
        <v>181680815</v>
      </c>
    </row>
    <row r="331" spans="1:6" ht="13" x14ac:dyDescent="0.15">
      <c r="A331" s="3">
        <v>42177</v>
      </c>
      <c r="B331" s="3">
        <v>2112.5</v>
      </c>
      <c r="C331" s="3">
        <v>2129.87</v>
      </c>
      <c r="D331" s="3">
        <v>2112.5</v>
      </c>
      <c r="E331" s="3">
        <v>2122.85</v>
      </c>
      <c r="F331" s="3">
        <v>468228023</v>
      </c>
    </row>
    <row r="332" spans="1:6" ht="13" x14ac:dyDescent="0.15">
      <c r="A332" s="3">
        <v>42178</v>
      </c>
      <c r="B332" s="3">
        <v>2123.16</v>
      </c>
      <c r="C332" s="3">
        <v>2128.0300000000002</v>
      </c>
      <c r="D332" s="3">
        <v>2119.89</v>
      </c>
      <c r="E332" s="3">
        <v>2124.1999999999998</v>
      </c>
      <c r="F332" s="3">
        <v>453115170</v>
      </c>
    </row>
    <row r="333" spans="1:6" ht="13" x14ac:dyDescent="0.15">
      <c r="A333" s="3">
        <v>42179</v>
      </c>
      <c r="B333" s="3">
        <v>2123.33</v>
      </c>
      <c r="C333" s="3">
        <v>2125.1</v>
      </c>
      <c r="D333" s="3">
        <v>2108.58</v>
      </c>
      <c r="E333" s="3">
        <v>2108.58</v>
      </c>
      <c r="F333" s="3">
        <v>534019481</v>
      </c>
    </row>
    <row r="334" spans="1:6" ht="13" x14ac:dyDescent="0.15">
      <c r="A334" s="3">
        <v>42180</v>
      </c>
      <c r="B334" s="3">
        <v>2109.96</v>
      </c>
      <c r="C334" s="3">
        <v>2116.04</v>
      </c>
      <c r="D334" s="3">
        <v>2101.7800000000002</v>
      </c>
      <c r="E334" s="3">
        <v>2102.31</v>
      </c>
      <c r="F334" s="3">
        <v>494346810</v>
      </c>
    </row>
    <row r="335" spans="1:6" ht="13" x14ac:dyDescent="0.15">
      <c r="A335" s="3">
        <v>42181</v>
      </c>
      <c r="B335" s="3">
        <v>2102.62</v>
      </c>
      <c r="C335" s="3">
        <v>2108.92</v>
      </c>
      <c r="D335" s="3">
        <v>2095.38</v>
      </c>
      <c r="E335" s="3">
        <v>2101.4899999999998</v>
      </c>
      <c r="F335" s="3">
        <v>927539503</v>
      </c>
    </row>
    <row r="336" spans="1:6" ht="13" x14ac:dyDescent="0.15">
      <c r="A336" s="3">
        <v>42184</v>
      </c>
      <c r="B336" s="3">
        <v>2098.63</v>
      </c>
      <c r="C336" s="3">
        <v>2098.63</v>
      </c>
      <c r="D336" s="3">
        <v>2056.64</v>
      </c>
      <c r="E336" s="3">
        <v>2057.64</v>
      </c>
      <c r="F336" s="3">
        <v>586955148</v>
      </c>
    </row>
    <row r="337" spans="1:6" ht="13" x14ac:dyDescent="0.15">
      <c r="A337" s="3">
        <v>42185</v>
      </c>
      <c r="B337" s="3">
        <v>2061.19</v>
      </c>
      <c r="C337" s="3">
        <v>2074.2800000000002</v>
      </c>
      <c r="D337" s="3">
        <v>2056.3200000000002</v>
      </c>
      <c r="E337" s="3">
        <v>2063.11</v>
      </c>
      <c r="F337" s="3">
        <v>717671106</v>
      </c>
    </row>
    <row r="338" spans="1:6" ht="13" x14ac:dyDescent="0.15">
      <c r="A338" s="3">
        <v>42186</v>
      </c>
      <c r="B338" s="3">
        <v>2067</v>
      </c>
      <c r="C338" s="3">
        <v>2082.7800000000002</v>
      </c>
      <c r="D338" s="3">
        <v>2067</v>
      </c>
      <c r="E338" s="3">
        <v>2077.42</v>
      </c>
      <c r="F338" s="3">
        <v>531751257</v>
      </c>
    </row>
    <row r="339" spans="1:6" ht="13" x14ac:dyDescent="0.15">
      <c r="A339" s="3">
        <v>42187</v>
      </c>
      <c r="B339" s="3">
        <v>2078.0300000000002</v>
      </c>
      <c r="C339" s="3">
        <v>2085.06</v>
      </c>
      <c r="D339" s="3">
        <v>2071.02</v>
      </c>
      <c r="E339" s="3">
        <v>2076.7800000000002</v>
      </c>
      <c r="F339" s="3">
        <v>484440239</v>
      </c>
    </row>
    <row r="340" spans="1:6" ht="13" x14ac:dyDescent="0.15">
      <c r="A340" s="3">
        <v>42191</v>
      </c>
      <c r="B340" s="3">
        <v>2073.9499999999998</v>
      </c>
      <c r="C340" s="3">
        <v>2078.61</v>
      </c>
      <c r="D340" s="3">
        <v>2058.4</v>
      </c>
      <c r="E340" s="3">
        <v>2068.7600000000002</v>
      </c>
      <c r="F340" s="3">
        <v>586209073</v>
      </c>
    </row>
    <row r="341" spans="1:6" ht="13" x14ac:dyDescent="0.15">
      <c r="A341" s="3">
        <v>42192</v>
      </c>
      <c r="B341" s="3">
        <v>2069.52</v>
      </c>
      <c r="C341" s="3">
        <v>2083.7399999999998</v>
      </c>
      <c r="D341" s="3">
        <v>2044.02</v>
      </c>
      <c r="E341" s="3">
        <v>2081.34</v>
      </c>
      <c r="F341" s="3">
        <v>624382379</v>
      </c>
    </row>
    <row r="342" spans="1:6" ht="13" x14ac:dyDescent="0.15">
      <c r="A342" s="3">
        <v>42193</v>
      </c>
      <c r="B342" s="3">
        <v>2077.66</v>
      </c>
      <c r="C342" s="3">
        <v>2077.66</v>
      </c>
      <c r="D342" s="3">
        <v>2044.66</v>
      </c>
      <c r="E342" s="3">
        <v>2046.68</v>
      </c>
      <c r="F342" s="3">
        <v>372276830</v>
      </c>
    </row>
    <row r="343" spans="1:6" ht="13" x14ac:dyDescent="0.15">
      <c r="A343" s="3">
        <v>42194</v>
      </c>
      <c r="B343" s="3">
        <v>2049.73</v>
      </c>
      <c r="C343" s="3">
        <v>2074.2800000000002</v>
      </c>
      <c r="D343" s="3">
        <v>2049.73</v>
      </c>
      <c r="E343" s="3">
        <v>2051.31</v>
      </c>
      <c r="F343" s="3">
        <v>553570988</v>
      </c>
    </row>
    <row r="344" spans="1:6" ht="13" x14ac:dyDescent="0.15">
      <c r="A344" s="3">
        <v>42195</v>
      </c>
      <c r="B344" s="3">
        <v>2052.7399999999998</v>
      </c>
      <c r="C344" s="3">
        <v>2081.31</v>
      </c>
      <c r="D344" s="3">
        <v>2052.7399999999998</v>
      </c>
      <c r="E344" s="3">
        <v>2076.62</v>
      </c>
      <c r="F344" s="3">
        <v>487492213</v>
      </c>
    </row>
    <row r="345" spans="1:6" ht="13" x14ac:dyDescent="0.15">
      <c r="A345" s="3">
        <v>42198</v>
      </c>
      <c r="B345" s="3">
        <v>2080.0300000000002</v>
      </c>
      <c r="C345" s="3">
        <v>2100.67</v>
      </c>
      <c r="D345" s="3">
        <v>2080.0300000000002</v>
      </c>
      <c r="E345" s="3">
        <v>2099.6</v>
      </c>
      <c r="F345" s="3">
        <v>504047608</v>
      </c>
    </row>
    <row r="346" spans="1:6" ht="13" x14ac:dyDescent="0.15">
      <c r="A346" s="3">
        <v>42199</v>
      </c>
      <c r="B346" s="3">
        <v>2099.7199999999998</v>
      </c>
      <c r="C346" s="3">
        <v>2111.98</v>
      </c>
      <c r="D346" s="3">
        <v>2098.1799999999998</v>
      </c>
      <c r="E346" s="3">
        <v>2108.9499999999998</v>
      </c>
      <c r="F346" s="3">
        <v>501243649</v>
      </c>
    </row>
    <row r="347" spans="1:6" ht="13" x14ac:dyDescent="0.15">
      <c r="A347" s="3">
        <v>42200</v>
      </c>
      <c r="B347" s="3">
        <v>2109.0100000000002</v>
      </c>
      <c r="C347" s="3">
        <v>2114.14</v>
      </c>
      <c r="D347" s="3">
        <v>2102.4899999999998</v>
      </c>
      <c r="E347" s="3">
        <v>2107.4</v>
      </c>
      <c r="F347" s="3">
        <v>538810633</v>
      </c>
    </row>
    <row r="348" spans="1:6" ht="13" x14ac:dyDescent="0.15">
      <c r="A348" s="3">
        <v>42201</v>
      </c>
      <c r="B348" s="3">
        <v>2110.5500000000002</v>
      </c>
      <c r="C348" s="3">
        <v>2124.42</v>
      </c>
      <c r="D348" s="3">
        <v>2110.5500000000002</v>
      </c>
      <c r="E348" s="3">
        <v>2124.29</v>
      </c>
      <c r="F348" s="3">
        <v>531489666</v>
      </c>
    </row>
    <row r="349" spans="1:6" ht="13" x14ac:dyDescent="0.15">
      <c r="A349" s="3">
        <v>42202</v>
      </c>
      <c r="B349" s="3">
        <v>2126.8000000000002</v>
      </c>
      <c r="C349" s="3">
        <v>2128.91</v>
      </c>
      <c r="D349" s="3">
        <v>2119.88</v>
      </c>
      <c r="E349" s="3">
        <v>2126.64</v>
      </c>
      <c r="F349" s="3">
        <v>626055481</v>
      </c>
    </row>
    <row r="350" spans="1:6" ht="13" x14ac:dyDescent="0.15">
      <c r="A350" s="3">
        <v>42205</v>
      </c>
      <c r="B350" s="3">
        <v>2126.85</v>
      </c>
      <c r="C350" s="3">
        <v>2132.8200000000002</v>
      </c>
      <c r="D350" s="3">
        <v>2123.65</v>
      </c>
      <c r="E350" s="3">
        <v>2128.2800000000002</v>
      </c>
      <c r="F350" s="3">
        <v>498063871</v>
      </c>
    </row>
    <row r="351" spans="1:6" ht="13" x14ac:dyDescent="0.15">
      <c r="A351" s="3">
        <v>42206</v>
      </c>
      <c r="B351" s="3">
        <v>2127.5500000000002</v>
      </c>
      <c r="C351" s="3">
        <v>2128.4899999999998</v>
      </c>
      <c r="D351" s="3">
        <v>2115.4</v>
      </c>
      <c r="E351" s="3">
        <v>2119.21</v>
      </c>
      <c r="F351" s="3">
        <v>549092745</v>
      </c>
    </row>
    <row r="352" spans="1:6" ht="13" x14ac:dyDescent="0.15">
      <c r="A352" s="3">
        <v>42207</v>
      </c>
      <c r="B352" s="3">
        <v>2118.21</v>
      </c>
      <c r="C352" s="3">
        <v>2118.5100000000002</v>
      </c>
      <c r="D352" s="3">
        <v>2110</v>
      </c>
      <c r="E352" s="3">
        <v>2114.15</v>
      </c>
      <c r="F352" s="3">
        <v>604850316</v>
      </c>
    </row>
    <row r="353" spans="1:6" ht="13" x14ac:dyDescent="0.15">
      <c r="A353" s="3">
        <v>42208</v>
      </c>
      <c r="B353" s="3">
        <v>2114.16</v>
      </c>
      <c r="C353" s="3">
        <v>2116.87</v>
      </c>
      <c r="D353" s="3">
        <v>2098.63</v>
      </c>
      <c r="E353" s="3">
        <v>2102.15</v>
      </c>
      <c r="F353" s="3">
        <v>583756482</v>
      </c>
    </row>
    <row r="354" spans="1:6" ht="13" x14ac:dyDescent="0.15">
      <c r="A354" s="3">
        <v>42209</v>
      </c>
      <c r="B354" s="3">
        <v>2102.2399999999998</v>
      </c>
      <c r="C354" s="3">
        <v>2106.0100000000002</v>
      </c>
      <c r="D354" s="3">
        <v>2077.09</v>
      </c>
      <c r="E354" s="3">
        <v>2079.65</v>
      </c>
      <c r="F354" s="3">
        <v>622862924</v>
      </c>
    </row>
    <row r="355" spans="1:6" ht="13" x14ac:dyDescent="0.15">
      <c r="A355" s="3">
        <v>42212</v>
      </c>
      <c r="B355" s="3">
        <v>2078.19</v>
      </c>
      <c r="C355" s="3">
        <v>2078.19</v>
      </c>
      <c r="D355" s="3">
        <v>2063.52</v>
      </c>
      <c r="E355" s="3">
        <v>2067.64</v>
      </c>
      <c r="F355" s="3">
        <v>658424497</v>
      </c>
    </row>
    <row r="356" spans="1:6" ht="13" x14ac:dyDescent="0.15">
      <c r="A356" s="3">
        <v>42213</v>
      </c>
      <c r="B356" s="3">
        <v>2070.75</v>
      </c>
      <c r="C356" s="3">
        <v>2095.6</v>
      </c>
      <c r="D356" s="3">
        <v>2069.09</v>
      </c>
      <c r="E356" s="3">
        <v>2093.25</v>
      </c>
      <c r="F356" s="3">
        <v>612199117</v>
      </c>
    </row>
    <row r="357" spans="1:6" ht="13" x14ac:dyDescent="0.15">
      <c r="A357" s="3">
        <v>42214</v>
      </c>
      <c r="B357" s="3">
        <v>2094.6999999999998</v>
      </c>
      <c r="C357" s="3">
        <v>2110.6</v>
      </c>
      <c r="D357" s="3">
        <v>2094.08</v>
      </c>
      <c r="E357" s="3">
        <v>2108.5700000000002</v>
      </c>
      <c r="F357" s="3">
        <v>568110723</v>
      </c>
    </row>
    <row r="358" spans="1:6" ht="13" x14ac:dyDescent="0.15">
      <c r="A358" s="3">
        <v>42215</v>
      </c>
      <c r="B358" s="3">
        <v>2106.7800000000002</v>
      </c>
      <c r="C358" s="3">
        <v>2110.48</v>
      </c>
      <c r="D358" s="3">
        <v>2094.9699999999998</v>
      </c>
      <c r="E358" s="3">
        <v>2108.63</v>
      </c>
      <c r="F358" s="3">
        <v>505302182</v>
      </c>
    </row>
    <row r="359" spans="1:6" ht="13" x14ac:dyDescent="0.15">
      <c r="A359" s="3">
        <v>42216</v>
      </c>
      <c r="B359" s="3">
        <v>2111.6</v>
      </c>
      <c r="C359" s="3">
        <v>2114.2399999999998</v>
      </c>
      <c r="D359" s="3">
        <v>2102.0700000000002</v>
      </c>
      <c r="E359" s="3">
        <v>2103.84</v>
      </c>
      <c r="F359" s="3">
        <v>639716945</v>
      </c>
    </row>
    <row r="360" spans="1:6" ht="13" x14ac:dyDescent="0.15">
      <c r="A360" s="3">
        <v>42219</v>
      </c>
      <c r="B360" s="3">
        <v>2104.4899999999998</v>
      </c>
      <c r="C360" s="3">
        <v>2105.6999999999998</v>
      </c>
      <c r="D360" s="3">
        <v>2087.31</v>
      </c>
      <c r="E360" s="3">
        <v>2098.04</v>
      </c>
      <c r="F360" s="3">
        <v>546235777</v>
      </c>
    </row>
    <row r="361" spans="1:6" ht="13" x14ac:dyDescent="0.15">
      <c r="A361" s="3">
        <v>42220</v>
      </c>
      <c r="B361" s="3">
        <v>2097.6799999999998</v>
      </c>
      <c r="C361" s="3">
        <v>2102.5100000000002</v>
      </c>
      <c r="D361" s="3">
        <v>2088.6</v>
      </c>
      <c r="E361" s="3">
        <v>2093.3200000000002</v>
      </c>
      <c r="F361" s="3">
        <v>545885014</v>
      </c>
    </row>
    <row r="362" spans="1:6" ht="13" x14ac:dyDescent="0.15">
      <c r="A362" s="3">
        <v>42221</v>
      </c>
      <c r="B362" s="3">
        <v>2095.27</v>
      </c>
      <c r="C362" s="3">
        <v>2112.66</v>
      </c>
      <c r="D362" s="3">
        <v>2095.27</v>
      </c>
      <c r="E362" s="3">
        <v>2099.84</v>
      </c>
      <c r="F362" s="3">
        <v>580780772</v>
      </c>
    </row>
    <row r="363" spans="1:6" ht="13" x14ac:dyDescent="0.15">
      <c r="A363" s="3">
        <v>42222</v>
      </c>
      <c r="B363" s="3">
        <v>2100.75</v>
      </c>
      <c r="C363" s="3">
        <v>2103.3200000000002</v>
      </c>
      <c r="D363" s="3">
        <v>2075.5300000000002</v>
      </c>
      <c r="E363" s="3">
        <v>2083.56</v>
      </c>
      <c r="F363" s="3">
        <v>611690579</v>
      </c>
    </row>
    <row r="364" spans="1:6" ht="13" x14ac:dyDescent="0.15">
      <c r="A364" s="3">
        <v>42223</v>
      </c>
      <c r="B364" s="3">
        <v>2082.61</v>
      </c>
      <c r="C364" s="3">
        <v>2082.61</v>
      </c>
      <c r="D364" s="3">
        <v>2067.91</v>
      </c>
      <c r="E364" s="3">
        <v>2077.5700000000002</v>
      </c>
      <c r="F364" s="3">
        <v>529686686</v>
      </c>
    </row>
    <row r="365" spans="1:6" ht="13" x14ac:dyDescent="0.15">
      <c r="A365" s="3">
        <v>42226</v>
      </c>
      <c r="B365" s="3">
        <v>2080.98</v>
      </c>
      <c r="C365" s="3">
        <v>2105.35</v>
      </c>
      <c r="D365" s="3">
        <v>2080.98</v>
      </c>
      <c r="E365" s="3">
        <v>2104.1799999999998</v>
      </c>
      <c r="F365" s="3">
        <v>536952747</v>
      </c>
    </row>
    <row r="366" spans="1:6" ht="13" x14ac:dyDescent="0.15">
      <c r="A366" s="3">
        <v>42227</v>
      </c>
      <c r="B366" s="3">
        <v>2102.66</v>
      </c>
      <c r="C366" s="3">
        <v>2102.66</v>
      </c>
      <c r="D366" s="3">
        <v>2076.4899999999998</v>
      </c>
      <c r="E366" s="3">
        <v>2084.0700000000002</v>
      </c>
      <c r="F366" s="3">
        <v>562080936</v>
      </c>
    </row>
    <row r="367" spans="1:6" ht="13" x14ac:dyDescent="0.15">
      <c r="A367" s="3">
        <v>42228</v>
      </c>
      <c r="B367" s="3">
        <v>2081.1</v>
      </c>
      <c r="C367" s="3">
        <v>2089.06</v>
      </c>
      <c r="D367" s="3">
        <v>2052.09</v>
      </c>
      <c r="E367" s="3">
        <v>2086.0500000000002</v>
      </c>
      <c r="F367" s="3">
        <v>632320464</v>
      </c>
    </row>
    <row r="368" spans="1:6" ht="13" x14ac:dyDescent="0.15">
      <c r="A368" s="3">
        <v>42229</v>
      </c>
      <c r="B368" s="3">
        <v>2086.19</v>
      </c>
      <c r="C368" s="3">
        <v>2092.9299999999998</v>
      </c>
      <c r="D368" s="3">
        <v>2078.2600000000002</v>
      </c>
      <c r="E368" s="3">
        <v>2083.39</v>
      </c>
      <c r="F368" s="3">
        <v>502475309</v>
      </c>
    </row>
    <row r="369" spans="1:6" ht="13" x14ac:dyDescent="0.15">
      <c r="A369" s="3">
        <v>42230</v>
      </c>
      <c r="B369" s="3">
        <v>2083.15</v>
      </c>
      <c r="C369" s="3">
        <v>2092.4499999999998</v>
      </c>
      <c r="D369" s="3">
        <v>2080.61</v>
      </c>
      <c r="E369" s="3">
        <v>2091.54</v>
      </c>
      <c r="F369" s="3">
        <v>448636523</v>
      </c>
    </row>
    <row r="370" spans="1:6" ht="13" x14ac:dyDescent="0.15">
      <c r="A370" s="3">
        <v>42233</v>
      </c>
      <c r="B370" s="3">
        <v>2089.6999999999998</v>
      </c>
      <c r="C370" s="3">
        <v>2102.87</v>
      </c>
      <c r="D370" s="3">
        <v>2079.3000000000002</v>
      </c>
      <c r="E370" s="3">
        <v>2102.44</v>
      </c>
      <c r="F370" s="3">
        <v>426042175</v>
      </c>
    </row>
    <row r="371" spans="1:6" ht="13" x14ac:dyDescent="0.15">
      <c r="A371" s="3">
        <v>42234</v>
      </c>
      <c r="B371" s="3">
        <v>2101.9899999999998</v>
      </c>
      <c r="C371" s="3">
        <v>2103.4699999999998</v>
      </c>
      <c r="D371" s="3">
        <v>2094.14</v>
      </c>
      <c r="E371" s="3">
        <v>2096.92</v>
      </c>
      <c r="F371" s="3">
        <v>444211630</v>
      </c>
    </row>
    <row r="372" spans="1:6" ht="13" x14ac:dyDescent="0.15">
      <c r="A372" s="3">
        <v>42235</v>
      </c>
      <c r="B372" s="3">
        <v>2095.69</v>
      </c>
      <c r="C372" s="3">
        <v>2096.17</v>
      </c>
      <c r="D372" s="3">
        <v>2070.5300000000002</v>
      </c>
      <c r="E372" s="3">
        <v>2079.61</v>
      </c>
      <c r="F372" s="3">
        <v>571231726</v>
      </c>
    </row>
    <row r="373" spans="1:6" ht="13" x14ac:dyDescent="0.15">
      <c r="A373" s="3">
        <v>42236</v>
      </c>
      <c r="B373" s="3">
        <v>2076.61</v>
      </c>
      <c r="C373" s="3">
        <v>2076.61</v>
      </c>
      <c r="D373" s="3">
        <v>2035.73</v>
      </c>
      <c r="E373" s="3">
        <v>2035.73</v>
      </c>
      <c r="F373" s="3">
        <v>674625605</v>
      </c>
    </row>
    <row r="374" spans="1:6" ht="13" x14ac:dyDescent="0.15">
      <c r="A374" s="3">
        <v>42237</v>
      </c>
      <c r="B374" s="3">
        <v>2034.08</v>
      </c>
      <c r="C374" s="3">
        <v>2034.08</v>
      </c>
      <c r="D374" s="3">
        <v>1970.89</v>
      </c>
      <c r="E374" s="3">
        <v>1970.89</v>
      </c>
      <c r="F374" s="3">
        <v>1064386975</v>
      </c>
    </row>
    <row r="375" spans="1:6" ht="13" x14ac:dyDescent="0.15">
      <c r="A375" s="3">
        <v>42240</v>
      </c>
      <c r="B375" s="3">
        <v>1965.15</v>
      </c>
      <c r="C375" s="3">
        <v>1965.15</v>
      </c>
      <c r="D375" s="3">
        <v>1867.01</v>
      </c>
      <c r="E375" s="3">
        <v>1893.21</v>
      </c>
      <c r="F375" s="3">
        <v>259667692</v>
      </c>
    </row>
    <row r="376" spans="1:6" ht="13" x14ac:dyDescent="0.15">
      <c r="A376" s="3">
        <v>42241</v>
      </c>
      <c r="B376" s="3">
        <v>1898.08</v>
      </c>
      <c r="C376" s="3">
        <v>1948.04</v>
      </c>
      <c r="D376" s="3">
        <v>1867.08</v>
      </c>
      <c r="E376" s="3">
        <v>1867.61</v>
      </c>
      <c r="F376" s="3">
        <v>1051285330</v>
      </c>
    </row>
    <row r="377" spans="1:6" ht="13" x14ac:dyDescent="0.15">
      <c r="A377" s="3">
        <v>42242</v>
      </c>
      <c r="B377" s="3">
        <v>1872.75</v>
      </c>
      <c r="C377" s="3">
        <v>1943.09</v>
      </c>
      <c r="D377" s="3">
        <v>1872.75</v>
      </c>
      <c r="E377" s="3">
        <v>1940.51</v>
      </c>
      <c r="F377" s="3">
        <v>1028890548</v>
      </c>
    </row>
    <row r="378" spans="1:6" ht="13" x14ac:dyDescent="0.15">
      <c r="A378" s="3">
        <v>42243</v>
      </c>
      <c r="B378" s="3">
        <v>1942.77</v>
      </c>
      <c r="C378" s="3">
        <v>1989.6</v>
      </c>
      <c r="D378" s="3">
        <v>1942.77</v>
      </c>
      <c r="E378" s="3">
        <v>1987.66</v>
      </c>
      <c r="F378" s="3">
        <v>924279973</v>
      </c>
    </row>
    <row r="379" spans="1:6" ht="13" x14ac:dyDescent="0.15">
      <c r="A379" s="3">
        <v>42244</v>
      </c>
      <c r="B379" s="3">
        <v>1986.06</v>
      </c>
      <c r="C379" s="3">
        <v>1993.48</v>
      </c>
      <c r="D379" s="3">
        <v>1975.19</v>
      </c>
      <c r="E379" s="3">
        <v>1988.87</v>
      </c>
      <c r="F379" s="3">
        <v>723484652</v>
      </c>
    </row>
    <row r="380" spans="1:6" ht="13" x14ac:dyDescent="0.15">
      <c r="A380" s="3">
        <v>42247</v>
      </c>
      <c r="B380" s="3">
        <v>1986.73</v>
      </c>
      <c r="C380" s="3">
        <v>1986.73</v>
      </c>
      <c r="D380" s="3">
        <v>1965.98</v>
      </c>
      <c r="E380" s="3">
        <v>1972.18</v>
      </c>
      <c r="F380" s="3">
        <v>764741387</v>
      </c>
    </row>
    <row r="381" spans="1:6" ht="13" x14ac:dyDescent="0.15">
      <c r="A381" s="3">
        <v>42248</v>
      </c>
      <c r="B381" s="3">
        <v>1970.09</v>
      </c>
      <c r="C381" s="3">
        <v>1970.09</v>
      </c>
      <c r="D381" s="3">
        <v>1903.07</v>
      </c>
      <c r="E381" s="3">
        <v>1913.85</v>
      </c>
      <c r="F381" s="3">
        <v>870125463</v>
      </c>
    </row>
    <row r="382" spans="1:6" ht="13" x14ac:dyDescent="0.15">
      <c r="A382" s="3">
        <v>42249</v>
      </c>
      <c r="B382" s="3">
        <v>1916.52</v>
      </c>
      <c r="C382" s="3">
        <v>1948.91</v>
      </c>
      <c r="D382" s="3">
        <v>1916.52</v>
      </c>
      <c r="E382" s="3">
        <v>1948.86</v>
      </c>
      <c r="F382" s="3">
        <v>732830759</v>
      </c>
    </row>
    <row r="383" spans="1:6" ht="13" x14ac:dyDescent="0.15">
      <c r="A383" s="3">
        <v>42250</v>
      </c>
      <c r="B383" s="3">
        <v>1950.79</v>
      </c>
      <c r="C383" s="3">
        <v>1975.01</v>
      </c>
      <c r="D383" s="3">
        <v>1944.72</v>
      </c>
      <c r="E383" s="3">
        <v>1951.13</v>
      </c>
      <c r="F383" s="3">
        <v>632699986</v>
      </c>
    </row>
    <row r="384" spans="1:6" ht="13" x14ac:dyDescent="0.15">
      <c r="A384" s="3">
        <v>42251</v>
      </c>
      <c r="B384" s="3">
        <v>1947.76</v>
      </c>
      <c r="C384" s="3">
        <v>1947.76</v>
      </c>
      <c r="D384" s="3">
        <v>1911.21</v>
      </c>
      <c r="E384" s="3">
        <v>1921.22</v>
      </c>
      <c r="F384" s="3">
        <v>665450828</v>
      </c>
    </row>
    <row r="385" spans="1:6" ht="13" x14ac:dyDescent="0.15">
      <c r="A385" s="3">
        <v>42255</v>
      </c>
      <c r="B385" s="3">
        <v>1927.3</v>
      </c>
      <c r="C385" s="3">
        <v>1970.42</v>
      </c>
      <c r="D385" s="3">
        <v>1927.3</v>
      </c>
      <c r="E385" s="3">
        <v>1969.41</v>
      </c>
      <c r="F385" s="3">
        <v>683168139</v>
      </c>
    </row>
    <row r="386" spans="1:6" ht="13" x14ac:dyDescent="0.15">
      <c r="A386" s="3">
        <v>42256</v>
      </c>
      <c r="B386" s="3">
        <v>1971.45</v>
      </c>
      <c r="C386" s="3">
        <v>1988.63</v>
      </c>
      <c r="D386" s="3">
        <v>1937.88</v>
      </c>
      <c r="E386" s="3">
        <v>1942.04</v>
      </c>
      <c r="F386" s="3">
        <v>666981166</v>
      </c>
    </row>
    <row r="387" spans="1:6" ht="13" x14ac:dyDescent="0.15">
      <c r="A387" s="3">
        <v>42257</v>
      </c>
      <c r="B387" s="3">
        <v>1941.59</v>
      </c>
      <c r="C387" s="3">
        <v>1965.29</v>
      </c>
      <c r="D387" s="3">
        <v>1937.19</v>
      </c>
      <c r="E387" s="3">
        <v>1952.29</v>
      </c>
      <c r="F387" s="3">
        <v>668618889</v>
      </c>
    </row>
    <row r="388" spans="1:6" ht="13" x14ac:dyDescent="0.15">
      <c r="A388" s="3">
        <v>42258</v>
      </c>
      <c r="B388" s="3">
        <v>1951.45</v>
      </c>
      <c r="C388" s="3">
        <v>1961.05</v>
      </c>
      <c r="D388" s="3">
        <v>1939.19</v>
      </c>
      <c r="E388" s="3">
        <v>1961.05</v>
      </c>
      <c r="F388" s="3">
        <v>589037146</v>
      </c>
    </row>
    <row r="389" spans="1:6" ht="13" x14ac:dyDescent="0.15">
      <c r="A389" s="3">
        <v>42261</v>
      </c>
      <c r="B389" s="3">
        <v>1963.06</v>
      </c>
      <c r="C389" s="3">
        <v>1963.06</v>
      </c>
      <c r="D389" s="3">
        <v>1948.27</v>
      </c>
      <c r="E389" s="3">
        <v>1953.03</v>
      </c>
      <c r="F389" s="3">
        <v>546552646</v>
      </c>
    </row>
    <row r="390" spans="1:6" ht="13" x14ac:dyDescent="0.15">
      <c r="A390" s="3">
        <v>42262</v>
      </c>
      <c r="B390" s="3">
        <v>1955.1</v>
      </c>
      <c r="C390" s="3">
        <v>1983.19</v>
      </c>
      <c r="D390" s="3">
        <v>1954.3</v>
      </c>
      <c r="E390" s="3">
        <v>1978.09</v>
      </c>
      <c r="F390" s="3">
        <v>538205710</v>
      </c>
    </row>
    <row r="391" spans="1:6" ht="13" x14ac:dyDescent="0.15">
      <c r="A391" s="3">
        <v>42263</v>
      </c>
      <c r="B391" s="3">
        <v>1978.02</v>
      </c>
      <c r="C391" s="3">
        <v>1997.26</v>
      </c>
      <c r="D391" s="3">
        <v>1977.93</v>
      </c>
      <c r="E391" s="3">
        <v>1995.31</v>
      </c>
      <c r="F391" s="3">
        <v>592020686</v>
      </c>
    </row>
    <row r="392" spans="1:6" ht="13" x14ac:dyDescent="0.15">
      <c r="A392" s="3">
        <v>42264</v>
      </c>
      <c r="B392" s="3">
        <v>1995.33</v>
      </c>
      <c r="C392" s="3">
        <v>2020.86</v>
      </c>
      <c r="D392" s="3">
        <v>1986.73</v>
      </c>
      <c r="E392" s="3">
        <v>1990.2</v>
      </c>
      <c r="F392" s="3">
        <v>704674713</v>
      </c>
    </row>
    <row r="393" spans="1:6" ht="13" x14ac:dyDescent="0.15">
      <c r="A393" s="3">
        <v>42265</v>
      </c>
      <c r="B393" s="3">
        <v>1989.66</v>
      </c>
      <c r="C393" s="3">
        <v>1989.66</v>
      </c>
      <c r="D393" s="3">
        <v>1953.45</v>
      </c>
      <c r="E393" s="3">
        <v>1958.03</v>
      </c>
      <c r="F393" s="3">
        <v>787228057</v>
      </c>
    </row>
    <row r="394" spans="1:6" ht="13" x14ac:dyDescent="0.15">
      <c r="A394" s="3">
        <v>42268</v>
      </c>
      <c r="B394" s="3">
        <v>1960.84</v>
      </c>
      <c r="C394" s="3">
        <v>1979.64</v>
      </c>
      <c r="D394" s="3">
        <v>1955.8</v>
      </c>
      <c r="E394" s="3">
        <v>1966.97</v>
      </c>
      <c r="F394" s="3">
        <v>570775068</v>
      </c>
    </row>
    <row r="395" spans="1:6" ht="13" x14ac:dyDescent="0.15">
      <c r="A395" s="3">
        <v>42269</v>
      </c>
      <c r="B395" s="3">
        <v>1961.39</v>
      </c>
      <c r="C395" s="3">
        <v>1961.39</v>
      </c>
      <c r="D395" s="3">
        <v>1929.22</v>
      </c>
      <c r="E395" s="3">
        <v>1942.74</v>
      </c>
      <c r="F395" s="3">
        <v>692587353</v>
      </c>
    </row>
    <row r="396" spans="1:6" ht="13" x14ac:dyDescent="0.15">
      <c r="A396" s="3">
        <v>42270</v>
      </c>
      <c r="B396" s="3">
        <v>1943.24</v>
      </c>
      <c r="C396" s="3">
        <v>1949.52</v>
      </c>
      <c r="D396" s="3">
        <v>1932.57</v>
      </c>
      <c r="E396" s="3">
        <v>1938.76</v>
      </c>
      <c r="F396" s="3">
        <v>505058172</v>
      </c>
    </row>
    <row r="397" spans="1:6" ht="13" x14ac:dyDescent="0.15">
      <c r="A397" s="3">
        <v>42271</v>
      </c>
      <c r="B397" s="3">
        <v>1934.81</v>
      </c>
      <c r="C397" s="3">
        <v>1937.17</v>
      </c>
      <c r="D397" s="3">
        <v>1908.92</v>
      </c>
      <c r="E397" s="3">
        <v>1932.24</v>
      </c>
      <c r="F397" s="3">
        <v>715118376</v>
      </c>
    </row>
    <row r="398" spans="1:6" ht="13" x14ac:dyDescent="0.15">
      <c r="A398" s="3">
        <v>42272</v>
      </c>
      <c r="B398" s="3">
        <v>1935.93</v>
      </c>
      <c r="C398" s="3">
        <v>1952.89</v>
      </c>
      <c r="D398" s="3">
        <v>1921.5</v>
      </c>
      <c r="E398" s="3">
        <v>1931.34</v>
      </c>
      <c r="F398" s="3">
        <v>691099595</v>
      </c>
    </row>
    <row r="399" spans="1:6" ht="13" x14ac:dyDescent="0.15">
      <c r="A399" s="3">
        <v>42275</v>
      </c>
      <c r="B399" s="3">
        <v>1929.18</v>
      </c>
      <c r="C399" s="3">
        <v>1929.18</v>
      </c>
      <c r="D399" s="3">
        <v>1879.21</v>
      </c>
      <c r="E399" s="3">
        <v>1881.77</v>
      </c>
      <c r="F399" s="3">
        <v>776043095</v>
      </c>
    </row>
    <row r="400" spans="1:6" ht="13" x14ac:dyDescent="0.15">
      <c r="A400" s="3">
        <v>42276</v>
      </c>
      <c r="B400" s="3">
        <v>1881.9</v>
      </c>
      <c r="C400" s="3">
        <v>1899.48</v>
      </c>
      <c r="D400" s="3">
        <v>1871.91</v>
      </c>
      <c r="E400" s="3">
        <v>1884.09</v>
      </c>
      <c r="F400" s="3">
        <v>735886295</v>
      </c>
    </row>
    <row r="401" spans="1:6" ht="13" x14ac:dyDescent="0.15">
      <c r="A401" s="3">
        <v>42277</v>
      </c>
      <c r="B401" s="3">
        <v>1887.14</v>
      </c>
      <c r="C401" s="3">
        <v>1920.53</v>
      </c>
      <c r="D401" s="3">
        <v>1887.14</v>
      </c>
      <c r="E401" s="3">
        <v>1920.03</v>
      </c>
      <c r="F401" s="3">
        <v>848521002</v>
      </c>
    </row>
    <row r="402" spans="1:6" ht="13" x14ac:dyDescent="0.15">
      <c r="A402" s="3">
        <v>42278</v>
      </c>
      <c r="B402" s="3">
        <v>1919.65</v>
      </c>
      <c r="C402" s="3">
        <v>1927.21</v>
      </c>
      <c r="D402" s="3">
        <v>1900.7</v>
      </c>
      <c r="E402" s="3">
        <v>1923.82</v>
      </c>
      <c r="F402" s="3">
        <v>676563545</v>
      </c>
    </row>
    <row r="403" spans="1:6" ht="13" x14ac:dyDescent="0.15">
      <c r="A403" s="3">
        <v>42279</v>
      </c>
      <c r="B403" s="3">
        <v>1921.77</v>
      </c>
      <c r="C403" s="3">
        <v>1951.36</v>
      </c>
      <c r="D403" s="3">
        <v>1893.7</v>
      </c>
      <c r="E403" s="3">
        <v>1951.36</v>
      </c>
      <c r="F403" s="3">
        <v>763255552</v>
      </c>
    </row>
    <row r="404" spans="1:6" ht="13" x14ac:dyDescent="0.15">
      <c r="A404" s="3">
        <v>42282</v>
      </c>
      <c r="B404" s="3">
        <v>1954.33</v>
      </c>
      <c r="C404" s="3">
        <v>1989.17</v>
      </c>
      <c r="D404" s="3">
        <v>1954.33</v>
      </c>
      <c r="E404" s="3">
        <v>1987.05</v>
      </c>
      <c r="F404" s="3">
        <v>725881817</v>
      </c>
    </row>
    <row r="405" spans="1:6" ht="13" x14ac:dyDescent="0.15">
      <c r="A405" s="3">
        <v>42283</v>
      </c>
      <c r="B405" s="3">
        <v>1986.63</v>
      </c>
      <c r="C405" s="3">
        <v>1991.62</v>
      </c>
      <c r="D405" s="3">
        <v>1971.99</v>
      </c>
      <c r="E405" s="3">
        <v>1979.92</v>
      </c>
      <c r="F405" s="3">
        <v>679866164</v>
      </c>
    </row>
    <row r="406" spans="1:6" ht="13" x14ac:dyDescent="0.15">
      <c r="A406" s="3">
        <v>42284</v>
      </c>
      <c r="B406" s="3">
        <v>1982.34</v>
      </c>
      <c r="C406" s="3">
        <v>1999.31</v>
      </c>
      <c r="D406" s="3">
        <v>1976.44</v>
      </c>
      <c r="E406" s="3">
        <v>1995.83</v>
      </c>
      <c r="F406" s="3">
        <v>735394471</v>
      </c>
    </row>
    <row r="407" spans="1:6" ht="13" x14ac:dyDescent="0.15">
      <c r="A407" s="3">
        <v>42285</v>
      </c>
      <c r="B407" s="3">
        <v>1994.01</v>
      </c>
      <c r="C407" s="3">
        <v>2016.5</v>
      </c>
      <c r="D407" s="3">
        <v>1987.53</v>
      </c>
      <c r="E407" s="3">
        <v>2013.43</v>
      </c>
      <c r="F407" s="3">
        <v>604478359</v>
      </c>
    </row>
    <row r="408" spans="1:6" ht="13" x14ac:dyDescent="0.15">
      <c r="A408" s="3">
        <v>42286</v>
      </c>
      <c r="B408" s="3">
        <v>2013.73</v>
      </c>
      <c r="C408" s="3">
        <v>2020.13</v>
      </c>
      <c r="D408" s="3">
        <v>2007.61</v>
      </c>
      <c r="E408" s="3">
        <v>2014.89</v>
      </c>
      <c r="F408" s="3">
        <v>623423601</v>
      </c>
    </row>
    <row r="409" spans="1:6" ht="13" x14ac:dyDescent="0.15">
      <c r="A409" s="3">
        <v>42289</v>
      </c>
      <c r="B409" s="3">
        <v>2015.65</v>
      </c>
      <c r="C409" s="3">
        <v>2018.66</v>
      </c>
      <c r="D409" s="3">
        <v>2010.55</v>
      </c>
      <c r="E409" s="3">
        <v>2017.46</v>
      </c>
      <c r="F409" s="3">
        <v>464138958</v>
      </c>
    </row>
    <row r="410" spans="1:6" ht="13" x14ac:dyDescent="0.15">
      <c r="A410" s="3">
        <v>42290</v>
      </c>
      <c r="B410" s="3">
        <v>2015</v>
      </c>
      <c r="C410" s="3">
        <v>2022.34</v>
      </c>
      <c r="D410" s="3">
        <v>2001.78</v>
      </c>
      <c r="E410" s="3">
        <v>2003.69</v>
      </c>
      <c r="F410" s="3">
        <v>567343893</v>
      </c>
    </row>
    <row r="411" spans="1:6" ht="13" x14ac:dyDescent="0.15">
      <c r="A411" s="3">
        <v>42291</v>
      </c>
      <c r="B411" s="3">
        <v>2003.66</v>
      </c>
      <c r="C411" s="3">
        <v>2009.56</v>
      </c>
      <c r="D411" s="3">
        <v>1990.73</v>
      </c>
      <c r="E411" s="3">
        <v>1994.24</v>
      </c>
      <c r="F411" s="3">
        <v>629947986</v>
      </c>
    </row>
    <row r="412" spans="1:6" ht="13" x14ac:dyDescent="0.15">
      <c r="A412" s="3">
        <v>42292</v>
      </c>
      <c r="B412" s="3">
        <v>1996.47</v>
      </c>
      <c r="C412" s="3">
        <v>2024.15</v>
      </c>
      <c r="D412" s="3">
        <v>1996.47</v>
      </c>
      <c r="E412" s="3">
        <v>2023.86</v>
      </c>
      <c r="F412" s="3">
        <v>671059272</v>
      </c>
    </row>
    <row r="413" spans="1:6" ht="13" x14ac:dyDescent="0.15">
      <c r="A413" s="3">
        <v>42293</v>
      </c>
      <c r="B413" s="3">
        <v>2024.37</v>
      </c>
      <c r="C413" s="3">
        <v>2033.54</v>
      </c>
      <c r="D413" s="3">
        <v>2020.46</v>
      </c>
      <c r="E413" s="3">
        <v>2033.11</v>
      </c>
      <c r="F413" s="3">
        <v>711470641</v>
      </c>
    </row>
    <row r="414" spans="1:6" ht="13" x14ac:dyDescent="0.15">
      <c r="A414" s="3">
        <v>42296</v>
      </c>
      <c r="B414" s="3">
        <v>2031.73</v>
      </c>
      <c r="C414" s="3">
        <v>2034.45</v>
      </c>
      <c r="D414" s="3">
        <v>2022.31</v>
      </c>
      <c r="E414" s="3">
        <v>2033.66</v>
      </c>
      <c r="F414" s="3">
        <v>600551881</v>
      </c>
    </row>
    <row r="415" spans="1:6" ht="13" x14ac:dyDescent="0.15">
      <c r="A415" s="3">
        <v>42297</v>
      </c>
      <c r="B415" s="3">
        <v>2033.13</v>
      </c>
      <c r="C415" s="3">
        <v>2039.12</v>
      </c>
      <c r="D415" s="3">
        <v>2026.61</v>
      </c>
      <c r="E415" s="3">
        <v>2030.77</v>
      </c>
      <c r="F415" s="3">
        <v>563655848</v>
      </c>
    </row>
    <row r="416" spans="1:6" ht="13" x14ac:dyDescent="0.15">
      <c r="A416" s="3">
        <v>42298</v>
      </c>
      <c r="B416" s="3">
        <v>2033.47</v>
      </c>
      <c r="C416" s="3">
        <v>2037.97</v>
      </c>
      <c r="D416" s="3">
        <v>2017.22</v>
      </c>
      <c r="E416" s="3">
        <v>2018.94</v>
      </c>
      <c r="F416" s="3">
        <v>610204136</v>
      </c>
    </row>
    <row r="417" spans="1:6" ht="13" x14ac:dyDescent="0.15">
      <c r="A417" s="3">
        <v>42299</v>
      </c>
      <c r="B417" s="3">
        <v>2021.88</v>
      </c>
      <c r="C417" s="3">
        <v>2055.1999999999998</v>
      </c>
      <c r="D417" s="3">
        <v>2021.88</v>
      </c>
      <c r="E417" s="3">
        <v>2052.5100000000002</v>
      </c>
      <c r="F417" s="3">
        <v>786028633</v>
      </c>
    </row>
    <row r="418" spans="1:6" ht="13" x14ac:dyDescent="0.15">
      <c r="A418" s="3">
        <v>42300</v>
      </c>
      <c r="B418" s="3">
        <v>2058.19</v>
      </c>
      <c r="C418" s="3">
        <v>2079.7399999999998</v>
      </c>
      <c r="D418" s="3">
        <v>2058.19</v>
      </c>
      <c r="E418" s="3">
        <v>2075.15</v>
      </c>
      <c r="F418" s="3">
        <v>745335577</v>
      </c>
    </row>
    <row r="419" spans="1:6" ht="13" x14ac:dyDescent="0.15">
      <c r="A419" s="3">
        <v>42303</v>
      </c>
      <c r="B419" s="3">
        <v>2075.08</v>
      </c>
      <c r="C419" s="3">
        <v>2075.14</v>
      </c>
      <c r="D419" s="3">
        <v>2066.5300000000002</v>
      </c>
      <c r="E419" s="3">
        <v>2071.1799999999998</v>
      </c>
      <c r="F419" s="3">
        <v>602332322</v>
      </c>
    </row>
    <row r="420" spans="1:6" ht="13" x14ac:dyDescent="0.15">
      <c r="A420" s="3">
        <v>42304</v>
      </c>
      <c r="B420" s="3">
        <v>2068.75</v>
      </c>
      <c r="C420" s="3">
        <v>2070.37</v>
      </c>
      <c r="D420" s="3">
        <v>2058.84</v>
      </c>
      <c r="E420" s="3">
        <v>2065.89</v>
      </c>
      <c r="F420" s="3">
        <v>650112593</v>
      </c>
    </row>
    <row r="421" spans="1:6" ht="13" x14ac:dyDescent="0.15">
      <c r="A421" s="3">
        <v>42305</v>
      </c>
      <c r="B421" s="3">
        <v>2066.48</v>
      </c>
      <c r="C421" s="3">
        <v>2090.35</v>
      </c>
      <c r="D421" s="3">
        <v>2063.11</v>
      </c>
      <c r="E421" s="3">
        <v>2090.35</v>
      </c>
      <c r="F421" s="3">
        <v>660968318</v>
      </c>
    </row>
    <row r="422" spans="1:6" ht="13" x14ac:dyDescent="0.15">
      <c r="A422" s="3">
        <v>42306</v>
      </c>
      <c r="B422" s="3">
        <v>2088.35</v>
      </c>
      <c r="C422" s="3">
        <v>2092.52</v>
      </c>
      <c r="D422" s="3">
        <v>2082.63</v>
      </c>
      <c r="E422" s="3">
        <v>2089.41</v>
      </c>
      <c r="F422" s="3">
        <v>549091191</v>
      </c>
    </row>
    <row r="423" spans="1:6" ht="13" x14ac:dyDescent="0.15">
      <c r="A423" s="3">
        <v>42307</v>
      </c>
      <c r="B423" s="3">
        <v>2090</v>
      </c>
      <c r="C423" s="3">
        <v>2094.3200000000002</v>
      </c>
      <c r="D423" s="3">
        <v>2079.34</v>
      </c>
      <c r="E423" s="3">
        <v>2079.36</v>
      </c>
      <c r="F423" s="3">
        <v>789097525</v>
      </c>
    </row>
    <row r="424" spans="1:6" ht="13" x14ac:dyDescent="0.15">
      <c r="A424" s="3">
        <v>42310</v>
      </c>
      <c r="B424" s="3">
        <v>2080.7600000000002</v>
      </c>
      <c r="C424" s="3">
        <v>2106.1999999999998</v>
      </c>
      <c r="D424" s="3">
        <v>2080.7600000000002</v>
      </c>
      <c r="E424" s="3">
        <v>2104.0500000000002</v>
      </c>
      <c r="F424" s="3">
        <v>579601950</v>
      </c>
    </row>
    <row r="425" spans="1:6" ht="13" x14ac:dyDescent="0.15">
      <c r="A425" s="3">
        <v>42311</v>
      </c>
      <c r="B425" s="3">
        <v>2102.63</v>
      </c>
      <c r="C425" s="3">
        <v>2116.48</v>
      </c>
      <c r="D425" s="3">
        <v>2097.5100000000002</v>
      </c>
      <c r="E425" s="3">
        <v>2109.79</v>
      </c>
      <c r="F425" s="3">
        <v>588205970</v>
      </c>
    </row>
    <row r="426" spans="1:6" ht="13" x14ac:dyDescent="0.15">
      <c r="A426" s="3">
        <v>42312</v>
      </c>
      <c r="B426" s="3">
        <v>2110.6</v>
      </c>
      <c r="C426" s="3">
        <v>2114.59</v>
      </c>
      <c r="D426" s="3">
        <v>2096.98</v>
      </c>
      <c r="E426" s="3">
        <v>2102.31</v>
      </c>
      <c r="F426" s="3">
        <v>615424681</v>
      </c>
    </row>
    <row r="427" spans="1:6" ht="13" x14ac:dyDescent="0.15">
      <c r="A427" s="3">
        <v>42313</v>
      </c>
      <c r="B427" s="3">
        <v>2101.6799999999998</v>
      </c>
      <c r="C427" s="3">
        <v>2108.7800000000002</v>
      </c>
      <c r="D427" s="3">
        <v>2090.41</v>
      </c>
      <c r="E427" s="3">
        <v>2099.9299999999998</v>
      </c>
      <c r="F427" s="3">
        <v>589737116</v>
      </c>
    </row>
    <row r="428" spans="1:6" ht="13" x14ac:dyDescent="0.15">
      <c r="A428" s="3">
        <v>42314</v>
      </c>
      <c r="B428" s="3">
        <v>2098.6</v>
      </c>
      <c r="C428" s="3">
        <v>2101.91</v>
      </c>
      <c r="D428" s="3">
        <v>2083.7399999999998</v>
      </c>
      <c r="E428" s="3">
        <v>2099.1999999999998</v>
      </c>
      <c r="F428" s="3">
        <v>661105431</v>
      </c>
    </row>
    <row r="429" spans="1:6" ht="13" x14ac:dyDescent="0.15">
      <c r="A429" s="3">
        <v>42317</v>
      </c>
      <c r="B429" s="3">
        <v>2096.56</v>
      </c>
      <c r="C429" s="3">
        <v>2096.56</v>
      </c>
      <c r="D429" s="3">
        <v>2068.2399999999998</v>
      </c>
      <c r="E429" s="3">
        <v>2078.58</v>
      </c>
      <c r="F429" s="3">
        <v>664847995</v>
      </c>
    </row>
    <row r="430" spans="1:6" ht="13" x14ac:dyDescent="0.15">
      <c r="A430" s="3">
        <v>42318</v>
      </c>
      <c r="B430" s="3">
        <v>2077.19</v>
      </c>
      <c r="C430" s="3">
        <v>2083.67</v>
      </c>
      <c r="D430" s="3">
        <v>2069.91</v>
      </c>
      <c r="E430" s="3">
        <v>2081.7199999999998</v>
      </c>
      <c r="F430" s="3">
        <v>564878625</v>
      </c>
    </row>
    <row r="431" spans="1:6" ht="13" x14ac:dyDescent="0.15">
      <c r="A431" s="3">
        <v>42319</v>
      </c>
      <c r="B431" s="3">
        <v>2083.41</v>
      </c>
      <c r="C431" s="3">
        <v>2086.94</v>
      </c>
      <c r="D431" s="3">
        <v>2074.85</v>
      </c>
      <c r="E431" s="3">
        <v>2075</v>
      </c>
      <c r="F431" s="3">
        <v>511666901</v>
      </c>
    </row>
    <row r="432" spans="1:6" ht="13" x14ac:dyDescent="0.15">
      <c r="A432" s="3">
        <v>42320</v>
      </c>
      <c r="B432" s="3">
        <v>2072.29</v>
      </c>
      <c r="C432" s="3">
        <v>2072.29</v>
      </c>
      <c r="D432" s="3">
        <v>2045.66</v>
      </c>
      <c r="E432" s="3">
        <v>2045.97</v>
      </c>
      <c r="F432" s="3">
        <v>573865618</v>
      </c>
    </row>
    <row r="433" spans="1:6" ht="13" x14ac:dyDescent="0.15">
      <c r="A433" s="3">
        <v>42321</v>
      </c>
      <c r="B433" s="3">
        <v>2044.64</v>
      </c>
      <c r="C433" s="3">
        <v>2044.64</v>
      </c>
      <c r="D433" s="3">
        <v>2022.02</v>
      </c>
      <c r="E433" s="3">
        <v>2023.04</v>
      </c>
      <c r="F433" s="3">
        <v>652851199</v>
      </c>
    </row>
    <row r="434" spans="1:6" ht="13" x14ac:dyDescent="0.15">
      <c r="A434" s="3">
        <v>42324</v>
      </c>
      <c r="B434" s="3">
        <v>2022.08</v>
      </c>
      <c r="C434" s="3">
        <v>2053.2199999999998</v>
      </c>
      <c r="D434" s="3">
        <v>2019.39</v>
      </c>
      <c r="E434" s="3">
        <v>2053.19</v>
      </c>
      <c r="F434" s="3">
        <v>607470471</v>
      </c>
    </row>
    <row r="435" spans="1:6" ht="13" x14ac:dyDescent="0.15">
      <c r="A435" s="3">
        <v>42325</v>
      </c>
      <c r="B435" s="3">
        <v>2053.67</v>
      </c>
      <c r="C435" s="3">
        <v>2066.69</v>
      </c>
      <c r="D435" s="3">
        <v>2045.9</v>
      </c>
      <c r="E435" s="3">
        <v>2050.44</v>
      </c>
      <c r="F435" s="3">
        <v>677184030</v>
      </c>
    </row>
    <row r="436" spans="1:6" ht="13" x14ac:dyDescent="0.15">
      <c r="A436" s="3">
        <v>42326</v>
      </c>
      <c r="B436" s="3">
        <v>2051.9899999999998</v>
      </c>
      <c r="C436" s="3">
        <v>2085.31</v>
      </c>
      <c r="D436" s="3">
        <v>2051.9899999999998</v>
      </c>
      <c r="E436" s="3">
        <v>2083.58</v>
      </c>
      <c r="F436" s="3">
        <v>608652201</v>
      </c>
    </row>
    <row r="437" spans="1:6" ht="13" x14ac:dyDescent="0.15">
      <c r="A437" s="3">
        <v>42327</v>
      </c>
      <c r="B437" s="3">
        <v>2083.6999999999998</v>
      </c>
      <c r="C437" s="3">
        <v>2086.7399999999998</v>
      </c>
      <c r="D437" s="3">
        <v>2078.7600000000002</v>
      </c>
      <c r="E437" s="3">
        <v>2081.2399999999998</v>
      </c>
      <c r="F437" s="3">
        <v>536851932</v>
      </c>
    </row>
    <row r="438" spans="1:6" ht="13" x14ac:dyDescent="0.15">
      <c r="A438" s="3">
        <v>42328</v>
      </c>
      <c r="B438" s="3">
        <v>2082.8200000000002</v>
      </c>
      <c r="C438" s="3">
        <v>2097.06</v>
      </c>
      <c r="D438" s="3">
        <v>2082.8200000000002</v>
      </c>
      <c r="E438" s="3">
        <v>2089.17</v>
      </c>
      <c r="F438" s="3">
        <v>689172913</v>
      </c>
    </row>
    <row r="439" spans="1:6" ht="13" x14ac:dyDescent="0.15">
      <c r="A439" s="3">
        <v>42331</v>
      </c>
      <c r="B439" s="3">
        <v>2089.41</v>
      </c>
      <c r="C439" s="3">
        <v>2095.61</v>
      </c>
      <c r="D439" s="3">
        <v>2081.39</v>
      </c>
      <c r="E439" s="3">
        <v>2086.59</v>
      </c>
      <c r="F439" s="3">
        <v>571414251</v>
      </c>
    </row>
    <row r="440" spans="1:6" ht="13" x14ac:dyDescent="0.15">
      <c r="A440" s="3">
        <v>42332</v>
      </c>
      <c r="B440" s="3">
        <v>2084.42</v>
      </c>
      <c r="C440" s="3">
        <v>2094.12</v>
      </c>
      <c r="D440" s="3">
        <v>2070.29</v>
      </c>
      <c r="E440" s="3">
        <v>2089.14</v>
      </c>
      <c r="F440" s="3">
        <v>607006689</v>
      </c>
    </row>
    <row r="441" spans="1:6" ht="13" x14ac:dyDescent="0.15">
      <c r="A441" s="3">
        <v>42333</v>
      </c>
      <c r="B441" s="3">
        <v>2089.3000000000002</v>
      </c>
      <c r="C441" s="3">
        <v>2093</v>
      </c>
      <c r="D441" s="3">
        <v>2086.3000000000002</v>
      </c>
      <c r="E441" s="3">
        <v>2088.87</v>
      </c>
      <c r="F441" s="3">
        <v>440227053</v>
      </c>
    </row>
    <row r="442" spans="1:6" ht="13" x14ac:dyDescent="0.15">
      <c r="A442" s="3">
        <v>42335</v>
      </c>
      <c r="B442" s="3">
        <v>2088.8200000000002</v>
      </c>
      <c r="C442" s="3">
        <v>2093.29</v>
      </c>
      <c r="D442" s="3">
        <v>2084.13</v>
      </c>
      <c r="E442" s="3">
        <v>2090.11</v>
      </c>
      <c r="F442" s="3">
        <v>240297214</v>
      </c>
    </row>
    <row r="443" spans="1:6" ht="13" x14ac:dyDescent="0.15">
      <c r="A443" s="3">
        <v>42338</v>
      </c>
      <c r="B443" s="3">
        <v>2090.9499999999998</v>
      </c>
      <c r="C443" s="3">
        <v>2093.81</v>
      </c>
      <c r="D443" s="3">
        <v>2080.41</v>
      </c>
      <c r="E443" s="3">
        <v>2080.41</v>
      </c>
      <c r="F443" s="3">
        <v>818038598</v>
      </c>
    </row>
    <row r="444" spans="1:6" ht="13" x14ac:dyDescent="0.15">
      <c r="A444" s="3">
        <v>42339</v>
      </c>
      <c r="B444" s="3">
        <v>2082.9299999999998</v>
      </c>
      <c r="C444" s="3">
        <v>2103.37</v>
      </c>
      <c r="D444" s="3">
        <v>2082.9299999999998</v>
      </c>
      <c r="E444" s="3">
        <v>2102.63</v>
      </c>
      <c r="F444" s="3">
        <v>591053709</v>
      </c>
    </row>
    <row r="445" spans="1:6" ht="13" x14ac:dyDescent="0.15">
      <c r="A445" s="3">
        <v>42340</v>
      </c>
      <c r="B445" s="3">
        <v>2101.71</v>
      </c>
      <c r="C445" s="3">
        <v>2104.27</v>
      </c>
      <c r="D445" s="3">
        <v>2077.11</v>
      </c>
      <c r="E445" s="3">
        <v>2079.5100000000002</v>
      </c>
      <c r="F445" s="3">
        <v>615433393</v>
      </c>
    </row>
    <row r="446" spans="1:6" ht="13" x14ac:dyDescent="0.15">
      <c r="A446" s="3">
        <v>42341</v>
      </c>
      <c r="B446" s="3">
        <v>2080.71</v>
      </c>
      <c r="C446" s="3">
        <v>2085</v>
      </c>
      <c r="D446" s="3">
        <v>2042.35</v>
      </c>
      <c r="E446" s="3">
        <v>2049.62</v>
      </c>
      <c r="F446" s="3">
        <v>749534853</v>
      </c>
    </row>
    <row r="447" spans="1:6" ht="13" x14ac:dyDescent="0.15">
      <c r="A447" s="3">
        <v>42342</v>
      </c>
      <c r="B447" s="3">
        <v>2051.2399999999998</v>
      </c>
      <c r="C447" s="3">
        <v>2093.84</v>
      </c>
      <c r="D447" s="3">
        <v>2051.2399999999998</v>
      </c>
      <c r="E447" s="3">
        <v>2091.69</v>
      </c>
      <c r="F447" s="3">
        <v>740000496</v>
      </c>
    </row>
    <row r="448" spans="1:6" ht="13" x14ac:dyDescent="0.15">
      <c r="A448" s="3">
        <v>42345</v>
      </c>
      <c r="B448" s="3">
        <v>2090.42</v>
      </c>
      <c r="C448" s="3">
        <v>2090.42</v>
      </c>
      <c r="D448" s="3">
        <v>2066.7800000000002</v>
      </c>
      <c r="E448" s="3">
        <v>2077.0700000000002</v>
      </c>
      <c r="F448" s="3">
        <v>639169032</v>
      </c>
    </row>
    <row r="449" spans="1:6" ht="13" x14ac:dyDescent="0.15">
      <c r="A449" s="3">
        <v>42346</v>
      </c>
      <c r="B449" s="3">
        <v>2073.39</v>
      </c>
      <c r="C449" s="3">
        <v>2073.85</v>
      </c>
      <c r="D449" s="3">
        <v>2052.3200000000002</v>
      </c>
      <c r="E449" s="3">
        <v>2063.59</v>
      </c>
      <c r="F449" s="3">
        <v>666623202</v>
      </c>
    </row>
    <row r="450" spans="1:6" ht="13" x14ac:dyDescent="0.15">
      <c r="A450" s="3">
        <v>42347</v>
      </c>
      <c r="B450" s="3">
        <v>2061.17</v>
      </c>
      <c r="C450" s="3">
        <v>2080.33</v>
      </c>
      <c r="D450" s="3">
        <v>2036.53</v>
      </c>
      <c r="E450" s="3">
        <v>2047.62</v>
      </c>
      <c r="F450" s="3">
        <v>719904950</v>
      </c>
    </row>
    <row r="451" spans="1:6" ht="13" x14ac:dyDescent="0.15">
      <c r="A451" s="3">
        <v>42348</v>
      </c>
      <c r="B451" s="3">
        <v>2047.93</v>
      </c>
      <c r="C451" s="3">
        <v>2067.65</v>
      </c>
      <c r="D451" s="3">
        <v>2045.67</v>
      </c>
      <c r="E451" s="3">
        <v>2052.23</v>
      </c>
      <c r="F451" s="3">
        <v>597997497</v>
      </c>
    </row>
    <row r="452" spans="1:6" ht="13" x14ac:dyDescent="0.15">
      <c r="A452" s="3">
        <v>42349</v>
      </c>
      <c r="B452" s="3">
        <v>2047.27</v>
      </c>
      <c r="C452" s="3">
        <v>2047.27</v>
      </c>
      <c r="D452" s="3">
        <v>2008.8</v>
      </c>
      <c r="E452" s="3">
        <v>2012.37</v>
      </c>
      <c r="F452" s="3">
        <v>718417683</v>
      </c>
    </row>
    <row r="453" spans="1:6" ht="13" x14ac:dyDescent="0.15">
      <c r="A453" s="3">
        <v>42352</v>
      </c>
      <c r="B453" s="3">
        <v>2013.37</v>
      </c>
      <c r="C453" s="3">
        <v>2022.92</v>
      </c>
      <c r="D453" s="3">
        <v>1993.26</v>
      </c>
      <c r="E453" s="3">
        <v>2021.94</v>
      </c>
      <c r="F453" s="3">
        <v>771571435</v>
      </c>
    </row>
    <row r="454" spans="1:6" ht="13" x14ac:dyDescent="0.15">
      <c r="A454" s="3">
        <v>42353</v>
      </c>
      <c r="B454" s="3">
        <v>2025.55</v>
      </c>
      <c r="C454" s="3">
        <v>2053.87</v>
      </c>
      <c r="D454" s="3">
        <v>2025.55</v>
      </c>
      <c r="E454" s="3">
        <v>2043.41</v>
      </c>
      <c r="F454" s="3">
        <v>689853132</v>
      </c>
    </row>
    <row r="455" spans="1:6" ht="13" x14ac:dyDescent="0.15">
      <c r="A455" s="3">
        <v>42354</v>
      </c>
      <c r="B455" s="3">
        <v>2046.5</v>
      </c>
      <c r="C455" s="3">
        <v>2076.7199999999998</v>
      </c>
      <c r="D455" s="3">
        <v>2042.43</v>
      </c>
      <c r="E455" s="3">
        <v>2073.0700000000002</v>
      </c>
      <c r="F455" s="3">
        <v>680651840</v>
      </c>
    </row>
    <row r="456" spans="1:6" ht="13" x14ac:dyDescent="0.15">
      <c r="A456" s="3">
        <v>42355</v>
      </c>
      <c r="B456" s="3">
        <v>2073.7600000000002</v>
      </c>
      <c r="C456" s="3">
        <v>2076.37</v>
      </c>
      <c r="D456" s="3">
        <v>2041.66</v>
      </c>
      <c r="E456" s="3">
        <v>2041.89</v>
      </c>
      <c r="F456" s="3">
        <v>646285876</v>
      </c>
    </row>
    <row r="457" spans="1:6" ht="13" x14ac:dyDescent="0.15">
      <c r="A457" s="3">
        <v>42356</v>
      </c>
      <c r="B457" s="3">
        <v>2040.81</v>
      </c>
      <c r="C457" s="3">
        <v>2040.81</v>
      </c>
      <c r="D457" s="3">
        <v>2005.33</v>
      </c>
      <c r="E457" s="3">
        <v>2005.55</v>
      </c>
      <c r="F457" s="3">
        <v>737827389</v>
      </c>
    </row>
    <row r="458" spans="1:6" ht="13" x14ac:dyDescent="0.15">
      <c r="A458" s="3">
        <v>42359</v>
      </c>
      <c r="B458" s="3">
        <v>2010.27</v>
      </c>
      <c r="C458" s="3">
        <v>2022.9</v>
      </c>
      <c r="D458" s="3">
        <v>2005.93</v>
      </c>
      <c r="E458" s="3">
        <v>2021.15</v>
      </c>
      <c r="F458" s="3">
        <v>610294061</v>
      </c>
    </row>
    <row r="459" spans="1:6" ht="13" x14ac:dyDescent="0.15">
      <c r="A459" s="3">
        <v>42360</v>
      </c>
      <c r="B459" s="3">
        <v>2023.15</v>
      </c>
      <c r="C459" s="3">
        <v>2042.74</v>
      </c>
      <c r="D459" s="3">
        <v>2020.49</v>
      </c>
      <c r="E459" s="3">
        <v>2038.97</v>
      </c>
      <c r="F459" s="3">
        <v>546862689</v>
      </c>
    </row>
    <row r="460" spans="1:6" ht="13" x14ac:dyDescent="0.15">
      <c r="A460" s="3">
        <v>42361</v>
      </c>
      <c r="B460" s="3">
        <v>2042.2</v>
      </c>
      <c r="C460" s="3">
        <v>2064.73</v>
      </c>
      <c r="D460" s="3">
        <v>2042.2</v>
      </c>
      <c r="E460" s="3">
        <v>2064.29</v>
      </c>
      <c r="F460" s="3">
        <v>545191292</v>
      </c>
    </row>
    <row r="461" spans="1:6" ht="13" x14ac:dyDescent="0.15">
      <c r="A461" s="3">
        <v>42362</v>
      </c>
      <c r="B461" s="3">
        <v>2063.52</v>
      </c>
      <c r="C461" s="3">
        <v>2067.36</v>
      </c>
      <c r="D461" s="3">
        <v>2058.73</v>
      </c>
      <c r="E461" s="3">
        <v>2060.9899999999998</v>
      </c>
      <c r="F461" s="3">
        <v>250570206</v>
      </c>
    </row>
    <row r="462" spans="1:6" ht="13" x14ac:dyDescent="0.15">
      <c r="A462" s="3">
        <v>42366</v>
      </c>
      <c r="B462" s="3">
        <v>2057.77</v>
      </c>
      <c r="C462" s="3">
        <v>2057.77</v>
      </c>
      <c r="D462" s="3">
        <v>2044.2</v>
      </c>
      <c r="E462" s="3">
        <v>2056.5</v>
      </c>
      <c r="F462" s="3">
        <v>367737617</v>
      </c>
    </row>
    <row r="463" spans="1:6" ht="13" x14ac:dyDescent="0.15">
      <c r="A463" s="3">
        <v>42367</v>
      </c>
      <c r="B463" s="3">
        <v>2060.54</v>
      </c>
      <c r="C463" s="3">
        <v>2081.56</v>
      </c>
      <c r="D463" s="3">
        <v>2060.54</v>
      </c>
      <c r="E463" s="3">
        <v>2078.36</v>
      </c>
      <c r="F463" s="3">
        <v>379027946</v>
      </c>
    </row>
    <row r="464" spans="1:6" ht="13" x14ac:dyDescent="0.15">
      <c r="A464" s="3">
        <v>42368</v>
      </c>
      <c r="B464" s="3">
        <v>2077.34</v>
      </c>
      <c r="C464" s="3">
        <v>2077.34</v>
      </c>
      <c r="D464" s="3">
        <v>2061.9699999999998</v>
      </c>
      <c r="E464" s="3">
        <v>2063.36</v>
      </c>
      <c r="F464" s="3">
        <v>334631231</v>
      </c>
    </row>
    <row r="465" spans="1:6" ht="13" x14ac:dyDescent="0.15">
      <c r="A465" s="3">
        <v>42369</v>
      </c>
      <c r="B465" s="3">
        <v>2060.59</v>
      </c>
      <c r="C465" s="3">
        <v>2062.54</v>
      </c>
      <c r="D465" s="3">
        <v>2043.62</v>
      </c>
      <c r="E465" s="3">
        <v>2043.94</v>
      </c>
      <c r="F465" s="3">
        <v>482596709</v>
      </c>
    </row>
    <row r="466" spans="1:6" ht="13" x14ac:dyDescent="0.15">
      <c r="A466" s="3">
        <v>42373</v>
      </c>
      <c r="B466" s="3">
        <v>2038.2</v>
      </c>
      <c r="C466" s="3">
        <v>2038.2</v>
      </c>
      <c r="D466" s="3">
        <v>1989.68</v>
      </c>
      <c r="E466" s="3">
        <v>2012.66</v>
      </c>
      <c r="F466" s="3">
        <v>802072115</v>
      </c>
    </row>
    <row r="467" spans="1:6" ht="13" x14ac:dyDescent="0.15">
      <c r="A467" s="3">
        <v>42374</v>
      </c>
      <c r="B467" s="3">
        <v>2013.78</v>
      </c>
      <c r="C467" s="3">
        <v>2021.94</v>
      </c>
      <c r="D467" s="3">
        <v>2004.17</v>
      </c>
      <c r="E467" s="3">
        <v>2016.71</v>
      </c>
      <c r="F467" s="3">
        <v>619260483</v>
      </c>
    </row>
    <row r="468" spans="1:6" ht="13" x14ac:dyDescent="0.15">
      <c r="A468" s="3">
        <v>42375</v>
      </c>
      <c r="B468" s="3">
        <v>2011.71</v>
      </c>
      <c r="C468" s="3">
        <v>2011.71</v>
      </c>
      <c r="D468" s="3">
        <v>1979.05</v>
      </c>
      <c r="E468" s="3">
        <v>1990.26</v>
      </c>
      <c r="F468" s="3">
        <v>734820348</v>
      </c>
    </row>
    <row r="469" spans="1:6" ht="13" x14ac:dyDescent="0.15">
      <c r="A469" s="3">
        <v>42376</v>
      </c>
      <c r="B469" s="3">
        <v>1985.32</v>
      </c>
      <c r="C469" s="3">
        <v>1985.32</v>
      </c>
      <c r="D469" s="3">
        <v>1938.83</v>
      </c>
      <c r="E469" s="3">
        <v>1943.09</v>
      </c>
      <c r="F469" s="3">
        <v>860517477</v>
      </c>
    </row>
    <row r="470" spans="1:6" ht="13" x14ac:dyDescent="0.15">
      <c r="A470" s="3">
        <v>42377</v>
      </c>
      <c r="B470" s="3">
        <v>1945.97</v>
      </c>
      <c r="C470" s="3">
        <v>1960.4</v>
      </c>
      <c r="D470" s="3">
        <v>1918.46</v>
      </c>
      <c r="E470" s="3">
        <v>1922.03</v>
      </c>
      <c r="F470" s="3">
        <v>800798104</v>
      </c>
    </row>
    <row r="471" spans="1:6" ht="13" x14ac:dyDescent="0.15">
      <c r="A471" s="3">
        <v>42380</v>
      </c>
      <c r="B471" s="3">
        <v>1926.12</v>
      </c>
      <c r="C471" s="3">
        <v>1935.65</v>
      </c>
      <c r="D471" s="3">
        <v>1901.1</v>
      </c>
      <c r="E471" s="3">
        <v>1923.67</v>
      </c>
      <c r="F471" s="3">
        <v>775646469</v>
      </c>
    </row>
    <row r="472" spans="1:6" ht="13" x14ac:dyDescent="0.15">
      <c r="A472" s="3">
        <v>42381</v>
      </c>
      <c r="B472" s="3">
        <v>1927.83</v>
      </c>
      <c r="C472" s="3">
        <v>1947.38</v>
      </c>
      <c r="D472" s="3">
        <v>1914.35</v>
      </c>
      <c r="E472" s="3">
        <v>1938.68</v>
      </c>
      <c r="F472" s="3">
        <v>759189614</v>
      </c>
    </row>
    <row r="473" spans="1:6" ht="13" x14ac:dyDescent="0.15">
      <c r="A473" s="3">
        <v>42382</v>
      </c>
      <c r="B473" s="3">
        <v>1940.34</v>
      </c>
      <c r="C473" s="3">
        <v>1950.33</v>
      </c>
      <c r="D473" s="3">
        <v>1886.41</v>
      </c>
      <c r="E473" s="3">
        <v>1890.28</v>
      </c>
      <c r="F473" s="3">
        <v>874565406</v>
      </c>
    </row>
    <row r="474" spans="1:6" ht="13" x14ac:dyDescent="0.15">
      <c r="A474" s="3">
        <v>42383</v>
      </c>
      <c r="B474" s="3">
        <v>1891.68</v>
      </c>
      <c r="C474" s="3">
        <v>1934.47</v>
      </c>
      <c r="D474" s="3">
        <v>1878.93</v>
      </c>
      <c r="E474" s="3">
        <v>1921.84</v>
      </c>
      <c r="F474" s="3">
        <v>920305719</v>
      </c>
    </row>
    <row r="475" spans="1:6" ht="13" x14ac:dyDescent="0.15">
      <c r="A475" s="3">
        <v>42384</v>
      </c>
      <c r="B475" s="3">
        <v>1916.68</v>
      </c>
      <c r="C475" s="3">
        <v>1916.68</v>
      </c>
      <c r="D475" s="3">
        <v>1857.83</v>
      </c>
      <c r="E475" s="3">
        <v>1880.33</v>
      </c>
      <c r="F475" s="3">
        <v>121200428</v>
      </c>
    </row>
    <row r="476" spans="1:6" ht="13" x14ac:dyDescent="0.15">
      <c r="A476" s="3">
        <v>42388</v>
      </c>
      <c r="B476" s="3">
        <v>1888.66</v>
      </c>
      <c r="C476" s="3">
        <v>1901.44</v>
      </c>
      <c r="D476" s="3">
        <v>1864.6</v>
      </c>
      <c r="E476" s="3">
        <v>1881.33</v>
      </c>
      <c r="F476" s="3">
        <v>876359950</v>
      </c>
    </row>
    <row r="477" spans="1:6" ht="13" x14ac:dyDescent="0.15">
      <c r="A477" s="3">
        <v>42389</v>
      </c>
      <c r="B477" s="3">
        <v>1876.18</v>
      </c>
      <c r="C477" s="3">
        <v>1876.18</v>
      </c>
      <c r="D477" s="3">
        <v>1812.29</v>
      </c>
      <c r="E477" s="3">
        <v>1859.33</v>
      </c>
      <c r="F477" s="3">
        <v>4309713</v>
      </c>
    </row>
    <row r="478" spans="1:6" ht="13" x14ac:dyDescent="0.15">
      <c r="A478" s="3">
        <v>42390</v>
      </c>
      <c r="B478" s="3">
        <v>1861.46</v>
      </c>
      <c r="C478" s="3">
        <v>1889.85</v>
      </c>
      <c r="D478" s="3">
        <v>1848.98</v>
      </c>
      <c r="E478" s="3">
        <v>1868.99</v>
      </c>
      <c r="F478" s="3">
        <v>853633943</v>
      </c>
    </row>
    <row r="479" spans="1:6" ht="13" x14ac:dyDescent="0.15">
      <c r="A479" s="3">
        <v>42391</v>
      </c>
      <c r="B479" s="3">
        <v>1877.4</v>
      </c>
      <c r="C479" s="3">
        <v>1908.85</v>
      </c>
      <c r="D479" s="3">
        <v>1877.4</v>
      </c>
      <c r="E479" s="3">
        <v>1906.9</v>
      </c>
      <c r="F479" s="3">
        <v>809147435</v>
      </c>
    </row>
    <row r="480" spans="1:6" ht="13" x14ac:dyDescent="0.15">
      <c r="A480" s="3">
        <v>42394</v>
      </c>
      <c r="B480" s="3">
        <v>1906.28</v>
      </c>
      <c r="C480" s="3">
        <v>1906.28</v>
      </c>
      <c r="D480" s="3">
        <v>1875.97</v>
      </c>
      <c r="E480" s="3">
        <v>1877.08</v>
      </c>
      <c r="F480" s="3">
        <v>760931974</v>
      </c>
    </row>
    <row r="481" spans="1:6" ht="13" x14ac:dyDescent="0.15">
      <c r="A481" s="3">
        <v>42395</v>
      </c>
      <c r="B481" s="3">
        <v>1878.79</v>
      </c>
      <c r="C481" s="3">
        <v>1906.73</v>
      </c>
      <c r="D481" s="3">
        <v>1878.79</v>
      </c>
      <c r="E481" s="3">
        <v>1903.63</v>
      </c>
      <c r="F481" s="3">
        <v>695956044</v>
      </c>
    </row>
    <row r="482" spans="1:6" ht="13" x14ac:dyDescent="0.15">
      <c r="A482" s="3">
        <v>42396</v>
      </c>
      <c r="B482" s="3">
        <v>1902.52</v>
      </c>
      <c r="C482" s="3">
        <v>1916.99</v>
      </c>
      <c r="D482" s="3">
        <v>1872.7</v>
      </c>
      <c r="E482" s="3">
        <v>1882.95</v>
      </c>
      <c r="F482" s="3">
        <v>801306427</v>
      </c>
    </row>
    <row r="483" spans="1:6" ht="13" x14ac:dyDescent="0.15">
      <c r="A483" s="3">
        <v>42397</v>
      </c>
      <c r="B483" s="3">
        <v>1885.22</v>
      </c>
      <c r="C483" s="3">
        <v>1902.96</v>
      </c>
      <c r="D483" s="3">
        <v>1873.65</v>
      </c>
      <c r="E483" s="3">
        <v>1893.36</v>
      </c>
      <c r="F483" s="3">
        <v>820296447</v>
      </c>
    </row>
    <row r="484" spans="1:6" ht="13" x14ac:dyDescent="0.15">
      <c r="A484" s="3">
        <v>42398</v>
      </c>
      <c r="B484" s="3">
        <v>1894</v>
      </c>
      <c r="C484" s="3">
        <v>1940.24</v>
      </c>
      <c r="D484" s="3">
        <v>1894</v>
      </c>
      <c r="E484" s="3">
        <v>1940.24</v>
      </c>
      <c r="F484" s="3">
        <v>144609311</v>
      </c>
    </row>
    <row r="485" spans="1:6" ht="13" x14ac:dyDescent="0.15">
      <c r="A485" s="3">
        <v>42401</v>
      </c>
      <c r="B485" s="3">
        <v>1936.94</v>
      </c>
      <c r="C485" s="3">
        <v>1947.2</v>
      </c>
      <c r="D485" s="3">
        <v>1920.3</v>
      </c>
      <c r="E485" s="3">
        <v>1939.38</v>
      </c>
      <c r="F485" s="3">
        <v>714148314</v>
      </c>
    </row>
    <row r="486" spans="1:6" ht="13" x14ac:dyDescent="0.15">
      <c r="A486" s="3">
        <v>42402</v>
      </c>
      <c r="B486" s="3">
        <v>1935.26</v>
      </c>
      <c r="C486" s="3">
        <v>1935.26</v>
      </c>
      <c r="D486" s="3">
        <v>1897.29</v>
      </c>
      <c r="E486" s="3">
        <v>1903.03</v>
      </c>
      <c r="F486" s="3">
        <v>788015916</v>
      </c>
    </row>
    <row r="487" spans="1:6" ht="13" x14ac:dyDescent="0.15">
      <c r="A487" s="3">
        <v>42403</v>
      </c>
      <c r="B487" s="3">
        <v>1907.07</v>
      </c>
      <c r="C487" s="3">
        <v>1918.01</v>
      </c>
      <c r="D487" s="3">
        <v>1872.23</v>
      </c>
      <c r="E487" s="3">
        <v>1912.53</v>
      </c>
      <c r="F487" s="3">
        <v>893685485</v>
      </c>
    </row>
    <row r="488" spans="1:6" ht="13" x14ac:dyDescent="0.15">
      <c r="A488" s="3">
        <v>42404</v>
      </c>
      <c r="B488" s="3">
        <v>1911.67</v>
      </c>
      <c r="C488" s="3">
        <v>1927.35</v>
      </c>
      <c r="D488" s="3">
        <v>1900.52</v>
      </c>
      <c r="E488" s="3">
        <v>1915.45</v>
      </c>
      <c r="F488" s="3">
        <v>865531792</v>
      </c>
    </row>
    <row r="489" spans="1:6" ht="13" x14ac:dyDescent="0.15">
      <c r="A489" s="3">
        <v>42405</v>
      </c>
      <c r="B489" s="3">
        <v>1913.07</v>
      </c>
      <c r="C489" s="3">
        <v>1913.07</v>
      </c>
      <c r="D489" s="3">
        <v>1872.65</v>
      </c>
      <c r="E489" s="3">
        <v>1880.05</v>
      </c>
      <c r="F489" s="3">
        <v>866331912</v>
      </c>
    </row>
    <row r="490" spans="1:6" ht="13" x14ac:dyDescent="0.15">
      <c r="A490" s="3">
        <v>42408</v>
      </c>
      <c r="B490" s="3">
        <v>1873.25</v>
      </c>
      <c r="C490" s="3">
        <v>1873.25</v>
      </c>
      <c r="D490" s="3">
        <v>1828.46</v>
      </c>
      <c r="E490" s="3">
        <v>1853.44</v>
      </c>
      <c r="F490" s="3">
        <v>1012893978</v>
      </c>
    </row>
    <row r="491" spans="1:6" ht="13" x14ac:dyDescent="0.15">
      <c r="A491" s="3">
        <v>42409</v>
      </c>
      <c r="B491" s="3">
        <v>1848.46</v>
      </c>
      <c r="C491" s="3">
        <v>1868.25</v>
      </c>
      <c r="D491" s="3">
        <v>1834.94</v>
      </c>
      <c r="E491" s="3">
        <v>1852.21</v>
      </c>
      <c r="F491" s="3">
        <v>847335260</v>
      </c>
    </row>
    <row r="492" spans="1:6" ht="13" x14ac:dyDescent="0.15">
      <c r="A492" s="3">
        <v>42410</v>
      </c>
      <c r="B492" s="3">
        <v>1857.1</v>
      </c>
      <c r="C492" s="3">
        <v>1881.6</v>
      </c>
      <c r="D492" s="3">
        <v>1850.32</v>
      </c>
      <c r="E492" s="3">
        <v>1851.86</v>
      </c>
      <c r="F492" s="3">
        <v>765063599</v>
      </c>
    </row>
    <row r="493" spans="1:6" ht="13" x14ac:dyDescent="0.15">
      <c r="A493" s="3">
        <v>42411</v>
      </c>
      <c r="B493" s="3">
        <v>1847</v>
      </c>
      <c r="C493" s="3">
        <v>1847</v>
      </c>
      <c r="D493" s="3">
        <v>1810.1</v>
      </c>
      <c r="E493" s="3">
        <v>1829.08</v>
      </c>
      <c r="F493" s="3">
        <v>959312839</v>
      </c>
    </row>
    <row r="494" spans="1:6" ht="13" x14ac:dyDescent="0.15">
      <c r="A494" s="3">
        <v>42412</v>
      </c>
      <c r="B494" s="3">
        <v>1833.4</v>
      </c>
      <c r="C494" s="3">
        <v>1864.78</v>
      </c>
      <c r="D494" s="3">
        <v>1833.4</v>
      </c>
      <c r="E494" s="3">
        <v>1864.78</v>
      </c>
      <c r="F494" s="3">
        <v>803669163</v>
      </c>
    </row>
    <row r="495" spans="1:6" ht="13" x14ac:dyDescent="0.15">
      <c r="A495" s="3">
        <v>42416</v>
      </c>
      <c r="B495" s="3">
        <v>1871.44</v>
      </c>
      <c r="C495" s="3">
        <v>1895.77</v>
      </c>
      <c r="D495" s="3">
        <v>1871.44</v>
      </c>
      <c r="E495" s="3">
        <v>1895.58</v>
      </c>
      <c r="F495" s="3">
        <v>840931331</v>
      </c>
    </row>
    <row r="496" spans="1:6" ht="13" x14ac:dyDescent="0.15">
      <c r="A496" s="3">
        <v>42417</v>
      </c>
      <c r="B496" s="3">
        <v>1898.8</v>
      </c>
      <c r="C496" s="3">
        <v>1930.68</v>
      </c>
      <c r="D496" s="3">
        <v>1898.8</v>
      </c>
      <c r="E496" s="3">
        <v>1926.82</v>
      </c>
      <c r="F496" s="3">
        <v>818658375</v>
      </c>
    </row>
    <row r="497" spans="1:6" ht="13" x14ac:dyDescent="0.15">
      <c r="A497" s="3">
        <v>42418</v>
      </c>
      <c r="B497" s="3">
        <v>1927.57</v>
      </c>
      <c r="C497" s="3">
        <v>1930</v>
      </c>
      <c r="D497" s="3">
        <v>1915.09</v>
      </c>
      <c r="E497" s="3">
        <v>1917.83</v>
      </c>
      <c r="F497" s="3">
        <v>729872023</v>
      </c>
    </row>
    <row r="498" spans="1:6" ht="13" x14ac:dyDescent="0.15">
      <c r="A498" s="3">
        <v>42419</v>
      </c>
      <c r="B498" s="3">
        <v>1916.74</v>
      </c>
      <c r="C498" s="3">
        <v>1918.78</v>
      </c>
      <c r="D498" s="3">
        <v>1902.17</v>
      </c>
      <c r="E498" s="3">
        <v>1917.78</v>
      </c>
      <c r="F498" s="3">
        <v>862747420</v>
      </c>
    </row>
    <row r="499" spans="1:6" ht="13" x14ac:dyDescent="0.15">
      <c r="A499" s="3">
        <v>42422</v>
      </c>
      <c r="B499" s="3">
        <v>1924.44</v>
      </c>
      <c r="C499" s="3">
        <v>1946.7</v>
      </c>
      <c r="D499" s="3">
        <v>1924.44</v>
      </c>
      <c r="E499" s="3">
        <v>1945.5</v>
      </c>
      <c r="F499" s="3">
        <v>663513182</v>
      </c>
    </row>
    <row r="500" spans="1:6" ht="13" x14ac:dyDescent="0.15">
      <c r="A500" s="3">
        <v>42423</v>
      </c>
      <c r="B500" s="3">
        <v>1942.38</v>
      </c>
      <c r="C500" s="3">
        <v>1942.38</v>
      </c>
      <c r="D500" s="3">
        <v>1919.44</v>
      </c>
      <c r="E500" s="3">
        <v>1921.27</v>
      </c>
      <c r="F500" s="3">
        <v>626779261</v>
      </c>
    </row>
    <row r="501" spans="1:6" ht="13" x14ac:dyDescent="0.15">
      <c r="A501" s="3">
        <v>42424</v>
      </c>
      <c r="B501" s="3">
        <v>1917.56</v>
      </c>
      <c r="C501" s="3">
        <v>1932.08</v>
      </c>
      <c r="D501" s="3">
        <v>1891</v>
      </c>
      <c r="E501" s="3">
        <v>1929.8</v>
      </c>
      <c r="F501" s="3">
        <v>662291401</v>
      </c>
    </row>
    <row r="502" spans="1:6" ht="13" x14ac:dyDescent="0.15">
      <c r="A502" s="3">
        <v>42425</v>
      </c>
      <c r="B502" s="3">
        <v>1931.87</v>
      </c>
      <c r="C502" s="3">
        <v>1951.83</v>
      </c>
      <c r="D502" s="3">
        <v>1925.41</v>
      </c>
      <c r="E502" s="3">
        <v>1951.7</v>
      </c>
      <c r="F502" s="3">
        <v>590047710</v>
      </c>
    </row>
    <row r="503" spans="1:6" ht="13" x14ac:dyDescent="0.15">
      <c r="A503" s="3">
        <v>42426</v>
      </c>
      <c r="B503" s="3">
        <v>1954.95</v>
      </c>
      <c r="C503" s="3">
        <v>1962.96</v>
      </c>
      <c r="D503" s="3">
        <v>1945.78</v>
      </c>
      <c r="E503" s="3">
        <v>1948.05</v>
      </c>
      <c r="F503" s="3">
        <v>669969843</v>
      </c>
    </row>
    <row r="504" spans="1:6" ht="13" x14ac:dyDescent="0.15">
      <c r="A504" s="3">
        <v>42429</v>
      </c>
      <c r="B504" s="3">
        <v>1947.13</v>
      </c>
      <c r="C504" s="3">
        <v>1958.27</v>
      </c>
      <c r="D504" s="3">
        <v>1931.81</v>
      </c>
      <c r="E504" s="3">
        <v>1932.23</v>
      </c>
      <c r="F504" s="3">
        <v>849487499</v>
      </c>
    </row>
    <row r="505" spans="1:6" ht="13" x14ac:dyDescent="0.15">
      <c r="A505" s="3">
        <v>42430</v>
      </c>
      <c r="B505" s="3">
        <v>1937.09</v>
      </c>
      <c r="C505" s="3">
        <v>1978.35</v>
      </c>
      <c r="D505" s="3">
        <v>1937.09</v>
      </c>
      <c r="E505" s="3">
        <v>1978.35</v>
      </c>
      <c r="F505" s="3">
        <v>742687074</v>
      </c>
    </row>
    <row r="506" spans="1:6" ht="13" x14ac:dyDescent="0.15">
      <c r="A506" s="3">
        <v>42431</v>
      </c>
      <c r="B506" s="3">
        <v>1976.6</v>
      </c>
      <c r="C506" s="3">
        <v>1986.51</v>
      </c>
      <c r="D506" s="3">
        <v>1968.8</v>
      </c>
      <c r="E506" s="3">
        <v>1986.45</v>
      </c>
      <c r="F506" s="3">
        <v>680819457</v>
      </c>
    </row>
    <row r="507" spans="1:6" ht="13" x14ac:dyDescent="0.15">
      <c r="A507" s="3">
        <v>42432</v>
      </c>
      <c r="B507" s="3">
        <v>1985.6</v>
      </c>
      <c r="C507" s="3">
        <v>1993.69</v>
      </c>
      <c r="D507" s="3">
        <v>1977.37</v>
      </c>
      <c r="E507" s="3">
        <v>1993.4</v>
      </c>
      <c r="F507" s="3">
        <v>667829915</v>
      </c>
    </row>
    <row r="508" spans="1:6" ht="13" x14ac:dyDescent="0.15">
      <c r="A508" s="3">
        <v>42433</v>
      </c>
      <c r="B508" s="3">
        <v>1994.01</v>
      </c>
      <c r="C508" s="3">
        <v>2009.13</v>
      </c>
      <c r="D508" s="3">
        <v>1986.77</v>
      </c>
      <c r="E508" s="3">
        <v>1999.99</v>
      </c>
      <c r="F508" s="3">
        <v>782584654</v>
      </c>
    </row>
    <row r="509" spans="1:6" ht="13" x14ac:dyDescent="0.15">
      <c r="A509" s="3">
        <v>42436</v>
      </c>
      <c r="B509" s="3">
        <v>1996.11</v>
      </c>
      <c r="C509" s="3">
        <v>2006.12</v>
      </c>
      <c r="D509" s="3">
        <v>1989.38</v>
      </c>
      <c r="E509" s="3">
        <v>2001.76</v>
      </c>
      <c r="F509" s="3">
        <v>654455151</v>
      </c>
    </row>
    <row r="510" spans="1:6" ht="13" x14ac:dyDescent="0.15">
      <c r="A510" s="3">
        <v>42437</v>
      </c>
      <c r="B510" s="3">
        <v>1996.88</v>
      </c>
      <c r="C510" s="3">
        <v>1996.88</v>
      </c>
      <c r="D510" s="3">
        <v>1977.43</v>
      </c>
      <c r="E510" s="3">
        <v>1979.26</v>
      </c>
      <c r="F510" s="3">
        <v>699806748</v>
      </c>
    </row>
    <row r="511" spans="1:6" ht="13" x14ac:dyDescent="0.15">
      <c r="A511" s="3">
        <v>42438</v>
      </c>
      <c r="B511" s="3">
        <v>1981.44</v>
      </c>
      <c r="C511" s="3">
        <v>1992.69</v>
      </c>
      <c r="D511" s="3">
        <v>1979.84</v>
      </c>
      <c r="E511" s="3">
        <v>1989.26</v>
      </c>
      <c r="F511" s="3">
        <v>608081877</v>
      </c>
    </row>
    <row r="512" spans="1:6" ht="13" x14ac:dyDescent="0.15">
      <c r="A512" s="3">
        <v>42439</v>
      </c>
      <c r="B512" s="3">
        <v>1990.97</v>
      </c>
      <c r="C512" s="3">
        <v>2005.08</v>
      </c>
      <c r="D512" s="3">
        <v>1969.25</v>
      </c>
      <c r="E512" s="3">
        <v>1989.57</v>
      </c>
      <c r="F512" s="3">
        <v>665444879</v>
      </c>
    </row>
    <row r="513" spans="1:6" ht="13" x14ac:dyDescent="0.15">
      <c r="A513" s="3">
        <v>42440</v>
      </c>
      <c r="B513" s="3">
        <v>1994.71</v>
      </c>
      <c r="C513" s="3">
        <v>2022.37</v>
      </c>
      <c r="D513" s="3">
        <v>1994.71</v>
      </c>
      <c r="E513" s="3">
        <v>2022.19</v>
      </c>
      <c r="F513" s="3">
        <v>641712853</v>
      </c>
    </row>
    <row r="514" spans="1:6" ht="13" x14ac:dyDescent="0.15">
      <c r="A514" s="3">
        <v>42443</v>
      </c>
      <c r="B514" s="3">
        <v>2019.27</v>
      </c>
      <c r="C514" s="3">
        <v>2024.57</v>
      </c>
      <c r="D514" s="3">
        <v>2012.05</v>
      </c>
      <c r="E514" s="3">
        <v>2019.64</v>
      </c>
      <c r="F514" s="3">
        <v>546841030</v>
      </c>
    </row>
    <row r="515" spans="1:6" ht="13" x14ac:dyDescent="0.15">
      <c r="A515" s="3">
        <v>42444</v>
      </c>
      <c r="B515" s="3">
        <v>2015.27</v>
      </c>
      <c r="C515" s="3">
        <v>2015.94</v>
      </c>
      <c r="D515" s="3">
        <v>2005.23</v>
      </c>
      <c r="E515" s="3">
        <v>2015.93</v>
      </c>
      <c r="F515" s="3">
        <v>529503338</v>
      </c>
    </row>
    <row r="516" spans="1:6" ht="13" x14ac:dyDescent="0.15">
      <c r="A516" s="3">
        <v>42445</v>
      </c>
      <c r="B516" s="3">
        <v>2014.24</v>
      </c>
      <c r="C516" s="3">
        <v>2032.02</v>
      </c>
      <c r="D516" s="3">
        <v>2010.04</v>
      </c>
      <c r="E516" s="3">
        <v>2027.22</v>
      </c>
      <c r="F516" s="3">
        <v>617671853</v>
      </c>
    </row>
    <row r="517" spans="1:6" ht="13" x14ac:dyDescent="0.15">
      <c r="A517" s="3">
        <v>42446</v>
      </c>
      <c r="B517" s="3">
        <v>2026.9</v>
      </c>
      <c r="C517" s="3">
        <v>2046.24</v>
      </c>
      <c r="D517" s="3">
        <v>2022.16</v>
      </c>
      <c r="E517" s="3">
        <v>2040.59</v>
      </c>
      <c r="F517" s="3">
        <v>661763816</v>
      </c>
    </row>
    <row r="518" spans="1:6" ht="13" x14ac:dyDescent="0.15">
      <c r="A518" s="3">
        <v>42447</v>
      </c>
      <c r="B518" s="3">
        <v>2041.16</v>
      </c>
      <c r="C518" s="3">
        <v>2052.36</v>
      </c>
      <c r="D518" s="3">
        <v>2041.16</v>
      </c>
      <c r="E518" s="3">
        <v>2049.58</v>
      </c>
      <c r="F518" s="3">
        <v>669416338</v>
      </c>
    </row>
    <row r="519" spans="1:6" ht="13" x14ac:dyDescent="0.15">
      <c r="A519" s="3">
        <v>42450</v>
      </c>
      <c r="B519" s="3">
        <v>2047.88</v>
      </c>
      <c r="C519" s="3">
        <v>2053.91</v>
      </c>
      <c r="D519" s="3">
        <v>2043.14</v>
      </c>
      <c r="E519" s="3">
        <v>2051.6</v>
      </c>
      <c r="F519" s="3">
        <v>535577137</v>
      </c>
    </row>
    <row r="520" spans="1:6" ht="13" x14ac:dyDescent="0.15">
      <c r="A520" s="3">
        <v>42451</v>
      </c>
      <c r="B520" s="3">
        <v>2048.64</v>
      </c>
      <c r="C520" s="3">
        <v>2056.6</v>
      </c>
      <c r="D520" s="3">
        <v>2040.57</v>
      </c>
      <c r="E520" s="3">
        <v>2049.8000000000002</v>
      </c>
      <c r="F520" s="3">
        <v>555485645</v>
      </c>
    </row>
    <row r="521" spans="1:6" ht="13" x14ac:dyDescent="0.15">
      <c r="A521" s="3">
        <v>42452</v>
      </c>
      <c r="B521" s="3">
        <v>2048.5500000000002</v>
      </c>
      <c r="C521" s="3">
        <v>2048.5500000000002</v>
      </c>
      <c r="D521" s="3">
        <v>2034.86</v>
      </c>
      <c r="E521" s="3">
        <v>2036.71</v>
      </c>
      <c r="F521" s="3">
        <v>542134056</v>
      </c>
    </row>
    <row r="522" spans="1:6" ht="13" x14ac:dyDescent="0.15">
      <c r="A522" s="3">
        <v>42453</v>
      </c>
      <c r="B522" s="3">
        <v>2032.48</v>
      </c>
      <c r="C522" s="3">
        <v>2036.04</v>
      </c>
      <c r="D522" s="3">
        <v>2022.49</v>
      </c>
      <c r="E522" s="3">
        <v>2035.94</v>
      </c>
      <c r="F522" s="3">
        <v>600131213</v>
      </c>
    </row>
    <row r="523" spans="1:6" ht="13" x14ac:dyDescent="0.15">
      <c r="A523" s="3">
        <v>42457</v>
      </c>
      <c r="B523" s="3">
        <v>2037.89</v>
      </c>
      <c r="C523" s="3">
        <v>2042.67</v>
      </c>
      <c r="D523" s="3">
        <v>2031.96</v>
      </c>
      <c r="E523" s="3">
        <v>2037.05</v>
      </c>
      <c r="F523" s="3">
        <v>460627846</v>
      </c>
    </row>
    <row r="524" spans="1:6" ht="13" x14ac:dyDescent="0.15">
      <c r="A524" s="3">
        <v>42094</v>
      </c>
      <c r="B524" s="3">
        <v>2067.89</v>
      </c>
    </row>
    <row r="525" spans="1:6" ht="13" x14ac:dyDescent="0.15">
      <c r="A525" s="3">
        <v>42095</v>
      </c>
      <c r="B525" s="3">
        <v>2059.69</v>
      </c>
    </row>
    <row r="526" spans="1:6" ht="13" x14ac:dyDescent="0.15">
      <c r="A526" s="3">
        <v>42096</v>
      </c>
      <c r="B526" s="3">
        <v>2066.96</v>
      </c>
    </row>
    <row r="527" spans="1:6" ht="13" x14ac:dyDescent="0.15">
      <c r="A527" s="3">
        <v>42100</v>
      </c>
      <c r="B527" s="3">
        <v>2080.62</v>
      </c>
    </row>
    <row r="528" spans="1:6" ht="13" x14ac:dyDescent="0.15">
      <c r="A528" s="3">
        <v>42101</v>
      </c>
      <c r="B528" s="3">
        <v>2076.33</v>
      </c>
    </row>
    <row r="529" spans="1:2" ht="13" x14ac:dyDescent="0.15">
      <c r="A529" s="3">
        <v>42102</v>
      </c>
      <c r="B529" s="3">
        <v>2081.9</v>
      </c>
    </row>
    <row r="530" spans="1:2" ht="13" x14ac:dyDescent="0.15">
      <c r="A530" s="3">
        <v>42103</v>
      </c>
      <c r="B530" s="3">
        <v>2091.1799999999998</v>
      </c>
    </row>
    <row r="531" spans="1:2" ht="13" x14ac:dyDescent="0.15">
      <c r="A531" s="3">
        <v>42104</v>
      </c>
      <c r="B531" s="3">
        <v>2102.06</v>
      </c>
    </row>
    <row r="532" spans="1:2" ht="13" x14ac:dyDescent="0.15">
      <c r="A532" s="3">
        <v>42107</v>
      </c>
      <c r="B532" s="3">
        <v>2092.4299999999998</v>
      </c>
    </row>
    <row r="533" spans="1:2" ht="13" x14ac:dyDescent="0.15">
      <c r="A533" s="3">
        <v>42108</v>
      </c>
      <c r="B533" s="3">
        <v>2095.84</v>
      </c>
    </row>
    <row r="534" spans="1:2" ht="13" x14ac:dyDescent="0.15">
      <c r="A534" s="3">
        <v>42109</v>
      </c>
      <c r="B534" s="3">
        <v>2106.63</v>
      </c>
    </row>
    <row r="535" spans="1:2" ht="13" x14ac:dyDescent="0.15">
      <c r="A535" s="3">
        <v>42110</v>
      </c>
      <c r="B535" s="3">
        <v>2104.9899999999998</v>
      </c>
    </row>
    <row r="536" spans="1:2" ht="13" x14ac:dyDescent="0.15">
      <c r="A536" s="3">
        <v>42111</v>
      </c>
      <c r="B536" s="3">
        <v>2081.1799999999998</v>
      </c>
    </row>
    <row r="537" spans="1:2" ht="13" x14ac:dyDescent="0.15">
      <c r="A537" s="3">
        <v>42114</v>
      </c>
      <c r="B537" s="3">
        <v>2100.4</v>
      </c>
    </row>
    <row r="538" spans="1:2" ht="13" x14ac:dyDescent="0.15">
      <c r="A538" s="3">
        <v>42115</v>
      </c>
      <c r="B538" s="3">
        <v>2097.29</v>
      </c>
    </row>
    <row r="539" spans="1:2" ht="13" x14ac:dyDescent="0.15">
      <c r="A539" s="3">
        <v>42116</v>
      </c>
      <c r="B539" s="3">
        <v>2107.96</v>
      </c>
    </row>
    <row r="540" spans="1:2" ht="13" x14ac:dyDescent="0.15">
      <c r="A540" s="3">
        <v>42117</v>
      </c>
      <c r="B540" s="3">
        <v>2112.9299999999998</v>
      </c>
    </row>
    <row r="541" spans="1:2" ht="13" x14ac:dyDescent="0.15">
      <c r="A541" s="3">
        <v>42118</v>
      </c>
      <c r="B541" s="3">
        <v>2117.69</v>
      </c>
    </row>
    <row r="542" spans="1:2" ht="13" x14ac:dyDescent="0.15">
      <c r="A542" s="3">
        <v>42121</v>
      </c>
      <c r="B542" s="3">
        <v>2108.92</v>
      </c>
    </row>
    <row r="543" spans="1:2" ht="13" x14ac:dyDescent="0.15">
      <c r="A543" s="3">
        <v>42122</v>
      </c>
      <c r="B543" s="3">
        <v>2114.7600000000002</v>
      </c>
    </row>
    <row r="544" spans="1:2" ht="13" x14ac:dyDescent="0.15">
      <c r="A544" s="3">
        <v>42123</v>
      </c>
      <c r="B544" s="3">
        <v>2106.85</v>
      </c>
    </row>
    <row r="545" spans="1:2" ht="13" x14ac:dyDescent="0.15">
      <c r="A545" s="3">
        <v>42124</v>
      </c>
      <c r="B545" s="3">
        <v>2085.5100000000002</v>
      </c>
    </row>
    <row r="546" spans="1:2" ht="13" x14ac:dyDescent="0.15">
      <c r="A546" s="3">
        <v>42125</v>
      </c>
      <c r="B546" s="3">
        <v>2108.29</v>
      </c>
    </row>
    <row r="547" spans="1:2" ht="13" x14ac:dyDescent="0.15">
      <c r="A547" s="3">
        <v>42128</v>
      </c>
      <c r="B547" s="3">
        <v>2114.4899999999998</v>
      </c>
    </row>
    <row r="548" spans="1:2" ht="13" x14ac:dyDescent="0.15">
      <c r="A548" s="3">
        <v>42129</v>
      </c>
      <c r="B548" s="3">
        <v>2089.46</v>
      </c>
    </row>
    <row r="549" spans="1:2" ht="13" x14ac:dyDescent="0.15">
      <c r="A549" s="3">
        <v>42130</v>
      </c>
      <c r="B549" s="3">
        <v>2080.15</v>
      </c>
    </row>
    <row r="550" spans="1:2" ht="13" x14ac:dyDescent="0.15">
      <c r="A550" s="3">
        <v>42131</v>
      </c>
      <c r="B550" s="3">
        <v>2088</v>
      </c>
    </row>
    <row r="551" spans="1:2" ht="13" x14ac:dyDescent="0.15">
      <c r="A551" s="3">
        <v>42132</v>
      </c>
      <c r="B551" s="3">
        <v>2116.1</v>
      </c>
    </row>
    <row r="552" spans="1:2" ht="13" x14ac:dyDescent="0.15">
      <c r="A552" s="3">
        <v>42135</v>
      </c>
      <c r="B552" s="3">
        <v>2105.33</v>
      </c>
    </row>
    <row r="553" spans="1:2" ht="13" x14ac:dyDescent="0.15">
      <c r="A553" s="3">
        <v>42136</v>
      </c>
      <c r="B553" s="3">
        <v>2099.12</v>
      </c>
    </row>
    <row r="554" spans="1:2" ht="13" x14ac:dyDescent="0.15">
      <c r="A554" s="3">
        <v>42137</v>
      </c>
      <c r="B554" s="3">
        <v>2098.48</v>
      </c>
    </row>
    <row r="555" spans="1:2" ht="13" x14ac:dyDescent="0.15">
      <c r="A555" s="3">
        <v>42138</v>
      </c>
      <c r="B555" s="3">
        <v>2121.1</v>
      </c>
    </row>
    <row r="556" spans="1:2" ht="13" x14ac:dyDescent="0.15">
      <c r="A556" s="3">
        <v>42139</v>
      </c>
      <c r="B556" s="3">
        <v>2122.73</v>
      </c>
    </row>
    <row r="557" spans="1:2" ht="13" x14ac:dyDescent="0.15">
      <c r="A557" s="3">
        <v>42142</v>
      </c>
      <c r="B557" s="3">
        <v>2129.1999999999998</v>
      </c>
    </row>
    <row r="558" spans="1:2" ht="13" x14ac:dyDescent="0.15">
      <c r="A558" s="3">
        <v>42143</v>
      </c>
      <c r="B558" s="3">
        <v>2127.83</v>
      </c>
    </row>
    <row r="559" spans="1:2" ht="13" x14ac:dyDescent="0.15">
      <c r="A559" s="3">
        <v>42144</v>
      </c>
      <c r="B559" s="3">
        <v>2125.85</v>
      </c>
    </row>
    <row r="560" spans="1:2" ht="13" x14ac:dyDescent="0.15">
      <c r="A560" s="3">
        <v>42145</v>
      </c>
      <c r="B560" s="3">
        <v>2130.8200000000002</v>
      </c>
    </row>
    <row r="561" spans="1:2" ht="13" x14ac:dyDescent="0.15">
      <c r="A561" s="3">
        <v>42146</v>
      </c>
      <c r="B561" s="3">
        <v>2126.06</v>
      </c>
    </row>
    <row r="562" spans="1:2" ht="13" x14ac:dyDescent="0.15">
      <c r="A562" s="3">
        <v>42150</v>
      </c>
      <c r="B562" s="3">
        <v>2104.1999999999998</v>
      </c>
    </row>
    <row r="563" spans="1:2" ht="13" x14ac:dyDescent="0.15">
      <c r="A563" s="3">
        <v>42151</v>
      </c>
      <c r="B563" s="3">
        <v>2123.48</v>
      </c>
    </row>
    <row r="564" spans="1:2" ht="13" x14ac:dyDescent="0.15">
      <c r="A564" s="3">
        <v>42152</v>
      </c>
      <c r="B564" s="3">
        <v>2120.79</v>
      </c>
    </row>
    <row r="565" spans="1:2" ht="13" x14ac:dyDescent="0.15">
      <c r="A565" s="3">
        <v>42153</v>
      </c>
      <c r="B565" s="3">
        <v>2107.39</v>
      </c>
    </row>
    <row r="566" spans="1:2" ht="13" x14ac:dyDescent="0.15">
      <c r="A566" s="3">
        <v>42156</v>
      </c>
      <c r="B566" s="3">
        <v>2111.73</v>
      </c>
    </row>
    <row r="567" spans="1:2" ht="13" x14ac:dyDescent="0.15">
      <c r="A567" s="3">
        <v>42157</v>
      </c>
      <c r="B567" s="3">
        <v>2109.6</v>
      </c>
    </row>
    <row r="568" spans="1:2" ht="13" x14ac:dyDescent="0.15">
      <c r="A568" s="3">
        <v>42158</v>
      </c>
      <c r="B568" s="3">
        <v>2114.0700000000002</v>
      </c>
    </row>
    <row r="569" spans="1:2" ht="13" x14ac:dyDescent="0.15">
      <c r="A569" s="3">
        <v>42159</v>
      </c>
      <c r="B569" s="3">
        <v>2095.84</v>
      </c>
    </row>
    <row r="570" spans="1:2" ht="13" x14ac:dyDescent="0.15">
      <c r="A570" s="3">
        <v>42160</v>
      </c>
      <c r="B570" s="3">
        <v>2092.83</v>
      </c>
    </row>
    <row r="571" spans="1:2" ht="13" x14ac:dyDescent="0.15">
      <c r="A571" s="3">
        <v>42163</v>
      </c>
      <c r="B571" s="3">
        <v>2079.2800000000002</v>
      </c>
    </row>
    <row r="572" spans="1:2" ht="13" x14ac:dyDescent="0.15">
      <c r="A572" s="3">
        <v>42164</v>
      </c>
      <c r="B572" s="3">
        <v>2080.15</v>
      </c>
    </row>
    <row r="573" spans="1:2" ht="13" x14ac:dyDescent="0.15">
      <c r="A573" s="3">
        <v>42165</v>
      </c>
      <c r="B573" s="3">
        <v>2105.1999999999998</v>
      </c>
    </row>
    <row r="574" spans="1:2" ht="13" x14ac:dyDescent="0.15">
      <c r="A574" s="3">
        <v>42166</v>
      </c>
      <c r="B574" s="3">
        <v>2108.86</v>
      </c>
    </row>
    <row r="575" spans="1:2" ht="13" x14ac:dyDescent="0.15">
      <c r="A575" s="3">
        <v>42167</v>
      </c>
      <c r="B575" s="3">
        <v>2094.11</v>
      </c>
    </row>
    <row r="576" spans="1:2" ht="13" x14ac:dyDescent="0.15">
      <c r="A576" s="3">
        <v>42170</v>
      </c>
      <c r="B576" s="3">
        <v>2084.4299999999998</v>
      </c>
    </row>
    <row r="577" spans="1:2" ht="13" x14ac:dyDescent="0.15">
      <c r="A577" s="3">
        <v>42171</v>
      </c>
      <c r="B577" s="3">
        <v>2096.29</v>
      </c>
    </row>
    <row r="578" spans="1:2" ht="13" x14ac:dyDescent="0.15">
      <c r="A578" s="3">
        <v>42172</v>
      </c>
      <c r="B578" s="3">
        <v>2100.44</v>
      </c>
    </row>
    <row r="579" spans="1:2" ht="13" x14ac:dyDescent="0.15">
      <c r="A579" s="3">
        <v>42173</v>
      </c>
      <c r="B579" s="3">
        <v>2121.2399999999998</v>
      </c>
    </row>
    <row r="580" spans="1:2" ht="13" x14ac:dyDescent="0.15">
      <c r="A580" s="3">
        <v>42174</v>
      </c>
      <c r="B580" s="3">
        <v>2109.9899999999998</v>
      </c>
    </row>
    <row r="581" spans="1:2" ht="13" x14ac:dyDescent="0.15">
      <c r="A581" s="3">
        <v>42177</v>
      </c>
      <c r="B581" s="3">
        <v>2122.85</v>
      </c>
    </row>
    <row r="582" spans="1:2" ht="13" x14ac:dyDescent="0.15">
      <c r="A582" s="3">
        <v>42178</v>
      </c>
      <c r="B582" s="3">
        <v>2124.1999999999998</v>
      </c>
    </row>
    <row r="583" spans="1:2" ht="13" x14ac:dyDescent="0.15">
      <c r="A583" s="3">
        <v>42179</v>
      </c>
      <c r="B583" s="3">
        <v>2108.58</v>
      </c>
    </row>
    <row r="584" spans="1:2" ht="13" x14ac:dyDescent="0.15">
      <c r="A584" s="3">
        <v>42180</v>
      </c>
      <c r="B584" s="3">
        <v>2102.31</v>
      </c>
    </row>
    <row r="585" spans="1:2" ht="13" x14ac:dyDescent="0.15">
      <c r="A585" s="3">
        <v>42181</v>
      </c>
      <c r="B585" s="3">
        <v>2101.4899999999998</v>
      </c>
    </row>
    <row r="586" spans="1:2" ht="13" x14ac:dyDescent="0.15">
      <c r="A586" s="3">
        <v>42184</v>
      </c>
      <c r="B586" s="3">
        <v>2057.64</v>
      </c>
    </row>
    <row r="587" spans="1:2" ht="13" x14ac:dyDescent="0.15">
      <c r="A587" s="3">
        <v>42185</v>
      </c>
      <c r="B587" s="3">
        <v>2063.11</v>
      </c>
    </row>
    <row r="588" spans="1:2" ht="13" x14ac:dyDescent="0.15">
      <c r="A588" s="3">
        <v>42186</v>
      </c>
      <c r="B588" s="3">
        <v>2077.42</v>
      </c>
    </row>
    <row r="589" spans="1:2" ht="13" x14ac:dyDescent="0.15">
      <c r="A589" s="3">
        <v>42187</v>
      </c>
      <c r="B589" s="3">
        <v>2076.7800000000002</v>
      </c>
    </row>
    <row r="590" spans="1:2" ht="13" x14ac:dyDescent="0.15">
      <c r="A590" s="3">
        <v>42191</v>
      </c>
      <c r="B590" s="3">
        <v>2068.7600000000002</v>
      </c>
    </row>
    <row r="591" spans="1:2" ht="13" x14ac:dyDescent="0.15">
      <c r="A591" s="3">
        <v>42192</v>
      </c>
      <c r="B591" s="3">
        <v>2081.34</v>
      </c>
    </row>
    <row r="592" spans="1:2" ht="13" x14ac:dyDescent="0.15">
      <c r="A592" s="3">
        <v>42193</v>
      </c>
      <c r="B592" s="3">
        <v>2046.68</v>
      </c>
    </row>
    <row r="593" spans="1:2" ht="13" x14ac:dyDescent="0.15">
      <c r="A593" s="3">
        <v>42194</v>
      </c>
      <c r="B593" s="3">
        <v>2051.31</v>
      </c>
    </row>
    <row r="594" spans="1:2" ht="13" x14ac:dyDescent="0.15">
      <c r="A594" s="3">
        <v>42195</v>
      </c>
      <c r="B594" s="3">
        <v>2076.62</v>
      </c>
    </row>
    <row r="595" spans="1:2" ht="13" x14ac:dyDescent="0.15">
      <c r="A595" s="3">
        <v>42198</v>
      </c>
      <c r="B595" s="3">
        <v>2099.6</v>
      </c>
    </row>
    <row r="596" spans="1:2" ht="13" x14ac:dyDescent="0.15">
      <c r="A596" s="3">
        <v>42199</v>
      </c>
      <c r="B596" s="3">
        <v>2108.9499999999998</v>
      </c>
    </row>
    <row r="597" spans="1:2" ht="13" x14ac:dyDescent="0.15">
      <c r="A597" s="3">
        <v>42200</v>
      </c>
      <c r="B597" s="3">
        <v>2107.4</v>
      </c>
    </row>
    <row r="598" spans="1:2" ht="13" x14ac:dyDescent="0.15">
      <c r="A598" s="3">
        <v>42201</v>
      </c>
      <c r="B598" s="3">
        <v>2124.29</v>
      </c>
    </row>
    <row r="599" spans="1:2" ht="13" x14ac:dyDescent="0.15">
      <c r="A599" s="3">
        <v>42202</v>
      </c>
      <c r="B599" s="3">
        <v>2126.64</v>
      </c>
    </row>
    <row r="600" spans="1:2" ht="13" x14ac:dyDescent="0.15">
      <c r="A600" s="3">
        <v>42205</v>
      </c>
      <c r="B600" s="3">
        <v>2128.2800000000002</v>
      </c>
    </row>
    <row r="601" spans="1:2" ht="13" x14ac:dyDescent="0.15">
      <c r="A601" s="3">
        <v>42206</v>
      </c>
      <c r="B601" s="3">
        <v>2119.21</v>
      </c>
    </row>
    <row r="602" spans="1:2" ht="13" x14ac:dyDescent="0.15">
      <c r="A602" s="3">
        <v>42207</v>
      </c>
      <c r="B602" s="3">
        <v>2114.15</v>
      </c>
    </row>
    <row r="603" spans="1:2" ht="13" x14ac:dyDescent="0.15">
      <c r="A603" s="3">
        <v>42208</v>
      </c>
      <c r="B603" s="3">
        <v>2102.15</v>
      </c>
    </row>
    <row r="604" spans="1:2" ht="13" x14ac:dyDescent="0.15">
      <c r="A604" s="3">
        <v>42209</v>
      </c>
      <c r="B604" s="3">
        <v>2079.65</v>
      </c>
    </row>
    <row r="605" spans="1:2" ht="13" x14ac:dyDescent="0.15">
      <c r="A605" s="3">
        <v>42212</v>
      </c>
      <c r="B605" s="3">
        <v>2067.64</v>
      </c>
    </row>
    <row r="606" spans="1:2" ht="13" x14ac:dyDescent="0.15">
      <c r="A606" s="3">
        <v>42213</v>
      </c>
      <c r="B606" s="3">
        <v>2093.25</v>
      </c>
    </row>
    <row r="607" spans="1:2" ht="13" x14ac:dyDescent="0.15">
      <c r="A607" s="3">
        <v>42214</v>
      </c>
      <c r="B607" s="3">
        <v>2108.5700000000002</v>
      </c>
    </row>
    <row r="608" spans="1:2" ht="13" x14ac:dyDescent="0.15">
      <c r="A608" s="3">
        <v>42215</v>
      </c>
      <c r="B608" s="3">
        <v>2108.63</v>
      </c>
    </row>
    <row r="609" spans="1:2" ht="13" x14ac:dyDescent="0.15">
      <c r="A609" s="3">
        <v>42216</v>
      </c>
      <c r="B609" s="3">
        <v>2103.84</v>
      </c>
    </row>
    <row r="610" spans="1:2" ht="13" x14ac:dyDescent="0.15">
      <c r="A610" s="3">
        <v>42219</v>
      </c>
      <c r="B610" s="3">
        <v>2098.04</v>
      </c>
    </row>
    <row r="611" spans="1:2" ht="13" x14ac:dyDescent="0.15">
      <c r="A611" s="3">
        <v>42220</v>
      </c>
      <c r="B611" s="3">
        <v>2093.3200000000002</v>
      </c>
    </row>
    <row r="612" spans="1:2" ht="13" x14ac:dyDescent="0.15">
      <c r="A612" s="3">
        <v>42221</v>
      </c>
      <c r="B612" s="3">
        <v>2099.84</v>
      </c>
    </row>
    <row r="613" spans="1:2" ht="13" x14ac:dyDescent="0.15">
      <c r="A613" s="3">
        <v>42222</v>
      </c>
      <c r="B613" s="3">
        <v>2083.56</v>
      </c>
    </row>
    <row r="614" spans="1:2" ht="13" x14ac:dyDescent="0.15">
      <c r="A614" s="3">
        <v>42223</v>
      </c>
      <c r="B614" s="3">
        <v>2077.5700000000002</v>
      </c>
    </row>
    <row r="615" spans="1:2" ht="13" x14ac:dyDescent="0.15">
      <c r="A615" s="3">
        <v>42226</v>
      </c>
      <c r="B615" s="3">
        <v>2104.1799999999998</v>
      </c>
    </row>
    <row r="616" spans="1:2" ht="13" x14ac:dyDescent="0.15">
      <c r="A616" s="3">
        <v>42227</v>
      </c>
      <c r="B616" s="3">
        <v>2084.0700000000002</v>
      </c>
    </row>
    <row r="617" spans="1:2" ht="13" x14ac:dyDescent="0.15">
      <c r="A617" s="3">
        <v>42228</v>
      </c>
      <c r="B617" s="3">
        <v>2086.0500000000002</v>
      </c>
    </row>
    <row r="618" spans="1:2" ht="13" x14ac:dyDescent="0.15">
      <c r="A618" s="3">
        <v>42229</v>
      </c>
      <c r="B618" s="3">
        <v>2083.39</v>
      </c>
    </row>
    <row r="619" spans="1:2" ht="13" x14ac:dyDescent="0.15">
      <c r="A619" s="3">
        <v>42230</v>
      </c>
      <c r="B619" s="3">
        <v>2091.54</v>
      </c>
    </row>
    <row r="620" spans="1:2" ht="13" x14ac:dyDescent="0.15">
      <c r="A620" s="3">
        <v>42233</v>
      </c>
      <c r="B620" s="3">
        <v>2102.44</v>
      </c>
    </row>
    <row r="621" spans="1:2" ht="13" x14ac:dyDescent="0.15">
      <c r="A621" s="3">
        <v>42234</v>
      </c>
      <c r="B621" s="3">
        <v>2096.92</v>
      </c>
    </row>
    <row r="622" spans="1:2" ht="13" x14ac:dyDescent="0.15">
      <c r="A622" s="3">
        <v>42235</v>
      </c>
      <c r="B622" s="3">
        <v>2079.61</v>
      </c>
    </row>
    <row r="623" spans="1:2" ht="13" x14ac:dyDescent="0.15">
      <c r="A623" s="3">
        <v>42236</v>
      </c>
      <c r="B623" s="3">
        <v>2035.73</v>
      </c>
    </row>
    <row r="624" spans="1:2" ht="13" x14ac:dyDescent="0.15">
      <c r="A624" s="3">
        <v>42237</v>
      </c>
      <c r="B624" s="3">
        <v>1970.89</v>
      </c>
    </row>
    <row r="625" spans="1:2" ht="13" x14ac:dyDescent="0.15">
      <c r="A625" s="3">
        <v>42240</v>
      </c>
      <c r="B625" s="3">
        <v>1893.21</v>
      </c>
    </row>
    <row r="626" spans="1:2" ht="13" x14ac:dyDescent="0.15">
      <c r="A626" s="3">
        <v>42241</v>
      </c>
      <c r="B626" s="3">
        <v>1867.61</v>
      </c>
    </row>
    <row r="627" spans="1:2" ht="13" x14ac:dyDescent="0.15">
      <c r="A627" s="3">
        <v>42242</v>
      </c>
      <c r="B627" s="3">
        <v>1940.51</v>
      </c>
    </row>
    <row r="628" spans="1:2" ht="13" x14ac:dyDescent="0.15">
      <c r="A628" s="3">
        <v>42243</v>
      </c>
      <c r="B628" s="3">
        <v>1987.66</v>
      </c>
    </row>
    <row r="629" spans="1:2" ht="13" x14ac:dyDescent="0.15">
      <c r="A629" s="3">
        <v>42244</v>
      </c>
      <c r="B629" s="3">
        <v>1988.87</v>
      </c>
    </row>
    <row r="630" spans="1:2" ht="13" x14ac:dyDescent="0.15">
      <c r="A630" s="3">
        <v>42247</v>
      </c>
      <c r="B630" s="3">
        <v>1972.18</v>
      </c>
    </row>
    <row r="631" spans="1:2" ht="13" x14ac:dyDescent="0.15">
      <c r="A631" s="3">
        <v>42248</v>
      </c>
      <c r="B631" s="3">
        <v>1913.85</v>
      </c>
    </row>
    <row r="632" spans="1:2" ht="13" x14ac:dyDescent="0.15">
      <c r="A632" s="3">
        <v>42249</v>
      </c>
      <c r="B632" s="3">
        <v>1948.86</v>
      </c>
    </row>
    <row r="633" spans="1:2" ht="13" x14ac:dyDescent="0.15">
      <c r="A633" s="3">
        <v>42250</v>
      </c>
      <c r="B633" s="3">
        <v>1951.13</v>
      </c>
    </row>
    <row r="634" spans="1:2" ht="13" x14ac:dyDescent="0.15">
      <c r="A634" s="3">
        <v>42251</v>
      </c>
      <c r="B634" s="3">
        <v>1921.22</v>
      </c>
    </row>
    <row r="635" spans="1:2" ht="13" x14ac:dyDescent="0.15">
      <c r="A635" s="3">
        <v>42255</v>
      </c>
      <c r="B635" s="3">
        <v>1969.41</v>
      </c>
    </row>
    <row r="636" spans="1:2" ht="13" x14ac:dyDescent="0.15">
      <c r="A636" s="3">
        <v>42256</v>
      </c>
      <c r="B636" s="3">
        <v>1942.04</v>
      </c>
    </row>
    <row r="637" spans="1:2" ht="13" x14ac:dyDescent="0.15">
      <c r="A637" s="3">
        <v>42257</v>
      </c>
      <c r="B637" s="3">
        <v>1952.29</v>
      </c>
    </row>
    <row r="638" spans="1:2" ht="13" x14ac:dyDescent="0.15">
      <c r="A638" s="3">
        <v>42258</v>
      </c>
      <c r="B638" s="3">
        <v>1961.05</v>
      </c>
    </row>
    <row r="639" spans="1:2" ht="13" x14ac:dyDescent="0.15">
      <c r="A639" s="3">
        <v>42261</v>
      </c>
      <c r="B639" s="3">
        <v>1953.03</v>
      </c>
    </row>
    <row r="640" spans="1:2" ht="13" x14ac:dyDescent="0.15">
      <c r="A640" s="3">
        <v>42262</v>
      </c>
      <c r="B640" s="3">
        <v>1978.09</v>
      </c>
    </row>
    <row r="641" spans="1:2" ht="13" x14ac:dyDescent="0.15">
      <c r="A641" s="3">
        <v>42263</v>
      </c>
      <c r="B641" s="3">
        <v>1995.31</v>
      </c>
    </row>
    <row r="642" spans="1:2" ht="13" x14ac:dyDescent="0.15">
      <c r="A642" s="3">
        <v>42264</v>
      </c>
      <c r="B642" s="3">
        <v>1990.2</v>
      </c>
    </row>
    <row r="643" spans="1:2" ht="13" x14ac:dyDescent="0.15">
      <c r="A643" s="3">
        <v>42265</v>
      </c>
      <c r="B643" s="3">
        <v>1958.03</v>
      </c>
    </row>
    <row r="644" spans="1:2" ht="13" x14ac:dyDescent="0.15">
      <c r="A644" s="3">
        <v>42268</v>
      </c>
      <c r="B644" s="3">
        <v>1966.97</v>
      </c>
    </row>
    <row r="645" spans="1:2" ht="13" x14ac:dyDescent="0.15">
      <c r="A645" s="3">
        <v>42269</v>
      </c>
      <c r="B645" s="3">
        <v>1942.74</v>
      </c>
    </row>
    <row r="646" spans="1:2" ht="13" x14ac:dyDescent="0.15">
      <c r="A646" s="3">
        <v>42270</v>
      </c>
      <c r="B646" s="3">
        <v>1938.76</v>
      </c>
    </row>
    <row r="647" spans="1:2" ht="13" x14ac:dyDescent="0.15">
      <c r="A647" s="3">
        <v>42271</v>
      </c>
      <c r="B647" s="3">
        <v>1932.24</v>
      </c>
    </row>
    <row r="648" spans="1:2" ht="13" x14ac:dyDescent="0.15">
      <c r="A648" s="3">
        <v>42272</v>
      </c>
      <c r="B648" s="3">
        <v>1931.34</v>
      </c>
    </row>
    <row r="649" spans="1:2" ht="13" x14ac:dyDescent="0.15">
      <c r="A649" s="3">
        <v>42275</v>
      </c>
      <c r="B649" s="3">
        <v>1881.77</v>
      </c>
    </row>
    <row r="650" spans="1:2" ht="13" x14ac:dyDescent="0.15">
      <c r="A650" s="3">
        <v>42276</v>
      </c>
      <c r="B650" s="3">
        <v>1884.09</v>
      </c>
    </row>
    <row r="651" spans="1:2" ht="13" x14ac:dyDescent="0.15">
      <c r="A651" s="3">
        <v>42277</v>
      </c>
      <c r="B651" s="3">
        <v>1920.03</v>
      </c>
    </row>
    <row r="652" spans="1:2" ht="13" x14ac:dyDescent="0.15">
      <c r="A652" s="3">
        <v>42278</v>
      </c>
      <c r="B652" s="3">
        <v>1923.82</v>
      </c>
    </row>
    <row r="653" spans="1:2" ht="13" x14ac:dyDescent="0.15">
      <c r="A653" s="3">
        <v>42279</v>
      </c>
      <c r="B653" s="3">
        <v>1951.36</v>
      </c>
    </row>
    <row r="654" spans="1:2" ht="13" x14ac:dyDescent="0.15">
      <c r="A654" s="3">
        <v>42282</v>
      </c>
      <c r="B654" s="3">
        <v>1987.05</v>
      </c>
    </row>
    <row r="655" spans="1:2" ht="13" x14ac:dyDescent="0.15">
      <c r="A655" s="3">
        <v>42283</v>
      </c>
      <c r="B655" s="3">
        <v>1979.92</v>
      </c>
    </row>
    <row r="656" spans="1:2" ht="13" x14ac:dyDescent="0.15">
      <c r="A656" s="3">
        <v>42284</v>
      </c>
      <c r="B656" s="3">
        <v>1995.83</v>
      </c>
    </row>
    <row r="657" spans="1:2" ht="13" x14ac:dyDescent="0.15">
      <c r="A657" s="3">
        <v>42285</v>
      </c>
      <c r="B657" s="3">
        <v>2013.43</v>
      </c>
    </row>
    <row r="658" spans="1:2" ht="13" x14ac:dyDescent="0.15">
      <c r="A658" s="3">
        <v>42286</v>
      </c>
      <c r="B658" s="3">
        <v>2014.89</v>
      </c>
    </row>
    <row r="659" spans="1:2" ht="13" x14ac:dyDescent="0.15">
      <c r="A659" s="3">
        <v>42289</v>
      </c>
      <c r="B659" s="3">
        <v>2017.46</v>
      </c>
    </row>
    <row r="660" spans="1:2" ht="13" x14ac:dyDescent="0.15">
      <c r="A660" s="3">
        <v>42290</v>
      </c>
      <c r="B660" s="3">
        <v>2003.69</v>
      </c>
    </row>
    <row r="661" spans="1:2" ht="13" x14ac:dyDescent="0.15">
      <c r="A661" s="3">
        <v>42291</v>
      </c>
      <c r="B661" s="3">
        <v>1994.24</v>
      </c>
    </row>
    <row r="662" spans="1:2" ht="13" x14ac:dyDescent="0.15">
      <c r="A662" s="3">
        <v>42292</v>
      </c>
      <c r="B662" s="3">
        <v>2023.86</v>
      </c>
    </row>
    <row r="663" spans="1:2" ht="13" x14ac:dyDescent="0.15">
      <c r="A663" s="3">
        <v>42293</v>
      </c>
      <c r="B663" s="3">
        <v>2033.11</v>
      </c>
    </row>
    <row r="664" spans="1:2" ht="13" x14ac:dyDescent="0.15">
      <c r="A664" s="3">
        <v>42296</v>
      </c>
      <c r="B664" s="3">
        <v>2033.66</v>
      </c>
    </row>
    <row r="665" spans="1:2" ht="13" x14ac:dyDescent="0.15">
      <c r="A665" s="3">
        <v>42297</v>
      </c>
      <c r="B665" s="3">
        <v>2030.77</v>
      </c>
    </row>
    <row r="666" spans="1:2" ht="13" x14ac:dyDescent="0.15">
      <c r="A666" s="3">
        <v>42298</v>
      </c>
      <c r="B666" s="3">
        <v>2018.94</v>
      </c>
    </row>
    <row r="667" spans="1:2" ht="13" x14ac:dyDescent="0.15">
      <c r="A667" s="3">
        <v>42299</v>
      </c>
      <c r="B667" s="3">
        <v>2052.5100000000002</v>
      </c>
    </row>
    <row r="668" spans="1:2" ht="13" x14ac:dyDescent="0.15">
      <c r="A668" s="3">
        <v>42300</v>
      </c>
      <c r="B668" s="3">
        <v>2075.15</v>
      </c>
    </row>
    <row r="669" spans="1:2" ht="13" x14ac:dyDescent="0.15">
      <c r="A669" s="3">
        <v>42303</v>
      </c>
      <c r="B669" s="3">
        <v>2071.1799999999998</v>
      </c>
    </row>
    <row r="670" spans="1:2" ht="13" x14ac:dyDescent="0.15">
      <c r="A670" s="3">
        <v>42304</v>
      </c>
      <c r="B670" s="3">
        <v>2065.89</v>
      </c>
    </row>
    <row r="671" spans="1:2" ht="13" x14ac:dyDescent="0.15">
      <c r="A671" s="3">
        <v>42305</v>
      </c>
      <c r="B671" s="3">
        <v>2090.35</v>
      </c>
    </row>
    <row r="672" spans="1:2" ht="13" x14ac:dyDescent="0.15">
      <c r="A672" s="3">
        <v>42306</v>
      </c>
      <c r="B672" s="3">
        <v>2089.41</v>
      </c>
    </row>
    <row r="673" spans="1:2" ht="13" x14ac:dyDescent="0.15">
      <c r="A673" s="3">
        <v>42307</v>
      </c>
      <c r="B673" s="3">
        <v>2079.36</v>
      </c>
    </row>
    <row r="674" spans="1:2" ht="13" x14ac:dyDescent="0.15">
      <c r="A674" s="3">
        <v>42310</v>
      </c>
      <c r="B674" s="3">
        <v>2104.0500000000002</v>
      </c>
    </row>
    <row r="675" spans="1:2" ht="13" x14ac:dyDescent="0.15">
      <c r="A675" s="3">
        <v>42311</v>
      </c>
      <c r="B675" s="3">
        <v>2109.79</v>
      </c>
    </row>
    <row r="676" spans="1:2" ht="13" x14ac:dyDescent="0.15">
      <c r="A676" s="3">
        <v>42312</v>
      </c>
      <c r="B676" s="3">
        <v>2102.31</v>
      </c>
    </row>
    <row r="677" spans="1:2" ht="13" x14ac:dyDescent="0.15">
      <c r="A677" s="3">
        <v>42313</v>
      </c>
      <c r="B677" s="3">
        <v>2099.9299999999998</v>
      </c>
    </row>
    <row r="678" spans="1:2" ht="13" x14ac:dyDescent="0.15">
      <c r="A678" s="3">
        <v>42314</v>
      </c>
      <c r="B678" s="3">
        <v>2099.1999999999998</v>
      </c>
    </row>
    <row r="679" spans="1:2" ht="13" x14ac:dyDescent="0.15">
      <c r="A679" s="3">
        <v>42317</v>
      </c>
      <c r="B679" s="3">
        <v>2078.58</v>
      </c>
    </row>
    <row r="680" spans="1:2" ht="13" x14ac:dyDescent="0.15">
      <c r="A680" s="3">
        <v>42318</v>
      </c>
      <c r="B680" s="3">
        <v>2081.7199999999998</v>
      </c>
    </row>
    <row r="681" spans="1:2" ht="13" x14ac:dyDescent="0.15">
      <c r="A681" s="3">
        <v>42319</v>
      </c>
      <c r="B681" s="3">
        <v>2075</v>
      </c>
    </row>
    <row r="682" spans="1:2" ht="13" x14ac:dyDescent="0.15">
      <c r="A682" s="3">
        <v>42320</v>
      </c>
      <c r="B682" s="3">
        <v>2045.97</v>
      </c>
    </row>
    <row r="683" spans="1:2" ht="13" x14ac:dyDescent="0.15">
      <c r="A683" s="3">
        <v>42321</v>
      </c>
      <c r="B683" s="3">
        <v>2023.04</v>
      </c>
    </row>
    <row r="684" spans="1:2" ht="13" x14ac:dyDescent="0.15">
      <c r="A684" s="3">
        <v>42324</v>
      </c>
      <c r="B684" s="3">
        <v>2053.19</v>
      </c>
    </row>
    <row r="685" spans="1:2" ht="13" x14ac:dyDescent="0.15">
      <c r="A685" s="3">
        <v>42325</v>
      </c>
      <c r="B685" s="3">
        <v>2050.44</v>
      </c>
    </row>
    <row r="686" spans="1:2" ht="13" x14ac:dyDescent="0.15">
      <c r="A686" s="3">
        <v>42326</v>
      </c>
      <c r="B686" s="3">
        <v>2083.58</v>
      </c>
    </row>
    <row r="687" spans="1:2" ht="13" x14ac:dyDescent="0.15">
      <c r="A687" s="3">
        <v>42327</v>
      </c>
      <c r="B687" s="3">
        <v>2081.2399999999998</v>
      </c>
    </row>
    <row r="688" spans="1:2" ht="13" x14ac:dyDescent="0.15">
      <c r="A688" s="3">
        <v>42328</v>
      </c>
      <c r="B688" s="3">
        <v>2089.17</v>
      </c>
    </row>
    <row r="689" spans="1:2" ht="13" x14ac:dyDescent="0.15">
      <c r="A689" s="3">
        <v>42331</v>
      </c>
      <c r="B689" s="3">
        <v>2086.59</v>
      </c>
    </row>
    <row r="690" spans="1:2" ht="13" x14ac:dyDescent="0.15">
      <c r="A690" s="3">
        <v>42332</v>
      </c>
      <c r="B690" s="3">
        <v>2089.14</v>
      </c>
    </row>
    <row r="691" spans="1:2" ht="13" x14ac:dyDescent="0.15">
      <c r="A691" s="3">
        <v>42333</v>
      </c>
      <c r="B691" s="3">
        <v>2088.87</v>
      </c>
    </row>
    <row r="692" spans="1:2" ht="13" x14ac:dyDescent="0.15">
      <c r="A692" s="3">
        <v>42335</v>
      </c>
      <c r="B692" s="3">
        <v>2090.11</v>
      </c>
    </row>
    <row r="693" spans="1:2" ht="13" x14ac:dyDescent="0.15">
      <c r="A693" s="3">
        <v>42338</v>
      </c>
      <c r="B693" s="3">
        <v>2080.41</v>
      </c>
    </row>
    <row r="694" spans="1:2" ht="13" x14ac:dyDescent="0.15">
      <c r="A694" s="3">
        <v>42339</v>
      </c>
      <c r="B694" s="3">
        <v>2102.63</v>
      </c>
    </row>
    <row r="695" spans="1:2" ht="13" x14ac:dyDescent="0.15">
      <c r="A695" s="3">
        <v>42340</v>
      </c>
      <c r="B695" s="3">
        <v>2079.5100000000002</v>
      </c>
    </row>
    <row r="696" spans="1:2" ht="13" x14ac:dyDescent="0.15">
      <c r="A696" s="3">
        <v>42341</v>
      </c>
      <c r="B696" s="3">
        <v>2049.62</v>
      </c>
    </row>
    <row r="697" spans="1:2" ht="13" x14ac:dyDescent="0.15">
      <c r="A697" s="3">
        <v>42342</v>
      </c>
      <c r="B697" s="3">
        <v>2091.69</v>
      </c>
    </row>
    <row r="698" spans="1:2" ht="13" x14ac:dyDescent="0.15">
      <c r="A698" s="3">
        <v>42345</v>
      </c>
      <c r="B698" s="3">
        <v>2077.0700000000002</v>
      </c>
    </row>
    <row r="699" spans="1:2" ht="13" x14ac:dyDescent="0.15">
      <c r="A699" s="3">
        <v>42346</v>
      </c>
      <c r="B699" s="3">
        <v>2063.59</v>
      </c>
    </row>
    <row r="700" spans="1:2" ht="13" x14ac:dyDescent="0.15">
      <c r="A700" s="3">
        <v>42347</v>
      </c>
      <c r="B700" s="3">
        <v>2047.62</v>
      </c>
    </row>
    <row r="701" spans="1:2" ht="13" x14ac:dyDescent="0.15">
      <c r="A701" s="3">
        <v>42348</v>
      </c>
      <c r="B701" s="3">
        <v>2052.23</v>
      </c>
    </row>
    <row r="702" spans="1:2" ht="13" x14ac:dyDescent="0.15">
      <c r="A702" s="3">
        <v>42349</v>
      </c>
      <c r="B702" s="3">
        <v>2012.37</v>
      </c>
    </row>
    <row r="703" spans="1:2" ht="13" x14ac:dyDescent="0.15">
      <c r="A703" s="3">
        <v>42352</v>
      </c>
      <c r="B703" s="3">
        <v>2021.94</v>
      </c>
    </row>
    <row r="704" spans="1:2" ht="13" x14ac:dyDescent="0.15">
      <c r="A704" s="3">
        <v>42353</v>
      </c>
      <c r="B704" s="3">
        <v>2043.41</v>
      </c>
    </row>
    <row r="705" spans="1:2" ht="13" x14ac:dyDescent="0.15">
      <c r="A705" s="3">
        <v>42354</v>
      </c>
      <c r="B705" s="3">
        <v>2073.0700000000002</v>
      </c>
    </row>
    <row r="706" spans="1:2" ht="13" x14ac:dyDescent="0.15">
      <c r="A706" s="3">
        <v>42355</v>
      </c>
      <c r="B706" s="3">
        <v>2041.89</v>
      </c>
    </row>
    <row r="707" spans="1:2" ht="13" x14ac:dyDescent="0.15">
      <c r="A707" s="3">
        <v>42356</v>
      </c>
      <c r="B707" s="3">
        <v>2005.55</v>
      </c>
    </row>
    <row r="708" spans="1:2" ht="13" x14ac:dyDescent="0.15">
      <c r="A708" s="3">
        <v>42359</v>
      </c>
      <c r="B708" s="3">
        <v>2021.15</v>
      </c>
    </row>
    <row r="709" spans="1:2" ht="13" x14ac:dyDescent="0.15">
      <c r="A709" s="3">
        <v>42360</v>
      </c>
      <c r="B709" s="3">
        <v>2038.97</v>
      </c>
    </row>
    <row r="710" spans="1:2" ht="13" x14ac:dyDescent="0.15">
      <c r="A710" s="3">
        <v>42361</v>
      </c>
      <c r="B710" s="3">
        <v>2064.29</v>
      </c>
    </row>
    <row r="711" spans="1:2" ht="13" x14ac:dyDescent="0.15">
      <c r="A711" s="3">
        <v>42362</v>
      </c>
      <c r="B711" s="3">
        <v>2060.9899999999998</v>
      </c>
    </row>
    <row r="712" spans="1:2" ht="13" x14ac:dyDescent="0.15">
      <c r="A712" s="3">
        <v>42366</v>
      </c>
      <c r="B712" s="3">
        <v>2056.5</v>
      </c>
    </row>
    <row r="713" spans="1:2" ht="13" x14ac:dyDescent="0.15">
      <c r="A713" s="3">
        <v>42367</v>
      </c>
      <c r="B713" s="3">
        <v>2078.36</v>
      </c>
    </row>
    <row r="714" spans="1:2" ht="13" x14ac:dyDescent="0.15">
      <c r="A714" s="3">
        <v>42368</v>
      </c>
      <c r="B714" s="3">
        <v>2063.36</v>
      </c>
    </row>
    <row r="715" spans="1:2" ht="13" x14ac:dyDescent="0.15">
      <c r="A715" s="3">
        <v>42369</v>
      </c>
      <c r="B715" s="3">
        <v>2043.94</v>
      </c>
    </row>
    <row r="716" spans="1:2" ht="13" x14ac:dyDescent="0.15">
      <c r="A716" s="3">
        <v>42373</v>
      </c>
      <c r="B716" s="3">
        <v>2012.66</v>
      </c>
    </row>
    <row r="717" spans="1:2" ht="13" x14ac:dyDescent="0.15">
      <c r="A717" s="3">
        <v>42374</v>
      </c>
      <c r="B717" s="3">
        <v>2016.71</v>
      </c>
    </row>
    <row r="718" spans="1:2" ht="13" x14ac:dyDescent="0.15">
      <c r="A718" s="3">
        <v>42375</v>
      </c>
      <c r="B718" s="3">
        <v>1990.26</v>
      </c>
    </row>
    <row r="719" spans="1:2" ht="13" x14ac:dyDescent="0.15">
      <c r="A719" s="3">
        <v>42376</v>
      </c>
      <c r="B719" s="3">
        <v>1943.09</v>
      </c>
    </row>
    <row r="720" spans="1:2" ht="13" x14ac:dyDescent="0.15">
      <c r="A720" s="3">
        <v>42377</v>
      </c>
      <c r="B720" s="3">
        <v>1922.03</v>
      </c>
    </row>
    <row r="721" spans="1:2" ht="13" x14ac:dyDescent="0.15">
      <c r="A721" s="3">
        <v>42380</v>
      </c>
      <c r="B721" s="3">
        <v>1923.67</v>
      </c>
    </row>
    <row r="722" spans="1:2" ht="13" x14ac:dyDescent="0.15">
      <c r="A722" s="3">
        <v>42381</v>
      </c>
      <c r="B722" s="3">
        <v>1938.68</v>
      </c>
    </row>
    <row r="723" spans="1:2" ht="13" x14ac:dyDescent="0.15">
      <c r="A723" s="3">
        <v>42382</v>
      </c>
      <c r="B723" s="3">
        <v>1890.28</v>
      </c>
    </row>
    <row r="724" spans="1:2" ht="13" x14ac:dyDescent="0.15">
      <c r="A724" s="3">
        <v>42383</v>
      </c>
      <c r="B724" s="3">
        <v>1921.84</v>
      </c>
    </row>
    <row r="725" spans="1:2" ht="13" x14ac:dyDescent="0.15">
      <c r="A725" s="3">
        <v>42384</v>
      </c>
      <c r="B725" s="3">
        <v>1880.33</v>
      </c>
    </row>
    <row r="726" spans="1:2" ht="13" x14ac:dyDescent="0.15">
      <c r="A726" s="3">
        <v>42388</v>
      </c>
      <c r="B726" s="3">
        <v>1881.33</v>
      </c>
    </row>
    <row r="727" spans="1:2" ht="13" x14ac:dyDescent="0.15">
      <c r="A727" s="3">
        <v>42389</v>
      </c>
      <c r="B727" s="3">
        <v>1859.33</v>
      </c>
    </row>
    <row r="728" spans="1:2" ht="13" x14ac:dyDescent="0.15">
      <c r="A728" s="3">
        <v>42390</v>
      </c>
      <c r="B728" s="3">
        <v>1868.99</v>
      </c>
    </row>
    <row r="729" spans="1:2" ht="13" x14ac:dyDescent="0.15">
      <c r="A729" s="3">
        <v>42391</v>
      </c>
      <c r="B729" s="3">
        <v>1906.9</v>
      </c>
    </row>
    <row r="730" spans="1:2" ht="13" x14ac:dyDescent="0.15">
      <c r="A730" s="3">
        <v>42394</v>
      </c>
      <c r="B730" s="3">
        <v>1877.08</v>
      </c>
    </row>
    <row r="731" spans="1:2" ht="13" x14ac:dyDescent="0.15">
      <c r="A731" s="3">
        <v>42395</v>
      </c>
      <c r="B731" s="3">
        <v>1903.63</v>
      </c>
    </row>
    <row r="732" spans="1:2" ht="13" x14ac:dyDescent="0.15">
      <c r="A732" s="3">
        <v>42396</v>
      </c>
      <c r="B732" s="3">
        <v>1882.95</v>
      </c>
    </row>
    <row r="733" spans="1:2" ht="13" x14ac:dyDescent="0.15">
      <c r="A733" s="3">
        <v>42397</v>
      </c>
      <c r="B733" s="3">
        <v>1893.36</v>
      </c>
    </row>
    <row r="734" spans="1:2" ht="13" x14ac:dyDescent="0.15">
      <c r="A734" s="3">
        <v>42398</v>
      </c>
      <c r="B734" s="3">
        <v>1940.24</v>
      </c>
    </row>
    <row r="735" spans="1:2" ht="13" x14ac:dyDescent="0.15">
      <c r="A735" s="3">
        <v>42401</v>
      </c>
      <c r="B735" s="3">
        <v>1939.38</v>
      </c>
    </row>
    <row r="736" spans="1:2" ht="13" x14ac:dyDescent="0.15">
      <c r="A736" s="3">
        <v>42402</v>
      </c>
      <c r="B736" s="3">
        <v>1903.03</v>
      </c>
    </row>
    <row r="737" spans="1:2" ht="13" x14ac:dyDescent="0.15">
      <c r="A737" s="3">
        <v>42403</v>
      </c>
      <c r="B737" s="3">
        <v>1912.53</v>
      </c>
    </row>
    <row r="738" spans="1:2" ht="13" x14ac:dyDescent="0.15">
      <c r="A738" s="3">
        <v>42404</v>
      </c>
      <c r="B738" s="3">
        <v>1915.45</v>
      </c>
    </row>
    <row r="739" spans="1:2" ht="13" x14ac:dyDescent="0.15">
      <c r="A739" s="3">
        <v>42405</v>
      </c>
      <c r="B739" s="3">
        <v>1880.05</v>
      </c>
    </row>
    <row r="740" spans="1:2" ht="13" x14ac:dyDescent="0.15">
      <c r="A740" s="3">
        <v>42408</v>
      </c>
      <c r="B740" s="3">
        <v>1853.44</v>
      </c>
    </row>
    <row r="741" spans="1:2" ht="13" x14ac:dyDescent="0.15">
      <c r="A741" s="3">
        <v>42409</v>
      </c>
      <c r="B741" s="3">
        <v>1852.21</v>
      </c>
    </row>
    <row r="742" spans="1:2" ht="13" x14ac:dyDescent="0.15">
      <c r="A742" s="3">
        <v>42410</v>
      </c>
      <c r="B742" s="3">
        <v>1851.86</v>
      </c>
    </row>
    <row r="743" spans="1:2" ht="13" x14ac:dyDescent="0.15">
      <c r="A743" s="3">
        <v>42411</v>
      </c>
      <c r="B743" s="3">
        <v>1829.08</v>
      </c>
    </row>
    <row r="744" spans="1:2" ht="13" x14ac:dyDescent="0.15">
      <c r="A744" s="3">
        <v>42412</v>
      </c>
      <c r="B744" s="3">
        <v>1864.78</v>
      </c>
    </row>
    <row r="745" spans="1:2" ht="13" x14ac:dyDescent="0.15">
      <c r="A745" s="3">
        <v>42416</v>
      </c>
      <c r="B745" s="3">
        <v>1895.58</v>
      </c>
    </row>
    <row r="746" spans="1:2" ht="13" x14ac:dyDescent="0.15">
      <c r="A746" s="3">
        <v>42417</v>
      </c>
      <c r="B746" s="3">
        <v>1926.82</v>
      </c>
    </row>
    <row r="747" spans="1:2" ht="13" x14ac:dyDescent="0.15">
      <c r="A747" s="3">
        <v>42418</v>
      </c>
      <c r="B747" s="3">
        <v>1917.83</v>
      </c>
    </row>
    <row r="748" spans="1:2" ht="13" x14ac:dyDescent="0.15">
      <c r="A748" s="3">
        <v>42419</v>
      </c>
      <c r="B748" s="3">
        <v>1917.78</v>
      </c>
    </row>
    <row r="749" spans="1:2" ht="13" x14ac:dyDescent="0.15">
      <c r="A749" s="3">
        <v>42422</v>
      </c>
      <c r="B749" s="3">
        <v>1945.5</v>
      </c>
    </row>
    <row r="750" spans="1:2" ht="13" x14ac:dyDescent="0.15">
      <c r="A750" s="3">
        <v>42423</v>
      </c>
      <c r="B750" s="3">
        <v>1921.27</v>
      </c>
    </row>
    <row r="751" spans="1:2" ht="13" x14ac:dyDescent="0.15">
      <c r="A751" s="3">
        <v>42424</v>
      </c>
      <c r="B751" s="3">
        <v>1929.8</v>
      </c>
    </row>
    <row r="752" spans="1:2" ht="13" x14ac:dyDescent="0.15">
      <c r="A752" s="3">
        <v>42425</v>
      </c>
      <c r="B752" s="3">
        <v>1951.7</v>
      </c>
    </row>
    <row r="753" spans="1:2" ht="13" x14ac:dyDescent="0.15">
      <c r="A753" s="3">
        <v>42426</v>
      </c>
      <c r="B753" s="3">
        <v>1948.05</v>
      </c>
    </row>
    <row r="754" spans="1:2" ht="13" x14ac:dyDescent="0.15">
      <c r="A754" s="3">
        <v>42429</v>
      </c>
      <c r="B754" s="3">
        <v>1932.23</v>
      </c>
    </row>
    <row r="755" spans="1:2" ht="13" x14ac:dyDescent="0.15">
      <c r="A755" s="3">
        <v>42430</v>
      </c>
      <c r="B755" s="3">
        <v>1978.35</v>
      </c>
    </row>
    <row r="756" spans="1:2" ht="13" x14ac:dyDescent="0.15">
      <c r="A756" s="3">
        <v>42431</v>
      </c>
      <c r="B756" s="3">
        <v>1986.45</v>
      </c>
    </row>
    <row r="757" spans="1:2" ht="13" x14ac:dyDescent="0.15">
      <c r="A757" s="3">
        <v>42432</v>
      </c>
      <c r="B757" s="3">
        <v>1993.4</v>
      </c>
    </row>
    <row r="758" spans="1:2" ht="13" x14ac:dyDescent="0.15">
      <c r="A758" s="3">
        <v>42433</v>
      </c>
      <c r="B758" s="3">
        <v>1999.99</v>
      </c>
    </row>
    <row r="759" spans="1:2" ht="13" x14ac:dyDescent="0.15">
      <c r="A759" s="3">
        <v>42436</v>
      </c>
      <c r="B759" s="3">
        <v>2001.76</v>
      </c>
    </row>
    <row r="760" spans="1:2" ht="13" x14ac:dyDescent="0.15">
      <c r="A760" s="3">
        <v>42437</v>
      </c>
      <c r="B760" s="3">
        <v>1979.26</v>
      </c>
    </row>
    <row r="761" spans="1:2" ht="13" x14ac:dyDescent="0.15">
      <c r="A761" s="3">
        <v>42438</v>
      </c>
      <c r="B761" s="3">
        <v>1989.26</v>
      </c>
    </row>
    <row r="762" spans="1:2" ht="13" x14ac:dyDescent="0.15">
      <c r="A762" s="3">
        <v>42439</v>
      </c>
      <c r="B762" s="3">
        <v>1989.57</v>
      </c>
    </row>
    <row r="763" spans="1:2" ht="13" x14ac:dyDescent="0.15">
      <c r="A763" s="3">
        <v>42440</v>
      </c>
      <c r="B763" s="3">
        <v>2022.19</v>
      </c>
    </row>
    <row r="764" spans="1:2" ht="13" x14ac:dyDescent="0.15">
      <c r="A764" s="3">
        <v>42443</v>
      </c>
      <c r="B764" s="3">
        <v>2019.64</v>
      </c>
    </row>
    <row r="765" spans="1:2" ht="13" x14ac:dyDescent="0.15">
      <c r="A765" s="3">
        <v>42444</v>
      </c>
      <c r="B765" s="3">
        <v>2015.93</v>
      </c>
    </row>
    <row r="766" spans="1:2" ht="13" x14ac:dyDescent="0.15">
      <c r="A766" s="3">
        <v>42445</v>
      </c>
      <c r="B766" s="3">
        <v>2027.22</v>
      </c>
    </row>
    <row r="767" spans="1:2" ht="13" x14ac:dyDescent="0.15">
      <c r="A767" s="3">
        <v>42446</v>
      </c>
      <c r="B767" s="3">
        <v>2040.59</v>
      </c>
    </row>
    <row r="768" spans="1:2" ht="13" x14ac:dyDescent="0.15">
      <c r="A768" s="3">
        <v>42447</v>
      </c>
      <c r="B768" s="3">
        <v>2049.58</v>
      </c>
    </row>
    <row r="769" spans="1:2" ht="13" x14ac:dyDescent="0.15">
      <c r="A769" s="3">
        <v>42450</v>
      </c>
      <c r="B769" s="3">
        <v>2051.6</v>
      </c>
    </row>
    <row r="770" spans="1:2" ht="13" x14ac:dyDescent="0.15">
      <c r="A770" s="3">
        <v>42451</v>
      </c>
      <c r="B770" s="3">
        <v>2049.8000000000002</v>
      </c>
    </row>
    <row r="771" spans="1:2" ht="13" x14ac:dyDescent="0.15">
      <c r="A771" s="3">
        <v>42452</v>
      </c>
      <c r="B771" s="3">
        <v>2036.71</v>
      </c>
    </row>
    <row r="772" spans="1:2" ht="13" x14ac:dyDescent="0.15">
      <c r="A772" s="3">
        <v>42453</v>
      </c>
      <c r="B772" s="3">
        <v>2035.94</v>
      </c>
    </row>
    <row r="773" spans="1:2" ht="13" x14ac:dyDescent="0.15">
      <c r="A773" s="3">
        <v>42457</v>
      </c>
      <c r="B773" s="3">
        <v>2037.05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S&amp;P500</vt:lpstr>
      <vt:lpstr>S&amp;P500-Sectors</vt:lpstr>
      <vt:lpstr>SPY_Sectors_Zika_AM</vt:lpstr>
      <vt:lpstr>H1N1</vt:lpstr>
      <vt:lpstr>SARS</vt:lpstr>
      <vt:lpstr>Ebola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2020-02-05T21:38:35Z</dcterms:created>
  <dcterms:modified xsi:type="dcterms:W3CDTF">2020-02-06T00:46:19Z</dcterms:modified>
</cp:coreProperties>
</file>