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andresmejialievano/Desktop/Projects/GroupProject1/Code/Andres_Mejia/"/>
    </mc:Choice>
  </mc:AlternateContent>
  <xr:revisionPtr revIDLastSave="0" documentId="8_{CE116529-0C2D-CA4E-B4D6-C5CDCFDEF93E}" xr6:coauthVersionLast="36" xr6:coauthVersionMax="36" xr10:uidLastSave="{00000000-0000-0000-0000-000000000000}"/>
  <bookViews>
    <workbookView xWindow="0" yWindow="460" windowWidth="27320" windowHeight="13980" xr2:uid="{00000000-000D-0000-FFFF-FFFF00000000}"/>
  </bookViews>
  <sheets>
    <sheet name="Sheet1" sheetId="1" r:id="rId1"/>
    <sheet name="SPY_Zika_AM" sheetId="2" r:id="rId2"/>
    <sheet name="SPY_H1N1_AM" sheetId="3" r:id="rId3"/>
    <sheet name="SPY_SARS_AM" sheetId="4" r:id="rId4"/>
    <sheet name="SPY_Ebola_AM" sheetId="5" r:id="rId5"/>
  </sheets>
  <calcPr calcId="181029"/>
</workbook>
</file>

<file path=xl/calcChain.xml><?xml version="1.0" encoding="utf-8"?>
<calcChain xmlns="http://schemas.openxmlformats.org/spreadsheetml/2006/main">
  <c r="B773" i="1" l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</calcChain>
</file>

<file path=xl/sharedStrings.xml><?xml version="1.0" encoding="utf-8"?>
<sst xmlns="http://schemas.openxmlformats.org/spreadsheetml/2006/main" count="8" uniqueCount="2">
  <si>
    <t>Date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</si>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</sst>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6" formatCode="yyyy\-mm\-dd;@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6" fontId="1" fillId="0" borderId="0" xfId="0" applyNumberFormat="1" applyFont="1"/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773"/>
  <sheetViews>
    <sheetView tabSelected="1" workbookViewId="0"/>
  </sheetViews>
  <sheetFormatPr baseColWidth="10" defaultColWidth="14.5" defaultRowHeight="15.75" customHeight="1" x14ac:dyDescent="0.15"/>
  <cols>
    <col min="1" max="1" width="17.83203125" bestFit="1" customWidth="1"/>
  </cols>
  <sheetData>
    <row r="1" spans="1:2" ht="15.75" customHeight="1" x14ac:dyDescent="0.15">
      <c r="A1" s="1" t="str">
        <f ca="1">IFERROR(__xludf.DUMMYFUNCTION("GOOGLEFINANCE("".INX"",""price"", ""3/3/2013"", ""3/29/2016"", ""DAILY"")"),"Date")</f>
        <v>Date</v>
      </c>
      <c r="B1" s="1" t="str">
        <f ca="1">IFERROR(__xludf.DUMMYFUNCTION("""COMPUTED_VALUE"""),"Close")</f>
        <v>Close</v>
      </c>
    </row>
    <row r="2" spans="1:2" ht="15.75" customHeight="1" x14ac:dyDescent="0.15">
      <c r="A2" s="2">
        <f ca="1">IFERROR(__xludf.DUMMYFUNCTION("""COMPUTED_VALUE"""),41337.6666666666)</f>
        <v>41337.666666666599</v>
      </c>
      <c r="B2" s="1">
        <f ca="1">IFERROR(__xludf.DUMMYFUNCTION("""COMPUTED_VALUE"""),1525.2)</f>
        <v>1525.2</v>
      </c>
    </row>
    <row r="3" spans="1:2" ht="15.75" customHeight="1" x14ac:dyDescent="0.15">
      <c r="A3" s="2">
        <f ca="1">IFERROR(__xludf.DUMMYFUNCTION("""COMPUTED_VALUE"""),41338.6666666666)</f>
        <v>41338.666666666599</v>
      </c>
      <c r="B3" s="1">
        <f ca="1">IFERROR(__xludf.DUMMYFUNCTION("""COMPUTED_VALUE"""),1539.79)</f>
        <v>1539.79</v>
      </c>
    </row>
    <row r="4" spans="1:2" ht="15.75" customHeight="1" x14ac:dyDescent="0.15">
      <c r="A4" s="2">
        <f ca="1">IFERROR(__xludf.DUMMYFUNCTION("""COMPUTED_VALUE"""),41339.6666666666)</f>
        <v>41339.666666666599</v>
      </c>
      <c r="B4" s="1">
        <f ca="1">IFERROR(__xludf.DUMMYFUNCTION("""COMPUTED_VALUE"""),1541.46)</f>
        <v>1541.46</v>
      </c>
    </row>
    <row r="5" spans="1:2" ht="15.75" customHeight="1" x14ac:dyDescent="0.15">
      <c r="A5" s="2">
        <f ca="1">IFERROR(__xludf.DUMMYFUNCTION("""COMPUTED_VALUE"""),41340.6666666666)</f>
        <v>41340.666666666599</v>
      </c>
      <c r="B5" s="1">
        <f ca="1">IFERROR(__xludf.DUMMYFUNCTION("""COMPUTED_VALUE"""),1544.26)</f>
        <v>1544.26</v>
      </c>
    </row>
    <row r="6" spans="1:2" ht="15.75" customHeight="1" x14ac:dyDescent="0.15">
      <c r="A6" s="2">
        <f ca="1">IFERROR(__xludf.DUMMYFUNCTION("""COMPUTED_VALUE"""),41341.6666666666)</f>
        <v>41341.666666666599</v>
      </c>
      <c r="B6" s="1">
        <f ca="1">IFERROR(__xludf.DUMMYFUNCTION("""COMPUTED_VALUE"""),1551.18)</f>
        <v>1551.18</v>
      </c>
    </row>
    <row r="7" spans="1:2" ht="15.75" customHeight="1" x14ac:dyDescent="0.15">
      <c r="A7" s="2">
        <f ca="1">IFERROR(__xludf.DUMMYFUNCTION("""COMPUTED_VALUE"""),41344.6666666666)</f>
        <v>41344.666666666599</v>
      </c>
      <c r="B7" s="1">
        <f ca="1">IFERROR(__xludf.DUMMYFUNCTION("""COMPUTED_VALUE"""),1556.22)</f>
        <v>1556.22</v>
      </c>
    </row>
    <row r="8" spans="1:2" ht="15.75" customHeight="1" x14ac:dyDescent="0.15">
      <c r="A8" s="2">
        <f ca="1">IFERROR(__xludf.DUMMYFUNCTION("""COMPUTED_VALUE"""),41345.6666666666)</f>
        <v>41345.666666666599</v>
      </c>
      <c r="B8" s="1">
        <f ca="1">IFERROR(__xludf.DUMMYFUNCTION("""COMPUTED_VALUE"""),1552.48)</f>
        <v>1552.48</v>
      </c>
    </row>
    <row r="9" spans="1:2" ht="15.75" customHeight="1" x14ac:dyDescent="0.15">
      <c r="A9" s="2">
        <f ca="1">IFERROR(__xludf.DUMMYFUNCTION("""COMPUTED_VALUE"""),41346.6666666666)</f>
        <v>41346.666666666599</v>
      </c>
      <c r="B9" s="1">
        <f ca="1">IFERROR(__xludf.DUMMYFUNCTION("""COMPUTED_VALUE"""),1554.52)</f>
        <v>1554.52</v>
      </c>
    </row>
    <row r="10" spans="1:2" ht="15.75" customHeight="1" x14ac:dyDescent="0.15">
      <c r="A10" s="2">
        <f ca="1">IFERROR(__xludf.DUMMYFUNCTION("""COMPUTED_VALUE"""),41347.6666666666)</f>
        <v>41347.666666666599</v>
      </c>
      <c r="B10" s="1">
        <f ca="1">IFERROR(__xludf.DUMMYFUNCTION("""COMPUTED_VALUE"""),1563.23)</f>
        <v>1563.23</v>
      </c>
    </row>
    <row r="11" spans="1:2" ht="15.75" customHeight="1" x14ac:dyDescent="0.15">
      <c r="A11" s="2">
        <f ca="1">IFERROR(__xludf.DUMMYFUNCTION("""COMPUTED_VALUE"""),41348.6666666666)</f>
        <v>41348.666666666599</v>
      </c>
      <c r="B11" s="1">
        <f ca="1">IFERROR(__xludf.DUMMYFUNCTION("""COMPUTED_VALUE"""),1560.7)</f>
        <v>1560.7</v>
      </c>
    </row>
    <row r="12" spans="1:2" ht="15.75" customHeight="1" x14ac:dyDescent="0.15">
      <c r="A12" s="2">
        <f ca="1">IFERROR(__xludf.DUMMYFUNCTION("""COMPUTED_VALUE"""),41351.6666666666)</f>
        <v>41351.666666666599</v>
      </c>
      <c r="B12" s="1">
        <f ca="1">IFERROR(__xludf.DUMMYFUNCTION("""COMPUTED_VALUE"""),1552.1)</f>
        <v>1552.1</v>
      </c>
    </row>
    <row r="13" spans="1:2" ht="15.75" customHeight="1" x14ac:dyDescent="0.15">
      <c r="A13" s="2">
        <f ca="1">IFERROR(__xludf.DUMMYFUNCTION("""COMPUTED_VALUE"""),41352.6666666666)</f>
        <v>41352.666666666599</v>
      </c>
      <c r="B13" s="1">
        <f ca="1">IFERROR(__xludf.DUMMYFUNCTION("""COMPUTED_VALUE"""),1548.34)</f>
        <v>1548.34</v>
      </c>
    </row>
    <row r="14" spans="1:2" ht="15.75" customHeight="1" x14ac:dyDescent="0.15">
      <c r="A14" s="2">
        <f ca="1">IFERROR(__xludf.DUMMYFUNCTION("""COMPUTED_VALUE"""),41353.6666666666)</f>
        <v>41353.666666666599</v>
      </c>
      <c r="B14" s="1">
        <f ca="1">IFERROR(__xludf.DUMMYFUNCTION("""COMPUTED_VALUE"""),1558.71)</f>
        <v>1558.71</v>
      </c>
    </row>
    <row r="15" spans="1:2" ht="15.75" customHeight="1" x14ac:dyDescent="0.15">
      <c r="A15" s="2">
        <f ca="1">IFERROR(__xludf.DUMMYFUNCTION("""COMPUTED_VALUE"""),41354.6666666666)</f>
        <v>41354.666666666599</v>
      </c>
      <c r="B15" s="1">
        <f ca="1">IFERROR(__xludf.DUMMYFUNCTION("""COMPUTED_VALUE"""),1545.8)</f>
        <v>1545.8</v>
      </c>
    </row>
    <row r="16" spans="1:2" ht="15.75" customHeight="1" x14ac:dyDescent="0.15">
      <c r="A16" s="2">
        <f ca="1">IFERROR(__xludf.DUMMYFUNCTION("""COMPUTED_VALUE"""),41355.6666666666)</f>
        <v>41355.666666666599</v>
      </c>
      <c r="B16" s="1">
        <f ca="1">IFERROR(__xludf.DUMMYFUNCTION("""COMPUTED_VALUE"""),1556.89)</f>
        <v>1556.89</v>
      </c>
    </row>
    <row r="17" spans="1:2" ht="15.75" customHeight="1" x14ac:dyDescent="0.15">
      <c r="A17" s="2">
        <f ca="1">IFERROR(__xludf.DUMMYFUNCTION("""COMPUTED_VALUE"""),41358.6666666666)</f>
        <v>41358.666666666599</v>
      </c>
      <c r="B17" s="1">
        <f ca="1">IFERROR(__xludf.DUMMYFUNCTION("""COMPUTED_VALUE"""),1551.69)</f>
        <v>1551.69</v>
      </c>
    </row>
    <row r="18" spans="1:2" ht="15.75" customHeight="1" x14ac:dyDescent="0.15">
      <c r="A18" s="2">
        <f ca="1">IFERROR(__xludf.DUMMYFUNCTION("""COMPUTED_VALUE"""),41359.6666666666)</f>
        <v>41359.666666666599</v>
      </c>
      <c r="B18" s="1">
        <f ca="1">IFERROR(__xludf.DUMMYFUNCTION("""COMPUTED_VALUE"""),1563.77)</f>
        <v>1563.77</v>
      </c>
    </row>
    <row r="19" spans="1:2" ht="15.75" customHeight="1" x14ac:dyDescent="0.15">
      <c r="A19" s="2">
        <f ca="1">IFERROR(__xludf.DUMMYFUNCTION("""COMPUTED_VALUE"""),41360.6666666666)</f>
        <v>41360.666666666599</v>
      </c>
      <c r="B19" s="1">
        <f ca="1">IFERROR(__xludf.DUMMYFUNCTION("""COMPUTED_VALUE"""),1562.85)</f>
        <v>1562.85</v>
      </c>
    </row>
    <row r="20" spans="1:2" ht="15.75" customHeight="1" x14ac:dyDescent="0.15">
      <c r="A20" s="2">
        <f ca="1">IFERROR(__xludf.DUMMYFUNCTION("""COMPUTED_VALUE"""),41361.6666666666)</f>
        <v>41361.666666666599</v>
      </c>
      <c r="B20" s="1">
        <f ca="1">IFERROR(__xludf.DUMMYFUNCTION("""COMPUTED_VALUE"""),1569.19)</f>
        <v>1569.19</v>
      </c>
    </row>
    <row r="21" spans="1:2" ht="15.75" customHeight="1" x14ac:dyDescent="0.15">
      <c r="A21" s="2">
        <f ca="1">IFERROR(__xludf.DUMMYFUNCTION("""COMPUTED_VALUE"""),41365.6666666666)</f>
        <v>41365.666666666599</v>
      </c>
      <c r="B21" s="1">
        <f ca="1">IFERROR(__xludf.DUMMYFUNCTION("""COMPUTED_VALUE"""),1562.17)</f>
        <v>1562.17</v>
      </c>
    </row>
    <row r="22" spans="1:2" ht="15.75" customHeight="1" x14ac:dyDescent="0.15">
      <c r="A22" s="2">
        <f ca="1">IFERROR(__xludf.DUMMYFUNCTION("""COMPUTED_VALUE"""),41366.6666666666)</f>
        <v>41366.666666666599</v>
      </c>
      <c r="B22" s="1">
        <f ca="1">IFERROR(__xludf.DUMMYFUNCTION("""COMPUTED_VALUE"""),1570.25)</f>
        <v>1570.25</v>
      </c>
    </row>
    <row r="23" spans="1:2" ht="15.75" customHeight="1" x14ac:dyDescent="0.15">
      <c r="A23" s="2">
        <f ca="1">IFERROR(__xludf.DUMMYFUNCTION("""COMPUTED_VALUE"""),41367.6666666666)</f>
        <v>41367.666666666599</v>
      </c>
      <c r="B23" s="1">
        <f ca="1">IFERROR(__xludf.DUMMYFUNCTION("""COMPUTED_VALUE"""),1553.69)</f>
        <v>1553.69</v>
      </c>
    </row>
    <row r="24" spans="1:2" ht="15.75" customHeight="1" x14ac:dyDescent="0.15">
      <c r="A24" s="2">
        <f ca="1">IFERROR(__xludf.DUMMYFUNCTION("""COMPUTED_VALUE"""),41368.6666666666)</f>
        <v>41368.666666666599</v>
      </c>
      <c r="B24" s="1">
        <f ca="1">IFERROR(__xludf.DUMMYFUNCTION("""COMPUTED_VALUE"""),1559.98)</f>
        <v>1559.98</v>
      </c>
    </row>
    <row r="25" spans="1:2" ht="15.75" customHeight="1" x14ac:dyDescent="0.15">
      <c r="A25" s="2">
        <f ca="1">IFERROR(__xludf.DUMMYFUNCTION("""COMPUTED_VALUE"""),41369.6666666666)</f>
        <v>41369.666666666599</v>
      </c>
      <c r="B25" s="1">
        <f ca="1">IFERROR(__xludf.DUMMYFUNCTION("""COMPUTED_VALUE"""),1553.28)</f>
        <v>1553.28</v>
      </c>
    </row>
    <row r="26" spans="1:2" ht="15.75" customHeight="1" x14ac:dyDescent="0.15">
      <c r="A26" s="2">
        <f ca="1">IFERROR(__xludf.DUMMYFUNCTION("""COMPUTED_VALUE"""),41372.6666666666)</f>
        <v>41372.666666666599</v>
      </c>
      <c r="B26" s="1">
        <f ca="1">IFERROR(__xludf.DUMMYFUNCTION("""COMPUTED_VALUE"""),1563.07)</f>
        <v>1563.07</v>
      </c>
    </row>
    <row r="27" spans="1:2" ht="15.75" customHeight="1" x14ac:dyDescent="0.15">
      <c r="A27" s="2">
        <f ca="1">IFERROR(__xludf.DUMMYFUNCTION("""COMPUTED_VALUE"""),41373.6666666666)</f>
        <v>41373.666666666599</v>
      </c>
      <c r="B27" s="1">
        <f ca="1">IFERROR(__xludf.DUMMYFUNCTION("""COMPUTED_VALUE"""),1568.61)</f>
        <v>1568.61</v>
      </c>
    </row>
    <row r="28" spans="1:2" ht="15.75" customHeight="1" x14ac:dyDescent="0.15">
      <c r="A28" s="2">
        <f ca="1">IFERROR(__xludf.DUMMYFUNCTION("""COMPUTED_VALUE"""),41374.6666666666)</f>
        <v>41374.666666666599</v>
      </c>
      <c r="B28" s="1">
        <f ca="1">IFERROR(__xludf.DUMMYFUNCTION("""COMPUTED_VALUE"""),1587.73)</f>
        <v>1587.73</v>
      </c>
    </row>
    <row r="29" spans="1:2" ht="15.75" customHeight="1" x14ac:dyDescent="0.15">
      <c r="A29" s="2">
        <f ca="1">IFERROR(__xludf.DUMMYFUNCTION("""COMPUTED_VALUE"""),41375.6666666666)</f>
        <v>41375.666666666599</v>
      </c>
      <c r="B29" s="1">
        <f ca="1">IFERROR(__xludf.DUMMYFUNCTION("""COMPUTED_VALUE"""),1593.37)</f>
        <v>1593.37</v>
      </c>
    </row>
    <row r="30" spans="1:2" ht="15.75" customHeight="1" x14ac:dyDescent="0.15">
      <c r="A30" s="2">
        <f ca="1">IFERROR(__xludf.DUMMYFUNCTION("""COMPUTED_VALUE"""),41376.6666666666)</f>
        <v>41376.666666666599</v>
      </c>
      <c r="B30" s="1">
        <f ca="1">IFERROR(__xludf.DUMMYFUNCTION("""COMPUTED_VALUE"""),1588.85)</f>
        <v>1588.85</v>
      </c>
    </row>
    <row r="31" spans="1:2" ht="15.75" customHeight="1" x14ac:dyDescent="0.15">
      <c r="A31" s="2">
        <f ca="1">IFERROR(__xludf.DUMMYFUNCTION("""COMPUTED_VALUE"""),41379.6666666666)</f>
        <v>41379.666666666599</v>
      </c>
      <c r="B31" s="1">
        <f ca="1">IFERROR(__xludf.DUMMYFUNCTION("""COMPUTED_VALUE"""),1552.36)</f>
        <v>1552.36</v>
      </c>
    </row>
    <row r="32" spans="1:2" ht="15.75" customHeight="1" x14ac:dyDescent="0.15">
      <c r="A32" s="2">
        <f ca="1">IFERROR(__xludf.DUMMYFUNCTION("""COMPUTED_VALUE"""),41380.6666666666)</f>
        <v>41380.666666666599</v>
      </c>
      <c r="B32" s="1">
        <f ca="1">IFERROR(__xludf.DUMMYFUNCTION("""COMPUTED_VALUE"""),1574.57)</f>
        <v>1574.57</v>
      </c>
    </row>
    <row r="33" spans="1:2" ht="15.75" customHeight="1" x14ac:dyDescent="0.15">
      <c r="A33" s="2">
        <f ca="1">IFERROR(__xludf.DUMMYFUNCTION("""COMPUTED_VALUE"""),41381.6666666666)</f>
        <v>41381.666666666599</v>
      </c>
      <c r="B33" s="1">
        <f ca="1">IFERROR(__xludf.DUMMYFUNCTION("""COMPUTED_VALUE"""),1552.01)</f>
        <v>1552.01</v>
      </c>
    </row>
    <row r="34" spans="1:2" ht="15.75" customHeight="1" x14ac:dyDescent="0.15">
      <c r="A34" s="2">
        <f ca="1">IFERROR(__xludf.DUMMYFUNCTION("""COMPUTED_VALUE"""),41382.6666666666)</f>
        <v>41382.666666666599</v>
      </c>
      <c r="B34" s="1">
        <f ca="1">IFERROR(__xludf.DUMMYFUNCTION("""COMPUTED_VALUE"""),1541.61)</f>
        <v>1541.61</v>
      </c>
    </row>
    <row r="35" spans="1:2" ht="15.75" customHeight="1" x14ac:dyDescent="0.15">
      <c r="A35" s="2">
        <f ca="1">IFERROR(__xludf.DUMMYFUNCTION("""COMPUTED_VALUE"""),41383.6666666666)</f>
        <v>41383.666666666599</v>
      </c>
      <c r="B35" s="1">
        <f ca="1">IFERROR(__xludf.DUMMYFUNCTION("""COMPUTED_VALUE"""),1555.25)</f>
        <v>1555.25</v>
      </c>
    </row>
    <row r="36" spans="1:2" ht="15.75" customHeight="1" x14ac:dyDescent="0.15">
      <c r="A36" s="2">
        <f ca="1">IFERROR(__xludf.DUMMYFUNCTION("""COMPUTED_VALUE"""),41386.6666666666)</f>
        <v>41386.666666666599</v>
      </c>
      <c r="B36" s="1">
        <f ca="1">IFERROR(__xludf.DUMMYFUNCTION("""COMPUTED_VALUE"""),1562.5)</f>
        <v>1562.5</v>
      </c>
    </row>
    <row r="37" spans="1:2" ht="15.75" customHeight="1" x14ac:dyDescent="0.15">
      <c r="A37" s="2">
        <f ca="1">IFERROR(__xludf.DUMMYFUNCTION("""COMPUTED_VALUE"""),41387.6666666666)</f>
        <v>41387.666666666599</v>
      </c>
      <c r="B37" s="1">
        <f ca="1">IFERROR(__xludf.DUMMYFUNCTION("""COMPUTED_VALUE"""),1578.78)</f>
        <v>1578.78</v>
      </c>
    </row>
    <row r="38" spans="1:2" ht="15.75" customHeight="1" x14ac:dyDescent="0.15">
      <c r="A38" s="2">
        <f ca="1">IFERROR(__xludf.DUMMYFUNCTION("""COMPUTED_VALUE"""),41388.6666666666)</f>
        <v>41388.666666666599</v>
      </c>
      <c r="B38" s="1">
        <f ca="1">IFERROR(__xludf.DUMMYFUNCTION("""COMPUTED_VALUE"""),1578.79)</f>
        <v>1578.79</v>
      </c>
    </row>
    <row r="39" spans="1:2" ht="15.75" customHeight="1" x14ac:dyDescent="0.15">
      <c r="A39" s="2">
        <f ca="1">IFERROR(__xludf.DUMMYFUNCTION("""COMPUTED_VALUE"""),41389.6666666666)</f>
        <v>41389.666666666599</v>
      </c>
      <c r="B39" s="1">
        <f ca="1">IFERROR(__xludf.DUMMYFUNCTION("""COMPUTED_VALUE"""),1585.16)</f>
        <v>1585.16</v>
      </c>
    </row>
    <row r="40" spans="1:2" ht="13" x14ac:dyDescent="0.15">
      <c r="A40" s="2">
        <f ca="1">IFERROR(__xludf.DUMMYFUNCTION("""COMPUTED_VALUE"""),41390.6666666666)</f>
        <v>41390.666666666599</v>
      </c>
      <c r="B40" s="1">
        <f ca="1">IFERROR(__xludf.DUMMYFUNCTION("""COMPUTED_VALUE"""),1582.24)</f>
        <v>1582.24</v>
      </c>
    </row>
    <row r="41" spans="1:2" ht="13" x14ac:dyDescent="0.15">
      <c r="A41" s="2">
        <f ca="1">IFERROR(__xludf.DUMMYFUNCTION("""COMPUTED_VALUE"""),41393.6666666666)</f>
        <v>41393.666666666599</v>
      </c>
      <c r="B41" s="1">
        <f ca="1">IFERROR(__xludf.DUMMYFUNCTION("""COMPUTED_VALUE"""),1593.61)</f>
        <v>1593.61</v>
      </c>
    </row>
    <row r="42" spans="1:2" ht="13" x14ac:dyDescent="0.15">
      <c r="A42" s="2">
        <f ca="1">IFERROR(__xludf.DUMMYFUNCTION("""COMPUTED_VALUE"""),41394.6666666666)</f>
        <v>41394.666666666599</v>
      </c>
      <c r="B42" s="1">
        <f ca="1">IFERROR(__xludf.DUMMYFUNCTION("""COMPUTED_VALUE"""),1597.57)</f>
        <v>1597.57</v>
      </c>
    </row>
    <row r="43" spans="1:2" ht="13" x14ac:dyDescent="0.15">
      <c r="A43" s="2">
        <f ca="1">IFERROR(__xludf.DUMMYFUNCTION("""COMPUTED_VALUE"""),41395.6666666666)</f>
        <v>41395.666666666599</v>
      </c>
      <c r="B43" s="1">
        <f ca="1">IFERROR(__xludf.DUMMYFUNCTION("""COMPUTED_VALUE"""),1582.7)</f>
        <v>1582.7</v>
      </c>
    </row>
    <row r="44" spans="1:2" ht="13" x14ac:dyDescent="0.15">
      <c r="A44" s="2">
        <f ca="1">IFERROR(__xludf.DUMMYFUNCTION("""COMPUTED_VALUE"""),41396.6666666666)</f>
        <v>41396.666666666599</v>
      </c>
      <c r="B44" s="1">
        <f ca="1">IFERROR(__xludf.DUMMYFUNCTION("""COMPUTED_VALUE"""),1597.59)</f>
        <v>1597.59</v>
      </c>
    </row>
    <row r="45" spans="1:2" ht="13" x14ac:dyDescent="0.15">
      <c r="A45" s="2">
        <f ca="1">IFERROR(__xludf.DUMMYFUNCTION("""COMPUTED_VALUE"""),41397.6666666666)</f>
        <v>41397.666666666599</v>
      </c>
      <c r="B45" s="1">
        <f ca="1">IFERROR(__xludf.DUMMYFUNCTION("""COMPUTED_VALUE"""),1614.42)</f>
        <v>1614.42</v>
      </c>
    </row>
    <row r="46" spans="1:2" ht="13" x14ac:dyDescent="0.15">
      <c r="A46" s="2">
        <f ca="1">IFERROR(__xludf.DUMMYFUNCTION("""COMPUTED_VALUE"""),41400.6666666666)</f>
        <v>41400.666666666599</v>
      </c>
      <c r="B46" s="1">
        <f ca="1">IFERROR(__xludf.DUMMYFUNCTION("""COMPUTED_VALUE"""),1617.5)</f>
        <v>1617.5</v>
      </c>
    </row>
    <row r="47" spans="1:2" ht="13" x14ac:dyDescent="0.15">
      <c r="A47" s="2">
        <f ca="1">IFERROR(__xludf.DUMMYFUNCTION("""COMPUTED_VALUE"""),41401.6666666666)</f>
        <v>41401.666666666599</v>
      </c>
      <c r="B47" s="1">
        <f ca="1">IFERROR(__xludf.DUMMYFUNCTION("""COMPUTED_VALUE"""),1625.96)</f>
        <v>1625.96</v>
      </c>
    </row>
    <row r="48" spans="1:2" ht="13" x14ac:dyDescent="0.15">
      <c r="A48" s="2">
        <f ca="1">IFERROR(__xludf.DUMMYFUNCTION("""COMPUTED_VALUE"""),41402.6666666666)</f>
        <v>41402.666666666599</v>
      </c>
      <c r="B48" s="1">
        <f ca="1">IFERROR(__xludf.DUMMYFUNCTION("""COMPUTED_VALUE"""),1632.69)</f>
        <v>1632.69</v>
      </c>
    </row>
    <row r="49" spans="1:2" ht="13" x14ac:dyDescent="0.15">
      <c r="A49" s="2">
        <f ca="1">IFERROR(__xludf.DUMMYFUNCTION("""COMPUTED_VALUE"""),41403.6666666666)</f>
        <v>41403.666666666599</v>
      </c>
      <c r="B49" s="1">
        <f ca="1">IFERROR(__xludf.DUMMYFUNCTION("""COMPUTED_VALUE"""),1626.67)</f>
        <v>1626.67</v>
      </c>
    </row>
    <row r="50" spans="1:2" ht="13" x14ac:dyDescent="0.15">
      <c r="A50" s="2">
        <f ca="1">IFERROR(__xludf.DUMMYFUNCTION("""COMPUTED_VALUE"""),41404.6666666666)</f>
        <v>41404.666666666599</v>
      </c>
      <c r="B50" s="1">
        <f ca="1">IFERROR(__xludf.DUMMYFUNCTION("""COMPUTED_VALUE"""),1633.7)</f>
        <v>1633.7</v>
      </c>
    </row>
    <row r="51" spans="1:2" ht="13" x14ac:dyDescent="0.15">
      <c r="A51" s="2">
        <f ca="1">IFERROR(__xludf.DUMMYFUNCTION("""COMPUTED_VALUE"""),41407.6666666666)</f>
        <v>41407.666666666599</v>
      </c>
      <c r="B51" s="1">
        <f ca="1">IFERROR(__xludf.DUMMYFUNCTION("""COMPUTED_VALUE"""),1633.77)</f>
        <v>1633.77</v>
      </c>
    </row>
    <row r="52" spans="1:2" ht="13" x14ac:dyDescent="0.15">
      <c r="A52" s="2">
        <f ca="1">IFERROR(__xludf.DUMMYFUNCTION("""COMPUTED_VALUE"""),41408.6666666666)</f>
        <v>41408.666666666599</v>
      </c>
      <c r="B52" s="1">
        <f ca="1">IFERROR(__xludf.DUMMYFUNCTION("""COMPUTED_VALUE"""),1650.34)</f>
        <v>1650.34</v>
      </c>
    </row>
    <row r="53" spans="1:2" ht="13" x14ac:dyDescent="0.15">
      <c r="A53" s="2">
        <f ca="1">IFERROR(__xludf.DUMMYFUNCTION("""COMPUTED_VALUE"""),41409.6666666666)</f>
        <v>41409.666666666599</v>
      </c>
      <c r="B53" s="1">
        <f ca="1">IFERROR(__xludf.DUMMYFUNCTION("""COMPUTED_VALUE"""),1658.78)</f>
        <v>1658.78</v>
      </c>
    </row>
    <row r="54" spans="1:2" ht="13" x14ac:dyDescent="0.15">
      <c r="A54" s="2">
        <f ca="1">IFERROR(__xludf.DUMMYFUNCTION("""COMPUTED_VALUE"""),41410.6666666666)</f>
        <v>41410.666666666599</v>
      </c>
      <c r="B54" s="1">
        <f ca="1">IFERROR(__xludf.DUMMYFUNCTION("""COMPUTED_VALUE"""),1650.47)</f>
        <v>1650.47</v>
      </c>
    </row>
    <row r="55" spans="1:2" ht="13" x14ac:dyDescent="0.15">
      <c r="A55" s="2">
        <f ca="1">IFERROR(__xludf.DUMMYFUNCTION("""COMPUTED_VALUE"""),41411.6666666666)</f>
        <v>41411.666666666599</v>
      </c>
      <c r="B55" s="1">
        <f ca="1">IFERROR(__xludf.DUMMYFUNCTION("""COMPUTED_VALUE"""),1666.12)</f>
        <v>1666.12</v>
      </c>
    </row>
    <row r="56" spans="1:2" ht="13" x14ac:dyDescent="0.15">
      <c r="A56" s="2">
        <f ca="1">IFERROR(__xludf.DUMMYFUNCTION("""COMPUTED_VALUE"""),41414.6666666666)</f>
        <v>41414.666666666599</v>
      </c>
      <c r="B56" s="1">
        <f ca="1">IFERROR(__xludf.DUMMYFUNCTION("""COMPUTED_VALUE"""),1666.29)</f>
        <v>1666.29</v>
      </c>
    </row>
    <row r="57" spans="1:2" ht="13" x14ac:dyDescent="0.15">
      <c r="A57" s="2">
        <f ca="1">IFERROR(__xludf.DUMMYFUNCTION("""COMPUTED_VALUE"""),41415.6666666666)</f>
        <v>41415.666666666599</v>
      </c>
      <c r="B57" s="1">
        <f ca="1">IFERROR(__xludf.DUMMYFUNCTION("""COMPUTED_VALUE"""),1669.16)</f>
        <v>1669.16</v>
      </c>
    </row>
    <row r="58" spans="1:2" ht="13" x14ac:dyDescent="0.15">
      <c r="A58" s="2">
        <f ca="1">IFERROR(__xludf.DUMMYFUNCTION("""COMPUTED_VALUE"""),41416.6666666666)</f>
        <v>41416.666666666599</v>
      </c>
      <c r="B58" s="1">
        <f ca="1">IFERROR(__xludf.DUMMYFUNCTION("""COMPUTED_VALUE"""),1655.35)</f>
        <v>1655.35</v>
      </c>
    </row>
    <row r="59" spans="1:2" ht="13" x14ac:dyDescent="0.15">
      <c r="A59" s="2">
        <f ca="1">IFERROR(__xludf.DUMMYFUNCTION("""COMPUTED_VALUE"""),41417.6666666666)</f>
        <v>41417.666666666599</v>
      </c>
      <c r="B59" s="1">
        <f ca="1">IFERROR(__xludf.DUMMYFUNCTION("""COMPUTED_VALUE"""),1650.51)</f>
        <v>1650.51</v>
      </c>
    </row>
    <row r="60" spans="1:2" ht="13" x14ac:dyDescent="0.15">
      <c r="A60" s="2">
        <f ca="1">IFERROR(__xludf.DUMMYFUNCTION("""COMPUTED_VALUE"""),41418.6666666666)</f>
        <v>41418.666666666599</v>
      </c>
      <c r="B60" s="1">
        <f ca="1">IFERROR(__xludf.DUMMYFUNCTION("""COMPUTED_VALUE"""),1649.6)</f>
        <v>1649.6</v>
      </c>
    </row>
    <row r="61" spans="1:2" ht="13" x14ac:dyDescent="0.15">
      <c r="A61" s="2">
        <f ca="1">IFERROR(__xludf.DUMMYFUNCTION("""COMPUTED_VALUE"""),41422.6666666666)</f>
        <v>41422.666666666599</v>
      </c>
      <c r="B61" s="1">
        <f ca="1">IFERROR(__xludf.DUMMYFUNCTION("""COMPUTED_VALUE"""),1660.06)</f>
        <v>1660.06</v>
      </c>
    </row>
    <row r="62" spans="1:2" ht="13" x14ac:dyDescent="0.15">
      <c r="A62" s="2">
        <f ca="1">IFERROR(__xludf.DUMMYFUNCTION("""COMPUTED_VALUE"""),41423.6666666666)</f>
        <v>41423.666666666599</v>
      </c>
      <c r="B62" s="1">
        <f ca="1">IFERROR(__xludf.DUMMYFUNCTION("""COMPUTED_VALUE"""),1648.36)</f>
        <v>1648.36</v>
      </c>
    </row>
    <row r="63" spans="1:2" ht="13" x14ac:dyDescent="0.15">
      <c r="A63" s="2">
        <f ca="1">IFERROR(__xludf.DUMMYFUNCTION("""COMPUTED_VALUE"""),41424.6666666666)</f>
        <v>41424.666666666599</v>
      </c>
      <c r="B63" s="1">
        <f ca="1">IFERROR(__xludf.DUMMYFUNCTION("""COMPUTED_VALUE"""),1654.41)</f>
        <v>1654.41</v>
      </c>
    </row>
    <row r="64" spans="1:2" ht="13" x14ac:dyDescent="0.15">
      <c r="A64" s="2">
        <f ca="1">IFERROR(__xludf.DUMMYFUNCTION("""COMPUTED_VALUE"""),41425.6666666666)</f>
        <v>41425.666666666599</v>
      </c>
      <c r="B64" s="1">
        <f ca="1">IFERROR(__xludf.DUMMYFUNCTION("""COMPUTED_VALUE"""),1630.74)</f>
        <v>1630.74</v>
      </c>
    </row>
    <row r="65" spans="1:2" ht="13" x14ac:dyDescent="0.15">
      <c r="A65" s="2">
        <f ca="1">IFERROR(__xludf.DUMMYFUNCTION("""COMPUTED_VALUE"""),41428.6666666666)</f>
        <v>41428.666666666599</v>
      </c>
      <c r="B65" s="1">
        <f ca="1">IFERROR(__xludf.DUMMYFUNCTION("""COMPUTED_VALUE"""),1640.42)</f>
        <v>1640.42</v>
      </c>
    </row>
    <row r="66" spans="1:2" ht="13" x14ac:dyDescent="0.15">
      <c r="A66" s="2">
        <f ca="1">IFERROR(__xludf.DUMMYFUNCTION("""COMPUTED_VALUE"""),41429.6666666666)</f>
        <v>41429.666666666599</v>
      </c>
      <c r="B66" s="1">
        <f ca="1">IFERROR(__xludf.DUMMYFUNCTION("""COMPUTED_VALUE"""),1631.38)</f>
        <v>1631.38</v>
      </c>
    </row>
    <row r="67" spans="1:2" ht="13" x14ac:dyDescent="0.15">
      <c r="A67" s="2">
        <f ca="1">IFERROR(__xludf.DUMMYFUNCTION("""COMPUTED_VALUE"""),41430.6666666666)</f>
        <v>41430.666666666599</v>
      </c>
      <c r="B67" s="1">
        <f ca="1">IFERROR(__xludf.DUMMYFUNCTION("""COMPUTED_VALUE"""),1608.9)</f>
        <v>1608.9</v>
      </c>
    </row>
    <row r="68" spans="1:2" ht="13" x14ac:dyDescent="0.15">
      <c r="A68" s="2">
        <f ca="1">IFERROR(__xludf.DUMMYFUNCTION("""COMPUTED_VALUE"""),41431.6666666666)</f>
        <v>41431.666666666599</v>
      </c>
      <c r="B68" s="1">
        <f ca="1">IFERROR(__xludf.DUMMYFUNCTION("""COMPUTED_VALUE"""),1622.56)</f>
        <v>1622.56</v>
      </c>
    </row>
    <row r="69" spans="1:2" ht="13" x14ac:dyDescent="0.15">
      <c r="A69" s="2">
        <f ca="1">IFERROR(__xludf.DUMMYFUNCTION("""COMPUTED_VALUE"""),41432.6666666666)</f>
        <v>41432.666666666599</v>
      </c>
      <c r="B69" s="1">
        <f ca="1">IFERROR(__xludf.DUMMYFUNCTION("""COMPUTED_VALUE"""),1643.38)</f>
        <v>1643.38</v>
      </c>
    </row>
    <row r="70" spans="1:2" ht="13" x14ac:dyDescent="0.15">
      <c r="A70" s="2">
        <f ca="1">IFERROR(__xludf.DUMMYFUNCTION("""COMPUTED_VALUE"""),41435.6666666666)</f>
        <v>41435.666666666599</v>
      </c>
      <c r="B70" s="1">
        <f ca="1">IFERROR(__xludf.DUMMYFUNCTION("""COMPUTED_VALUE"""),1642.81)</f>
        <v>1642.81</v>
      </c>
    </row>
    <row r="71" spans="1:2" ht="13" x14ac:dyDescent="0.15">
      <c r="A71" s="2">
        <f ca="1">IFERROR(__xludf.DUMMYFUNCTION("""COMPUTED_VALUE"""),41436.6666666666)</f>
        <v>41436.666666666599</v>
      </c>
      <c r="B71" s="1">
        <f ca="1">IFERROR(__xludf.DUMMYFUNCTION("""COMPUTED_VALUE"""),1626.13)</f>
        <v>1626.13</v>
      </c>
    </row>
    <row r="72" spans="1:2" ht="13" x14ac:dyDescent="0.15">
      <c r="A72" s="2">
        <f ca="1">IFERROR(__xludf.DUMMYFUNCTION("""COMPUTED_VALUE"""),41437.6666666666)</f>
        <v>41437.666666666599</v>
      </c>
      <c r="B72" s="1">
        <f ca="1">IFERROR(__xludf.DUMMYFUNCTION("""COMPUTED_VALUE"""),1612.52)</f>
        <v>1612.52</v>
      </c>
    </row>
    <row r="73" spans="1:2" ht="13" x14ac:dyDescent="0.15">
      <c r="A73" s="2">
        <f ca="1">IFERROR(__xludf.DUMMYFUNCTION("""COMPUTED_VALUE"""),41438.6666666666)</f>
        <v>41438.666666666599</v>
      </c>
      <c r="B73" s="1">
        <f ca="1">IFERROR(__xludf.DUMMYFUNCTION("""COMPUTED_VALUE"""),1636.36)</f>
        <v>1636.36</v>
      </c>
    </row>
    <row r="74" spans="1:2" ht="13" x14ac:dyDescent="0.15">
      <c r="A74" s="2">
        <f ca="1">IFERROR(__xludf.DUMMYFUNCTION("""COMPUTED_VALUE"""),41439.6666666666)</f>
        <v>41439.666666666599</v>
      </c>
      <c r="B74" s="1">
        <f ca="1">IFERROR(__xludf.DUMMYFUNCTION("""COMPUTED_VALUE"""),1626.73)</f>
        <v>1626.73</v>
      </c>
    </row>
    <row r="75" spans="1:2" ht="13" x14ac:dyDescent="0.15">
      <c r="A75" s="2">
        <f ca="1">IFERROR(__xludf.DUMMYFUNCTION("""COMPUTED_VALUE"""),41442.6666666666)</f>
        <v>41442.666666666599</v>
      </c>
      <c r="B75" s="1">
        <f ca="1">IFERROR(__xludf.DUMMYFUNCTION("""COMPUTED_VALUE"""),1639.04)</f>
        <v>1639.04</v>
      </c>
    </row>
    <row r="76" spans="1:2" ht="13" x14ac:dyDescent="0.15">
      <c r="A76" s="2">
        <f ca="1">IFERROR(__xludf.DUMMYFUNCTION("""COMPUTED_VALUE"""),41443.6666666666)</f>
        <v>41443.666666666599</v>
      </c>
      <c r="B76" s="1">
        <f ca="1">IFERROR(__xludf.DUMMYFUNCTION("""COMPUTED_VALUE"""),1651.81)</f>
        <v>1651.81</v>
      </c>
    </row>
    <row r="77" spans="1:2" ht="13" x14ac:dyDescent="0.15">
      <c r="A77" s="2">
        <f ca="1">IFERROR(__xludf.DUMMYFUNCTION("""COMPUTED_VALUE"""),41444.6666666666)</f>
        <v>41444.666666666599</v>
      </c>
      <c r="B77" s="1">
        <f ca="1">IFERROR(__xludf.DUMMYFUNCTION("""COMPUTED_VALUE"""),1628.93)</f>
        <v>1628.93</v>
      </c>
    </row>
    <row r="78" spans="1:2" ht="13" x14ac:dyDescent="0.15">
      <c r="A78" s="2">
        <f ca="1">IFERROR(__xludf.DUMMYFUNCTION("""COMPUTED_VALUE"""),41445.6666666666)</f>
        <v>41445.666666666599</v>
      </c>
      <c r="B78" s="1">
        <f ca="1">IFERROR(__xludf.DUMMYFUNCTION("""COMPUTED_VALUE"""),1588.19)</f>
        <v>1588.19</v>
      </c>
    </row>
    <row r="79" spans="1:2" ht="13" x14ac:dyDescent="0.15">
      <c r="A79" s="2">
        <f ca="1">IFERROR(__xludf.DUMMYFUNCTION("""COMPUTED_VALUE"""),41446.6666666666)</f>
        <v>41446.666666666599</v>
      </c>
      <c r="B79" s="1">
        <f ca="1">IFERROR(__xludf.DUMMYFUNCTION("""COMPUTED_VALUE"""),1592.43)</f>
        <v>1592.43</v>
      </c>
    </row>
    <row r="80" spans="1:2" ht="13" x14ac:dyDescent="0.15">
      <c r="A80" s="2">
        <f ca="1">IFERROR(__xludf.DUMMYFUNCTION("""COMPUTED_VALUE"""),41449.6666666666)</f>
        <v>41449.666666666599</v>
      </c>
      <c r="B80" s="1">
        <f ca="1">IFERROR(__xludf.DUMMYFUNCTION("""COMPUTED_VALUE"""),1573.09)</f>
        <v>1573.09</v>
      </c>
    </row>
    <row r="81" spans="1:2" ht="13" x14ac:dyDescent="0.15">
      <c r="A81" s="2">
        <f ca="1">IFERROR(__xludf.DUMMYFUNCTION("""COMPUTED_VALUE"""),41450.6666666666)</f>
        <v>41450.666666666599</v>
      </c>
      <c r="B81" s="1">
        <f ca="1">IFERROR(__xludf.DUMMYFUNCTION("""COMPUTED_VALUE"""),1588.03)</f>
        <v>1588.03</v>
      </c>
    </row>
    <row r="82" spans="1:2" ht="13" x14ac:dyDescent="0.15">
      <c r="A82" s="2">
        <f ca="1">IFERROR(__xludf.DUMMYFUNCTION("""COMPUTED_VALUE"""),41451.6666666666)</f>
        <v>41451.666666666599</v>
      </c>
      <c r="B82" s="1">
        <f ca="1">IFERROR(__xludf.DUMMYFUNCTION("""COMPUTED_VALUE"""),1603.26)</f>
        <v>1603.26</v>
      </c>
    </row>
    <row r="83" spans="1:2" ht="13" x14ac:dyDescent="0.15">
      <c r="A83" s="2">
        <f ca="1">IFERROR(__xludf.DUMMYFUNCTION("""COMPUTED_VALUE"""),41452.6666666666)</f>
        <v>41452.666666666599</v>
      </c>
      <c r="B83" s="1">
        <f ca="1">IFERROR(__xludf.DUMMYFUNCTION("""COMPUTED_VALUE"""),1613.2)</f>
        <v>1613.2</v>
      </c>
    </row>
    <row r="84" spans="1:2" ht="13" x14ac:dyDescent="0.15">
      <c r="A84" s="2">
        <f ca="1">IFERROR(__xludf.DUMMYFUNCTION("""COMPUTED_VALUE"""),41453.6666666666)</f>
        <v>41453.666666666599</v>
      </c>
      <c r="B84" s="1">
        <f ca="1">IFERROR(__xludf.DUMMYFUNCTION("""COMPUTED_VALUE"""),1606.28)</f>
        <v>1606.28</v>
      </c>
    </row>
    <row r="85" spans="1:2" ht="13" x14ac:dyDescent="0.15">
      <c r="A85" s="2">
        <f ca="1">IFERROR(__xludf.DUMMYFUNCTION("""COMPUTED_VALUE"""),41456.6666666666)</f>
        <v>41456.666666666599</v>
      </c>
      <c r="B85" s="1">
        <f ca="1">IFERROR(__xludf.DUMMYFUNCTION("""COMPUTED_VALUE"""),1614.96)</f>
        <v>1614.96</v>
      </c>
    </row>
    <row r="86" spans="1:2" ht="13" x14ac:dyDescent="0.15">
      <c r="A86" s="2">
        <f ca="1">IFERROR(__xludf.DUMMYFUNCTION("""COMPUTED_VALUE"""),41457.6666666666)</f>
        <v>41457.666666666599</v>
      </c>
      <c r="B86" s="1">
        <f ca="1">IFERROR(__xludf.DUMMYFUNCTION("""COMPUTED_VALUE"""),1614.08)</f>
        <v>1614.08</v>
      </c>
    </row>
    <row r="87" spans="1:2" ht="13" x14ac:dyDescent="0.15">
      <c r="A87" s="2">
        <f ca="1">IFERROR(__xludf.DUMMYFUNCTION("""COMPUTED_VALUE"""),41458.6666666666)</f>
        <v>41458.666666666599</v>
      </c>
      <c r="B87" s="1">
        <f ca="1">IFERROR(__xludf.DUMMYFUNCTION("""COMPUTED_VALUE"""),1615.41)</f>
        <v>1615.41</v>
      </c>
    </row>
    <row r="88" spans="1:2" ht="13" x14ac:dyDescent="0.15">
      <c r="A88" s="2">
        <f ca="1">IFERROR(__xludf.DUMMYFUNCTION("""COMPUTED_VALUE"""),41460.6666666666)</f>
        <v>41460.666666666599</v>
      </c>
      <c r="B88" s="1">
        <f ca="1">IFERROR(__xludf.DUMMYFUNCTION("""COMPUTED_VALUE"""),1631.89)</f>
        <v>1631.89</v>
      </c>
    </row>
    <row r="89" spans="1:2" ht="13" x14ac:dyDescent="0.15">
      <c r="A89" s="2">
        <f ca="1">IFERROR(__xludf.DUMMYFUNCTION("""COMPUTED_VALUE"""),41463.6666666666)</f>
        <v>41463.666666666599</v>
      </c>
      <c r="B89" s="1">
        <f ca="1">IFERROR(__xludf.DUMMYFUNCTION("""COMPUTED_VALUE"""),1640.46)</f>
        <v>1640.46</v>
      </c>
    </row>
    <row r="90" spans="1:2" ht="13" x14ac:dyDescent="0.15">
      <c r="A90" s="2">
        <f ca="1">IFERROR(__xludf.DUMMYFUNCTION("""COMPUTED_VALUE"""),41464.6666666666)</f>
        <v>41464.666666666599</v>
      </c>
      <c r="B90" s="1">
        <f ca="1">IFERROR(__xludf.DUMMYFUNCTION("""COMPUTED_VALUE"""),1652.32)</f>
        <v>1652.32</v>
      </c>
    </row>
    <row r="91" spans="1:2" ht="13" x14ac:dyDescent="0.15">
      <c r="A91" s="2">
        <f ca="1">IFERROR(__xludf.DUMMYFUNCTION("""COMPUTED_VALUE"""),41465.6666666666)</f>
        <v>41465.666666666599</v>
      </c>
      <c r="B91" s="1">
        <f ca="1">IFERROR(__xludf.DUMMYFUNCTION("""COMPUTED_VALUE"""),1652.62)</f>
        <v>1652.62</v>
      </c>
    </row>
    <row r="92" spans="1:2" ht="13" x14ac:dyDescent="0.15">
      <c r="A92" s="2">
        <f ca="1">IFERROR(__xludf.DUMMYFUNCTION("""COMPUTED_VALUE"""),41466.6666666666)</f>
        <v>41466.666666666599</v>
      </c>
      <c r="B92" s="1">
        <f ca="1">IFERROR(__xludf.DUMMYFUNCTION("""COMPUTED_VALUE"""),1675.02)</f>
        <v>1675.02</v>
      </c>
    </row>
    <row r="93" spans="1:2" ht="13" x14ac:dyDescent="0.15">
      <c r="A93" s="2">
        <f ca="1">IFERROR(__xludf.DUMMYFUNCTION("""COMPUTED_VALUE"""),41467.6666666666)</f>
        <v>41467.666666666599</v>
      </c>
      <c r="B93" s="1">
        <f ca="1">IFERROR(__xludf.DUMMYFUNCTION("""COMPUTED_VALUE"""),1680.19)</f>
        <v>1680.19</v>
      </c>
    </row>
    <row r="94" spans="1:2" ht="13" x14ac:dyDescent="0.15">
      <c r="A94" s="2">
        <f ca="1">IFERROR(__xludf.DUMMYFUNCTION("""COMPUTED_VALUE"""),41470.6666666666)</f>
        <v>41470.666666666599</v>
      </c>
      <c r="B94" s="1">
        <f ca="1">IFERROR(__xludf.DUMMYFUNCTION("""COMPUTED_VALUE"""),1682.5)</f>
        <v>1682.5</v>
      </c>
    </row>
    <row r="95" spans="1:2" ht="13" x14ac:dyDescent="0.15">
      <c r="A95" s="2">
        <f ca="1">IFERROR(__xludf.DUMMYFUNCTION("""COMPUTED_VALUE"""),41471.6666666666)</f>
        <v>41471.666666666599</v>
      </c>
      <c r="B95" s="1">
        <f ca="1">IFERROR(__xludf.DUMMYFUNCTION("""COMPUTED_VALUE"""),1676.26)</f>
        <v>1676.26</v>
      </c>
    </row>
    <row r="96" spans="1:2" ht="13" x14ac:dyDescent="0.15">
      <c r="A96" s="2">
        <f ca="1">IFERROR(__xludf.DUMMYFUNCTION("""COMPUTED_VALUE"""),41472.6666666666)</f>
        <v>41472.666666666599</v>
      </c>
      <c r="B96" s="1">
        <f ca="1">IFERROR(__xludf.DUMMYFUNCTION("""COMPUTED_VALUE"""),1680.91)</f>
        <v>1680.91</v>
      </c>
    </row>
    <row r="97" spans="1:2" ht="13" x14ac:dyDescent="0.15">
      <c r="A97" s="2">
        <f ca="1">IFERROR(__xludf.DUMMYFUNCTION("""COMPUTED_VALUE"""),41473.6666666666)</f>
        <v>41473.666666666599</v>
      </c>
      <c r="B97" s="1">
        <f ca="1">IFERROR(__xludf.DUMMYFUNCTION("""COMPUTED_VALUE"""),1689.37)</f>
        <v>1689.37</v>
      </c>
    </row>
    <row r="98" spans="1:2" ht="13" x14ac:dyDescent="0.15">
      <c r="A98" s="2">
        <f ca="1">IFERROR(__xludf.DUMMYFUNCTION("""COMPUTED_VALUE"""),41474.6666666666)</f>
        <v>41474.666666666599</v>
      </c>
      <c r="B98" s="1">
        <f ca="1">IFERROR(__xludf.DUMMYFUNCTION("""COMPUTED_VALUE"""),1692.09)</f>
        <v>1692.09</v>
      </c>
    </row>
    <row r="99" spans="1:2" ht="13" x14ac:dyDescent="0.15">
      <c r="A99" s="2">
        <f ca="1">IFERROR(__xludf.DUMMYFUNCTION("""COMPUTED_VALUE"""),41477.6666666666)</f>
        <v>41477.666666666599</v>
      </c>
      <c r="B99" s="1">
        <f ca="1">IFERROR(__xludf.DUMMYFUNCTION("""COMPUTED_VALUE"""),1695.53)</f>
        <v>1695.53</v>
      </c>
    </row>
    <row r="100" spans="1:2" ht="13" x14ac:dyDescent="0.15">
      <c r="A100" s="2">
        <f ca="1">IFERROR(__xludf.DUMMYFUNCTION("""COMPUTED_VALUE"""),41478.6666666666)</f>
        <v>41478.666666666599</v>
      </c>
      <c r="B100" s="1">
        <f ca="1">IFERROR(__xludf.DUMMYFUNCTION("""COMPUTED_VALUE"""),1692.39)</f>
        <v>1692.39</v>
      </c>
    </row>
    <row r="101" spans="1:2" ht="13" x14ac:dyDescent="0.15">
      <c r="A101" s="2">
        <f ca="1">IFERROR(__xludf.DUMMYFUNCTION("""COMPUTED_VALUE"""),41479.6666666666)</f>
        <v>41479.666666666599</v>
      </c>
      <c r="B101" s="1">
        <f ca="1">IFERROR(__xludf.DUMMYFUNCTION("""COMPUTED_VALUE"""),1685.94)</f>
        <v>1685.94</v>
      </c>
    </row>
    <row r="102" spans="1:2" ht="13" x14ac:dyDescent="0.15">
      <c r="A102" s="2">
        <f ca="1">IFERROR(__xludf.DUMMYFUNCTION("""COMPUTED_VALUE"""),41480.6666666666)</f>
        <v>41480.666666666599</v>
      </c>
      <c r="B102" s="1">
        <f ca="1">IFERROR(__xludf.DUMMYFUNCTION("""COMPUTED_VALUE"""),1690.25)</f>
        <v>1690.25</v>
      </c>
    </row>
    <row r="103" spans="1:2" ht="13" x14ac:dyDescent="0.15">
      <c r="A103" s="2">
        <f ca="1">IFERROR(__xludf.DUMMYFUNCTION("""COMPUTED_VALUE"""),41481.6666666666)</f>
        <v>41481.666666666599</v>
      </c>
      <c r="B103" s="1">
        <f ca="1">IFERROR(__xludf.DUMMYFUNCTION("""COMPUTED_VALUE"""),1691.65)</f>
        <v>1691.65</v>
      </c>
    </row>
    <row r="104" spans="1:2" ht="13" x14ac:dyDescent="0.15">
      <c r="A104" s="2">
        <f ca="1">IFERROR(__xludf.DUMMYFUNCTION("""COMPUTED_VALUE"""),41484.6666666666)</f>
        <v>41484.666666666599</v>
      </c>
      <c r="B104" s="1">
        <f ca="1">IFERROR(__xludf.DUMMYFUNCTION("""COMPUTED_VALUE"""),1685.33)</f>
        <v>1685.33</v>
      </c>
    </row>
    <row r="105" spans="1:2" ht="13" x14ac:dyDescent="0.15">
      <c r="A105" s="2">
        <f ca="1">IFERROR(__xludf.DUMMYFUNCTION("""COMPUTED_VALUE"""),41485.6666666666)</f>
        <v>41485.666666666599</v>
      </c>
      <c r="B105" s="1">
        <f ca="1">IFERROR(__xludf.DUMMYFUNCTION("""COMPUTED_VALUE"""),1685.96)</f>
        <v>1685.96</v>
      </c>
    </row>
    <row r="106" spans="1:2" ht="13" x14ac:dyDescent="0.15">
      <c r="A106" s="2">
        <f ca="1">IFERROR(__xludf.DUMMYFUNCTION("""COMPUTED_VALUE"""),41486.6666666666)</f>
        <v>41486.666666666599</v>
      </c>
      <c r="B106" s="1">
        <f ca="1">IFERROR(__xludf.DUMMYFUNCTION("""COMPUTED_VALUE"""),1685.73)</f>
        <v>1685.73</v>
      </c>
    </row>
    <row r="107" spans="1:2" ht="13" x14ac:dyDescent="0.15">
      <c r="A107" s="2">
        <f ca="1">IFERROR(__xludf.DUMMYFUNCTION("""COMPUTED_VALUE"""),41487.6666666666)</f>
        <v>41487.666666666599</v>
      </c>
      <c r="B107" s="1">
        <f ca="1">IFERROR(__xludf.DUMMYFUNCTION("""COMPUTED_VALUE"""),1706.87)</f>
        <v>1706.87</v>
      </c>
    </row>
    <row r="108" spans="1:2" ht="13" x14ac:dyDescent="0.15">
      <c r="A108" s="2">
        <f ca="1">IFERROR(__xludf.DUMMYFUNCTION("""COMPUTED_VALUE"""),41488.6666666666)</f>
        <v>41488.666666666599</v>
      </c>
      <c r="B108" s="1">
        <f ca="1">IFERROR(__xludf.DUMMYFUNCTION("""COMPUTED_VALUE"""),1709.67)</f>
        <v>1709.67</v>
      </c>
    </row>
    <row r="109" spans="1:2" ht="13" x14ac:dyDescent="0.15">
      <c r="A109" s="2">
        <f ca="1">IFERROR(__xludf.DUMMYFUNCTION("""COMPUTED_VALUE"""),41491.6666666666)</f>
        <v>41491.666666666599</v>
      </c>
      <c r="B109" s="1">
        <f ca="1">IFERROR(__xludf.DUMMYFUNCTION("""COMPUTED_VALUE"""),1707.14)</f>
        <v>1707.14</v>
      </c>
    </row>
    <row r="110" spans="1:2" ht="13" x14ac:dyDescent="0.15">
      <c r="A110" s="2">
        <f ca="1">IFERROR(__xludf.DUMMYFUNCTION("""COMPUTED_VALUE"""),41492.6666666666)</f>
        <v>41492.666666666599</v>
      </c>
      <c r="B110" s="1">
        <f ca="1">IFERROR(__xludf.DUMMYFUNCTION("""COMPUTED_VALUE"""),1697.37)</f>
        <v>1697.37</v>
      </c>
    </row>
    <row r="111" spans="1:2" ht="13" x14ac:dyDescent="0.15">
      <c r="A111" s="2">
        <f ca="1">IFERROR(__xludf.DUMMYFUNCTION("""COMPUTED_VALUE"""),41493.6666666666)</f>
        <v>41493.666666666599</v>
      </c>
      <c r="B111" s="1">
        <f ca="1">IFERROR(__xludf.DUMMYFUNCTION("""COMPUTED_VALUE"""),1690.91)</f>
        <v>1690.91</v>
      </c>
    </row>
    <row r="112" spans="1:2" ht="13" x14ac:dyDescent="0.15">
      <c r="A112" s="2">
        <f ca="1">IFERROR(__xludf.DUMMYFUNCTION("""COMPUTED_VALUE"""),41494.6666666666)</f>
        <v>41494.666666666599</v>
      </c>
      <c r="B112" s="1">
        <f ca="1">IFERROR(__xludf.DUMMYFUNCTION("""COMPUTED_VALUE"""),1697.48)</f>
        <v>1697.48</v>
      </c>
    </row>
    <row r="113" spans="1:2" ht="13" x14ac:dyDescent="0.15">
      <c r="A113" s="2">
        <f ca="1">IFERROR(__xludf.DUMMYFUNCTION("""COMPUTED_VALUE"""),41495.6666666666)</f>
        <v>41495.666666666599</v>
      </c>
      <c r="B113" s="1">
        <f ca="1">IFERROR(__xludf.DUMMYFUNCTION("""COMPUTED_VALUE"""),1691.42)</f>
        <v>1691.42</v>
      </c>
    </row>
    <row r="114" spans="1:2" ht="13" x14ac:dyDescent="0.15">
      <c r="A114" s="2">
        <f ca="1">IFERROR(__xludf.DUMMYFUNCTION("""COMPUTED_VALUE"""),41498.6666666666)</f>
        <v>41498.666666666599</v>
      </c>
      <c r="B114" s="1">
        <f ca="1">IFERROR(__xludf.DUMMYFUNCTION("""COMPUTED_VALUE"""),1689.47)</f>
        <v>1689.47</v>
      </c>
    </row>
    <row r="115" spans="1:2" ht="13" x14ac:dyDescent="0.15">
      <c r="A115" s="2">
        <f ca="1">IFERROR(__xludf.DUMMYFUNCTION("""COMPUTED_VALUE"""),41499.6666666666)</f>
        <v>41499.666666666599</v>
      </c>
      <c r="B115" s="1">
        <f ca="1">IFERROR(__xludf.DUMMYFUNCTION("""COMPUTED_VALUE"""),1694.16)</f>
        <v>1694.16</v>
      </c>
    </row>
    <row r="116" spans="1:2" ht="13" x14ac:dyDescent="0.15">
      <c r="A116" s="2">
        <f ca="1">IFERROR(__xludf.DUMMYFUNCTION("""COMPUTED_VALUE"""),41500.6666666666)</f>
        <v>41500.666666666599</v>
      </c>
      <c r="B116" s="1">
        <f ca="1">IFERROR(__xludf.DUMMYFUNCTION("""COMPUTED_VALUE"""),1685.39)</f>
        <v>1685.39</v>
      </c>
    </row>
    <row r="117" spans="1:2" ht="13" x14ac:dyDescent="0.15">
      <c r="A117" s="2">
        <f ca="1">IFERROR(__xludf.DUMMYFUNCTION("""COMPUTED_VALUE"""),41501.6666666666)</f>
        <v>41501.666666666599</v>
      </c>
      <c r="B117" s="1">
        <f ca="1">IFERROR(__xludf.DUMMYFUNCTION("""COMPUTED_VALUE"""),1661.32)</f>
        <v>1661.32</v>
      </c>
    </row>
    <row r="118" spans="1:2" ht="13" x14ac:dyDescent="0.15">
      <c r="A118" s="2">
        <f ca="1">IFERROR(__xludf.DUMMYFUNCTION("""COMPUTED_VALUE"""),41502.6666666666)</f>
        <v>41502.666666666599</v>
      </c>
      <c r="B118" s="1">
        <f ca="1">IFERROR(__xludf.DUMMYFUNCTION("""COMPUTED_VALUE"""),1655.83)</f>
        <v>1655.83</v>
      </c>
    </row>
    <row r="119" spans="1:2" ht="13" x14ac:dyDescent="0.15">
      <c r="A119" s="2">
        <f ca="1">IFERROR(__xludf.DUMMYFUNCTION("""COMPUTED_VALUE"""),41505.6666666666)</f>
        <v>41505.666666666599</v>
      </c>
      <c r="B119" s="1">
        <f ca="1">IFERROR(__xludf.DUMMYFUNCTION("""COMPUTED_VALUE"""),1646.06)</f>
        <v>1646.06</v>
      </c>
    </row>
    <row r="120" spans="1:2" ht="13" x14ac:dyDescent="0.15">
      <c r="A120" s="2">
        <f ca="1">IFERROR(__xludf.DUMMYFUNCTION("""COMPUTED_VALUE"""),41506.6666666666)</f>
        <v>41506.666666666599</v>
      </c>
      <c r="B120" s="1">
        <f ca="1">IFERROR(__xludf.DUMMYFUNCTION("""COMPUTED_VALUE"""),1652.35)</f>
        <v>1652.35</v>
      </c>
    </row>
    <row r="121" spans="1:2" ht="13" x14ac:dyDescent="0.15">
      <c r="A121" s="2">
        <f ca="1">IFERROR(__xludf.DUMMYFUNCTION("""COMPUTED_VALUE"""),41507.6666666666)</f>
        <v>41507.666666666599</v>
      </c>
      <c r="B121" s="1">
        <f ca="1">IFERROR(__xludf.DUMMYFUNCTION("""COMPUTED_VALUE"""),1642.8)</f>
        <v>1642.8</v>
      </c>
    </row>
    <row r="122" spans="1:2" ht="13" x14ac:dyDescent="0.15">
      <c r="A122" s="2">
        <f ca="1">IFERROR(__xludf.DUMMYFUNCTION("""COMPUTED_VALUE"""),41508.6666666666)</f>
        <v>41508.666666666599</v>
      </c>
      <c r="B122" s="1">
        <f ca="1">IFERROR(__xludf.DUMMYFUNCTION("""COMPUTED_VALUE"""),1656.96)</f>
        <v>1656.96</v>
      </c>
    </row>
    <row r="123" spans="1:2" ht="13" x14ac:dyDescent="0.15">
      <c r="A123" s="2">
        <f ca="1">IFERROR(__xludf.DUMMYFUNCTION("""COMPUTED_VALUE"""),41509.6666666666)</f>
        <v>41509.666666666599</v>
      </c>
      <c r="B123" s="1">
        <f ca="1">IFERROR(__xludf.DUMMYFUNCTION("""COMPUTED_VALUE"""),1663.5)</f>
        <v>1663.5</v>
      </c>
    </row>
    <row r="124" spans="1:2" ht="13" x14ac:dyDescent="0.15">
      <c r="A124" s="2">
        <f ca="1">IFERROR(__xludf.DUMMYFUNCTION("""COMPUTED_VALUE"""),41512.6666666666)</f>
        <v>41512.666666666599</v>
      </c>
      <c r="B124" s="1">
        <f ca="1">IFERROR(__xludf.DUMMYFUNCTION("""COMPUTED_VALUE"""),1656.78)</f>
        <v>1656.78</v>
      </c>
    </row>
    <row r="125" spans="1:2" ht="13" x14ac:dyDescent="0.15">
      <c r="A125" s="2">
        <f ca="1">IFERROR(__xludf.DUMMYFUNCTION("""COMPUTED_VALUE"""),41513.6666666666)</f>
        <v>41513.666666666599</v>
      </c>
      <c r="B125" s="1">
        <f ca="1">IFERROR(__xludf.DUMMYFUNCTION("""COMPUTED_VALUE"""),1630.48)</f>
        <v>1630.48</v>
      </c>
    </row>
    <row r="126" spans="1:2" ht="13" x14ac:dyDescent="0.15">
      <c r="A126" s="2">
        <f ca="1">IFERROR(__xludf.DUMMYFUNCTION("""COMPUTED_VALUE"""),41514.6666666666)</f>
        <v>41514.666666666599</v>
      </c>
      <c r="B126" s="1">
        <f ca="1">IFERROR(__xludf.DUMMYFUNCTION("""COMPUTED_VALUE"""),1634.96)</f>
        <v>1634.96</v>
      </c>
    </row>
    <row r="127" spans="1:2" ht="13" x14ac:dyDescent="0.15">
      <c r="A127" s="2">
        <f ca="1">IFERROR(__xludf.DUMMYFUNCTION("""COMPUTED_VALUE"""),41515.6666666666)</f>
        <v>41515.666666666599</v>
      </c>
      <c r="B127" s="1">
        <f ca="1">IFERROR(__xludf.DUMMYFUNCTION("""COMPUTED_VALUE"""),1638.17)</f>
        <v>1638.17</v>
      </c>
    </row>
    <row r="128" spans="1:2" ht="13" x14ac:dyDescent="0.15">
      <c r="A128" s="2">
        <f ca="1">IFERROR(__xludf.DUMMYFUNCTION("""COMPUTED_VALUE"""),41516.6666666666)</f>
        <v>41516.666666666599</v>
      </c>
      <c r="B128" s="1">
        <f ca="1">IFERROR(__xludf.DUMMYFUNCTION("""COMPUTED_VALUE"""),1632.97)</f>
        <v>1632.97</v>
      </c>
    </row>
    <row r="129" spans="1:2" ht="13" x14ac:dyDescent="0.15">
      <c r="A129" s="2">
        <f ca="1">IFERROR(__xludf.DUMMYFUNCTION("""COMPUTED_VALUE"""),41520.6666666666)</f>
        <v>41520.666666666599</v>
      </c>
      <c r="B129" s="1">
        <f ca="1">IFERROR(__xludf.DUMMYFUNCTION("""COMPUTED_VALUE"""),1639.77)</f>
        <v>1639.77</v>
      </c>
    </row>
    <row r="130" spans="1:2" ht="13" x14ac:dyDescent="0.15">
      <c r="A130" s="2">
        <f ca="1">IFERROR(__xludf.DUMMYFUNCTION("""COMPUTED_VALUE"""),41521.6666666666)</f>
        <v>41521.666666666599</v>
      </c>
      <c r="B130" s="1">
        <f ca="1">IFERROR(__xludf.DUMMYFUNCTION("""COMPUTED_VALUE"""),1653.08)</f>
        <v>1653.08</v>
      </c>
    </row>
    <row r="131" spans="1:2" ht="13" x14ac:dyDescent="0.15">
      <c r="A131" s="2">
        <f ca="1">IFERROR(__xludf.DUMMYFUNCTION("""COMPUTED_VALUE"""),41522.6666666666)</f>
        <v>41522.666666666599</v>
      </c>
      <c r="B131" s="1">
        <f ca="1">IFERROR(__xludf.DUMMYFUNCTION("""COMPUTED_VALUE"""),1655.08)</f>
        <v>1655.08</v>
      </c>
    </row>
    <row r="132" spans="1:2" ht="13" x14ac:dyDescent="0.15">
      <c r="A132" s="2">
        <f ca="1">IFERROR(__xludf.DUMMYFUNCTION("""COMPUTED_VALUE"""),41523.6666666666)</f>
        <v>41523.666666666599</v>
      </c>
      <c r="B132" s="1">
        <f ca="1">IFERROR(__xludf.DUMMYFUNCTION("""COMPUTED_VALUE"""),1655.17)</f>
        <v>1655.17</v>
      </c>
    </row>
    <row r="133" spans="1:2" ht="13" x14ac:dyDescent="0.15">
      <c r="A133" s="2">
        <f ca="1">IFERROR(__xludf.DUMMYFUNCTION("""COMPUTED_VALUE"""),41526.6666666666)</f>
        <v>41526.666666666599</v>
      </c>
      <c r="B133" s="1">
        <f ca="1">IFERROR(__xludf.DUMMYFUNCTION("""COMPUTED_VALUE"""),1671.71)</f>
        <v>1671.71</v>
      </c>
    </row>
    <row r="134" spans="1:2" ht="13" x14ac:dyDescent="0.15">
      <c r="A134" s="2">
        <f ca="1">IFERROR(__xludf.DUMMYFUNCTION("""COMPUTED_VALUE"""),41527.6666666666)</f>
        <v>41527.666666666599</v>
      </c>
      <c r="B134" s="1">
        <f ca="1">IFERROR(__xludf.DUMMYFUNCTION("""COMPUTED_VALUE"""),1683.99)</f>
        <v>1683.99</v>
      </c>
    </row>
    <row r="135" spans="1:2" ht="13" x14ac:dyDescent="0.15">
      <c r="A135" s="2">
        <f ca="1">IFERROR(__xludf.DUMMYFUNCTION("""COMPUTED_VALUE"""),41528.6666666666)</f>
        <v>41528.666666666599</v>
      </c>
      <c r="B135" s="1">
        <f ca="1">IFERROR(__xludf.DUMMYFUNCTION("""COMPUTED_VALUE"""),1689.13)</f>
        <v>1689.13</v>
      </c>
    </row>
    <row r="136" spans="1:2" ht="13" x14ac:dyDescent="0.15">
      <c r="A136" s="2">
        <f ca="1">IFERROR(__xludf.DUMMYFUNCTION("""COMPUTED_VALUE"""),41529.6666666666)</f>
        <v>41529.666666666599</v>
      </c>
      <c r="B136" s="1">
        <f ca="1">IFERROR(__xludf.DUMMYFUNCTION("""COMPUTED_VALUE"""),1683.42)</f>
        <v>1683.42</v>
      </c>
    </row>
    <row r="137" spans="1:2" ht="13" x14ac:dyDescent="0.15">
      <c r="A137" s="2">
        <f ca="1">IFERROR(__xludf.DUMMYFUNCTION("""COMPUTED_VALUE"""),41530.6666666666)</f>
        <v>41530.666666666599</v>
      </c>
      <c r="B137" s="1">
        <f ca="1">IFERROR(__xludf.DUMMYFUNCTION("""COMPUTED_VALUE"""),1687.99)</f>
        <v>1687.99</v>
      </c>
    </row>
    <row r="138" spans="1:2" ht="13" x14ac:dyDescent="0.15">
      <c r="A138" s="2">
        <f ca="1">IFERROR(__xludf.DUMMYFUNCTION("""COMPUTED_VALUE"""),41533.6666666666)</f>
        <v>41533.666666666599</v>
      </c>
      <c r="B138" s="1">
        <f ca="1">IFERROR(__xludf.DUMMYFUNCTION("""COMPUTED_VALUE"""),1697.6)</f>
        <v>1697.6</v>
      </c>
    </row>
    <row r="139" spans="1:2" ht="13" x14ac:dyDescent="0.15">
      <c r="A139" s="2">
        <f ca="1">IFERROR(__xludf.DUMMYFUNCTION("""COMPUTED_VALUE"""),41534.6666666666)</f>
        <v>41534.666666666599</v>
      </c>
      <c r="B139" s="1">
        <f ca="1">IFERROR(__xludf.DUMMYFUNCTION("""COMPUTED_VALUE"""),1704.76)</f>
        <v>1704.76</v>
      </c>
    </row>
    <row r="140" spans="1:2" ht="13" x14ac:dyDescent="0.15">
      <c r="A140" s="2">
        <f ca="1">IFERROR(__xludf.DUMMYFUNCTION("""COMPUTED_VALUE"""),41535.6666666666)</f>
        <v>41535.666666666599</v>
      </c>
      <c r="B140" s="1">
        <f ca="1">IFERROR(__xludf.DUMMYFUNCTION("""COMPUTED_VALUE"""),1725.52)</f>
        <v>1725.52</v>
      </c>
    </row>
    <row r="141" spans="1:2" ht="13" x14ac:dyDescent="0.15">
      <c r="A141" s="2">
        <f ca="1">IFERROR(__xludf.DUMMYFUNCTION("""COMPUTED_VALUE"""),41536.6666666666)</f>
        <v>41536.666666666599</v>
      </c>
      <c r="B141" s="1">
        <f ca="1">IFERROR(__xludf.DUMMYFUNCTION("""COMPUTED_VALUE"""),1722.34)</f>
        <v>1722.34</v>
      </c>
    </row>
    <row r="142" spans="1:2" ht="13" x14ac:dyDescent="0.15">
      <c r="A142" s="2">
        <f ca="1">IFERROR(__xludf.DUMMYFUNCTION("""COMPUTED_VALUE"""),41537.6666666666)</f>
        <v>41537.666666666599</v>
      </c>
      <c r="B142" s="1">
        <f ca="1">IFERROR(__xludf.DUMMYFUNCTION("""COMPUTED_VALUE"""),1709.91)</f>
        <v>1709.91</v>
      </c>
    </row>
    <row r="143" spans="1:2" ht="13" x14ac:dyDescent="0.15">
      <c r="A143" s="2">
        <f ca="1">IFERROR(__xludf.DUMMYFUNCTION("""COMPUTED_VALUE"""),41540.6666666666)</f>
        <v>41540.666666666599</v>
      </c>
      <c r="B143" s="1">
        <f ca="1">IFERROR(__xludf.DUMMYFUNCTION("""COMPUTED_VALUE"""),1701.84)</f>
        <v>1701.84</v>
      </c>
    </row>
    <row r="144" spans="1:2" ht="13" x14ac:dyDescent="0.15">
      <c r="A144" s="2">
        <f ca="1">IFERROR(__xludf.DUMMYFUNCTION("""COMPUTED_VALUE"""),41541.6666666666)</f>
        <v>41541.666666666599</v>
      </c>
      <c r="B144" s="1">
        <f ca="1">IFERROR(__xludf.DUMMYFUNCTION("""COMPUTED_VALUE"""),1697.42)</f>
        <v>1697.42</v>
      </c>
    </row>
    <row r="145" spans="1:2" ht="13" x14ac:dyDescent="0.15">
      <c r="A145" s="2">
        <f ca="1">IFERROR(__xludf.DUMMYFUNCTION("""COMPUTED_VALUE"""),41542.6666666666)</f>
        <v>41542.666666666599</v>
      </c>
      <c r="B145" s="1">
        <f ca="1">IFERROR(__xludf.DUMMYFUNCTION("""COMPUTED_VALUE"""),1692.77)</f>
        <v>1692.77</v>
      </c>
    </row>
    <row r="146" spans="1:2" ht="13" x14ac:dyDescent="0.15">
      <c r="A146" s="2">
        <f ca="1">IFERROR(__xludf.DUMMYFUNCTION("""COMPUTED_VALUE"""),41543.6666666666)</f>
        <v>41543.666666666599</v>
      </c>
      <c r="B146" s="1">
        <f ca="1">IFERROR(__xludf.DUMMYFUNCTION("""COMPUTED_VALUE"""),1698.67)</f>
        <v>1698.67</v>
      </c>
    </row>
    <row r="147" spans="1:2" ht="13" x14ac:dyDescent="0.15">
      <c r="A147" s="2">
        <f ca="1">IFERROR(__xludf.DUMMYFUNCTION("""COMPUTED_VALUE"""),41544.6666666666)</f>
        <v>41544.666666666599</v>
      </c>
      <c r="B147" s="1">
        <f ca="1">IFERROR(__xludf.DUMMYFUNCTION("""COMPUTED_VALUE"""),1691.75)</f>
        <v>1691.75</v>
      </c>
    </row>
    <row r="148" spans="1:2" ht="13" x14ac:dyDescent="0.15">
      <c r="A148" s="2">
        <f ca="1">IFERROR(__xludf.DUMMYFUNCTION("""COMPUTED_VALUE"""),41547.6666666666)</f>
        <v>41547.666666666599</v>
      </c>
      <c r="B148" s="1">
        <f ca="1">IFERROR(__xludf.DUMMYFUNCTION("""COMPUTED_VALUE"""),1681.55)</f>
        <v>1681.55</v>
      </c>
    </row>
    <row r="149" spans="1:2" ht="13" x14ac:dyDescent="0.15">
      <c r="A149" s="2">
        <f ca="1">IFERROR(__xludf.DUMMYFUNCTION("""COMPUTED_VALUE"""),41548.6666666666)</f>
        <v>41548.666666666599</v>
      </c>
      <c r="B149" s="1">
        <f ca="1">IFERROR(__xludf.DUMMYFUNCTION("""COMPUTED_VALUE"""),1695)</f>
        <v>1695</v>
      </c>
    </row>
    <row r="150" spans="1:2" ht="13" x14ac:dyDescent="0.15">
      <c r="A150" s="2">
        <f ca="1">IFERROR(__xludf.DUMMYFUNCTION("""COMPUTED_VALUE"""),41549.6666666666)</f>
        <v>41549.666666666599</v>
      </c>
      <c r="B150" s="1">
        <f ca="1">IFERROR(__xludf.DUMMYFUNCTION("""COMPUTED_VALUE"""),1693.87)</f>
        <v>1693.87</v>
      </c>
    </row>
    <row r="151" spans="1:2" ht="13" x14ac:dyDescent="0.15">
      <c r="A151" s="2">
        <f ca="1">IFERROR(__xludf.DUMMYFUNCTION("""COMPUTED_VALUE"""),41550.6666666666)</f>
        <v>41550.666666666599</v>
      </c>
      <c r="B151" s="1">
        <f ca="1">IFERROR(__xludf.DUMMYFUNCTION("""COMPUTED_VALUE"""),1678.66)</f>
        <v>1678.66</v>
      </c>
    </row>
    <row r="152" spans="1:2" ht="13" x14ac:dyDescent="0.15">
      <c r="A152" s="2">
        <f ca="1">IFERROR(__xludf.DUMMYFUNCTION("""COMPUTED_VALUE"""),41551.6666666666)</f>
        <v>41551.666666666599</v>
      </c>
      <c r="B152" s="1">
        <f ca="1">IFERROR(__xludf.DUMMYFUNCTION("""COMPUTED_VALUE"""),1690.5)</f>
        <v>1690.5</v>
      </c>
    </row>
    <row r="153" spans="1:2" ht="13" x14ac:dyDescent="0.15">
      <c r="A153" s="2">
        <f ca="1">IFERROR(__xludf.DUMMYFUNCTION("""COMPUTED_VALUE"""),41554.6666666666)</f>
        <v>41554.666666666599</v>
      </c>
      <c r="B153" s="1">
        <f ca="1">IFERROR(__xludf.DUMMYFUNCTION("""COMPUTED_VALUE"""),1676.12)</f>
        <v>1676.12</v>
      </c>
    </row>
    <row r="154" spans="1:2" ht="13" x14ac:dyDescent="0.15">
      <c r="A154" s="2">
        <f ca="1">IFERROR(__xludf.DUMMYFUNCTION("""COMPUTED_VALUE"""),41555.6666666666)</f>
        <v>41555.666666666599</v>
      </c>
      <c r="B154" s="1">
        <f ca="1">IFERROR(__xludf.DUMMYFUNCTION("""COMPUTED_VALUE"""),1655.45)</f>
        <v>1655.45</v>
      </c>
    </row>
    <row r="155" spans="1:2" ht="13" x14ac:dyDescent="0.15">
      <c r="A155" s="2">
        <f ca="1">IFERROR(__xludf.DUMMYFUNCTION("""COMPUTED_VALUE"""),41556.6666666666)</f>
        <v>41556.666666666599</v>
      </c>
      <c r="B155" s="1">
        <f ca="1">IFERROR(__xludf.DUMMYFUNCTION("""COMPUTED_VALUE"""),1656.4)</f>
        <v>1656.4</v>
      </c>
    </row>
    <row r="156" spans="1:2" ht="13" x14ac:dyDescent="0.15">
      <c r="A156" s="2">
        <f ca="1">IFERROR(__xludf.DUMMYFUNCTION("""COMPUTED_VALUE"""),41557.6666666666)</f>
        <v>41557.666666666599</v>
      </c>
      <c r="B156" s="1">
        <f ca="1">IFERROR(__xludf.DUMMYFUNCTION("""COMPUTED_VALUE"""),1692.56)</f>
        <v>1692.56</v>
      </c>
    </row>
    <row r="157" spans="1:2" ht="13" x14ac:dyDescent="0.15">
      <c r="A157" s="2">
        <f ca="1">IFERROR(__xludf.DUMMYFUNCTION("""COMPUTED_VALUE"""),41558.6666666666)</f>
        <v>41558.666666666599</v>
      </c>
      <c r="B157" s="1">
        <f ca="1">IFERROR(__xludf.DUMMYFUNCTION("""COMPUTED_VALUE"""),1703.2)</f>
        <v>1703.2</v>
      </c>
    </row>
    <row r="158" spans="1:2" ht="13" x14ac:dyDescent="0.15">
      <c r="A158" s="2">
        <f ca="1">IFERROR(__xludf.DUMMYFUNCTION("""COMPUTED_VALUE"""),41561.6666666666)</f>
        <v>41561.666666666599</v>
      </c>
      <c r="B158" s="1">
        <f ca="1">IFERROR(__xludf.DUMMYFUNCTION("""COMPUTED_VALUE"""),1710.14)</f>
        <v>1710.14</v>
      </c>
    </row>
    <row r="159" spans="1:2" ht="13" x14ac:dyDescent="0.15">
      <c r="A159" s="2">
        <f ca="1">IFERROR(__xludf.DUMMYFUNCTION("""COMPUTED_VALUE"""),41562.6666666666)</f>
        <v>41562.666666666599</v>
      </c>
      <c r="B159" s="1">
        <f ca="1">IFERROR(__xludf.DUMMYFUNCTION("""COMPUTED_VALUE"""),1698.06)</f>
        <v>1698.06</v>
      </c>
    </row>
    <row r="160" spans="1:2" ht="13" x14ac:dyDescent="0.15">
      <c r="A160" s="2">
        <f ca="1">IFERROR(__xludf.DUMMYFUNCTION("""COMPUTED_VALUE"""),41563.6666666666)</f>
        <v>41563.666666666599</v>
      </c>
      <c r="B160" s="1">
        <f ca="1">IFERROR(__xludf.DUMMYFUNCTION("""COMPUTED_VALUE"""),1721.54)</f>
        <v>1721.54</v>
      </c>
    </row>
    <row r="161" spans="1:2" ht="13" x14ac:dyDescent="0.15">
      <c r="A161" s="2">
        <f ca="1">IFERROR(__xludf.DUMMYFUNCTION("""COMPUTED_VALUE"""),41564.6666666666)</f>
        <v>41564.666666666599</v>
      </c>
      <c r="B161" s="1">
        <f ca="1">IFERROR(__xludf.DUMMYFUNCTION("""COMPUTED_VALUE"""),1733.15)</f>
        <v>1733.15</v>
      </c>
    </row>
    <row r="162" spans="1:2" ht="13" x14ac:dyDescent="0.15">
      <c r="A162" s="2">
        <f ca="1">IFERROR(__xludf.DUMMYFUNCTION("""COMPUTED_VALUE"""),41565.6666666666)</f>
        <v>41565.666666666599</v>
      </c>
      <c r="B162" s="1">
        <f ca="1">IFERROR(__xludf.DUMMYFUNCTION("""COMPUTED_VALUE"""),1744.5)</f>
        <v>1744.5</v>
      </c>
    </row>
    <row r="163" spans="1:2" ht="13" x14ac:dyDescent="0.15">
      <c r="A163" s="2">
        <f ca="1">IFERROR(__xludf.DUMMYFUNCTION("""COMPUTED_VALUE"""),41568.6666666666)</f>
        <v>41568.666666666599</v>
      </c>
      <c r="B163" s="1">
        <f ca="1">IFERROR(__xludf.DUMMYFUNCTION("""COMPUTED_VALUE"""),1744.66)</f>
        <v>1744.66</v>
      </c>
    </row>
    <row r="164" spans="1:2" ht="13" x14ac:dyDescent="0.15">
      <c r="A164" s="2">
        <f ca="1">IFERROR(__xludf.DUMMYFUNCTION("""COMPUTED_VALUE"""),41569.6666666666)</f>
        <v>41569.666666666599</v>
      </c>
      <c r="B164" s="1">
        <f ca="1">IFERROR(__xludf.DUMMYFUNCTION("""COMPUTED_VALUE"""),1754.67)</f>
        <v>1754.67</v>
      </c>
    </row>
    <row r="165" spans="1:2" ht="13" x14ac:dyDescent="0.15">
      <c r="A165" s="2">
        <f ca="1">IFERROR(__xludf.DUMMYFUNCTION("""COMPUTED_VALUE"""),41570.6666666666)</f>
        <v>41570.666666666599</v>
      </c>
      <c r="B165" s="1">
        <f ca="1">IFERROR(__xludf.DUMMYFUNCTION("""COMPUTED_VALUE"""),1746.38)</f>
        <v>1746.38</v>
      </c>
    </row>
    <row r="166" spans="1:2" ht="13" x14ac:dyDescent="0.15">
      <c r="A166" s="2">
        <f ca="1">IFERROR(__xludf.DUMMYFUNCTION("""COMPUTED_VALUE"""),41571.6666666666)</f>
        <v>41571.666666666599</v>
      </c>
      <c r="B166" s="1">
        <f ca="1">IFERROR(__xludf.DUMMYFUNCTION("""COMPUTED_VALUE"""),1752.07)</f>
        <v>1752.07</v>
      </c>
    </row>
    <row r="167" spans="1:2" ht="13" x14ac:dyDescent="0.15">
      <c r="A167" s="2">
        <f ca="1">IFERROR(__xludf.DUMMYFUNCTION("""COMPUTED_VALUE"""),41572.6666666666)</f>
        <v>41572.666666666599</v>
      </c>
      <c r="B167" s="1">
        <f ca="1">IFERROR(__xludf.DUMMYFUNCTION("""COMPUTED_VALUE"""),1759.77)</f>
        <v>1759.77</v>
      </c>
    </row>
    <row r="168" spans="1:2" ht="13" x14ac:dyDescent="0.15">
      <c r="A168" s="2">
        <f ca="1">IFERROR(__xludf.DUMMYFUNCTION("""COMPUTED_VALUE"""),41575.6666666666)</f>
        <v>41575.666666666599</v>
      </c>
      <c r="B168" s="1">
        <f ca="1">IFERROR(__xludf.DUMMYFUNCTION("""COMPUTED_VALUE"""),1762.11)</f>
        <v>1762.11</v>
      </c>
    </row>
    <row r="169" spans="1:2" ht="13" x14ac:dyDescent="0.15">
      <c r="A169" s="2">
        <f ca="1">IFERROR(__xludf.DUMMYFUNCTION("""COMPUTED_VALUE"""),41576.6666666666)</f>
        <v>41576.666666666599</v>
      </c>
      <c r="B169" s="1">
        <f ca="1">IFERROR(__xludf.DUMMYFUNCTION("""COMPUTED_VALUE"""),1771.95)</f>
        <v>1771.95</v>
      </c>
    </row>
    <row r="170" spans="1:2" ht="13" x14ac:dyDescent="0.15">
      <c r="A170" s="2">
        <f ca="1">IFERROR(__xludf.DUMMYFUNCTION("""COMPUTED_VALUE"""),41577.6666666666)</f>
        <v>41577.666666666599</v>
      </c>
      <c r="B170" s="1">
        <f ca="1">IFERROR(__xludf.DUMMYFUNCTION("""COMPUTED_VALUE"""),1763.31)</f>
        <v>1763.31</v>
      </c>
    </row>
    <row r="171" spans="1:2" ht="13" x14ac:dyDescent="0.15">
      <c r="A171" s="2">
        <f ca="1">IFERROR(__xludf.DUMMYFUNCTION("""COMPUTED_VALUE"""),41578.6666666666)</f>
        <v>41578.666666666599</v>
      </c>
      <c r="B171" s="1">
        <f ca="1">IFERROR(__xludf.DUMMYFUNCTION("""COMPUTED_VALUE"""),1756.54)</f>
        <v>1756.54</v>
      </c>
    </row>
    <row r="172" spans="1:2" ht="13" x14ac:dyDescent="0.15">
      <c r="A172" s="2">
        <f ca="1">IFERROR(__xludf.DUMMYFUNCTION("""COMPUTED_VALUE"""),41579.6666666666)</f>
        <v>41579.666666666599</v>
      </c>
      <c r="B172" s="1">
        <f ca="1">IFERROR(__xludf.DUMMYFUNCTION("""COMPUTED_VALUE"""),1761.64)</f>
        <v>1761.64</v>
      </c>
    </row>
    <row r="173" spans="1:2" ht="13" x14ac:dyDescent="0.15">
      <c r="A173" s="2">
        <f ca="1">IFERROR(__xludf.DUMMYFUNCTION("""COMPUTED_VALUE"""),41582.6666666666)</f>
        <v>41582.666666666599</v>
      </c>
      <c r="B173" s="1">
        <f ca="1">IFERROR(__xludf.DUMMYFUNCTION("""COMPUTED_VALUE"""),1767.93)</f>
        <v>1767.93</v>
      </c>
    </row>
    <row r="174" spans="1:2" ht="13" x14ac:dyDescent="0.15">
      <c r="A174" s="2">
        <f ca="1">IFERROR(__xludf.DUMMYFUNCTION("""COMPUTED_VALUE"""),41583.6666666666)</f>
        <v>41583.666666666599</v>
      </c>
      <c r="B174" s="1">
        <f ca="1">IFERROR(__xludf.DUMMYFUNCTION("""COMPUTED_VALUE"""),1762.97)</f>
        <v>1762.97</v>
      </c>
    </row>
    <row r="175" spans="1:2" ht="13" x14ac:dyDescent="0.15">
      <c r="A175" s="2">
        <f ca="1">IFERROR(__xludf.DUMMYFUNCTION("""COMPUTED_VALUE"""),41584.6666666666)</f>
        <v>41584.666666666599</v>
      </c>
      <c r="B175" s="1">
        <f ca="1">IFERROR(__xludf.DUMMYFUNCTION("""COMPUTED_VALUE"""),1770.49)</f>
        <v>1770.49</v>
      </c>
    </row>
    <row r="176" spans="1:2" ht="13" x14ac:dyDescent="0.15">
      <c r="A176" s="2">
        <f ca="1">IFERROR(__xludf.DUMMYFUNCTION("""COMPUTED_VALUE"""),41585.6666666666)</f>
        <v>41585.666666666599</v>
      </c>
      <c r="B176" s="1">
        <f ca="1">IFERROR(__xludf.DUMMYFUNCTION("""COMPUTED_VALUE"""),1747.15)</f>
        <v>1747.15</v>
      </c>
    </row>
    <row r="177" spans="1:2" ht="13" x14ac:dyDescent="0.15">
      <c r="A177" s="2">
        <f ca="1">IFERROR(__xludf.DUMMYFUNCTION("""COMPUTED_VALUE"""),41586.6666666666)</f>
        <v>41586.666666666599</v>
      </c>
      <c r="B177" s="1">
        <f ca="1">IFERROR(__xludf.DUMMYFUNCTION("""COMPUTED_VALUE"""),1770.61)</f>
        <v>1770.61</v>
      </c>
    </row>
    <row r="178" spans="1:2" ht="13" x14ac:dyDescent="0.15">
      <c r="A178" s="2">
        <f ca="1">IFERROR(__xludf.DUMMYFUNCTION("""COMPUTED_VALUE"""),41589.6666666666)</f>
        <v>41589.666666666599</v>
      </c>
      <c r="B178" s="1">
        <f ca="1">IFERROR(__xludf.DUMMYFUNCTION("""COMPUTED_VALUE"""),1771.89)</f>
        <v>1771.89</v>
      </c>
    </row>
    <row r="179" spans="1:2" ht="13" x14ac:dyDescent="0.15">
      <c r="A179" s="2">
        <f ca="1">IFERROR(__xludf.DUMMYFUNCTION("""COMPUTED_VALUE"""),41590.6666666666)</f>
        <v>41590.666666666599</v>
      </c>
      <c r="B179" s="1">
        <f ca="1">IFERROR(__xludf.DUMMYFUNCTION("""COMPUTED_VALUE"""),1767.69)</f>
        <v>1767.69</v>
      </c>
    </row>
    <row r="180" spans="1:2" ht="13" x14ac:dyDescent="0.15">
      <c r="A180" s="2">
        <f ca="1">IFERROR(__xludf.DUMMYFUNCTION("""COMPUTED_VALUE"""),41591.6666666666)</f>
        <v>41591.666666666599</v>
      </c>
      <c r="B180" s="1">
        <f ca="1">IFERROR(__xludf.DUMMYFUNCTION("""COMPUTED_VALUE"""),1782)</f>
        <v>1782</v>
      </c>
    </row>
    <row r="181" spans="1:2" ht="13" x14ac:dyDescent="0.15">
      <c r="A181" s="2">
        <f ca="1">IFERROR(__xludf.DUMMYFUNCTION("""COMPUTED_VALUE"""),41592.6666666666)</f>
        <v>41592.666666666599</v>
      </c>
      <c r="B181" s="1">
        <f ca="1">IFERROR(__xludf.DUMMYFUNCTION("""COMPUTED_VALUE"""),1790.62)</f>
        <v>1790.62</v>
      </c>
    </row>
    <row r="182" spans="1:2" ht="13" x14ac:dyDescent="0.15">
      <c r="A182" s="2">
        <f ca="1">IFERROR(__xludf.DUMMYFUNCTION("""COMPUTED_VALUE"""),41593.6666666666)</f>
        <v>41593.666666666599</v>
      </c>
      <c r="B182" s="1">
        <f ca="1">IFERROR(__xludf.DUMMYFUNCTION("""COMPUTED_VALUE"""),1798.18)</f>
        <v>1798.18</v>
      </c>
    </row>
    <row r="183" spans="1:2" ht="13" x14ac:dyDescent="0.15">
      <c r="A183" s="2">
        <f ca="1">IFERROR(__xludf.DUMMYFUNCTION("""COMPUTED_VALUE"""),41596.6666666666)</f>
        <v>41596.666666666599</v>
      </c>
      <c r="B183" s="1">
        <f ca="1">IFERROR(__xludf.DUMMYFUNCTION("""COMPUTED_VALUE"""),1791.53)</f>
        <v>1791.53</v>
      </c>
    </row>
    <row r="184" spans="1:2" ht="13" x14ac:dyDescent="0.15">
      <c r="A184" s="2">
        <f ca="1">IFERROR(__xludf.DUMMYFUNCTION("""COMPUTED_VALUE"""),41597.6666666666)</f>
        <v>41597.666666666599</v>
      </c>
      <c r="B184" s="1">
        <f ca="1">IFERROR(__xludf.DUMMYFUNCTION("""COMPUTED_VALUE"""),1787.87)</f>
        <v>1787.87</v>
      </c>
    </row>
    <row r="185" spans="1:2" ht="13" x14ac:dyDescent="0.15">
      <c r="A185" s="2">
        <f ca="1">IFERROR(__xludf.DUMMYFUNCTION("""COMPUTED_VALUE"""),41598.6666666666)</f>
        <v>41598.666666666599</v>
      </c>
      <c r="B185" s="1">
        <f ca="1">IFERROR(__xludf.DUMMYFUNCTION("""COMPUTED_VALUE"""),1781.37)</f>
        <v>1781.37</v>
      </c>
    </row>
    <row r="186" spans="1:2" ht="13" x14ac:dyDescent="0.15">
      <c r="A186" s="2">
        <f ca="1">IFERROR(__xludf.DUMMYFUNCTION("""COMPUTED_VALUE"""),41599.6666666666)</f>
        <v>41599.666666666599</v>
      </c>
      <c r="B186" s="1">
        <f ca="1">IFERROR(__xludf.DUMMYFUNCTION("""COMPUTED_VALUE"""),1795.85)</f>
        <v>1795.85</v>
      </c>
    </row>
    <row r="187" spans="1:2" ht="13" x14ac:dyDescent="0.15">
      <c r="A187" s="2">
        <f ca="1">IFERROR(__xludf.DUMMYFUNCTION("""COMPUTED_VALUE"""),41600.6666666666)</f>
        <v>41600.666666666599</v>
      </c>
      <c r="B187" s="1">
        <f ca="1">IFERROR(__xludf.DUMMYFUNCTION("""COMPUTED_VALUE"""),1804.76)</f>
        <v>1804.76</v>
      </c>
    </row>
    <row r="188" spans="1:2" ht="13" x14ac:dyDescent="0.15">
      <c r="A188" s="2">
        <f ca="1">IFERROR(__xludf.DUMMYFUNCTION("""COMPUTED_VALUE"""),41603.6666666666)</f>
        <v>41603.666666666599</v>
      </c>
      <c r="B188" s="1">
        <f ca="1">IFERROR(__xludf.DUMMYFUNCTION("""COMPUTED_VALUE"""),1802.48)</f>
        <v>1802.48</v>
      </c>
    </row>
    <row r="189" spans="1:2" ht="13" x14ac:dyDescent="0.15">
      <c r="A189" s="2">
        <f ca="1">IFERROR(__xludf.DUMMYFUNCTION("""COMPUTED_VALUE"""),41604.6666666666)</f>
        <v>41604.666666666599</v>
      </c>
      <c r="B189" s="1">
        <f ca="1">IFERROR(__xludf.DUMMYFUNCTION("""COMPUTED_VALUE"""),1802.75)</f>
        <v>1802.75</v>
      </c>
    </row>
    <row r="190" spans="1:2" ht="13" x14ac:dyDescent="0.15">
      <c r="A190" s="2">
        <f ca="1">IFERROR(__xludf.DUMMYFUNCTION("""COMPUTED_VALUE"""),41605.6666666666)</f>
        <v>41605.666666666599</v>
      </c>
      <c r="B190" s="1">
        <f ca="1">IFERROR(__xludf.DUMMYFUNCTION("""COMPUTED_VALUE"""),1807.23)</f>
        <v>1807.23</v>
      </c>
    </row>
    <row r="191" spans="1:2" ht="13" x14ac:dyDescent="0.15">
      <c r="A191" s="2">
        <f ca="1">IFERROR(__xludf.DUMMYFUNCTION("""COMPUTED_VALUE"""),41607.6666666666)</f>
        <v>41607.666666666599</v>
      </c>
      <c r="B191" s="1">
        <f ca="1">IFERROR(__xludf.DUMMYFUNCTION("""COMPUTED_VALUE"""),1805.81)</f>
        <v>1805.81</v>
      </c>
    </row>
    <row r="192" spans="1:2" ht="13" x14ac:dyDescent="0.15">
      <c r="A192" s="2">
        <f ca="1">IFERROR(__xludf.DUMMYFUNCTION("""COMPUTED_VALUE"""),41610.6666666666)</f>
        <v>41610.666666666599</v>
      </c>
      <c r="B192" s="1">
        <f ca="1">IFERROR(__xludf.DUMMYFUNCTION("""COMPUTED_VALUE"""),1800.9)</f>
        <v>1800.9</v>
      </c>
    </row>
    <row r="193" spans="1:2" ht="13" x14ac:dyDescent="0.15">
      <c r="A193" s="2">
        <f ca="1">IFERROR(__xludf.DUMMYFUNCTION("""COMPUTED_VALUE"""),41611.6666666666)</f>
        <v>41611.666666666599</v>
      </c>
      <c r="B193" s="1">
        <f ca="1">IFERROR(__xludf.DUMMYFUNCTION("""COMPUTED_VALUE"""),1795.15)</f>
        <v>1795.15</v>
      </c>
    </row>
    <row r="194" spans="1:2" ht="13" x14ac:dyDescent="0.15">
      <c r="A194" s="2">
        <f ca="1">IFERROR(__xludf.DUMMYFUNCTION("""COMPUTED_VALUE"""),41612.6666666666)</f>
        <v>41612.666666666599</v>
      </c>
      <c r="B194" s="1">
        <f ca="1">IFERROR(__xludf.DUMMYFUNCTION("""COMPUTED_VALUE"""),1792.81)</f>
        <v>1792.81</v>
      </c>
    </row>
    <row r="195" spans="1:2" ht="13" x14ac:dyDescent="0.15">
      <c r="A195" s="2">
        <f ca="1">IFERROR(__xludf.DUMMYFUNCTION("""COMPUTED_VALUE"""),41613.6666666666)</f>
        <v>41613.666666666599</v>
      </c>
      <c r="B195" s="1">
        <f ca="1">IFERROR(__xludf.DUMMYFUNCTION("""COMPUTED_VALUE"""),1785.03)</f>
        <v>1785.03</v>
      </c>
    </row>
    <row r="196" spans="1:2" ht="13" x14ac:dyDescent="0.15">
      <c r="A196" s="2">
        <f ca="1">IFERROR(__xludf.DUMMYFUNCTION("""COMPUTED_VALUE"""),41614.6666666666)</f>
        <v>41614.666666666599</v>
      </c>
      <c r="B196" s="1">
        <f ca="1">IFERROR(__xludf.DUMMYFUNCTION("""COMPUTED_VALUE"""),1805.09)</f>
        <v>1805.09</v>
      </c>
    </row>
    <row r="197" spans="1:2" ht="13" x14ac:dyDescent="0.15">
      <c r="A197" s="2">
        <f ca="1">IFERROR(__xludf.DUMMYFUNCTION("""COMPUTED_VALUE"""),41617.6666666666)</f>
        <v>41617.666666666599</v>
      </c>
      <c r="B197" s="1">
        <f ca="1">IFERROR(__xludf.DUMMYFUNCTION("""COMPUTED_VALUE"""),1808.37)</f>
        <v>1808.37</v>
      </c>
    </row>
    <row r="198" spans="1:2" ht="13" x14ac:dyDescent="0.15">
      <c r="A198" s="2">
        <f ca="1">IFERROR(__xludf.DUMMYFUNCTION("""COMPUTED_VALUE"""),41618.6666666666)</f>
        <v>41618.666666666599</v>
      </c>
      <c r="B198" s="1">
        <f ca="1">IFERROR(__xludf.DUMMYFUNCTION("""COMPUTED_VALUE"""),1802.62)</f>
        <v>1802.62</v>
      </c>
    </row>
    <row r="199" spans="1:2" ht="13" x14ac:dyDescent="0.15">
      <c r="A199" s="2">
        <f ca="1">IFERROR(__xludf.DUMMYFUNCTION("""COMPUTED_VALUE"""),41619.6666666666)</f>
        <v>41619.666666666599</v>
      </c>
      <c r="B199" s="1">
        <f ca="1">IFERROR(__xludf.DUMMYFUNCTION("""COMPUTED_VALUE"""),1782.22)</f>
        <v>1782.22</v>
      </c>
    </row>
    <row r="200" spans="1:2" ht="13" x14ac:dyDescent="0.15">
      <c r="A200" s="2">
        <f ca="1">IFERROR(__xludf.DUMMYFUNCTION("""COMPUTED_VALUE"""),41620.6666666666)</f>
        <v>41620.666666666599</v>
      </c>
      <c r="B200" s="1">
        <f ca="1">IFERROR(__xludf.DUMMYFUNCTION("""COMPUTED_VALUE"""),1775.5)</f>
        <v>1775.5</v>
      </c>
    </row>
    <row r="201" spans="1:2" ht="13" x14ac:dyDescent="0.15">
      <c r="A201" s="2">
        <f ca="1">IFERROR(__xludf.DUMMYFUNCTION("""COMPUTED_VALUE"""),41621.6666666666)</f>
        <v>41621.666666666599</v>
      </c>
      <c r="B201" s="1">
        <f ca="1">IFERROR(__xludf.DUMMYFUNCTION("""COMPUTED_VALUE"""),1775.32)</f>
        <v>1775.32</v>
      </c>
    </row>
    <row r="202" spans="1:2" ht="13" x14ac:dyDescent="0.15">
      <c r="A202" s="2">
        <f ca="1">IFERROR(__xludf.DUMMYFUNCTION("""COMPUTED_VALUE"""),41624.6666666666)</f>
        <v>41624.666666666599</v>
      </c>
      <c r="B202" s="1">
        <f ca="1">IFERROR(__xludf.DUMMYFUNCTION("""COMPUTED_VALUE"""),1786.54)</f>
        <v>1786.54</v>
      </c>
    </row>
    <row r="203" spans="1:2" ht="13" x14ac:dyDescent="0.15">
      <c r="A203" s="2">
        <f ca="1">IFERROR(__xludf.DUMMYFUNCTION("""COMPUTED_VALUE"""),41625.6666666666)</f>
        <v>41625.666666666599</v>
      </c>
      <c r="B203" s="1">
        <f ca="1">IFERROR(__xludf.DUMMYFUNCTION("""COMPUTED_VALUE"""),1781)</f>
        <v>1781</v>
      </c>
    </row>
    <row r="204" spans="1:2" ht="13" x14ac:dyDescent="0.15">
      <c r="A204" s="2">
        <f ca="1">IFERROR(__xludf.DUMMYFUNCTION("""COMPUTED_VALUE"""),41626.6666666666)</f>
        <v>41626.666666666599</v>
      </c>
      <c r="B204" s="1">
        <f ca="1">IFERROR(__xludf.DUMMYFUNCTION("""COMPUTED_VALUE"""),1810.65)</f>
        <v>1810.65</v>
      </c>
    </row>
    <row r="205" spans="1:2" ht="13" x14ac:dyDescent="0.15">
      <c r="A205" s="2">
        <f ca="1">IFERROR(__xludf.DUMMYFUNCTION("""COMPUTED_VALUE"""),41627.6666666666)</f>
        <v>41627.666666666599</v>
      </c>
      <c r="B205" s="1">
        <f ca="1">IFERROR(__xludf.DUMMYFUNCTION("""COMPUTED_VALUE"""),1809.6)</f>
        <v>1809.6</v>
      </c>
    </row>
    <row r="206" spans="1:2" ht="13" x14ac:dyDescent="0.15">
      <c r="A206" s="2">
        <f ca="1">IFERROR(__xludf.DUMMYFUNCTION("""COMPUTED_VALUE"""),41628.6666666666)</f>
        <v>41628.666666666599</v>
      </c>
      <c r="B206" s="1">
        <f ca="1">IFERROR(__xludf.DUMMYFUNCTION("""COMPUTED_VALUE"""),1818.31)</f>
        <v>1818.31</v>
      </c>
    </row>
    <row r="207" spans="1:2" ht="13" x14ac:dyDescent="0.15">
      <c r="A207" s="2">
        <f ca="1">IFERROR(__xludf.DUMMYFUNCTION("""COMPUTED_VALUE"""),41631.6666666666)</f>
        <v>41631.666666666599</v>
      </c>
      <c r="B207" s="1">
        <f ca="1">IFERROR(__xludf.DUMMYFUNCTION("""COMPUTED_VALUE"""),1827.99)</f>
        <v>1827.99</v>
      </c>
    </row>
    <row r="208" spans="1:2" ht="13" x14ac:dyDescent="0.15">
      <c r="A208" s="2">
        <f ca="1">IFERROR(__xludf.DUMMYFUNCTION("""COMPUTED_VALUE"""),41632.6666666666)</f>
        <v>41632.666666666599</v>
      </c>
      <c r="B208" s="1">
        <f ca="1">IFERROR(__xludf.DUMMYFUNCTION("""COMPUTED_VALUE"""),1833.32)</f>
        <v>1833.32</v>
      </c>
    </row>
    <row r="209" spans="1:2" ht="13" x14ac:dyDescent="0.15">
      <c r="A209" s="2">
        <f ca="1">IFERROR(__xludf.DUMMYFUNCTION("""COMPUTED_VALUE"""),41634.6666666666)</f>
        <v>41634.666666666599</v>
      </c>
      <c r="B209" s="1">
        <f ca="1">IFERROR(__xludf.DUMMYFUNCTION("""COMPUTED_VALUE"""),1842.02)</f>
        <v>1842.02</v>
      </c>
    </row>
    <row r="210" spans="1:2" ht="13" x14ac:dyDescent="0.15">
      <c r="A210" s="2">
        <f ca="1">IFERROR(__xludf.DUMMYFUNCTION("""COMPUTED_VALUE"""),41635.6666666666)</f>
        <v>41635.666666666599</v>
      </c>
      <c r="B210" s="1">
        <f ca="1">IFERROR(__xludf.DUMMYFUNCTION("""COMPUTED_VALUE"""),1841.4)</f>
        <v>1841.4</v>
      </c>
    </row>
    <row r="211" spans="1:2" ht="13" x14ac:dyDescent="0.15">
      <c r="A211" s="2">
        <f ca="1">IFERROR(__xludf.DUMMYFUNCTION("""COMPUTED_VALUE"""),41638.6666666666)</f>
        <v>41638.666666666599</v>
      </c>
      <c r="B211" s="1">
        <f ca="1">IFERROR(__xludf.DUMMYFUNCTION("""COMPUTED_VALUE"""),1841.07)</f>
        <v>1841.07</v>
      </c>
    </row>
    <row r="212" spans="1:2" ht="13" x14ac:dyDescent="0.15">
      <c r="A212" s="2">
        <f ca="1">IFERROR(__xludf.DUMMYFUNCTION("""COMPUTED_VALUE"""),41639.6666666666)</f>
        <v>41639.666666666599</v>
      </c>
      <c r="B212" s="1">
        <f ca="1">IFERROR(__xludf.DUMMYFUNCTION("""COMPUTED_VALUE"""),1848.36)</f>
        <v>1848.36</v>
      </c>
    </row>
    <row r="213" spans="1:2" ht="13" x14ac:dyDescent="0.15">
      <c r="A213" s="2">
        <f ca="1">IFERROR(__xludf.DUMMYFUNCTION("""COMPUTED_VALUE"""),41641.6666666666)</f>
        <v>41641.666666666599</v>
      </c>
      <c r="B213" s="1">
        <f ca="1">IFERROR(__xludf.DUMMYFUNCTION("""COMPUTED_VALUE"""),1831.98)</f>
        <v>1831.98</v>
      </c>
    </row>
    <row r="214" spans="1:2" ht="13" x14ac:dyDescent="0.15">
      <c r="A214" s="2">
        <f ca="1">IFERROR(__xludf.DUMMYFUNCTION("""COMPUTED_VALUE"""),41642.6666666666)</f>
        <v>41642.666666666599</v>
      </c>
      <c r="B214" s="1">
        <f ca="1">IFERROR(__xludf.DUMMYFUNCTION("""COMPUTED_VALUE"""),1831.37)</f>
        <v>1831.37</v>
      </c>
    </row>
    <row r="215" spans="1:2" ht="13" x14ac:dyDescent="0.15">
      <c r="A215" s="2">
        <f ca="1">IFERROR(__xludf.DUMMYFUNCTION("""COMPUTED_VALUE"""),41645.6666666666)</f>
        <v>41645.666666666599</v>
      </c>
      <c r="B215" s="1">
        <f ca="1">IFERROR(__xludf.DUMMYFUNCTION("""COMPUTED_VALUE"""),1826.77)</f>
        <v>1826.77</v>
      </c>
    </row>
    <row r="216" spans="1:2" ht="13" x14ac:dyDescent="0.15">
      <c r="A216" s="2">
        <f ca="1">IFERROR(__xludf.DUMMYFUNCTION("""COMPUTED_VALUE"""),41646.6666666666)</f>
        <v>41646.666666666599</v>
      </c>
      <c r="B216" s="1">
        <f ca="1">IFERROR(__xludf.DUMMYFUNCTION("""COMPUTED_VALUE"""),1837.88)</f>
        <v>1837.88</v>
      </c>
    </row>
    <row r="217" spans="1:2" ht="13" x14ac:dyDescent="0.15">
      <c r="A217" s="2">
        <f ca="1">IFERROR(__xludf.DUMMYFUNCTION("""COMPUTED_VALUE"""),41647.6666666666)</f>
        <v>41647.666666666599</v>
      </c>
      <c r="B217" s="1">
        <f ca="1">IFERROR(__xludf.DUMMYFUNCTION("""COMPUTED_VALUE"""),1837.49)</f>
        <v>1837.49</v>
      </c>
    </row>
    <row r="218" spans="1:2" ht="13" x14ac:dyDescent="0.15">
      <c r="A218" s="2">
        <f ca="1">IFERROR(__xludf.DUMMYFUNCTION("""COMPUTED_VALUE"""),41648.6666666666)</f>
        <v>41648.666666666599</v>
      </c>
      <c r="B218" s="1">
        <f ca="1">IFERROR(__xludf.DUMMYFUNCTION("""COMPUTED_VALUE"""),1838.13)</f>
        <v>1838.13</v>
      </c>
    </row>
    <row r="219" spans="1:2" ht="13" x14ac:dyDescent="0.15">
      <c r="A219" s="2">
        <f ca="1">IFERROR(__xludf.DUMMYFUNCTION("""COMPUTED_VALUE"""),41649.6666666666)</f>
        <v>41649.666666666599</v>
      </c>
      <c r="B219" s="1">
        <f ca="1">IFERROR(__xludf.DUMMYFUNCTION("""COMPUTED_VALUE"""),1842.37)</f>
        <v>1842.37</v>
      </c>
    </row>
    <row r="220" spans="1:2" ht="13" x14ac:dyDescent="0.15">
      <c r="A220" s="2">
        <f ca="1">IFERROR(__xludf.DUMMYFUNCTION("""COMPUTED_VALUE"""),41652.6666666666)</f>
        <v>41652.666666666599</v>
      </c>
      <c r="B220" s="1">
        <f ca="1">IFERROR(__xludf.DUMMYFUNCTION("""COMPUTED_VALUE"""),1819.2)</f>
        <v>1819.2</v>
      </c>
    </row>
    <row r="221" spans="1:2" ht="13" x14ac:dyDescent="0.15">
      <c r="A221" s="2">
        <f ca="1">IFERROR(__xludf.DUMMYFUNCTION("""COMPUTED_VALUE"""),41653.6666666666)</f>
        <v>41653.666666666599</v>
      </c>
      <c r="B221" s="1">
        <f ca="1">IFERROR(__xludf.DUMMYFUNCTION("""COMPUTED_VALUE"""),1838.88)</f>
        <v>1838.88</v>
      </c>
    </row>
    <row r="222" spans="1:2" ht="13" x14ac:dyDescent="0.15">
      <c r="A222" s="2">
        <f ca="1">IFERROR(__xludf.DUMMYFUNCTION("""COMPUTED_VALUE"""),41654.6666666666)</f>
        <v>41654.666666666599</v>
      </c>
      <c r="B222" s="1">
        <f ca="1">IFERROR(__xludf.DUMMYFUNCTION("""COMPUTED_VALUE"""),1848.38)</f>
        <v>1848.38</v>
      </c>
    </row>
    <row r="223" spans="1:2" ht="13" x14ac:dyDescent="0.15">
      <c r="A223" s="2">
        <f ca="1">IFERROR(__xludf.DUMMYFUNCTION("""COMPUTED_VALUE"""),41655.6666666666)</f>
        <v>41655.666666666599</v>
      </c>
      <c r="B223" s="1">
        <f ca="1">IFERROR(__xludf.DUMMYFUNCTION("""COMPUTED_VALUE"""),1845.89)</f>
        <v>1845.89</v>
      </c>
    </row>
    <row r="224" spans="1:2" ht="13" x14ac:dyDescent="0.15">
      <c r="A224" s="2">
        <f ca="1">IFERROR(__xludf.DUMMYFUNCTION("""COMPUTED_VALUE"""),41656.6666666666)</f>
        <v>41656.666666666599</v>
      </c>
      <c r="B224" s="1">
        <f ca="1">IFERROR(__xludf.DUMMYFUNCTION("""COMPUTED_VALUE"""),1838.7)</f>
        <v>1838.7</v>
      </c>
    </row>
    <row r="225" spans="1:2" ht="13" x14ac:dyDescent="0.15">
      <c r="A225" s="2">
        <f ca="1">IFERROR(__xludf.DUMMYFUNCTION("""COMPUTED_VALUE"""),41660.6666666666)</f>
        <v>41660.666666666599</v>
      </c>
      <c r="B225" s="1">
        <f ca="1">IFERROR(__xludf.DUMMYFUNCTION("""COMPUTED_VALUE"""),1843.8)</f>
        <v>1843.8</v>
      </c>
    </row>
    <row r="226" spans="1:2" ht="13" x14ac:dyDescent="0.15">
      <c r="A226" s="2">
        <f ca="1">IFERROR(__xludf.DUMMYFUNCTION("""COMPUTED_VALUE"""),41661.6666666666)</f>
        <v>41661.666666666599</v>
      </c>
      <c r="B226" s="1">
        <f ca="1">IFERROR(__xludf.DUMMYFUNCTION("""COMPUTED_VALUE"""),1844.86)</f>
        <v>1844.86</v>
      </c>
    </row>
    <row r="227" spans="1:2" ht="13" x14ac:dyDescent="0.15">
      <c r="A227" s="2">
        <f ca="1">IFERROR(__xludf.DUMMYFUNCTION("""COMPUTED_VALUE"""),41662.6666666666)</f>
        <v>41662.666666666599</v>
      </c>
      <c r="B227" s="1">
        <f ca="1">IFERROR(__xludf.DUMMYFUNCTION("""COMPUTED_VALUE"""),1828.46)</f>
        <v>1828.46</v>
      </c>
    </row>
    <row r="228" spans="1:2" ht="13" x14ac:dyDescent="0.15">
      <c r="A228" s="2">
        <f ca="1">IFERROR(__xludf.DUMMYFUNCTION("""COMPUTED_VALUE"""),41663.6666666666)</f>
        <v>41663.666666666599</v>
      </c>
      <c r="B228" s="1">
        <f ca="1">IFERROR(__xludf.DUMMYFUNCTION("""COMPUTED_VALUE"""),1790.29)</f>
        <v>1790.29</v>
      </c>
    </row>
    <row r="229" spans="1:2" ht="13" x14ac:dyDescent="0.15">
      <c r="A229" s="2">
        <f ca="1">IFERROR(__xludf.DUMMYFUNCTION("""COMPUTED_VALUE"""),41666.6666666666)</f>
        <v>41666.666666666599</v>
      </c>
      <c r="B229" s="1">
        <f ca="1">IFERROR(__xludf.DUMMYFUNCTION("""COMPUTED_VALUE"""),1781.56)</f>
        <v>1781.56</v>
      </c>
    </row>
    <row r="230" spans="1:2" ht="13" x14ac:dyDescent="0.15">
      <c r="A230" s="2">
        <f ca="1">IFERROR(__xludf.DUMMYFUNCTION("""COMPUTED_VALUE"""),41667.6666666666)</f>
        <v>41667.666666666599</v>
      </c>
      <c r="B230" s="1">
        <f ca="1">IFERROR(__xludf.DUMMYFUNCTION("""COMPUTED_VALUE"""),1792.5)</f>
        <v>1792.5</v>
      </c>
    </row>
    <row r="231" spans="1:2" ht="13" x14ac:dyDescent="0.15">
      <c r="A231" s="2">
        <f ca="1">IFERROR(__xludf.DUMMYFUNCTION("""COMPUTED_VALUE"""),41668.6666666666)</f>
        <v>41668.666666666599</v>
      </c>
      <c r="B231" s="1">
        <f ca="1">IFERROR(__xludf.DUMMYFUNCTION("""COMPUTED_VALUE"""),1774.2)</f>
        <v>1774.2</v>
      </c>
    </row>
    <row r="232" spans="1:2" ht="13" x14ac:dyDescent="0.15">
      <c r="A232" s="2">
        <f ca="1">IFERROR(__xludf.DUMMYFUNCTION("""COMPUTED_VALUE"""),41669.6666666666)</f>
        <v>41669.666666666599</v>
      </c>
      <c r="B232" s="1">
        <f ca="1">IFERROR(__xludf.DUMMYFUNCTION("""COMPUTED_VALUE"""),1794.19)</f>
        <v>1794.19</v>
      </c>
    </row>
    <row r="233" spans="1:2" ht="13" x14ac:dyDescent="0.15">
      <c r="A233" s="2">
        <f ca="1">IFERROR(__xludf.DUMMYFUNCTION("""COMPUTED_VALUE"""),41670.6666666666)</f>
        <v>41670.666666666599</v>
      </c>
      <c r="B233" s="1">
        <f ca="1">IFERROR(__xludf.DUMMYFUNCTION("""COMPUTED_VALUE"""),1782.59)</f>
        <v>1782.59</v>
      </c>
    </row>
    <row r="234" spans="1:2" ht="13" x14ac:dyDescent="0.15">
      <c r="A234" s="2">
        <f ca="1">IFERROR(__xludf.DUMMYFUNCTION("""COMPUTED_VALUE"""),41673.6666666666)</f>
        <v>41673.666666666599</v>
      </c>
      <c r="B234" s="1">
        <f ca="1">IFERROR(__xludf.DUMMYFUNCTION("""COMPUTED_VALUE"""),1741.89)</f>
        <v>1741.89</v>
      </c>
    </row>
    <row r="235" spans="1:2" ht="13" x14ac:dyDescent="0.15">
      <c r="A235" s="2">
        <f ca="1">IFERROR(__xludf.DUMMYFUNCTION("""COMPUTED_VALUE"""),41674.6666666666)</f>
        <v>41674.666666666599</v>
      </c>
      <c r="B235" s="1">
        <f ca="1">IFERROR(__xludf.DUMMYFUNCTION("""COMPUTED_VALUE"""),1755.2)</f>
        <v>1755.2</v>
      </c>
    </row>
    <row r="236" spans="1:2" ht="13" x14ac:dyDescent="0.15">
      <c r="A236" s="2">
        <f ca="1">IFERROR(__xludf.DUMMYFUNCTION("""COMPUTED_VALUE"""),41675.6666666666)</f>
        <v>41675.666666666599</v>
      </c>
      <c r="B236" s="1">
        <f ca="1">IFERROR(__xludf.DUMMYFUNCTION("""COMPUTED_VALUE"""),1751.64)</f>
        <v>1751.64</v>
      </c>
    </row>
    <row r="237" spans="1:2" ht="13" x14ac:dyDescent="0.15">
      <c r="A237" s="2">
        <f ca="1">IFERROR(__xludf.DUMMYFUNCTION("""COMPUTED_VALUE"""),41676.6666666666)</f>
        <v>41676.666666666599</v>
      </c>
      <c r="B237" s="1">
        <f ca="1">IFERROR(__xludf.DUMMYFUNCTION("""COMPUTED_VALUE"""),1773.43)</f>
        <v>1773.43</v>
      </c>
    </row>
    <row r="238" spans="1:2" ht="13" x14ac:dyDescent="0.15">
      <c r="A238" s="2">
        <f ca="1">IFERROR(__xludf.DUMMYFUNCTION("""COMPUTED_VALUE"""),41677.6666666666)</f>
        <v>41677.666666666599</v>
      </c>
      <c r="B238" s="1">
        <f ca="1">IFERROR(__xludf.DUMMYFUNCTION("""COMPUTED_VALUE"""),1797.02)</f>
        <v>1797.02</v>
      </c>
    </row>
    <row r="239" spans="1:2" ht="13" x14ac:dyDescent="0.15">
      <c r="A239" s="2">
        <f ca="1">IFERROR(__xludf.DUMMYFUNCTION("""COMPUTED_VALUE"""),41680.6666666666)</f>
        <v>41680.666666666599</v>
      </c>
      <c r="B239" s="1">
        <f ca="1">IFERROR(__xludf.DUMMYFUNCTION("""COMPUTED_VALUE"""),1799.84)</f>
        <v>1799.84</v>
      </c>
    </row>
    <row r="240" spans="1:2" ht="13" x14ac:dyDescent="0.15">
      <c r="A240" s="2">
        <f ca="1">IFERROR(__xludf.DUMMYFUNCTION("""COMPUTED_VALUE"""),41681.6666666666)</f>
        <v>41681.666666666599</v>
      </c>
      <c r="B240" s="1">
        <f ca="1">IFERROR(__xludf.DUMMYFUNCTION("""COMPUTED_VALUE"""),1819.75)</f>
        <v>1819.75</v>
      </c>
    </row>
    <row r="241" spans="1:2" ht="13" x14ac:dyDescent="0.15">
      <c r="A241" s="2">
        <f ca="1">IFERROR(__xludf.DUMMYFUNCTION("""COMPUTED_VALUE"""),41682.6666666666)</f>
        <v>41682.666666666599</v>
      </c>
      <c r="B241" s="1">
        <f ca="1">IFERROR(__xludf.DUMMYFUNCTION("""COMPUTED_VALUE"""),1819.26)</f>
        <v>1819.26</v>
      </c>
    </row>
    <row r="242" spans="1:2" ht="13" x14ac:dyDescent="0.15">
      <c r="A242" s="2">
        <f ca="1">IFERROR(__xludf.DUMMYFUNCTION("""COMPUTED_VALUE"""),41683.6666666666)</f>
        <v>41683.666666666599</v>
      </c>
      <c r="B242" s="1">
        <f ca="1">IFERROR(__xludf.DUMMYFUNCTION("""COMPUTED_VALUE"""),1829.83)</f>
        <v>1829.83</v>
      </c>
    </row>
    <row r="243" spans="1:2" ht="13" x14ac:dyDescent="0.15">
      <c r="A243" s="2">
        <f ca="1">IFERROR(__xludf.DUMMYFUNCTION("""COMPUTED_VALUE"""),41684.6666666666)</f>
        <v>41684.666666666599</v>
      </c>
      <c r="B243" s="1">
        <f ca="1">IFERROR(__xludf.DUMMYFUNCTION("""COMPUTED_VALUE"""),1838.63)</f>
        <v>1838.63</v>
      </c>
    </row>
    <row r="244" spans="1:2" ht="13" x14ac:dyDescent="0.15">
      <c r="A244" s="2">
        <f ca="1">IFERROR(__xludf.DUMMYFUNCTION("""COMPUTED_VALUE"""),41688.6666666666)</f>
        <v>41688.666666666599</v>
      </c>
      <c r="B244" s="1">
        <f ca="1">IFERROR(__xludf.DUMMYFUNCTION("""COMPUTED_VALUE"""),1840.76)</f>
        <v>1840.76</v>
      </c>
    </row>
    <row r="245" spans="1:2" ht="13" x14ac:dyDescent="0.15">
      <c r="A245" s="2">
        <f ca="1">IFERROR(__xludf.DUMMYFUNCTION("""COMPUTED_VALUE"""),41690.6666666666)</f>
        <v>41690.666666666599</v>
      </c>
      <c r="B245" s="1">
        <f ca="1">IFERROR(__xludf.DUMMYFUNCTION("""COMPUTED_VALUE"""),1839.78)</f>
        <v>1839.78</v>
      </c>
    </row>
    <row r="246" spans="1:2" ht="13" x14ac:dyDescent="0.15">
      <c r="A246" s="2">
        <f ca="1">IFERROR(__xludf.DUMMYFUNCTION("""COMPUTED_VALUE"""),41691.6666666666)</f>
        <v>41691.666666666599</v>
      </c>
      <c r="B246" s="1">
        <f ca="1">IFERROR(__xludf.DUMMYFUNCTION("""COMPUTED_VALUE"""),1836.25)</f>
        <v>1836.25</v>
      </c>
    </row>
    <row r="247" spans="1:2" ht="13" x14ac:dyDescent="0.15">
      <c r="A247" s="2">
        <f ca="1">IFERROR(__xludf.DUMMYFUNCTION("""COMPUTED_VALUE"""),41694.6666666666)</f>
        <v>41694.666666666599</v>
      </c>
      <c r="B247" s="1">
        <f ca="1">IFERROR(__xludf.DUMMYFUNCTION("""COMPUTED_VALUE"""),1847.61)</f>
        <v>1847.61</v>
      </c>
    </row>
    <row r="248" spans="1:2" ht="13" x14ac:dyDescent="0.15">
      <c r="A248" s="2">
        <f ca="1">IFERROR(__xludf.DUMMYFUNCTION("""COMPUTED_VALUE"""),41695.6666666666)</f>
        <v>41695.666666666599</v>
      </c>
      <c r="B248" s="1">
        <f ca="1">IFERROR(__xludf.DUMMYFUNCTION("""COMPUTED_VALUE"""),1845.12)</f>
        <v>1845.12</v>
      </c>
    </row>
    <row r="249" spans="1:2" ht="13" x14ac:dyDescent="0.15">
      <c r="A249" s="2">
        <f ca="1">IFERROR(__xludf.DUMMYFUNCTION("""COMPUTED_VALUE"""),41696.6666666666)</f>
        <v>41696.666666666599</v>
      </c>
      <c r="B249" s="1">
        <f ca="1">IFERROR(__xludf.DUMMYFUNCTION("""COMPUTED_VALUE"""),1845.16)</f>
        <v>1845.16</v>
      </c>
    </row>
    <row r="250" spans="1:2" ht="13" x14ac:dyDescent="0.15">
      <c r="A250" s="2">
        <f ca="1">IFERROR(__xludf.DUMMYFUNCTION("""COMPUTED_VALUE"""),41697.6666666666)</f>
        <v>41697.666666666599</v>
      </c>
      <c r="B250" s="1">
        <f ca="1">IFERROR(__xludf.DUMMYFUNCTION("""COMPUTED_VALUE"""),1854.29)</f>
        <v>1854.29</v>
      </c>
    </row>
    <row r="251" spans="1:2" ht="13" x14ac:dyDescent="0.15">
      <c r="A251" s="2">
        <f ca="1">IFERROR(__xludf.DUMMYFUNCTION("""COMPUTED_VALUE"""),41698.6666666666)</f>
        <v>41698.666666666599</v>
      </c>
      <c r="B251" s="1">
        <f ca="1">IFERROR(__xludf.DUMMYFUNCTION("""COMPUTED_VALUE"""),1859.45)</f>
        <v>1859.45</v>
      </c>
    </row>
    <row r="252" spans="1:2" ht="13" x14ac:dyDescent="0.15">
      <c r="A252" s="2">
        <f ca="1">IFERROR(__xludf.DUMMYFUNCTION("""COMPUTED_VALUE"""),41701.6666666666)</f>
        <v>41701.666666666599</v>
      </c>
      <c r="B252" s="1">
        <f ca="1">IFERROR(__xludf.DUMMYFUNCTION("""COMPUTED_VALUE"""),1845.73)</f>
        <v>1845.73</v>
      </c>
    </row>
    <row r="253" spans="1:2" ht="13" x14ac:dyDescent="0.15">
      <c r="A253" s="2">
        <f ca="1">IFERROR(__xludf.DUMMYFUNCTION("""COMPUTED_VALUE"""),41702.6666666666)</f>
        <v>41702.666666666599</v>
      </c>
      <c r="B253" s="1">
        <f ca="1">IFERROR(__xludf.DUMMYFUNCTION("""COMPUTED_VALUE"""),1873.91)</f>
        <v>1873.91</v>
      </c>
    </row>
    <row r="254" spans="1:2" ht="13" x14ac:dyDescent="0.15">
      <c r="A254" s="2">
        <f ca="1">IFERROR(__xludf.DUMMYFUNCTION("""COMPUTED_VALUE"""),41703.6666666666)</f>
        <v>41703.666666666599</v>
      </c>
      <c r="B254" s="1">
        <f ca="1">IFERROR(__xludf.DUMMYFUNCTION("""COMPUTED_VALUE"""),1873.81)</f>
        <v>1873.81</v>
      </c>
    </row>
    <row r="255" spans="1:2" ht="13" x14ac:dyDescent="0.15">
      <c r="A255" s="2">
        <f ca="1">IFERROR(__xludf.DUMMYFUNCTION("""COMPUTED_VALUE"""),41704.6666666666)</f>
        <v>41704.666666666599</v>
      </c>
      <c r="B255" s="1">
        <f ca="1">IFERROR(__xludf.DUMMYFUNCTION("""COMPUTED_VALUE"""),1877.03)</f>
        <v>1877.03</v>
      </c>
    </row>
    <row r="256" spans="1:2" ht="13" x14ac:dyDescent="0.15">
      <c r="A256" s="2">
        <f ca="1">IFERROR(__xludf.DUMMYFUNCTION("""COMPUTED_VALUE"""),41705.6666666666)</f>
        <v>41705.666666666599</v>
      </c>
      <c r="B256" s="1">
        <f ca="1">IFERROR(__xludf.DUMMYFUNCTION("""COMPUTED_VALUE"""),1878.04)</f>
        <v>1878.04</v>
      </c>
    </row>
    <row r="257" spans="1:2" ht="13" x14ac:dyDescent="0.15">
      <c r="A257" s="2">
        <f ca="1">IFERROR(__xludf.DUMMYFUNCTION("""COMPUTED_VALUE"""),41708.6666666666)</f>
        <v>41708.666666666599</v>
      </c>
      <c r="B257" s="1">
        <f ca="1">IFERROR(__xludf.DUMMYFUNCTION("""COMPUTED_VALUE"""),1877.17)</f>
        <v>1877.17</v>
      </c>
    </row>
    <row r="258" spans="1:2" ht="13" x14ac:dyDescent="0.15">
      <c r="A258" s="2">
        <f ca="1">IFERROR(__xludf.DUMMYFUNCTION("""COMPUTED_VALUE"""),41709.6666666666)</f>
        <v>41709.666666666599</v>
      </c>
      <c r="B258" s="1">
        <f ca="1">IFERROR(__xludf.DUMMYFUNCTION("""COMPUTED_VALUE"""),1867.63)</f>
        <v>1867.63</v>
      </c>
    </row>
    <row r="259" spans="1:2" ht="13" x14ac:dyDescent="0.15">
      <c r="A259" s="2">
        <f ca="1">IFERROR(__xludf.DUMMYFUNCTION("""COMPUTED_VALUE"""),41710.6666666666)</f>
        <v>41710.666666666599</v>
      </c>
      <c r="B259" s="1">
        <f ca="1">IFERROR(__xludf.DUMMYFUNCTION("""COMPUTED_VALUE"""),1868.2)</f>
        <v>1868.2</v>
      </c>
    </row>
    <row r="260" spans="1:2" ht="13" x14ac:dyDescent="0.15">
      <c r="A260" s="2">
        <f ca="1">IFERROR(__xludf.DUMMYFUNCTION("""COMPUTED_VALUE"""),41711.6666666666)</f>
        <v>41711.666666666599</v>
      </c>
      <c r="B260" s="1">
        <f ca="1">IFERROR(__xludf.DUMMYFUNCTION("""COMPUTED_VALUE"""),1846.34)</f>
        <v>1846.34</v>
      </c>
    </row>
    <row r="261" spans="1:2" ht="13" x14ac:dyDescent="0.15">
      <c r="A261" s="2">
        <f ca="1">IFERROR(__xludf.DUMMYFUNCTION("""COMPUTED_VALUE"""),41712.6666666666)</f>
        <v>41712.666666666599</v>
      </c>
      <c r="B261" s="1">
        <f ca="1">IFERROR(__xludf.DUMMYFUNCTION("""COMPUTED_VALUE"""),1841.13)</f>
        <v>1841.13</v>
      </c>
    </row>
    <row r="262" spans="1:2" ht="13" x14ac:dyDescent="0.15">
      <c r="A262" s="2">
        <f ca="1">IFERROR(__xludf.DUMMYFUNCTION("""COMPUTED_VALUE"""),41715.6666666666)</f>
        <v>41715.666666666599</v>
      </c>
      <c r="B262" s="1">
        <f ca="1">IFERROR(__xludf.DUMMYFUNCTION("""COMPUTED_VALUE"""),1858.83)</f>
        <v>1858.83</v>
      </c>
    </row>
    <row r="263" spans="1:2" ht="13" x14ac:dyDescent="0.15">
      <c r="A263" s="2">
        <f ca="1">IFERROR(__xludf.DUMMYFUNCTION("""COMPUTED_VALUE"""),41716.6666666666)</f>
        <v>41716.666666666599</v>
      </c>
      <c r="B263" s="1">
        <f ca="1">IFERROR(__xludf.DUMMYFUNCTION("""COMPUTED_VALUE"""),1872.25)</f>
        <v>1872.25</v>
      </c>
    </row>
    <row r="264" spans="1:2" ht="13" x14ac:dyDescent="0.15">
      <c r="A264" s="2">
        <f ca="1">IFERROR(__xludf.DUMMYFUNCTION("""COMPUTED_VALUE"""),41717.6666666666)</f>
        <v>41717.666666666599</v>
      </c>
      <c r="B264" s="1">
        <f ca="1">IFERROR(__xludf.DUMMYFUNCTION("""COMPUTED_VALUE"""),1860.77)</f>
        <v>1860.77</v>
      </c>
    </row>
    <row r="265" spans="1:2" ht="13" x14ac:dyDescent="0.15">
      <c r="A265" s="2">
        <f ca="1">IFERROR(__xludf.DUMMYFUNCTION("""COMPUTED_VALUE"""),41718.6666666666)</f>
        <v>41718.666666666599</v>
      </c>
      <c r="B265" s="1">
        <f ca="1">IFERROR(__xludf.DUMMYFUNCTION("""COMPUTED_VALUE"""),1872.01)</f>
        <v>1872.01</v>
      </c>
    </row>
    <row r="266" spans="1:2" ht="13" x14ac:dyDescent="0.15">
      <c r="A266" s="2">
        <f ca="1">IFERROR(__xludf.DUMMYFUNCTION("""COMPUTED_VALUE"""),41719.6666666666)</f>
        <v>41719.666666666599</v>
      </c>
      <c r="B266" s="1">
        <f ca="1">IFERROR(__xludf.DUMMYFUNCTION("""COMPUTED_VALUE"""),1866.4)</f>
        <v>1866.4</v>
      </c>
    </row>
    <row r="267" spans="1:2" ht="13" x14ac:dyDescent="0.15">
      <c r="A267" s="2">
        <f ca="1">IFERROR(__xludf.DUMMYFUNCTION("""COMPUTED_VALUE"""),41722.6666666666)</f>
        <v>41722.666666666599</v>
      </c>
      <c r="B267" s="1">
        <f ca="1">IFERROR(__xludf.DUMMYFUNCTION("""COMPUTED_VALUE"""),1857.44)</f>
        <v>1857.44</v>
      </c>
    </row>
    <row r="268" spans="1:2" ht="13" x14ac:dyDescent="0.15">
      <c r="A268" s="2">
        <f ca="1">IFERROR(__xludf.DUMMYFUNCTION("""COMPUTED_VALUE"""),41723.6666666666)</f>
        <v>41723.666666666599</v>
      </c>
      <c r="B268" s="1">
        <f ca="1">IFERROR(__xludf.DUMMYFUNCTION("""COMPUTED_VALUE"""),1865.62)</f>
        <v>1865.62</v>
      </c>
    </row>
    <row r="269" spans="1:2" ht="13" x14ac:dyDescent="0.15">
      <c r="A269" s="2">
        <f ca="1">IFERROR(__xludf.DUMMYFUNCTION("""COMPUTED_VALUE"""),41724.6666666666)</f>
        <v>41724.666666666599</v>
      </c>
      <c r="B269" s="1">
        <f ca="1">IFERROR(__xludf.DUMMYFUNCTION("""COMPUTED_VALUE"""),1852.56)</f>
        <v>1852.56</v>
      </c>
    </row>
    <row r="270" spans="1:2" ht="13" x14ac:dyDescent="0.15">
      <c r="A270" s="2">
        <f ca="1">IFERROR(__xludf.DUMMYFUNCTION("""COMPUTED_VALUE"""),41725.6666666666)</f>
        <v>41725.666666666599</v>
      </c>
      <c r="B270" s="1">
        <f ca="1">IFERROR(__xludf.DUMMYFUNCTION("""COMPUTED_VALUE"""),1849.04)</f>
        <v>1849.04</v>
      </c>
    </row>
    <row r="271" spans="1:2" ht="13" x14ac:dyDescent="0.15">
      <c r="A271" s="2">
        <f ca="1">IFERROR(__xludf.DUMMYFUNCTION("""COMPUTED_VALUE"""),41726.6666666666)</f>
        <v>41726.666666666599</v>
      </c>
      <c r="B271" s="1">
        <f ca="1">IFERROR(__xludf.DUMMYFUNCTION("""COMPUTED_VALUE"""),1857.62)</f>
        <v>1857.62</v>
      </c>
    </row>
    <row r="272" spans="1:2" ht="13" x14ac:dyDescent="0.15">
      <c r="A272" s="2">
        <f ca="1">IFERROR(__xludf.DUMMYFUNCTION("""COMPUTED_VALUE"""),41729.6666666666)</f>
        <v>41729.666666666599</v>
      </c>
      <c r="B272" s="1">
        <f ca="1">IFERROR(__xludf.DUMMYFUNCTION("""COMPUTED_VALUE"""),1872.34)</f>
        <v>1872.34</v>
      </c>
    </row>
    <row r="273" spans="1:2" ht="13" x14ac:dyDescent="0.15">
      <c r="A273" s="2">
        <f ca="1">IFERROR(__xludf.DUMMYFUNCTION("""COMPUTED_VALUE"""),41730.6666666666)</f>
        <v>41730.666666666599</v>
      </c>
      <c r="B273" s="1">
        <f ca="1">IFERROR(__xludf.DUMMYFUNCTION("""COMPUTED_VALUE"""),1885.52)</f>
        <v>1885.52</v>
      </c>
    </row>
    <row r="274" spans="1:2" ht="13" x14ac:dyDescent="0.15">
      <c r="A274" s="2">
        <f ca="1">IFERROR(__xludf.DUMMYFUNCTION("""COMPUTED_VALUE"""),41731.6666666666)</f>
        <v>41731.666666666599</v>
      </c>
      <c r="B274" s="1">
        <f ca="1">IFERROR(__xludf.DUMMYFUNCTION("""COMPUTED_VALUE"""),1890.9)</f>
        <v>1890.9</v>
      </c>
    </row>
    <row r="275" spans="1:2" ht="13" x14ac:dyDescent="0.15">
      <c r="A275" s="2">
        <f ca="1">IFERROR(__xludf.DUMMYFUNCTION("""COMPUTED_VALUE"""),41732.6666666666)</f>
        <v>41732.666666666599</v>
      </c>
      <c r="B275" s="1">
        <f ca="1">IFERROR(__xludf.DUMMYFUNCTION("""COMPUTED_VALUE"""),1888.77)</f>
        <v>1888.77</v>
      </c>
    </row>
    <row r="276" spans="1:2" ht="13" x14ac:dyDescent="0.15">
      <c r="A276" s="2">
        <f ca="1">IFERROR(__xludf.DUMMYFUNCTION("""COMPUTED_VALUE"""),41733.6666666666)</f>
        <v>41733.666666666599</v>
      </c>
      <c r="B276" s="1">
        <f ca="1">IFERROR(__xludf.DUMMYFUNCTION("""COMPUTED_VALUE"""),1865.09)</f>
        <v>1865.09</v>
      </c>
    </row>
    <row r="277" spans="1:2" ht="13" x14ac:dyDescent="0.15">
      <c r="A277" s="2">
        <f ca="1">IFERROR(__xludf.DUMMYFUNCTION("""COMPUTED_VALUE"""),41736.6666666666)</f>
        <v>41736.666666666599</v>
      </c>
      <c r="B277" s="1">
        <f ca="1">IFERROR(__xludf.DUMMYFUNCTION("""COMPUTED_VALUE"""),1845.04)</f>
        <v>1845.04</v>
      </c>
    </row>
    <row r="278" spans="1:2" ht="13" x14ac:dyDescent="0.15">
      <c r="A278" s="2">
        <f ca="1">IFERROR(__xludf.DUMMYFUNCTION("""COMPUTED_VALUE"""),41737.6666666666)</f>
        <v>41737.666666666599</v>
      </c>
      <c r="B278" s="1">
        <f ca="1">IFERROR(__xludf.DUMMYFUNCTION("""COMPUTED_VALUE"""),1851.96)</f>
        <v>1851.96</v>
      </c>
    </row>
    <row r="279" spans="1:2" ht="13" x14ac:dyDescent="0.15">
      <c r="A279" s="2">
        <f ca="1">IFERROR(__xludf.DUMMYFUNCTION("""COMPUTED_VALUE"""),41738.6666666666)</f>
        <v>41738.666666666599</v>
      </c>
      <c r="B279" s="1">
        <f ca="1">IFERROR(__xludf.DUMMYFUNCTION("""COMPUTED_VALUE"""),1872.18)</f>
        <v>1872.18</v>
      </c>
    </row>
    <row r="280" spans="1:2" ht="13" x14ac:dyDescent="0.15">
      <c r="A280" s="2">
        <f ca="1">IFERROR(__xludf.DUMMYFUNCTION("""COMPUTED_VALUE"""),41739.6666666666)</f>
        <v>41739.666666666599</v>
      </c>
      <c r="B280" s="1">
        <f ca="1">IFERROR(__xludf.DUMMYFUNCTION("""COMPUTED_VALUE"""),1833.08)</f>
        <v>1833.08</v>
      </c>
    </row>
    <row r="281" spans="1:2" ht="13" x14ac:dyDescent="0.15">
      <c r="A281" s="2">
        <f ca="1">IFERROR(__xludf.DUMMYFUNCTION("""COMPUTED_VALUE"""),41740.6666666666)</f>
        <v>41740.666666666599</v>
      </c>
      <c r="B281" s="1">
        <f ca="1">IFERROR(__xludf.DUMMYFUNCTION("""COMPUTED_VALUE"""),1815.69)</f>
        <v>1815.69</v>
      </c>
    </row>
    <row r="282" spans="1:2" ht="13" x14ac:dyDescent="0.15">
      <c r="A282" s="2">
        <f ca="1">IFERROR(__xludf.DUMMYFUNCTION("""COMPUTED_VALUE"""),41743.6666666666)</f>
        <v>41743.666666666599</v>
      </c>
      <c r="B282" s="1">
        <f ca="1">IFERROR(__xludf.DUMMYFUNCTION("""COMPUTED_VALUE"""),1830.61)</f>
        <v>1830.61</v>
      </c>
    </row>
    <row r="283" spans="1:2" ht="13" x14ac:dyDescent="0.15">
      <c r="A283" s="2">
        <f ca="1">IFERROR(__xludf.DUMMYFUNCTION("""COMPUTED_VALUE"""),41744.6666666666)</f>
        <v>41744.666666666599</v>
      </c>
      <c r="B283" s="1">
        <f ca="1">IFERROR(__xludf.DUMMYFUNCTION("""COMPUTED_VALUE"""),1842.98)</f>
        <v>1842.98</v>
      </c>
    </row>
    <row r="284" spans="1:2" ht="13" x14ac:dyDescent="0.15">
      <c r="A284" s="2">
        <f ca="1">IFERROR(__xludf.DUMMYFUNCTION("""COMPUTED_VALUE"""),41745.6666666666)</f>
        <v>41745.666666666599</v>
      </c>
      <c r="B284" s="1">
        <f ca="1">IFERROR(__xludf.DUMMYFUNCTION("""COMPUTED_VALUE"""),1862.31)</f>
        <v>1862.31</v>
      </c>
    </row>
    <row r="285" spans="1:2" ht="13" x14ac:dyDescent="0.15">
      <c r="A285" s="2">
        <f ca="1">IFERROR(__xludf.DUMMYFUNCTION("""COMPUTED_VALUE"""),41746.6666666666)</f>
        <v>41746.666666666599</v>
      </c>
      <c r="B285" s="1">
        <f ca="1">IFERROR(__xludf.DUMMYFUNCTION("""COMPUTED_VALUE"""),1864.85)</f>
        <v>1864.85</v>
      </c>
    </row>
    <row r="286" spans="1:2" ht="13" x14ac:dyDescent="0.15">
      <c r="A286" s="2">
        <f ca="1">IFERROR(__xludf.DUMMYFUNCTION("""COMPUTED_VALUE"""),41750.6666666666)</f>
        <v>41750.666666666599</v>
      </c>
      <c r="B286" s="1">
        <f ca="1">IFERROR(__xludf.DUMMYFUNCTION("""COMPUTED_VALUE"""),1871.89)</f>
        <v>1871.89</v>
      </c>
    </row>
    <row r="287" spans="1:2" ht="13" x14ac:dyDescent="0.15">
      <c r="A287" s="2">
        <f ca="1">IFERROR(__xludf.DUMMYFUNCTION("""COMPUTED_VALUE"""),41751.6666666666)</f>
        <v>41751.666666666599</v>
      </c>
      <c r="B287" s="1">
        <f ca="1">IFERROR(__xludf.DUMMYFUNCTION("""COMPUTED_VALUE"""),1879.55)</f>
        <v>1879.55</v>
      </c>
    </row>
    <row r="288" spans="1:2" ht="13" x14ac:dyDescent="0.15">
      <c r="A288" s="2">
        <f ca="1">IFERROR(__xludf.DUMMYFUNCTION("""COMPUTED_VALUE"""),41752.6666666666)</f>
        <v>41752.666666666599</v>
      </c>
      <c r="B288" s="1">
        <f ca="1">IFERROR(__xludf.DUMMYFUNCTION("""COMPUTED_VALUE"""),1875.39)</f>
        <v>1875.39</v>
      </c>
    </row>
    <row r="289" spans="1:2" ht="13" x14ac:dyDescent="0.15">
      <c r="A289" s="2">
        <f ca="1">IFERROR(__xludf.DUMMYFUNCTION("""COMPUTED_VALUE"""),41753.6666666666)</f>
        <v>41753.666666666599</v>
      </c>
      <c r="B289" s="1">
        <f ca="1">IFERROR(__xludf.DUMMYFUNCTION("""COMPUTED_VALUE"""),1878.61)</f>
        <v>1878.61</v>
      </c>
    </row>
    <row r="290" spans="1:2" ht="13" x14ac:dyDescent="0.15">
      <c r="A290" s="2">
        <f ca="1">IFERROR(__xludf.DUMMYFUNCTION("""COMPUTED_VALUE"""),41754.6666666666)</f>
        <v>41754.666666666599</v>
      </c>
      <c r="B290" s="1">
        <f ca="1">IFERROR(__xludf.DUMMYFUNCTION("""COMPUTED_VALUE"""),1863.4)</f>
        <v>1863.4</v>
      </c>
    </row>
    <row r="291" spans="1:2" ht="13" x14ac:dyDescent="0.15">
      <c r="A291" s="2">
        <f ca="1">IFERROR(__xludf.DUMMYFUNCTION("""COMPUTED_VALUE"""),41757.6666666666)</f>
        <v>41757.666666666599</v>
      </c>
      <c r="B291" s="1">
        <f ca="1">IFERROR(__xludf.DUMMYFUNCTION("""COMPUTED_VALUE"""),1869.43)</f>
        <v>1869.43</v>
      </c>
    </row>
    <row r="292" spans="1:2" ht="13" x14ac:dyDescent="0.15">
      <c r="A292" s="2">
        <f ca="1">IFERROR(__xludf.DUMMYFUNCTION("""COMPUTED_VALUE"""),41758.6666666666)</f>
        <v>41758.666666666599</v>
      </c>
      <c r="B292" s="1">
        <f ca="1">IFERROR(__xludf.DUMMYFUNCTION("""COMPUTED_VALUE"""),1878.33)</f>
        <v>1878.33</v>
      </c>
    </row>
    <row r="293" spans="1:2" ht="13" x14ac:dyDescent="0.15">
      <c r="A293" s="2">
        <f ca="1">IFERROR(__xludf.DUMMYFUNCTION("""COMPUTED_VALUE"""),41759.6666666666)</f>
        <v>41759.666666666599</v>
      </c>
      <c r="B293" s="1">
        <f ca="1">IFERROR(__xludf.DUMMYFUNCTION("""COMPUTED_VALUE"""),1883.95)</f>
        <v>1883.95</v>
      </c>
    </row>
    <row r="294" spans="1:2" ht="13" x14ac:dyDescent="0.15">
      <c r="A294" s="2">
        <f ca="1">IFERROR(__xludf.DUMMYFUNCTION("""COMPUTED_VALUE"""),41760.6666666666)</f>
        <v>41760.666666666599</v>
      </c>
      <c r="B294" s="1">
        <f ca="1">IFERROR(__xludf.DUMMYFUNCTION("""COMPUTED_VALUE"""),1883.68)</f>
        <v>1883.68</v>
      </c>
    </row>
    <row r="295" spans="1:2" ht="13" x14ac:dyDescent="0.15">
      <c r="A295" s="2">
        <f ca="1">IFERROR(__xludf.DUMMYFUNCTION("""COMPUTED_VALUE"""),41761.6666666666)</f>
        <v>41761.666666666599</v>
      </c>
      <c r="B295" s="1">
        <f ca="1">IFERROR(__xludf.DUMMYFUNCTION("""COMPUTED_VALUE"""),1881.14)</f>
        <v>1881.14</v>
      </c>
    </row>
    <row r="296" spans="1:2" ht="13" x14ac:dyDescent="0.15">
      <c r="A296" s="2">
        <f ca="1">IFERROR(__xludf.DUMMYFUNCTION("""COMPUTED_VALUE"""),41764.6666666666)</f>
        <v>41764.666666666599</v>
      </c>
      <c r="B296" s="1">
        <f ca="1">IFERROR(__xludf.DUMMYFUNCTION("""COMPUTED_VALUE"""),1884.66)</f>
        <v>1884.66</v>
      </c>
    </row>
    <row r="297" spans="1:2" ht="13" x14ac:dyDescent="0.15">
      <c r="A297" s="2">
        <f ca="1">IFERROR(__xludf.DUMMYFUNCTION("""COMPUTED_VALUE"""),41765.6666666666)</f>
        <v>41765.666666666599</v>
      </c>
      <c r="B297" s="1">
        <f ca="1">IFERROR(__xludf.DUMMYFUNCTION("""COMPUTED_VALUE"""),1867.72)</f>
        <v>1867.72</v>
      </c>
    </row>
    <row r="298" spans="1:2" ht="13" x14ac:dyDescent="0.15">
      <c r="A298" s="2">
        <f ca="1">IFERROR(__xludf.DUMMYFUNCTION("""COMPUTED_VALUE"""),41766.6666666666)</f>
        <v>41766.666666666599</v>
      </c>
      <c r="B298" s="1">
        <f ca="1">IFERROR(__xludf.DUMMYFUNCTION("""COMPUTED_VALUE"""),1878.21)</f>
        <v>1878.21</v>
      </c>
    </row>
    <row r="299" spans="1:2" ht="13" x14ac:dyDescent="0.15">
      <c r="A299" s="2">
        <f ca="1">IFERROR(__xludf.DUMMYFUNCTION("""COMPUTED_VALUE"""),41767.6666666666)</f>
        <v>41767.666666666599</v>
      </c>
      <c r="B299" s="1">
        <f ca="1">IFERROR(__xludf.DUMMYFUNCTION("""COMPUTED_VALUE"""),1875.63)</f>
        <v>1875.63</v>
      </c>
    </row>
    <row r="300" spans="1:2" ht="13" x14ac:dyDescent="0.15">
      <c r="A300" s="2">
        <f ca="1">IFERROR(__xludf.DUMMYFUNCTION("""COMPUTED_VALUE"""),41768.6666666666)</f>
        <v>41768.666666666599</v>
      </c>
      <c r="B300" s="1">
        <f ca="1">IFERROR(__xludf.DUMMYFUNCTION("""COMPUTED_VALUE"""),1878.48)</f>
        <v>1878.48</v>
      </c>
    </row>
    <row r="301" spans="1:2" ht="13" x14ac:dyDescent="0.15">
      <c r="A301" s="2">
        <f ca="1">IFERROR(__xludf.DUMMYFUNCTION("""COMPUTED_VALUE"""),41771.6666666666)</f>
        <v>41771.666666666599</v>
      </c>
      <c r="B301" s="1">
        <f ca="1">IFERROR(__xludf.DUMMYFUNCTION("""COMPUTED_VALUE"""),1896.65)</f>
        <v>1896.65</v>
      </c>
    </row>
    <row r="302" spans="1:2" ht="13" x14ac:dyDescent="0.15">
      <c r="A302" s="2">
        <f ca="1">IFERROR(__xludf.DUMMYFUNCTION("""COMPUTED_VALUE"""),41772.6666666666)</f>
        <v>41772.666666666599</v>
      </c>
      <c r="B302" s="1">
        <f ca="1">IFERROR(__xludf.DUMMYFUNCTION("""COMPUTED_VALUE"""),1897.45)</f>
        <v>1897.45</v>
      </c>
    </row>
    <row r="303" spans="1:2" ht="13" x14ac:dyDescent="0.15">
      <c r="A303" s="2">
        <f ca="1">IFERROR(__xludf.DUMMYFUNCTION("""COMPUTED_VALUE"""),41773.6666666666)</f>
        <v>41773.666666666599</v>
      </c>
      <c r="B303" s="1">
        <f ca="1">IFERROR(__xludf.DUMMYFUNCTION("""COMPUTED_VALUE"""),1888.53)</f>
        <v>1888.53</v>
      </c>
    </row>
    <row r="304" spans="1:2" ht="13" x14ac:dyDescent="0.15">
      <c r="A304" s="2">
        <f ca="1">IFERROR(__xludf.DUMMYFUNCTION("""COMPUTED_VALUE"""),41774.6666666666)</f>
        <v>41774.666666666599</v>
      </c>
      <c r="B304" s="1">
        <f ca="1">IFERROR(__xludf.DUMMYFUNCTION("""COMPUTED_VALUE"""),1870.85)</f>
        <v>1870.85</v>
      </c>
    </row>
    <row r="305" spans="1:2" ht="13" x14ac:dyDescent="0.15">
      <c r="A305" s="2">
        <f ca="1">IFERROR(__xludf.DUMMYFUNCTION("""COMPUTED_VALUE"""),41775.6666666666)</f>
        <v>41775.666666666599</v>
      </c>
      <c r="B305" s="1">
        <f ca="1">IFERROR(__xludf.DUMMYFUNCTION("""COMPUTED_VALUE"""),1877.86)</f>
        <v>1877.86</v>
      </c>
    </row>
    <row r="306" spans="1:2" ht="13" x14ac:dyDescent="0.15">
      <c r="A306" s="2">
        <f ca="1">IFERROR(__xludf.DUMMYFUNCTION("""COMPUTED_VALUE"""),41778.6666666666)</f>
        <v>41778.666666666599</v>
      </c>
      <c r="B306" s="1">
        <f ca="1">IFERROR(__xludf.DUMMYFUNCTION("""COMPUTED_VALUE"""),1885.08)</f>
        <v>1885.08</v>
      </c>
    </row>
    <row r="307" spans="1:2" ht="13" x14ac:dyDescent="0.15">
      <c r="A307" s="2">
        <f ca="1">IFERROR(__xludf.DUMMYFUNCTION("""COMPUTED_VALUE"""),41779.6666666666)</f>
        <v>41779.666666666599</v>
      </c>
      <c r="B307" s="1">
        <f ca="1">IFERROR(__xludf.DUMMYFUNCTION("""COMPUTED_VALUE"""),1872.83)</f>
        <v>1872.83</v>
      </c>
    </row>
    <row r="308" spans="1:2" ht="13" x14ac:dyDescent="0.15">
      <c r="A308" s="2">
        <f ca="1">IFERROR(__xludf.DUMMYFUNCTION("""COMPUTED_VALUE"""),41780.6666666666)</f>
        <v>41780.666666666599</v>
      </c>
      <c r="B308" s="1">
        <f ca="1">IFERROR(__xludf.DUMMYFUNCTION("""COMPUTED_VALUE"""),1888.03)</f>
        <v>1888.03</v>
      </c>
    </row>
    <row r="309" spans="1:2" ht="13" x14ac:dyDescent="0.15">
      <c r="A309" s="2">
        <f ca="1">IFERROR(__xludf.DUMMYFUNCTION("""COMPUTED_VALUE"""),41781.6666666666)</f>
        <v>41781.666666666599</v>
      </c>
      <c r="B309" s="1">
        <f ca="1">IFERROR(__xludf.DUMMYFUNCTION("""COMPUTED_VALUE"""),1892.49)</f>
        <v>1892.49</v>
      </c>
    </row>
    <row r="310" spans="1:2" ht="13" x14ac:dyDescent="0.15">
      <c r="A310" s="2">
        <f ca="1">IFERROR(__xludf.DUMMYFUNCTION("""COMPUTED_VALUE"""),41782.6666666666)</f>
        <v>41782.666666666599</v>
      </c>
      <c r="B310" s="1">
        <f ca="1">IFERROR(__xludf.DUMMYFUNCTION("""COMPUTED_VALUE"""),1900.53)</f>
        <v>1900.53</v>
      </c>
    </row>
    <row r="311" spans="1:2" ht="13" x14ac:dyDescent="0.15">
      <c r="A311" s="2">
        <f ca="1">IFERROR(__xludf.DUMMYFUNCTION("""COMPUTED_VALUE"""),41786.6666666666)</f>
        <v>41786.666666666599</v>
      </c>
      <c r="B311" s="1">
        <f ca="1">IFERROR(__xludf.DUMMYFUNCTION("""COMPUTED_VALUE"""),1911.91)</f>
        <v>1911.91</v>
      </c>
    </row>
    <row r="312" spans="1:2" ht="13" x14ac:dyDescent="0.15">
      <c r="A312" s="2">
        <f ca="1">IFERROR(__xludf.DUMMYFUNCTION("""COMPUTED_VALUE"""),41787.6666666666)</f>
        <v>41787.666666666599</v>
      </c>
      <c r="B312" s="1">
        <f ca="1">IFERROR(__xludf.DUMMYFUNCTION("""COMPUTED_VALUE"""),1909.78)</f>
        <v>1909.78</v>
      </c>
    </row>
    <row r="313" spans="1:2" ht="13" x14ac:dyDescent="0.15">
      <c r="A313" s="2">
        <f ca="1">IFERROR(__xludf.DUMMYFUNCTION("""COMPUTED_VALUE"""),41788.6666666666)</f>
        <v>41788.666666666599</v>
      </c>
      <c r="B313" s="1">
        <f ca="1">IFERROR(__xludf.DUMMYFUNCTION("""COMPUTED_VALUE"""),1920.03)</f>
        <v>1920.03</v>
      </c>
    </row>
    <row r="314" spans="1:2" ht="13" x14ac:dyDescent="0.15">
      <c r="A314" s="2">
        <f ca="1">IFERROR(__xludf.DUMMYFUNCTION("""COMPUTED_VALUE"""),41789.6666666666)</f>
        <v>41789.666666666599</v>
      </c>
      <c r="B314" s="1">
        <f ca="1">IFERROR(__xludf.DUMMYFUNCTION("""COMPUTED_VALUE"""),1923.57)</f>
        <v>1923.57</v>
      </c>
    </row>
    <row r="315" spans="1:2" ht="13" x14ac:dyDescent="0.15">
      <c r="A315" s="2">
        <f ca="1">IFERROR(__xludf.DUMMYFUNCTION("""COMPUTED_VALUE"""),41792.6666666666)</f>
        <v>41792.666666666599</v>
      </c>
      <c r="B315" s="1">
        <f ca="1">IFERROR(__xludf.DUMMYFUNCTION("""COMPUTED_VALUE"""),1924.97)</f>
        <v>1924.97</v>
      </c>
    </row>
    <row r="316" spans="1:2" ht="13" x14ac:dyDescent="0.15">
      <c r="A316" s="2">
        <f ca="1">IFERROR(__xludf.DUMMYFUNCTION("""COMPUTED_VALUE"""),41793.6666666666)</f>
        <v>41793.666666666599</v>
      </c>
      <c r="B316" s="1">
        <f ca="1">IFERROR(__xludf.DUMMYFUNCTION("""COMPUTED_VALUE"""),1924.24)</f>
        <v>1924.24</v>
      </c>
    </row>
    <row r="317" spans="1:2" ht="13" x14ac:dyDescent="0.15">
      <c r="A317" s="2">
        <f ca="1">IFERROR(__xludf.DUMMYFUNCTION("""COMPUTED_VALUE"""),41794.6666666666)</f>
        <v>41794.666666666599</v>
      </c>
      <c r="B317" s="1">
        <f ca="1">IFERROR(__xludf.DUMMYFUNCTION("""COMPUTED_VALUE"""),1927.88)</f>
        <v>1927.88</v>
      </c>
    </row>
    <row r="318" spans="1:2" ht="13" x14ac:dyDescent="0.15">
      <c r="A318" s="2">
        <f ca="1">IFERROR(__xludf.DUMMYFUNCTION("""COMPUTED_VALUE"""),41795.6666666666)</f>
        <v>41795.666666666599</v>
      </c>
      <c r="B318" s="1">
        <f ca="1">IFERROR(__xludf.DUMMYFUNCTION("""COMPUTED_VALUE"""),1940.46)</f>
        <v>1940.46</v>
      </c>
    </row>
    <row r="319" spans="1:2" ht="13" x14ac:dyDescent="0.15">
      <c r="A319" s="2">
        <f ca="1">IFERROR(__xludf.DUMMYFUNCTION("""COMPUTED_VALUE"""),41796.6666666666)</f>
        <v>41796.666666666599</v>
      </c>
      <c r="B319" s="1">
        <f ca="1">IFERROR(__xludf.DUMMYFUNCTION("""COMPUTED_VALUE"""),1949.44)</f>
        <v>1949.44</v>
      </c>
    </row>
    <row r="320" spans="1:2" ht="13" x14ac:dyDescent="0.15">
      <c r="A320" s="2">
        <f ca="1">IFERROR(__xludf.DUMMYFUNCTION("""COMPUTED_VALUE"""),41799.6666666666)</f>
        <v>41799.666666666599</v>
      </c>
      <c r="B320" s="1">
        <f ca="1">IFERROR(__xludf.DUMMYFUNCTION("""COMPUTED_VALUE"""),1951.27)</f>
        <v>1951.27</v>
      </c>
    </row>
    <row r="321" spans="1:2" ht="13" x14ac:dyDescent="0.15">
      <c r="A321" s="2">
        <f ca="1">IFERROR(__xludf.DUMMYFUNCTION("""COMPUTED_VALUE"""),41800.6666666666)</f>
        <v>41800.666666666599</v>
      </c>
      <c r="B321" s="1">
        <f ca="1">IFERROR(__xludf.DUMMYFUNCTION("""COMPUTED_VALUE"""),1950.79)</f>
        <v>1950.79</v>
      </c>
    </row>
    <row r="322" spans="1:2" ht="13" x14ac:dyDescent="0.15">
      <c r="A322" s="2">
        <f ca="1">IFERROR(__xludf.DUMMYFUNCTION("""COMPUTED_VALUE"""),41801.6666666666)</f>
        <v>41801.666666666599</v>
      </c>
      <c r="B322" s="1">
        <f ca="1">IFERROR(__xludf.DUMMYFUNCTION("""COMPUTED_VALUE"""),1943.89)</f>
        <v>1943.89</v>
      </c>
    </row>
    <row r="323" spans="1:2" ht="13" x14ac:dyDescent="0.15">
      <c r="A323" s="2">
        <f ca="1">IFERROR(__xludf.DUMMYFUNCTION("""COMPUTED_VALUE"""),41802.6666666666)</f>
        <v>41802.666666666599</v>
      </c>
      <c r="B323" s="1">
        <f ca="1">IFERROR(__xludf.DUMMYFUNCTION("""COMPUTED_VALUE"""),1930.11)</f>
        <v>1930.11</v>
      </c>
    </row>
    <row r="324" spans="1:2" ht="13" x14ac:dyDescent="0.15">
      <c r="A324" s="2">
        <f ca="1">IFERROR(__xludf.DUMMYFUNCTION("""COMPUTED_VALUE"""),41803.6666666666)</f>
        <v>41803.666666666599</v>
      </c>
      <c r="B324" s="1">
        <f ca="1">IFERROR(__xludf.DUMMYFUNCTION("""COMPUTED_VALUE"""),1936.16)</f>
        <v>1936.16</v>
      </c>
    </row>
    <row r="325" spans="1:2" ht="13" x14ac:dyDescent="0.15">
      <c r="A325" s="2">
        <f ca="1">IFERROR(__xludf.DUMMYFUNCTION("""COMPUTED_VALUE"""),41806.6666666666)</f>
        <v>41806.666666666599</v>
      </c>
      <c r="B325" s="1">
        <f ca="1">IFERROR(__xludf.DUMMYFUNCTION("""COMPUTED_VALUE"""),1937.78)</f>
        <v>1937.78</v>
      </c>
    </row>
    <row r="326" spans="1:2" ht="13" x14ac:dyDescent="0.15">
      <c r="A326" s="2">
        <f ca="1">IFERROR(__xludf.DUMMYFUNCTION("""COMPUTED_VALUE"""),41807.6666666666)</f>
        <v>41807.666666666599</v>
      </c>
      <c r="B326" s="1">
        <f ca="1">IFERROR(__xludf.DUMMYFUNCTION("""COMPUTED_VALUE"""),1941.99)</f>
        <v>1941.99</v>
      </c>
    </row>
    <row r="327" spans="1:2" ht="13" x14ac:dyDescent="0.15">
      <c r="A327" s="2">
        <f ca="1">IFERROR(__xludf.DUMMYFUNCTION("""COMPUTED_VALUE"""),41808.6666666666)</f>
        <v>41808.666666666599</v>
      </c>
      <c r="B327" s="1">
        <f ca="1">IFERROR(__xludf.DUMMYFUNCTION("""COMPUTED_VALUE"""),1956.98)</f>
        <v>1956.98</v>
      </c>
    </row>
    <row r="328" spans="1:2" ht="13" x14ac:dyDescent="0.15">
      <c r="A328" s="2">
        <f ca="1">IFERROR(__xludf.DUMMYFUNCTION("""COMPUTED_VALUE"""),41809.6666666666)</f>
        <v>41809.666666666599</v>
      </c>
      <c r="B328" s="1">
        <f ca="1">IFERROR(__xludf.DUMMYFUNCTION("""COMPUTED_VALUE"""),1959.48)</f>
        <v>1959.48</v>
      </c>
    </row>
    <row r="329" spans="1:2" ht="13" x14ac:dyDescent="0.15">
      <c r="A329" s="2">
        <f ca="1">IFERROR(__xludf.DUMMYFUNCTION("""COMPUTED_VALUE"""),41810.6666666666)</f>
        <v>41810.666666666599</v>
      </c>
      <c r="B329" s="1">
        <f ca="1">IFERROR(__xludf.DUMMYFUNCTION("""COMPUTED_VALUE"""),1962.87)</f>
        <v>1962.87</v>
      </c>
    </row>
    <row r="330" spans="1:2" ht="13" x14ac:dyDescent="0.15">
      <c r="A330" s="2">
        <f ca="1">IFERROR(__xludf.DUMMYFUNCTION("""COMPUTED_VALUE"""),41813.6666666666)</f>
        <v>41813.666666666599</v>
      </c>
      <c r="B330" s="1">
        <f ca="1">IFERROR(__xludf.DUMMYFUNCTION("""COMPUTED_VALUE"""),1962.61)</f>
        <v>1962.61</v>
      </c>
    </row>
    <row r="331" spans="1:2" ht="13" x14ac:dyDescent="0.15">
      <c r="A331" s="2">
        <f ca="1">IFERROR(__xludf.DUMMYFUNCTION("""COMPUTED_VALUE"""),41814.6666666666)</f>
        <v>41814.666666666599</v>
      </c>
      <c r="B331" s="1">
        <f ca="1">IFERROR(__xludf.DUMMYFUNCTION("""COMPUTED_VALUE"""),1949.98)</f>
        <v>1949.98</v>
      </c>
    </row>
    <row r="332" spans="1:2" ht="13" x14ac:dyDescent="0.15">
      <c r="A332" s="2">
        <f ca="1">IFERROR(__xludf.DUMMYFUNCTION("""COMPUTED_VALUE"""),41815.6666666666)</f>
        <v>41815.666666666599</v>
      </c>
      <c r="B332" s="1">
        <f ca="1">IFERROR(__xludf.DUMMYFUNCTION("""COMPUTED_VALUE"""),1959.53)</f>
        <v>1959.53</v>
      </c>
    </row>
    <row r="333" spans="1:2" ht="13" x14ac:dyDescent="0.15">
      <c r="A333" s="2">
        <f ca="1">IFERROR(__xludf.DUMMYFUNCTION("""COMPUTED_VALUE"""),41816.6666666666)</f>
        <v>41816.666666666599</v>
      </c>
      <c r="B333" s="1">
        <f ca="1">IFERROR(__xludf.DUMMYFUNCTION("""COMPUTED_VALUE"""),1957.22)</f>
        <v>1957.22</v>
      </c>
    </row>
    <row r="334" spans="1:2" ht="13" x14ac:dyDescent="0.15">
      <c r="A334" s="2">
        <f ca="1">IFERROR(__xludf.DUMMYFUNCTION("""COMPUTED_VALUE"""),41817.6666666666)</f>
        <v>41817.666666666599</v>
      </c>
      <c r="B334" s="1">
        <f ca="1">IFERROR(__xludf.DUMMYFUNCTION("""COMPUTED_VALUE"""),1960.96)</f>
        <v>1960.96</v>
      </c>
    </row>
    <row r="335" spans="1:2" ht="13" x14ac:dyDescent="0.15">
      <c r="A335" s="2">
        <f ca="1">IFERROR(__xludf.DUMMYFUNCTION("""COMPUTED_VALUE"""),41820.6666666666)</f>
        <v>41820.666666666599</v>
      </c>
      <c r="B335" s="1">
        <f ca="1">IFERROR(__xludf.DUMMYFUNCTION("""COMPUTED_VALUE"""),1960.23)</f>
        <v>1960.23</v>
      </c>
    </row>
    <row r="336" spans="1:2" ht="13" x14ac:dyDescent="0.15">
      <c r="A336" s="2">
        <f ca="1">IFERROR(__xludf.DUMMYFUNCTION("""COMPUTED_VALUE"""),41821.6666666666)</f>
        <v>41821.666666666599</v>
      </c>
      <c r="B336" s="1">
        <f ca="1">IFERROR(__xludf.DUMMYFUNCTION("""COMPUTED_VALUE"""),1973.32)</f>
        <v>1973.32</v>
      </c>
    </row>
    <row r="337" spans="1:2" ht="13" x14ac:dyDescent="0.15">
      <c r="A337" s="2">
        <f ca="1">IFERROR(__xludf.DUMMYFUNCTION("""COMPUTED_VALUE"""),41822.6666666666)</f>
        <v>41822.666666666599</v>
      </c>
      <c r="B337" s="1">
        <f ca="1">IFERROR(__xludf.DUMMYFUNCTION("""COMPUTED_VALUE"""),1974.62)</f>
        <v>1974.62</v>
      </c>
    </row>
    <row r="338" spans="1:2" ht="13" x14ac:dyDescent="0.15">
      <c r="A338" s="2">
        <f ca="1">IFERROR(__xludf.DUMMYFUNCTION("""COMPUTED_VALUE"""),41823.6666666666)</f>
        <v>41823.666666666599</v>
      </c>
      <c r="B338" s="1">
        <f ca="1">IFERROR(__xludf.DUMMYFUNCTION("""COMPUTED_VALUE"""),1985.44)</f>
        <v>1985.44</v>
      </c>
    </row>
    <row r="339" spans="1:2" ht="13" x14ac:dyDescent="0.15">
      <c r="A339" s="2">
        <f ca="1">IFERROR(__xludf.DUMMYFUNCTION("""COMPUTED_VALUE"""),41827.6666666666)</f>
        <v>41827.666666666599</v>
      </c>
      <c r="B339" s="1">
        <f ca="1">IFERROR(__xludf.DUMMYFUNCTION("""COMPUTED_VALUE"""),1977.65)</f>
        <v>1977.65</v>
      </c>
    </row>
    <row r="340" spans="1:2" ht="13" x14ac:dyDescent="0.15">
      <c r="A340" s="2">
        <f ca="1">IFERROR(__xludf.DUMMYFUNCTION("""COMPUTED_VALUE"""),41828.6666666666)</f>
        <v>41828.666666666599</v>
      </c>
      <c r="B340" s="1">
        <f ca="1">IFERROR(__xludf.DUMMYFUNCTION("""COMPUTED_VALUE"""),1963.71)</f>
        <v>1963.71</v>
      </c>
    </row>
    <row r="341" spans="1:2" ht="13" x14ac:dyDescent="0.15">
      <c r="A341" s="2">
        <f ca="1">IFERROR(__xludf.DUMMYFUNCTION("""COMPUTED_VALUE"""),41829.6666666666)</f>
        <v>41829.666666666599</v>
      </c>
      <c r="B341" s="1">
        <f ca="1">IFERROR(__xludf.DUMMYFUNCTION("""COMPUTED_VALUE"""),1972.83)</f>
        <v>1972.83</v>
      </c>
    </row>
    <row r="342" spans="1:2" ht="13" x14ac:dyDescent="0.15">
      <c r="A342" s="2">
        <f ca="1">IFERROR(__xludf.DUMMYFUNCTION("""COMPUTED_VALUE"""),41830.6666666666)</f>
        <v>41830.666666666599</v>
      </c>
      <c r="B342" s="1">
        <f ca="1">IFERROR(__xludf.DUMMYFUNCTION("""COMPUTED_VALUE"""),1964.68)</f>
        <v>1964.68</v>
      </c>
    </row>
    <row r="343" spans="1:2" ht="13" x14ac:dyDescent="0.15">
      <c r="A343" s="2">
        <f ca="1">IFERROR(__xludf.DUMMYFUNCTION("""COMPUTED_VALUE"""),41831.6666666666)</f>
        <v>41831.666666666599</v>
      </c>
      <c r="B343" s="1">
        <f ca="1">IFERROR(__xludf.DUMMYFUNCTION("""COMPUTED_VALUE"""),1967.57)</f>
        <v>1967.57</v>
      </c>
    </row>
    <row r="344" spans="1:2" ht="13" x14ac:dyDescent="0.15">
      <c r="A344" s="2">
        <f ca="1">IFERROR(__xludf.DUMMYFUNCTION("""COMPUTED_VALUE"""),41834.6666666666)</f>
        <v>41834.666666666599</v>
      </c>
      <c r="B344" s="1">
        <f ca="1">IFERROR(__xludf.DUMMYFUNCTION("""COMPUTED_VALUE"""),1977.1)</f>
        <v>1977.1</v>
      </c>
    </row>
    <row r="345" spans="1:2" ht="13" x14ac:dyDescent="0.15">
      <c r="A345" s="2">
        <f ca="1">IFERROR(__xludf.DUMMYFUNCTION("""COMPUTED_VALUE"""),41835.6666666666)</f>
        <v>41835.666666666599</v>
      </c>
      <c r="B345" s="1">
        <f ca="1">IFERROR(__xludf.DUMMYFUNCTION("""COMPUTED_VALUE"""),1973.28)</f>
        <v>1973.28</v>
      </c>
    </row>
    <row r="346" spans="1:2" ht="13" x14ac:dyDescent="0.15">
      <c r="A346" s="2">
        <f ca="1">IFERROR(__xludf.DUMMYFUNCTION("""COMPUTED_VALUE"""),41836.6666666666)</f>
        <v>41836.666666666599</v>
      </c>
      <c r="B346" s="1">
        <f ca="1">IFERROR(__xludf.DUMMYFUNCTION("""COMPUTED_VALUE"""),1981.57)</f>
        <v>1981.57</v>
      </c>
    </row>
    <row r="347" spans="1:2" ht="13" x14ac:dyDescent="0.15">
      <c r="A347" s="2">
        <f ca="1">IFERROR(__xludf.DUMMYFUNCTION("""COMPUTED_VALUE"""),41837.6666666666)</f>
        <v>41837.666666666599</v>
      </c>
      <c r="B347" s="1">
        <f ca="1">IFERROR(__xludf.DUMMYFUNCTION("""COMPUTED_VALUE"""),1958.12)</f>
        <v>1958.12</v>
      </c>
    </row>
    <row r="348" spans="1:2" ht="13" x14ac:dyDescent="0.15">
      <c r="A348" s="2">
        <f ca="1">IFERROR(__xludf.DUMMYFUNCTION("""COMPUTED_VALUE"""),41838.6666666666)</f>
        <v>41838.666666666599</v>
      </c>
      <c r="B348" s="1">
        <f ca="1">IFERROR(__xludf.DUMMYFUNCTION("""COMPUTED_VALUE"""),1978.22)</f>
        <v>1978.22</v>
      </c>
    </row>
    <row r="349" spans="1:2" ht="13" x14ac:dyDescent="0.15">
      <c r="A349" s="2">
        <f ca="1">IFERROR(__xludf.DUMMYFUNCTION("""COMPUTED_VALUE"""),41841.6666666666)</f>
        <v>41841.666666666599</v>
      </c>
      <c r="B349" s="1">
        <f ca="1">IFERROR(__xludf.DUMMYFUNCTION("""COMPUTED_VALUE"""),1973.63)</f>
        <v>1973.63</v>
      </c>
    </row>
    <row r="350" spans="1:2" ht="13" x14ac:dyDescent="0.15">
      <c r="A350" s="2">
        <f ca="1">IFERROR(__xludf.DUMMYFUNCTION("""COMPUTED_VALUE"""),41842.6666666666)</f>
        <v>41842.666666666599</v>
      </c>
      <c r="B350" s="1">
        <f ca="1">IFERROR(__xludf.DUMMYFUNCTION("""COMPUTED_VALUE"""),1983.53)</f>
        <v>1983.53</v>
      </c>
    </row>
    <row r="351" spans="1:2" ht="13" x14ac:dyDescent="0.15">
      <c r="A351" s="2">
        <f ca="1">IFERROR(__xludf.DUMMYFUNCTION("""COMPUTED_VALUE"""),41843.6666666666)</f>
        <v>41843.666666666599</v>
      </c>
      <c r="B351" s="1">
        <f ca="1">IFERROR(__xludf.DUMMYFUNCTION("""COMPUTED_VALUE"""),1987.01)</f>
        <v>1987.01</v>
      </c>
    </row>
    <row r="352" spans="1:2" ht="13" x14ac:dyDescent="0.15">
      <c r="A352" s="2">
        <f ca="1">IFERROR(__xludf.DUMMYFUNCTION("""COMPUTED_VALUE"""),41844.6666666666)</f>
        <v>41844.666666666599</v>
      </c>
      <c r="B352" s="1">
        <f ca="1">IFERROR(__xludf.DUMMYFUNCTION("""COMPUTED_VALUE"""),1987.98)</f>
        <v>1987.98</v>
      </c>
    </row>
    <row r="353" spans="1:2" ht="13" x14ac:dyDescent="0.15">
      <c r="A353" s="2">
        <f ca="1">IFERROR(__xludf.DUMMYFUNCTION("""COMPUTED_VALUE"""),41845.6666666666)</f>
        <v>41845.666666666599</v>
      </c>
      <c r="B353" s="1">
        <f ca="1">IFERROR(__xludf.DUMMYFUNCTION("""COMPUTED_VALUE"""),1978.34)</f>
        <v>1978.34</v>
      </c>
    </row>
    <row r="354" spans="1:2" ht="13" x14ac:dyDescent="0.15">
      <c r="A354" s="2">
        <f ca="1">IFERROR(__xludf.DUMMYFUNCTION("""COMPUTED_VALUE"""),41848.6666666666)</f>
        <v>41848.666666666599</v>
      </c>
      <c r="B354" s="1">
        <f ca="1">IFERROR(__xludf.DUMMYFUNCTION("""COMPUTED_VALUE"""),1978.91)</f>
        <v>1978.91</v>
      </c>
    </row>
    <row r="355" spans="1:2" ht="13" x14ac:dyDescent="0.15">
      <c r="A355" s="2">
        <f ca="1">IFERROR(__xludf.DUMMYFUNCTION("""COMPUTED_VALUE"""),41849.6666666666)</f>
        <v>41849.666666666599</v>
      </c>
      <c r="B355" s="1">
        <f ca="1">IFERROR(__xludf.DUMMYFUNCTION("""COMPUTED_VALUE"""),1969.95)</f>
        <v>1969.95</v>
      </c>
    </row>
    <row r="356" spans="1:2" ht="13" x14ac:dyDescent="0.15">
      <c r="A356" s="2">
        <f ca="1">IFERROR(__xludf.DUMMYFUNCTION("""COMPUTED_VALUE"""),41850.6666666666)</f>
        <v>41850.666666666599</v>
      </c>
      <c r="B356" s="1">
        <f ca="1">IFERROR(__xludf.DUMMYFUNCTION("""COMPUTED_VALUE"""),1970.07)</f>
        <v>1970.07</v>
      </c>
    </row>
    <row r="357" spans="1:2" ht="13" x14ac:dyDescent="0.15">
      <c r="A357" s="2">
        <f ca="1">IFERROR(__xludf.DUMMYFUNCTION("""COMPUTED_VALUE"""),41851.6666666666)</f>
        <v>41851.666666666599</v>
      </c>
      <c r="B357" s="1">
        <f ca="1">IFERROR(__xludf.DUMMYFUNCTION("""COMPUTED_VALUE"""),1930.67)</f>
        <v>1930.67</v>
      </c>
    </row>
    <row r="358" spans="1:2" ht="13" x14ac:dyDescent="0.15">
      <c r="A358" s="2">
        <f ca="1">IFERROR(__xludf.DUMMYFUNCTION("""COMPUTED_VALUE"""),41852.6666666666)</f>
        <v>41852.666666666599</v>
      </c>
      <c r="B358" s="1">
        <f ca="1">IFERROR(__xludf.DUMMYFUNCTION("""COMPUTED_VALUE"""),1925.15)</f>
        <v>1925.15</v>
      </c>
    </row>
    <row r="359" spans="1:2" ht="13" x14ac:dyDescent="0.15">
      <c r="A359" s="2">
        <f ca="1">IFERROR(__xludf.DUMMYFUNCTION("""COMPUTED_VALUE"""),41855.6666666666)</f>
        <v>41855.666666666599</v>
      </c>
      <c r="B359" s="1">
        <f ca="1">IFERROR(__xludf.DUMMYFUNCTION("""COMPUTED_VALUE"""),1938.99)</f>
        <v>1938.99</v>
      </c>
    </row>
    <row r="360" spans="1:2" ht="13" x14ac:dyDescent="0.15">
      <c r="A360" s="2">
        <f ca="1">IFERROR(__xludf.DUMMYFUNCTION("""COMPUTED_VALUE"""),41856.6666666666)</f>
        <v>41856.666666666599</v>
      </c>
      <c r="B360" s="1">
        <f ca="1">IFERROR(__xludf.DUMMYFUNCTION("""COMPUTED_VALUE"""),1920.21)</f>
        <v>1920.21</v>
      </c>
    </row>
    <row r="361" spans="1:2" ht="13" x14ac:dyDescent="0.15">
      <c r="A361" s="2">
        <f ca="1">IFERROR(__xludf.DUMMYFUNCTION("""COMPUTED_VALUE"""),41857.6666666666)</f>
        <v>41857.666666666599</v>
      </c>
      <c r="B361" s="1">
        <f ca="1">IFERROR(__xludf.DUMMYFUNCTION("""COMPUTED_VALUE"""),1920.24)</f>
        <v>1920.24</v>
      </c>
    </row>
    <row r="362" spans="1:2" ht="13" x14ac:dyDescent="0.15">
      <c r="A362" s="2">
        <f ca="1">IFERROR(__xludf.DUMMYFUNCTION("""COMPUTED_VALUE"""),41858.6666666666)</f>
        <v>41858.666666666599</v>
      </c>
      <c r="B362" s="1">
        <f ca="1">IFERROR(__xludf.DUMMYFUNCTION("""COMPUTED_VALUE"""),1909.57)</f>
        <v>1909.57</v>
      </c>
    </row>
    <row r="363" spans="1:2" ht="13" x14ac:dyDescent="0.15">
      <c r="A363" s="2">
        <f ca="1">IFERROR(__xludf.DUMMYFUNCTION("""COMPUTED_VALUE"""),41859.6666666666)</f>
        <v>41859.666666666599</v>
      </c>
      <c r="B363" s="1">
        <f ca="1">IFERROR(__xludf.DUMMYFUNCTION("""COMPUTED_VALUE"""),1931.59)</f>
        <v>1931.59</v>
      </c>
    </row>
    <row r="364" spans="1:2" ht="13" x14ac:dyDescent="0.15">
      <c r="A364" s="2">
        <f ca="1">IFERROR(__xludf.DUMMYFUNCTION("""COMPUTED_VALUE"""),41862.6666666666)</f>
        <v>41862.666666666599</v>
      </c>
      <c r="B364" s="1">
        <f ca="1">IFERROR(__xludf.DUMMYFUNCTION("""COMPUTED_VALUE"""),1936.92)</f>
        <v>1936.92</v>
      </c>
    </row>
    <row r="365" spans="1:2" ht="13" x14ac:dyDescent="0.15">
      <c r="A365" s="2">
        <f ca="1">IFERROR(__xludf.DUMMYFUNCTION("""COMPUTED_VALUE"""),41863.6666666666)</f>
        <v>41863.666666666599</v>
      </c>
      <c r="B365" s="1">
        <f ca="1">IFERROR(__xludf.DUMMYFUNCTION("""COMPUTED_VALUE"""),1933.75)</f>
        <v>1933.75</v>
      </c>
    </row>
    <row r="366" spans="1:2" ht="13" x14ac:dyDescent="0.15">
      <c r="A366" s="2">
        <f ca="1">IFERROR(__xludf.DUMMYFUNCTION("""COMPUTED_VALUE"""),41864.6666666666)</f>
        <v>41864.666666666599</v>
      </c>
      <c r="B366" s="1">
        <f ca="1">IFERROR(__xludf.DUMMYFUNCTION("""COMPUTED_VALUE"""),1946.72)</f>
        <v>1946.72</v>
      </c>
    </row>
    <row r="367" spans="1:2" ht="13" x14ac:dyDescent="0.15">
      <c r="A367" s="2">
        <f ca="1">IFERROR(__xludf.DUMMYFUNCTION("""COMPUTED_VALUE"""),41865.6666666666)</f>
        <v>41865.666666666599</v>
      </c>
      <c r="B367" s="1">
        <f ca="1">IFERROR(__xludf.DUMMYFUNCTION("""COMPUTED_VALUE"""),1955.18)</f>
        <v>1955.18</v>
      </c>
    </row>
    <row r="368" spans="1:2" ht="13" x14ac:dyDescent="0.15">
      <c r="A368" s="2">
        <f ca="1">IFERROR(__xludf.DUMMYFUNCTION("""COMPUTED_VALUE"""),41866.6666666666)</f>
        <v>41866.666666666599</v>
      </c>
      <c r="B368" s="1">
        <f ca="1">IFERROR(__xludf.DUMMYFUNCTION("""COMPUTED_VALUE"""),1955.06)</f>
        <v>1955.06</v>
      </c>
    </row>
    <row r="369" spans="1:2" ht="13" x14ac:dyDescent="0.15">
      <c r="A369" s="2">
        <f ca="1">IFERROR(__xludf.DUMMYFUNCTION("""COMPUTED_VALUE"""),41869.6666666666)</f>
        <v>41869.666666666599</v>
      </c>
      <c r="B369" s="1">
        <f ca="1">IFERROR(__xludf.DUMMYFUNCTION("""COMPUTED_VALUE"""),1971.74)</f>
        <v>1971.74</v>
      </c>
    </row>
    <row r="370" spans="1:2" ht="13" x14ac:dyDescent="0.15">
      <c r="A370" s="2">
        <f ca="1">IFERROR(__xludf.DUMMYFUNCTION("""COMPUTED_VALUE"""),41870.6666666666)</f>
        <v>41870.666666666599</v>
      </c>
      <c r="B370" s="1">
        <f ca="1">IFERROR(__xludf.DUMMYFUNCTION("""COMPUTED_VALUE"""),1981.6)</f>
        <v>1981.6</v>
      </c>
    </row>
    <row r="371" spans="1:2" ht="13" x14ac:dyDescent="0.15">
      <c r="A371" s="2">
        <f ca="1">IFERROR(__xludf.DUMMYFUNCTION("""COMPUTED_VALUE"""),41871.6666666666)</f>
        <v>41871.666666666599</v>
      </c>
      <c r="B371" s="1">
        <f ca="1">IFERROR(__xludf.DUMMYFUNCTION("""COMPUTED_VALUE"""),1986.51)</f>
        <v>1986.51</v>
      </c>
    </row>
    <row r="372" spans="1:2" ht="13" x14ac:dyDescent="0.15">
      <c r="A372" s="2">
        <f ca="1">IFERROR(__xludf.DUMMYFUNCTION("""COMPUTED_VALUE"""),41872.6666666666)</f>
        <v>41872.666666666599</v>
      </c>
      <c r="B372" s="1">
        <f ca="1">IFERROR(__xludf.DUMMYFUNCTION("""COMPUTED_VALUE"""),1992.37)</f>
        <v>1992.37</v>
      </c>
    </row>
    <row r="373" spans="1:2" ht="13" x14ac:dyDescent="0.15">
      <c r="A373" s="2">
        <f ca="1">IFERROR(__xludf.DUMMYFUNCTION("""COMPUTED_VALUE"""),41873.6666666666)</f>
        <v>41873.666666666599</v>
      </c>
      <c r="B373" s="1">
        <f ca="1">IFERROR(__xludf.DUMMYFUNCTION("""COMPUTED_VALUE"""),1988.4)</f>
        <v>1988.4</v>
      </c>
    </row>
    <row r="374" spans="1:2" ht="13" x14ac:dyDescent="0.15">
      <c r="A374" s="2">
        <f ca="1">IFERROR(__xludf.DUMMYFUNCTION("""COMPUTED_VALUE"""),41876.6666666666)</f>
        <v>41876.666666666599</v>
      </c>
      <c r="B374" s="1">
        <f ca="1">IFERROR(__xludf.DUMMYFUNCTION("""COMPUTED_VALUE"""),1997.92)</f>
        <v>1997.92</v>
      </c>
    </row>
    <row r="375" spans="1:2" ht="13" x14ac:dyDescent="0.15">
      <c r="A375" s="2">
        <f ca="1">IFERROR(__xludf.DUMMYFUNCTION("""COMPUTED_VALUE"""),41877.6666666666)</f>
        <v>41877.666666666599</v>
      </c>
      <c r="B375" s="1">
        <f ca="1">IFERROR(__xludf.DUMMYFUNCTION("""COMPUTED_VALUE"""),2000.02)</f>
        <v>2000.02</v>
      </c>
    </row>
    <row r="376" spans="1:2" ht="13" x14ac:dyDescent="0.15">
      <c r="A376" s="2">
        <f ca="1">IFERROR(__xludf.DUMMYFUNCTION("""COMPUTED_VALUE"""),41878.6666666666)</f>
        <v>41878.666666666599</v>
      </c>
      <c r="B376" s="1">
        <f ca="1">IFERROR(__xludf.DUMMYFUNCTION("""COMPUTED_VALUE"""),2000.12)</f>
        <v>2000.12</v>
      </c>
    </row>
    <row r="377" spans="1:2" ht="13" x14ac:dyDescent="0.15">
      <c r="A377" s="2">
        <f ca="1">IFERROR(__xludf.DUMMYFUNCTION("""COMPUTED_VALUE"""),41879.6666666666)</f>
        <v>41879.666666666599</v>
      </c>
      <c r="B377" s="1">
        <f ca="1">IFERROR(__xludf.DUMMYFUNCTION("""COMPUTED_VALUE"""),1996.74)</f>
        <v>1996.74</v>
      </c>
    </row>
    <row r="378" spans="1:2" ht="13" x14ac:dyDescent="0.15">
      <c r="A378" s="2">
        <f ca="1">IFERROR(__xludf.DUMMYFUNCTION("""COMPUTED_VALUE"""),41880.6666666666)</f>
        <v>41880.666666666599</v>
      </c>
      <c r="B378" s="1">
        <f ca="1">IFERROR(__xludf.DUMMYFUNCTION("""COMPUTED_VALUE"""),2003.37)</f>
        <v>2003.37</v>
      </c>
    </row>
    <row r="379" spans="1:2" ht="13" x14ac:dyDescent="0.15">
      <c r="A379" s="2">
        <f ca="1">IFERROR(__xludf.DUMMYFUNCTION("""COMPUTED_VALUE"""),41884.6666666666)</f>
        <v>41884.666666666599</v>
      </c>
      <c r="B379" s="1">
        <f ca="1">IFERROR(__xludf.DUMMYFUNCTION("""COMPUTED_VALUE"""),2002.28)</f>
        <v>2002.28</v>
      </c>
    </row>
    <row r="380" spans="1:2" ht="13" x14ac:dyDescent="0.15">
      <c r="A380" s="2">
        <f ca="1">IFERROR(__xludf.DUMMYFUNCTION("""COMPUTED_VALUE"""),41885.6666666666)</f>
        <v>41885.666666666599</v>
      </c>
      <c r="B380" s="1">
        <f ca="1">IFERROR(__xludf.DUMMYFUNCTION("""COMPUTED_VALUE"""),2000.72)</f>
        <v>2000.72</v>
      </c>
    </row>
    <row r="381" spans="1:2" ht="13" x14ac:dyDescent="0.15">
      <c r="A381" s="2">
        <f ca="1">IFERROR(__xludf.DUMMYFUNCTION("""COMPUTED_VALUE"""),41886.6666666666)</f>
        <v>41886.666666666599</v>
      </c>
      <c r="B381" s="1">
        <f ca="1">IFERROR(__xludf.DUMMYFUNCTION("""COMPUTED_VALUE"""),1997.65)</f>
        <v>1997.65</v>
      </c>
    </row>
    <row r="382" spans="1:2" ht="13" x14ac:dyDescent="0.15">
      <c r="A382" s="2">
        <f ca="1">IFERROR(__xludf.DUMMYFUNCTION("""COMPUTED_VALUE"""),41887.6666666666)</f>
        <v>41887.666666666599</v>
      </c>
      <c r="B382" s="1">
        <f ca="1">IFERROR(__xludf.DUMMYFUNCTION("""COMPUTED_VALUE"""),2007.71)</f>
        <v>2007.71</v>
      </c>
    </row>
    <row r="383" spans="1:2" ht="13" x14ac:dyDescent="0.15">
      <c r="A383" s="2">
        <f ca="1">IFERROR(__xludf.DUMMYFUNCTION("""COMPUTED_VALUE"""),41890.6666666666)</f>
        <v>41890.666666666599</v>
      </c>
      <c r="B383" s="1">
        <f ca="1">IFERROR(__xludf.DUMMYFUNCTION("""COMPUTED_VALUE"""),2001.54)</f>
        <v>2001.54</v>
      </c>
    </row>
    <row r="384" spans="1:2" ht="13" x14ac:dyDescent="0.15">
      <c r="A384" s="2">
        <f ca="1">IFERROR(__xludf.DUMMYFUNCTION("""COMPUTED_VALUE"""),41891.6666666666)</f>
        <v>41891.666666666599</v>
      </c>
      <c r="B384" s="1">
        <f ca="1">IFERROR(__xludf.DUMMYFUNCTION("""COMPUTED_VALUE"""),1988.44)</f>
        <v>1988.44</v>
      </c>
    </row>
    <row r="385" spans="1:2" ht="13" x14ac:dyDescent="0.15">
      <c r="A385" s="2">
        <f ca="1">IFERROR(__xludf.DUMMYFUNCTION("""COMPUTED_VALUE"""),41892.6666666666)</f>
        <v>41892.666666666599</v>
      </c>
      <c r="B385" s="1">
        <f ca="1">IFERROR(__xludf.DUMMYFUNCTION("""COMPUTED_VALUE"""),1995.69)</f>
        <v>1995.69</v>
      </c>
    </row>
    <row r="386" spans="1:2" ht="13" x14ac:dyDescent="0.15">
      <c r="A386" s="2">
        <f ca="1">IFERROR(__xludf.DUMMYFUNCTION("""COMPUTED_VALUE"""),41893.6666666666)</f>
        <v>41893.666666666599</v>
      </c>
      <c r="B386" s="1">
        <f ca="1">IFERROR(__xludf.DUMMYFUNCTION("""COMPUTED_VALUE"""),1997.45)</f>
        <v>1997.45</v>
      </c>
    </row>
    <row r="387" spans="1:2" ht="13" x14ac:dyDescent="0.15">
      <c r="A387" s="2">
        <f ca="1">IFERROR(__xludf.DUMMYFUNCTION("""COMPUTED_VALUE"""),41894.6666666666)</f>
        <v>41894.666666666599</v>
      </c>
      <c r="B387" s="1">
        <f ca="1">IFERROR(__xludf.DUMMYFUNCTION("""COMPUTED_VALUE"""),1985.54)</f>
        <v>1985.54</v>
      </c>
    </row>
    <row r="388" spans="1:2" ht="13" x14ac:dyDescent="0.15">
      <c r="A388" s="2">
        <f ca="1">IFERROR(__xludf.DUMMYFUNCTION("""COMPUTED_VALUE"""),41897.6666666666)</f>
        <v>41897.666666666599</v>
      </c>
      <c r="B388" s="1">
        <f ca="1">IFERROR(__xludf.DUMMYFUNCTION("""COMPUTED_VALUE"""),1984.13)</f>
        <v>1984.13</v>
      </c>
    </row>
    <row r="389" spans="1:2" ht="13" x14ac:dyDescent="0.15">
      <c r="A389" s="2">
        <f ca="1">IFERROR(__xludf.DUMMYFUNCTION("""COMPUTED_VALUE"""),41898.6666666666)</f>
        <v>41898.666666666599</v>
      </c>
      <c r="B389" s="1">
        <f ca="1">IFERROR(__xludf.DUMMYFUNCTION("""COMPUTED_VALUE"""),1998.98)</f>
        <v>1998.98</v>
      </c>
    </row>
    <row r="390" spans="1:2" ht="13" x14ac:dyDescent="0.15">
      <c r="A390" s="2">
        <f ca="1">IFERROR(__xludf.DUMMYFUNCTION("""COMPUTED_VALUE"""),41899.6666666666)</f>
        <v>41899.666666666599</v>
      </c>
      <c r="B390" s="1">
        <f ca="1">IFERROR(__xludf.DUMMYFUNCTION("""COMPUTED_VALUE"""),2001.57)</f>
        <v>2001.57</v>
      </c>
    </row>
    <row r="391" spans="1:2" ht="13" x14ac:dyDescent="0.15">
      <c r="A391" s="2">
        <f ca="1">IFERROR(__xludf.DUMMYFUNCTION("""COMPUTED_VALUE"""),41900.6666666666)</f>
        <v>41900.666666666599</v>
      </c>
      <c r="B391" s="1">
        <f ca="1">IFERROR(__xludf.DUMMYFUNCTION("""COMPUTED_VALUE"""),2011.36)</f>
        <v>2011.36</v>
      </c>
    </row>
    <row r="392" spans="1:2" ht="13" x14ac:dyDescent="0.15">
      <c r="A392" s="2">
        <f ca="1">IFERROR(__xludf.DUMMYFUNCTION("""COMPUTED_VALUE"""),41901.6666666666)</f>
        <v>41901.666666666599</v>
      </c>
      <c r="B392" s="1">
        <f ca="1">IFERROR(__xludf.DUMMYFUNCTION("""COMPUTED_VALUE"""),2010.4)</f>
        <v>2010.4</v>
      </c>
    </row>
    <row r="393" spans="1:2" ht="13" x14ac:dyDescent="0.15">
      <c r="A393" s="2">
        <f ca="1">IFERROR(__xludf.DUMMYFUNCTION("""COMPUTED_VALUE"""),41904.6666666666)</f>
        <v>41904.666666666599</v>
      </c>
      <c r="B393" s="1">
        <f ca="1">IFERROR(__xludf.DUMMYFUNCTION("""COMPUTED_VALUE"""),1994.29)</f>
        <v>1994.29</v>
      </c>
    </row>
    <row r="394" spans="1:2" ht="13" x14ac:dyDescent="0.15">
      <c r="A394" s="2">
        <f ca="1">IFERROR(__xludf.DUMMYFUNCTION("""COMPUTED_VALUE"""),41905.6666666666)</f>
        <v>41905.666666666599</v>
      </c>
      <c r="B394" s="1">
        <f ca="1">IFERROR(__xludf.DUMMYFUNCTION("""COMPUTED_VALUE"""),1982.77)</f>
        <v>1982.77</v>
      </c>
    </row>
    <row r="395" spans="1:2" ht="13" x14ac:dyDescent="0.15">
      <c r="A395" s="2">
        <f ca="1">IFERROR(__xludf.DUMMYFUNCTION("""COMPUTED_VALUE"""),41906.6666666666)</f>
        <v>41906.666666666599</v>
      </c>
      <c r="B395" s="1">
        <f ca="1">IFERROR(__xludf.DUMMYFUNCTION("""COMPUTED_VALUE"""),1998.3)</f>
        <v>1998.3</v>
      </c>
    </row>
    <row r="396" spans="1:2" ht="13" x14ac:dyDescent="0.15">
      <c r="A396" s="2">
        <f ca="1">IFERROR(__xludf.DUMMYFUNCTION("""COMPUTED_VALUE"""),41907.6666666666)</f>
        <v>41907.666666666599</v>
      </c>
      <c r="B396" s="1">
        <f ca="1">IFERROR(__xludf.DUMMYFUNCTION("""COMPUTED_VALUE"""),1965.99)</f>
        <v>1965.99</v>
      </c>
    </row>
    <row r="397" spans="1:2" ht="13" x14ac:dyDescent="0.15">
      <c r="A397" s="2">
        <f ca="1">IFERROR(__xludf.DUMMYFUNCTION("""COMPUTED_VALUE"""),41908.6666666666)</f>
        <v>41908.666666666599</v>
      </c>
      <c r="B397" s="1">
        <f ca="1">IFERROR(__xludf.DUMMYFUNCTION("""COMPUTED_VALUE"""),1982.85)</f>
        <v>1982.85</v>
      </c>
    </row>
    <row r="398" spans="1:2" ht="13" x14ac:dyDescent="0.15">
      <c r="A398" s="2">
        <f ca="1">IFERROR(__xludf.DUMMYFUNCTION("""COMPUTED_VALUE"""),41911.6666666666)</f>
        <v>41911.666666666599</v>
      </c>
      <c r="B398" s="1">
        <f ca="1">IFERROR(__xludf.DUMMYFUNCTION("""COMPUTED_VALUE"""),1977.8)</f>
        <v>1977.8</v>
      </c>
    </row>
    <row r="399" spans="1:2" ht="13" x14ac:dyDescent="0.15">
      <c r="A399" s="2">
        <f ca="1">IFERROR(__xludf.DUMMYFUNCTION("""COMPUTED_VALUE"""),41912.6666666666)</f>
        <v>41912.666666666599</v>
      </c>
      <c r="B399" s="1">
        <f ca="1">IFERROR(__xludf.DUMMYFUNCTION("""COMPUTED_VALUE"""),1972.29)</f>
        <v>1972.29</v>
      </c>
    </row>
    <row r="400" spans="1:2" ht="13" x14ac:dyDescent="0.15">
      <c r="A400" s="2">
        <f ca="1">IFERROR(__xludf.DUMMYFUNCTION("""COMPUTED_VALUE"""),41913.6666666666)</f>
        <v>41913.666666666599</v>
      </c>
      <c r="B400" s="1">
        <f ca="1">IFERROR(__xludf.DUMMYFUNCTION("""COMPUTED_VALUE"""),1946.16)</f>
        <v>1946.16</v>
      </c>
    </row>
    <row r="401" spans="1:2" ht="13" x14ac:dyDescent="0.15">
      <c r="A401" s="2">
        <f ca="1">IFERROR(__xludf.DUMMYFUNCTION("""COMPUTED_VALUE"""),41914.6666666666)</f>
        <v>41914.666666666599</v>
      </c>
      <c r="B401" s="1">
        <f ca="1">IFERROR(__xludf.DUMMYFUNCTION("""COMPUTED_VALUE"""),1946.17)</f>
        <v>1946.17</v>
      </c>
    </row>
    <row r="402" spans="1:2" ht="13" x14ac:dyDescent="0.15">
      <c r="A402" s="2">
        <f ca="1">IFERROR(__xludf.DUMMYFUNCTION("""COMPUTED_VALUE"""),41915.6666666666)</f>
        <v>41915.666666666599</v>
      </c>
      <c r="B402" s="1">
        <f ca="1">IFERROR(__xludf.DUMMYFUNCTION("""COMPUTED_VALUE"""),1967.9)</f>
        <v>1967.9</v>
      </c>
    </row>
    <row r="403" spans="1:2" ht="13" x14ac:dyDescent="0.15">
      <c r="A403" s="2">
        <f ca="1">IFERROR(__xludf.DUMMYFUNCTION("""COMPUTED_VALUE"""),41918.6666666666)</f>
        <v>41918.666666666599</v>
      </c>
      <c r="B403" s="1">
        <f ca="1">IFERROR(__xludf.DUMMYFUNCTION("""COMPUTED_VALUE"""),1964.82)</f>
        <v>1964.82</v>
      </c>
    </row>
    <row r="404" spans="1:2" ht="13" x14ac:dyDescent="0.15">
      <c r="A404" s="2">
        <f ca="1">IFERROR(__xludf.DUMMYFUNCTION("""COMPUTED_VALUE"""),41919.6666666666)</f>
        <v>41919.666666666599</v>
      </c>
      <c r="B404" s="1">
        <f ca="1">IFERROR(__xludf.DUMMYFUNCTION("""COMPUTED_VALUE"""),1935.1)</f>
        <v>1935.1</v>
      </c>
    </row>
    <row r="405" spans="1:2" ht="13" x14ac:dyDescent="0.15">
      <c r="A405" s="2">
        <f ca="1">IFERROR(__xludf.DUMMYFUNCTION("""COMPUTED_VALUE"""),41920.6666666666)</f>
        <v>41920.666666666599</v>
      </c>
      <c r="B405" s="1">
        <f ca="1">IFERROR(__xludf.DUMMYFUNCTION("""COMPUTED_VALUE"""),1968.89)</f>
        <v>1968.89</v>
      </c>
    </row>
    <row r="406" spans="1:2" ht="13" x14ac:dyDescent="0.15">
      <c r="A406" s="2">
        <f ca="1">IFERROR(__xludf.DUMMYFUNCTION("""COMPUTED_VALUE"""),41921.6666666666)</f>
        <v>41921.666666666599</v>
      </c>
      <c r="B406" s="1">
        <f ca="1">IFERROR(__xludf.DUMMYFUNCTION("""COMPUTED_VALUE"""),1928.21)</f>
        <v>1928.21</v>
      </c>
    </row>
    <row r="407" spans="1:2" ht="13" x14ac:dyDescent="0.15">
      <c r="A407" s="2">
        <f ca="1">IFERROR(__xludf.DUMMYFUNCTION("""COMPUTED_VALUE"""),41922.6666666666)</f>
        <v>41922.666666666599</v>
      </c>
      <c r="B407" s="1">
        <f ca="1">IFERROR(__xludf.DUMMYFUNCTION("""COMPUTED_VALUE"""),1906.13)</f>
        <v>1906.13</v>
      </c>
    </row>
    <row r="408" spans="1:2" ht="13" x14ac:dyDescent="0.15">
      <c r="A408" s="2">
        <f ca="1">IFERROR(__xludf.DUMMYFUNCTION("""COMPUTED_VALUE"""),41925.6666666666)</f>
        <v>41925.666666666599</v>
      </c>
      <c r="B408" s="1">
        <f ca="1">IFERROR(__xludf.DUMMYFUNCTION("""COMPUTED_VALUE"""),1874.74)</f>
        <v>1874.74</v>
      </c>
    </row>
    <row r="409" spans="1:2" ht="13" x14ac:dyDescent="0.15">
      <c r="A409" s="2">
        <f ca="1">IFERROR(__xludf.DUMMYFUNCTION("""COMPUTED_VALUE"""),41926.6666666666)</f>
        <v>41926.666666666599</v>
      </c>
      <c r="B409" s="1">
        <f ca="1">IFERROR(__xludf.DUMMYFUNCTION("""COMPUTED_VALUE"""),1877.7)</f>
        <v>1877.7</v>
      </c>
    </row>
    <row r="410" spans="1:2" ht="13" x14ac:dyDescent="0.15">
      <c r="A410" s="2">
        <f ca="1">IFERROR(__xludf.DUMMYFUNCTION("""COMPUTED_VALUE"""),41927.6666666666)</f>
        <v>41927.666666666599</v>
      </c>
      <c r="B410" s="1">
        <f ca="1">IFERROR(__xludf.DUMMYFUNCTION("""COMPUTED_VALUE"""),1862.49)</f>
        <v>1862.49</v>
      </c>
    </row>
    <row r="411" spans="1:2" ht="13" x14ac:dyDescent="0.15">
      <c r="A411" s="2">
        <f ca="1">IFERROR(__xludf.DUMMYFUNCTION("""COMPUTED_VALUE"""),41928.6666666666)</f>
        <v>41928.666666666599</v>
      </c>
      <c r="B411" s="1">
        <f ca="1">IFERROR(__xludf.DUMMYFUNCTION("""COMPUTED_VALUE"""),1862.76)</f>
        <v>1862.76</v>
      </c>
    </row>
    <row r="412" spans="1:2" ht="13" x14ac:dyDescent="0.15">
      <c r="A412" s="2">
        <f ca="1">IFERROR(__xludf.DUMMYFUNCTION("""COMPUTED_VALUE"""),41929.6666666666)</f>
        <v>41929.666666666599</v>
      </c>
      <c r="B412" s="1">
        <f ca="1">IFERROR(__xludf.DUMMYFUNCTION("""COMPUTED_VALUE"""),1886.76)</f>
        <v>1886.76</v>
      </c>
    </row>
    <row r="413" spans="1:2" ht="13" x14ac:dyDescent="0.15">
      <c r="A413" s="2">
        <f ca="1">IFERROR(__xludf.DUMMYFUNCTION("""COMPUTED_VALUE"""),41932.6666666666)</f>
        <v>41932.666666666599</v>
      </c>
      <c r="B413" s="1">
        <f ca="1">IFERROR(__xludf.DUMMYFUNCTION("""COMPUTED_VALUE"""),1904.01)</f>
        <v>1904.01</v>
      </c>
    </row>
    <row r="414" spans="1:2" ht="13" x14ac:dyDescent="0.15">
      <c r="A414" s="2">
        <f ca="1">IFERROR(__xludf.DUMMYFUNCTION("""COMPUTED_VALUE"""),41933.6666666666)</f>
        <v>41933.666666666599</v>
      </c>
      <c r="B414" s="1">
        <f ca="1">IFERROR(__xludf.DUMMYFUNCTION("""COMPUTED_VALUE"""),1941.28)</f>
        <v>1941.28</v>
      </c>
    </row>
    <row r="415" spans="1:2" ht="13" x14ac:dyDescent="0.15">
      <c r="A415" s="2">
        <f ca="1">IFERROR(__xludf.DUMMYFUNCTION("""COMPUTED_VALUE"""),41934.6666666666)</f>
        <v>41934.666666666599</v>
      </c>
      <c r="B415" s="1">
        <f ca="1">IFERROR(__xludf.DUMMYFUNCTION("""COMPUTED_VALUE"""),1927.11)</f>
        <v>1927.11</v>
      </c>
    </row>
    <row r="416" spans="1:2" ht="13" x14ac:dyDescent="0.15">
      <c r="A416" s="2">
        <f ca="1">IFERROR(__xludf.DUMMYFUNCTION("""COMPUTED_VALUE"""),41935.6666666666)</f>
        <v>41935.666666666599</v>
      </c>
      <c r="B416" s="1">
        <f ca="1">IFERROR(__xludf.DUMMYFUNCTION("""COMPUTED_VALUE"""),1950.82)</f>
        <v>1950.82</v>
      </c>
    </row>
    <row r="417" spans="1:2" ht="13" x14ac:dyDescent="0.15">
      <c r="A417" s="2">
        <f ca="1">IFERROR(__xludf.DUMMYFUNCTION("""COMPUTED_VALUE"""),41936.6666666666)</f>
        <v>41936.666666666599</v>
      </c>
      <c r="B417" s="1">
        <f ca="1">IFERROR(__xludf.DUMMYFUNCTION("""COMPUTED_VALUE"""),1964.58)</f>
        <v>1964.58</v>
      </c>
    </row>
    <row r="418" spans="1:2" ht="13" x14ac:dyDescent="0.15">
      <c r="A418" s="2">
        <f ca="1">IFERROR(__xludf.DUMMYFUNCTION("""COMPUTED_VALUE"""),41939.6666666666)</f>
        <v>41939.666666666599</v>
      </c>
      <c r="B418" s="1">
        <f ca="1">IFERROR(__xludf.DUMMYFUNCTION("""COMPUTED_VALUE"""),1961.63)</f>
        <v>1961.63</v>
      </c>
    </row>
    <row r="419" spans="1:2" ht="13" x14ac:dyDescent="0.15">
      <c r="A419" s="2">
        <f ca="1">IFERROR(__xludf.DUMMYFUNCTION("""COMPUTED_VALUE"""),41940.6666666666)</f>
        <v>41940.666666666599</v>
      </c>
      <c r="B419" s="1">
        <f ca="1">IFERROR(__xludf.DUMMYFUNCTION("""COMPUTED_VALUE"""),1985.05)</f>
        <v>1985.05</v>
      </c>
    </row>
    <row r="420" spans="1:2" ht="13" x14ac:dyDescent="0.15">
      <c r="A420" s="2">
        <f ca="1">IFERROR(__xludf.DUMMYFUNCTION("""COMPUTED_VALUE"""),41941.6666666666)</f>
        <v>41941.666666666599</v>
      </c>
      <c r="B420" s="1">
        <f ca="1">IFERROR(__xludf.DUMMYFUNCTION("""COMPUTED_VALUE"""),1982.3)</f>
        <v>1982.3</v>
      </c>
    </row>
    <row r="421" spans="1:2" ht="13" x14ac:dyDescent="0.15">
      <c r="A421" s="2">
        <f ca="1">IFERROR(__xludf.DUMMYFUNCTION("""COMPUTED_VALUE"""),41942.6666666666)</f>
        <v>41942.666666666599</v>
      </c>
      <c r="B421" s="1">
        <f ca="1">IFERROR(__xludf.DUMMYFUNCTION("""COMPUTED_VALUE"""),1994.65)</f>
        <v>1994.65</v>
      </c>
    </row>
    <row r="422" spans="1:2" ht="13" x14ac:dyDescent="0.15">
      <c r="A422" s="2">
        <f ca="1">IFERROR(__xludf.DUMMYFUNCTION("""COMPUTED_VALUE"""),41943.6666666666)</f>
        <v>41943.666666666599</v>
      </c>
      <c r="B422" s="1">
        <f ca="1">IFERROR(__xludf.DUMMYFUNCTION("""COMPUTED_VALUE"""),2018.05)</f>
        <v>2018.05</v>
      </c>
    </row>
    <row r="423" spans="1:2" ht="13" x14ac:dyDescent="0.15">
      <c r="A423" s="2">
        <f ca="1">IFERROR(__xludf.DUMMYFUNCTION("""COMPUTED_VALUE"""),41946.6666666666)</f>
        <v>41946.666666666599</v>
      </c>
      <c r="B423" s="1">
        <f ca="1">IFERROR(__xludf.DUMMYFUNCTION("""COMPUTED_VALUE"""),2017.81)</f>
        <v>2017.81</v>
      </c>
    </row>
    <row r="424" spans="1:2" ht="13" x14ac:dyDescent="0.15">
      <c r="A424" s="2">
        <f ca="1">IFERROR(__xludf.DUMMYFUNCTION("""COMPUTED_VALUE"""),41947.6666666666)</f>
        <v>41947.666666666599</v>
      </c>
      <c r="B424" s="1">
        <f ca="1">IFERROR(__xludf.DUMMYFUNCTION("""COMPUTED_VALUE"""),2012.1)</f>
        <v>2012.1</v>
      </c>
    </row>
    <row r="425" spans="1:2" ht="13" x14ac:dyDescent="0.15">
      <c r="A425" s="2">
        <f ca="1">IFERROR(__xludf.DUMMYFUNCTION("""COMPUTED_VALUE"""),41948.6666666666)</f>
        <v>41948.666666666599</v>
      </c>
      <c r="B425" s="1">
        <f ca="1">IFERROR(__xludf.DUMMYFUNCTION("""COMPUTED_VALUE"""),2023.57)</f>
        <v>2023.57</v>
      </c>
    </row>
    <row r="426" spans="1:2" ht="13" x14ac:dyDescent="0.15">
      <c r="A426" s="2">
        <f ca="1">IFERROR(__xludf.DUMMYFUNCTION("""COMPUTED_VALUE"""),41949.6666666666)</f>
        <v>41949.666666666599</v>
      </c>
      <c r="B426" s="1">
        <f ca="1">IFERROR(__xludf.DUMMYFUNCTION("""COMPUTED_VALUE"""),2031.21)</f>
        <v>2031.21</v>
      </c>
    </row>
    <row r="427" spans="1:2" ht="13" x14ac:dyDescent="0.15">
      <c r="A427" s="2">
        <f ca="1">IFERROR(__xludf.DUMMYFUNCTION("""COMPUTED_VALUE"""),41950.6666666666)</f>
        <v>41950.666666666599</v>
      </c>
      <c r="B427" s="1">
        <f ca="1">IFERROR(__xludf.DUMMYFUNCTION("""COMPUTED_VALUE"""),2031.92)</f>
        <v>2031.92</v>
      </c>
    </row>
    <row r="428" spans="1:2" ht="13" x14ac:dyDescent="0.15">
      <c r="A428" s="2">
        <f ca="1">IFERROR(__xludf.DUMMYFUNCTION("""COMPUTED_VALUE"""),41953.6666666666)</f>
        <v>41953.666666666599</v>
      </c>
      <c r="B428" s="1">
        <f ca="1">IFERROR(__xludf.DUMMYFUNCTION("""COMPUTED_VALUE"""),2038.26)</f>
        <v>2038.26</v>
      </c>
    </row>
    <row r="429" spans="1:2" ht="13" x14ac:dyDescent="0.15">
      <c r="A429" s="2">
        <f ca="1">IFERROR(__xludf.DUMMYFUNCTION("""COMPUTED_VALUE"""),41954.6666666666)</f>
        <v>41954.666666666599</v>
      </c>
      <c r="B429" s="1">
        <f ca="1">IFERROR(__xludf.DUMMYFUNCTION("""COMPUTED_VALUE"""),2039.68)</f>
        <v>2039.68</v>
      </c>
    </row>
    <row r="430" spans="1:2" ht="13" x14ac:dyDescent="0.15">
      <c r="A430" s="2">
        <f ca="1">IFERROR(__xludf.DUMMYFUNCTION("""COMPUTED_VALUE"""),41955.6666666666)</f>
        <v>41955.666666666599</v>
      </c>
      <c r="B430" s="1">
        <f ca="1">IFERROR(__xludf.DUMMYFUNCTION("""COMPUTED_VALUE"""),2038.25)</f>
        <v>2038.25</v>
      </c>
    </row>
    <row r="431" spans="1:2" ht="13" x14ac:dyDescent="0.15">
      <c r="A431" s="2">
        <f ca="1">IFERROR(__xludf.DUMMYFUNCTION("""COMPUTED_VALUE"""),41956.6666666666)</f>
        <v>41956.666666666599</v>
      </c>
      <c r="B431" s="1">
        <f ca="1">IFERROR(__xludf.DUMMYFUNCTION("""COMPUTED_VALUE"""),2039.33)</f>
        <v>2039.33</v>
      </c>
    </row>
    <row r="432" spans="1:2" ht="13" x14ac:dyDescent="0.15">
      <c r="A432" s="2">
        <f ca="1">IFERROR(__xludf.DUMMYFUNCTION("""COMPUTED_VALUE"""),41957.6666666666)</f>
        <v>41957.666666666599</v>
      </c>
      <c r="B432" s="1">
        <f ca="1">IFERROR(__xludf.DUMMYFUNCTION("""COMPUTED_VALUE"""),2039.82)</f>
        <v>2039.82</v>
      </c>
    </row>
    <row r="433" spans="1:2" ht="13" x14ac:dyDescent="0.15">
      <c r="A433" s="2">
        <f ca="1">IFERROR(__xludf.DUMMYFUNCTION("""COMPUTED_VALUE"""),41960.6666666666)</f>
        <v>41960.666666666599</v>
      </c>
      <c r="B433" s="1">
        <f ca="1">IFERROR(__xludf.DUMMYFUNCTION("""COMPUTED_VALUE"""),2041.32)</f>
        <v>2041.32</v>
      </c>
    </row>
    <row r="434" spans="1:2" ht="13" x14ac:dyDescent="0.15">
      <c r="A434" s="2">
        <f ca="1">IFERROR(__xludf.DUMMYFUNCTION("""COMPUTED_VALUE"""),41961.6666666666)</f>
        <v>41961.666666666599</v>
      </c>
      <c r="B434" s="1">
        <f ca="1">IFERROR(__xludf.DUMMYFUNCTION("""COMPUTED_VALUE"""),2051.8)</f>
        <v>2051.8000000000002</v>
      </c>
    </row>
    <row r="435" spans="1:2" ht="13" x14ac:dyDescent="0.15">
      <c r="A435" s="2">
        <f ca="1">IFERROR(__xludf.DUMMYFUNCTION("""COMPUTED_VALUE"""),41962.6666666666)</f>
        <v>41962.666666666599</v>
      </c>
      <c r="B435" s="1">
        <f ca="1">IFERROR(__xludf.DUMMYFUNCTION("""COMPUTED_VALUE"""),2048.72)</f>
        <v>2048.7199999999998</v>
      </c>
    </row>
    <row r="436" spans="1:2" ht="13" x14ac:dyDescent="0.15">
      <c r="A436" s="2">
        <f ca="1">IFERROR(__xludf.DUMMYFUNCTION("""COMPUTED_VALUE"""),41963.6666666666)</f>
        <v>41963.666666666599</v>
      </c>
      <c r="B436" s="1">
        <f ca="1">IFERROR(__xludf.DUMMYFUNCTION("""COMPUTED_VALUE"""),2052.75)</f>
        <v>2052.75</v>
      </c>
    </row>
    <row r="437" spans="1:2" ht="13" x14ac:dyDescent="0.15">
      <c r="A437" s="2">
        <f ca="1">IFERROR(__xludf.DUMMYFUNCTION("""COMPUTED_VALUE"""),41964.6666666666)</f>
        <v>41964.666666666599</v>
      </c>
      <c r="B437" s="1">
        <f ca="1">IFERROR(__xludf.DUMMYFUNCTION("""COMPUTED_VALUE"""),2063.5)</f>
        <v>2063.5</v>
      </c>
    </row>
    <row r="438" spans="1:2" ht="13" x14ac:dyDescent="0.15">
      <c r="A438" s="2">
        <f ca="1">IFERROR(__xludf.DUMMYFUNCTION("""COMPUTED_VALUE"""),41967.6666666666)</f>
        <v>41967.666666666599</v>
      </c>
      <c r="B438" s="1">
        <f ca="1">IFERROR(__xludf.DUMMYFUNCTION("""COMPUTED_VALUE"""),2069.41)</f>
        <v>2069.41</v>
      </c>
    </row>
    <row r="439" spans="1:2" ht="13" x14ac:dyDescent="0.15">
      <c r="A439" s="2">
        <f ca="1">IFERROR(__xludf.DUMMYFUNCTION("""COMPUTED_VALUE"""),41968.6666666666)</f>
        <v>41968.666666666599</v>
      </c>
      <c r="B439" s="1">
        <f ca="1">IFERROR(__xludf.DUMMYFUNCTION("""COMPUTED_VALUE"""),2067.03)</f>
        <v>2067.0300000000002</v>
      </c>
    </row>
    <row r="440" spans="1:2" ht="13" x14ac:dyDescent="0.15">
      <c r="A440" s="2">
        <f ca="1">IFERROR(__xludf.DUMMYFUNCTION("""COMPUTED_VALUE"""),41969.6666666666)</f>
        <v>41969.666666666599</v>
      </c>
      <c r="B440" s="1">
        <f ca="1">IFERROR(__xludf.DUMMYFUNCTION("""COMPUTED_VALUE"""),2072.83)</f>
        <v>2072.83</v>
      </c>
    </row>
    <row r="441" spans="1:2" ht="13" x14ac:dyDescent="0.15">
      <c r="A441" s="2">
        <f ca="1">IFERROR(__xludf.DUMMYFUNCTION("""COMPUTED_VALUE"""),41971.6666666666)</f>
        <v>41971.666666666599</v>
      </c>
      <c r="B441" s="1">
        <f ca="1">IFERROR(__xludf.DUMMYFUNCTION("""COMPUTED_VALUE"""),2067.56)</f>
        <v>2067.56</v>
      </c>
    </row>
    <row r="442" spans="1:2" ht="13" x14ac:dyDescent="0.15">
      <c r="A442" s="2">
        <f ca="1">IFERROR(__xludf.DUMMYFUNCTION("""COMPUTED_VALUE"""),41974.6666666666)</f>
        <v>41974.666666666599</v>
      </c>
      <c r="B442" s="1">
        <f ca="1">IFERROR(__xludf.DUMMYFUNCTION("""COMPUTED_VALUE"""),2053.44)</f>
        <v>2053.44</v>
      </c>
    </row>
    <row r="443" spans="1:2" ht="13" x14ac:dyDescent="0.15">
      <c r="A443" s="2">
        <f ca="1">IFERROR(__xludf.DUMMYFUNCTION("""COMPUTED_VALUE"""),41975.6666666666)</f>
        <v>41975.666666666599</v>
      </c>
      <c r="B443" s="1">
        <f ca="1">IFERROR(__xludf.DUMMYFUNCTION("""COMPUTED_VALUE"""),2066.55)</f>
        <v>2066.5500000000002</v>
      </c>
    </row>
    <row r="444" spans="1:2" ht="13" x14ac:dyDescent="0.15">
      <c r="A444" s="2">
        <f ca="1">IFERROR(__xludf.DUMMYFUNCTION("""COMPUTED_VALUE"""),41976.6666666666)</f>
        <v>41976.666666666599</v>
      </c>
      <c r="B444" s="1">
        <f ca="1">IFERROR(__xludf.DUMMYFUNCTION("""COMPUTED_VALUE"""),2074.33)</f>
        <v>2074.33</v>
      </c>
    </row>
    <row r="445" spans="1:2" ht="13" x14ac:dyDescent="0.15">
      <c r="A445" s="2">
        <f ca="1">IFERROR(__xludf.DUMMYFUNCTION("""COMPUTED_VALUE"""),41977.6666666666)</f>
        <v>41977.666666666599</v>
      </c>
      <c r="B445" s="1">
        <f ca="1">IFERROR(__xludf.DUMMYFUNCTION("""COMPUTED_VALUE"""),2071.92)</f>
        <v>2071.92</v>
      </c>
    </row>
    <row r="446" spans="1:2" ht="13" x14ac:dyDescent="0.15">
      <c r="A446" s="2">
        <f ca="1">IFERROR(__xludf.DUMMYFUNCTION("""COMPUTED_VALUE"""),41978.6666666666)</f>
        <v>41978.666666666599</v>
      </c>
      <c r="B446" s="1">
        <f ca="1">IFERROR(__xludf.DUMMYFUNCTION("""COMPUTED_VALUE"""),2075.37)</f>
        <v>2075.37</v>
      </c>
    </row>
    <row r="447" spans="1:2" ht="13" x14ac:dyDescent="0.15">
      <c r="A447" s="2">
        <f ca="1">IFERROR(__xludf.DUMMYFUNCTION("""COMPUTED_VALUE"""),41981.6666666666)</f>
        <v>41981.666666666599</v>
      </c>
      <c r="B447" s="1">
        <f ca="1">IFERROR(__xludf.DUMMYFUNCTION("""COMPUTED_VALUE"""),2060.31)</f>
        <v>2060.31</v>
      </c>
    </row>
    <row r="448" spans="1:2" ht="13" x14ac:dyDescent="0.15">
      <c r="A448" s="2">
        <f ca="1">IFERROR(__xludf.DUMMYFUNCTION("""COMPUTED_VALUE"""),41982.6666666666)</f>
        <v>41982.666666666599</v>
      </c>
      <c r="B448" s="1">
        <f ca="1">IFERROR(__xludf.DUMMYFUNCTION("""COMPUTED_VALUE"""),2059.82)</f>
        <v>2059.8200000000002</v>
      </c>
    </row>
    <row r="449" spans="1:2" ht="13" x14ac:dyDescent="0.15">
      <c r="A449" s="2">
        <f ca="1">IFERROR(__xludf.DUMMYFUNCTION("""COMPUTED_VALUE"""),41983.6666666666)</f>
        <v>41983.666666666599</v>
      </c>
      <c r="B449" s="1">
        <f ca="1">IFERROR(__xludf.DUMMYFUNCTION("""COMPUTED_VALUE"""),2026.14)</f>
        <v>2026.14</v>
      </c>
    </row>
    <row r="450" spans="1:2" ht="13" x14ac:dyDescent="0.15">
      <c r="A450" s="2">
        <f ca="1">IFERROR(__xludf.DUMMYFUNCTION("""COMPUTED_VALUE"""),41984.6666666666)</f>
        <v>41984.666666666599</v>
      </c>
      <c r="B450" s="1">
        <f ca="1">IFERROR(__xludf.DUMMYFUNCTION("""COMPUTED_VALUE"""),2035.33)</f>
        <v>2035.33</v>
      </c>
    </row>
    <row r="451" spans="1:2" ht="13" x14ac:dyDescent="0.15">
      <c r="A451" s="2">
        <f ca="1">IFERROR(__xludf.DUMMYFUNCTION("""COMPUTED_VALUE"""),41985.6666666666)</f>
        <v>41985.666666666599</v>
      </c>
      <c r="B451" s="1">
        <f ca="1">IFERROR(__xludf.DUMMYFUNCTION("""COMPUTED_VALUE"""),2002.33)</f>
        <v>2002.33</v>
      </c>
    </row>
    <row r="452" spans="1:2" ht="13" x14ac:dyDescent="0.15">
      <c r="A452" s="2">
        <f ca="1">IFERROR(__xludf.DUMMYFUNCTION("""COMPUTED_VALUE"""),41988.6666666666)</f>
        <v>41988.666666666599</v>
      </c>
      <c r="B452" s="1">
        <f ca="1">IFERROR(__xludf.DUMMYFUNCTION("""COMPUTED_VALUE"""),1989.63)</f>
        <v>1989.63</v>
      </c>
    </row>
    <row r="453" spans="1:2" ht="13" x14ac:dyDescent="0.15">
      <c r="A453" s="2">
        <f ca="1">IFERROR(__xludf.DUMMYFUNCTION("""COMPUTED_VALUE"""),41989.6666666666)</f>
        <v>41989.666666666599</v>
      </c>
      <c r="B453" s="1">
        <f ca="1">IFERROR(__xludf.DUMMYFUNCTION("""COMPUTED_VALUE"""),1972.74)</f>
        <v>1972.74</v>
      </c>
    </row>
    <row r="454" spans="1:2" ht="13" x14ac:dyDescent="0.15">
      <c r="A454" s="2">
        <f ca="1">IFERROR(__xludf.DUMMYFUNCTION("""COMPUTED_VALUE"""),41990.6666666666)</f>
        <v>41990.666666666599</v>
      </c>
      <c r="B454" s="1">
        <f ca="1">IFERROR(__xludf.DUMMYFUNCTION("""COMPUTED_VALUE"""),2012.89)</f>
        <v>2012.89</v>
      </c>
    </row>
    <row r="455" spans="1:2" ht="13" x14ac:dyDescent="0.15">
      <c r="A455" s="2">
        <f ca="1">IFERROR(__xludf.DUMMYFUNCTION("""COMPUTED_VALUE"""),41991.6666666666)</f>
        <v>41991.666666666599</v>
      </c>
      <c r="B455" s="1">
        <f ca="1">IFERROR(__xludf.DUMMYFUNCTION("""COMPUTED_VALUE"""),2061.23)</f>
        <v>2061.23</v>
      </c>
    </row>
    <row r="456" spans="1:2" ht="13" x14ac:dyDescent="0.15">
      <c r="A456" s="2">
        <f ca="1">IFERROR(__xludf.DUMMYFUNCTION("""COMPUTED_VALUE"""),41992.6666666666)</f>
        <v>41992.666666666599</v>
      </c>
      <c r="B456" s="1">
        <f ca="1">IFERROR(__xludf.DUMMYFUNCTION("""COMPUTED_VALUE"""),2070.65)</f>
        <v>2070.65</v>
      </c>
    </row>
    <row r="457" spans="1:2" ht="13" x14ac:dyDescent="0.15">
      <c r="A457" s="2">
        <f ca="1">IFERROR(__xludf.DUMMYFUNCTION("""COMPUTED_VALUE"""),41995.6666666666)</f>
        <v>41995.666666666599</v>
      </c>
      <c r="B457" s="1">
        <f ca="1">IFERROR(__xludf.DUMMYFUNCTION("""COMPUTED_VALUE"""),2078.54)</f>
        <v>2078.54</v>
      </c>
    </row>
    <row r="458" spans="1:2" ht="13" x14ac:dyDescent="0.15">
      <c r="A458" s="2">
        <f ca="1">IFERROR(__xludf.DUMMYFUNCTION("""COMPUTED_VALUE"""),41996.6666666666)</f>
        <v>41996.666666666599</v>
      </c>
      <c r="B458" s="1">
        <f ca="1">IFERROR(__xludf.DUMMYFUNCTION("""COMPUTED_VALUE"""),2082.17)</f>
        <v>2082.17</v>
      </c>
    </row>
    <row r="459" spans="1:2" ht="13" x14ac:dyDescent="0.15">
      <c r="A459" s="2">
        <f ca="1">IFERROR(__xludf.DUMMYFUNCTION("""COMPUTED_VALUE"""),41997.6666666666)</f>
        <v>41997.666666666599</v>
      </c>
      <c r="B459" s="1">
        <f ca="1">IFERROR(__xludf.DUMMYFUNCTION("""COMPUTED_VALUE"""),2081.88)</f>
        <v>2081.88</v>
      </c>
    </row>
    <row r="460" spans="1:2" ht="13" x14ac:dyDescent="0.15">
      <c r="A460" s="2">
        <f ca="1">IFERROR(__xludf.DUMMYFUNCTION("""COMPUTED_VALUE"""),41999.6666666666)</f>
        <v>41999.666666666599</v>
      </c>
      <c r="B460" s="1">
        <f ca="1">IFERROR(__xludf.DUMMYFUNCTION("""COMPUTED_VALUE"""),2088.77)</f>
        <v>2088.77</v>
      </c>
    </row>
    <row r="461" spans="1:2" ht="13" x14ac:dyDescent="0.15">
      <c r="A461" s="2">
        <f ca="1">IFERROR(__xludf.DUMMYFUNCTION("""COMPUTED_VALUE"""),42002.6666666666)</f>
        <v>42002.666666666599</v>
      </c>
      <c r="B461" s="1">
        <f ca="1">IFERROR(__xludf.DUMMYFUNCTION("""COMPUTED_VALUE"""),2090.57)</f>
        <v>2090.5700000000002</v>
      </c>
    </row>
    <row r="462" spans="1:2" ht="13" x14ac:dyDescent="0.15">
      <c r="A462" s="2">
        <f ca="1">IFERROR(__xludf.DUMMYFUNCTION("""COMPUTED_VALUE"""),42003.6666666666)</f>
        <v>42003.666666666599</v>
      </c>
      <c r="B462" s="1">
        <f ca="1">IFERROR(__xludf.DUMMYFUNCTION("""COMPUTED_VALUE"""),2080.35)</f>
        <v>2080.35</v>
      </c>
    </row>
    <row r="463" spans="1:2" ht="13" x14ac:dyDescent="0.15">
      <c r="A463" s="2">
        <f ca="1">IFERROR(__xludf.DUMMYFUNCTION("""COMPUTED_VALUE"""),42004.6666666666)</f>
        <v>42004.666666666599</v>
      </c>
      <c r="B463" s="1">
        <f ca="1">IFERROR(__xludf.DUMMYFUNCTION("""COMPUTED_VALUE"""),2058.9)</f>
        <v>2058.9</v>
      </c>
    </row>
    <row r="464" spans="1:2" ht="13" x14ac:dyDescent="0.15">
      <c r="A464" s="2">
        <f ca="1">IFERROR(__xludf.DUMMYFUNCTION("""COMPUTED_VALUE"""),42006.6666666666)</f>
        <v>42006.666666666599</v>
      </c>
      <c r="B464" s="1">
        <f ca="1">IFERROR(__xludf.DUMMYFUNCTION("""COMPUTED_VALUE"""),2058.2)</f>
        <v>2058.1999999999998</v>
      </c>
    </row>
    <row r="465" spans="1:2" ht="13" x14ac:dyDescent="0.15">
      <c r="A465" s="2">
        <f ca="1">IFERROR(__xludf.DUMMYFUNCTION("""COMPUTED_VALUE"""),42009.6666666666)</f>
        <v>42009.666666666599</v>
      </c>
      <c r="B465" s="1">
        <f ca="1">IFERROR(__xludf.DUMMYFUNCTION("""COMPUTED_VALUE"""),2020.58)</f>
        <v>2020.58</v>
      </c>
    </row>
    <row r="466" spans="1:2" ht="13" x14ac:dyDescent="0.15">
      <c r="A466" s="2">
        <f ca="1">IFERROR(__xludf.DUMMYFUNCTION("""COMPUTED_VALUE"""),42010.6666666666)</f>
        <v>42010.666666666599</v>
      </c>
      <c r="B466" s="1">
        <f ca="1">IFERROR(__xludf.DUMMYFUNCTION("""COMPUTED_VALUE"""),2002.61)</f>
        <v>2002.61</v>
      </c>
    </row>
    <row r="467" spans="1:2" ht="13" x14ac:dyDescent="0.15">
      <c r="A467" s="2">
        <f ca="1">IFERROR(__xludf.DUMMYFUNCTION("""COMPUTED_VALUE"""),42011.6666666666)</f>
        <v>42011.666666666599</v>
      </c>
      <c r="B467" s="1">
        <f ca="1">IFERROR(__xludf.DUMMYFUNCTION("""COMPUTED_VALUE"""),2025.9)</f>
        <v>2025.9</v>
      </c>
    </row>
    <row r="468" spans="1:2" ht="13" x14ac:dyDescent="0.15">
      <c r="A468" s="2">
        <f ca="1">IFERROR(__xludf.DUMMYFUNCTION("""COMPUTED_VALUE"""),42012.6666666666)</f>
        <v>42012.666666666599</v>
      </c>
      <c r="B468" s="1">
        <f ca="1">IFERROR(__xludf.DUMMYFUNCTION("""COMPUTED_VALUE"""),2062.14)</f>
        <v>2062.14</v>
      </c>
    </row>
    <row r="469" spans="1:2" ht="13" x14ac:dyDescent="0.15">
      <c r="A469" s="2">
        <f ca="1">IFERROR(__xludf.DUMMYFUNCTION("""COMPUTED_VALUE"""),42013.6666666666)</f>
        <v>42013.666666666599</v>
      </c>
      <c r="B469" s="1">
        <f ca="1">IFERROR(__xludf.DUMMYFUNCTION("""COMPUTED_VALUE"""),2044.81)</f>
        <v>2044.81</v>
      </c>
    </row>
    <row r="470" spans="1:2" ht="13" x14ac:dyDescent="0.15">
      <c r="A470" s="2">
        <f ca="1">IFERROR(__xludf.DUMMYFUNCTION("""COMPUTED_VALUE"""),42016.6666666666)</f>
        <v>42016.666666666599</v>
      </c>
      <c r="B470" s="1">
        <f ca="1">IFERROR(__xludf.DUMMYFUNCTION("""COMPUTED_VALUE"""),2028.26)</f>
        <v>2028.26</v>
      </c>
    </row>
    <row r="471" spans="1:2" ht="13" x14ac:dyDescent="0.15">
      <c r="A471" s="2">
        <f ca="1">IFERROR(__xludf.DUMMYFUNCTION("""COMPUTED_VALUE"""),42017.6666666666)</f>
        <v>42017.666666666599</v>
      </c>
      <c r="B471" s="1">
        <f ca="1">IFERROR(__xludf.DUMMYFUNCTION("""COMPUTED_VALUE"""),2023.03)</f>
        <v>2023.03</v>
      </c>
    </row>
    <row r="472" spans="1:2" ht="13" x14ac:dyDescent="0.15">
      <c r="A472" s="2">
        <f ca="1">IFERROR(__xludf.DUMMYFUNCTION("""COMPUTED_VALUE"""),42018.6666666666)</f>
        <v>42018.666666666599</v>
      </c>
      <c r="B472" s="1">
        <f ca="1">IFERROR(__xludf.DUMMYFUNCTION("""COMPUTED_VALUE"""),2011.27)</f>
        <v>2011.27</v>
      </c>
    </row>
    <row r="473" spans="1:2" ht="13" x14ac:dyDescent="0.15">
      <c r="A473" s="2">
        <f ca="1">IFERROR(__xludf.DUMMYFUNCTION("""COMPUTED_VALUE"""),42019.6666666666)</f>
        <v>42019.666666666599</v>
      </c>
      <c r="B473" s="1">
        <f ca="1">IFERROR(__xludf.DUMMYFUNCTION("""COMPUTED_VALUE"""),1992.67)</f>
        <v>1992.67</v>
      </c>
    </row>
    <row r="474" spans="1:2" ht="13" x14ac:dyDescent="0.15">
      <c r="A474" s="2">
        <f ca="1">IFERROR(__xludf.DUMMYFUNCTION("""COMPUTED_VALUE"""),42020.6666666666)</f>
        <v>42020.666666666599</v>
      </c>
      <c r="B474" s="1">
        <f ca="1">IFERROR(__xludf.DUMMYFUNCTION("""COMPUTED_VALUE"""),2019.42)</f>
        <v>2019.42</v>
      </c>
    </row>
    <row r="475" spans="1:2" ht="13" x14ac:dyDescent="0.15">
      <c r="A475" s="2">
        <f ca="1">IFERROR(__xludf.DUMMYFUNCTION("""COMPUTED_VALUE"""),42024.6666666666)</f>
        <v>42024.666666666599</v>
      </c>
      <c r="B475" s="1">
        <f ca="1">IFERROR(__xludf.DUMMYFUNCTION("""COMPUTED_VALUE"""),2022.55)</f>
        <v>2022.55</v>
      </c>
    </row>
    <row r="476" spans="1:2" ht="13" x14ac:dyDescent="0.15">
      <c r="A476" s="2">
        <f ca="1">IFERROR(__xludf.DUMMYFUNCTION("""COMPUTED_VALUE"""),42025.6666666666)</f>
        <v>42025.666666666599</v>
      </c>
      <c r="B476" s="1">
        <f ca="1">IFERROR(__xludf.DUMMYFUNCTION("""COMPUTED_VALUE"""),2032.12)</f>
        <v>2032.12</v>
      </c>
    </row>
    <row r="477" spans="1:2" ht="13" x14ac:dyDescent="0.15">
      <c r="A477" s="2">
        <f ca="1">IFERROR(__xludf.DUMMYFUNCTION("""COMPUTED_VALUE"""),42026.6666666666)</f>
        <v>42026.666666666599</v>
      </c>
      <c r="B477" s="1">
        <f ca="1">IFERROR(__xludf.DUMMYFUNCTION("""COMPUTED_VALUE"""),2063.15)</f>
        <v>2063.15</v>
      </c>
    </row>
    <row r="478" spans="1:2" ht="13" x14ac:dyDescent="0.15">
      <c r="A478" s="2">
        <f ca="1">IFERROR(__xludf.DUMMYFUNCTION("""COMPUTED_VALUE"""),42027.6666666666)</f>
        <v>42027.666666666599</v>
      </c>
      <c r="B478" s="1">
        <f ca="1">IFERROR(__xludf.DUMMYFUNCTION("""COMPUTED_VALUE"""),2051.82)</f>
        <v>2051.8200000000002</v>
      </c>
    </row>
    <row r="479" spans="1:2" ht="13" x14ac:dyDescent="0.15">
      <c r="A479" s="2">
        <f ca="1">IFERROR(__xludf.DUMMYFUNCTION("""COMPUTED_VALUE"""),42030.6666666666)</f>
        <v>42030.666666666599</v>
      </c>
      <c r="B479" s="1">
        <f ca="1">IFERROR(__xludf.DUMMYFUNCTION("""COMPUTED_VALUE"""),2057.09)</f>
        <v>2057.09</v>
      </c>
    </row>
    <row r="480" spans="1:2" ht="13" x14ac:dyDescent="0.15">
      <c r="A480" s="2">
        <f ca="1">IFERROR(__xludf.DUMMYFUNCTION("""COMPUTED_VALUE"""),42031.6666666666)</f>
        <v>42031.666666666599</v>
      </c>
      <c r="B480" s="1">
        <f ca="1">IFERROR(__xludf.DUMMYFUNCTION("""COMPUTED_VALUE"""),2029.55)</f>
        <v>2029.55</v>
      </c>
    </row>
    <row r="481" spans="1:2" ht="13" x14ac:dyDescent="0.15">
      <c r="A481" s="2">
        <f ca="1">IFERROR(__xludf.DUMMYFUNCTION("""COMPUTED_VALUE"""),42032.6666666666)</f>
        <v>42032.666666666599</v>
      </c>
      <c r="B481" s="1">
        <f ca="1">IFERROR(__xludf.DUMMYFUNCTION("""COMPUTED_VALUE"""),2002.16)</f>
        <v>2002.16</v>
      </c>
    </row>
    <row r="482" spans="1:2" ht="13" x14ac:dyDescent="0.15">
      <c r="A482" s="2">
        <f ca="1">IFERROR(__xludf.DUMMYFUNCTION("""COMPUTED_VALUE"""),42033.6666666666)</f>
        <v>42033.666666666599</v>
      </c>
      <c r="B482" s="1">
        <f ca="1">IFERROR(__xludf.DUMMYFUNCTION("""COMPUTED_VALUE"""),2021.25)</f>
        <v>2021.25</v>
      </c>
    </row>
    <row r="483" spans="1:2" ht="13" x14ac:dyDescent="0.15">
      <c r="A483" s="2">
        <f ca="1">IFERROR(__xludf.DUMMYFUNCTION("""COMPUTED_VALUE"""),42034.6666666666)</f>
        <v>42034.666666666599</v>
      </c>
      <c r="B483" s="1">
        <f ca="1">IFERROR(__xludf.DUMMYFUNCTION("""COMPUTED_VALUE"""),1994.99)</f>
        <v>1994.99</v>
      </c>
    </row>
    <row r="484" spans="1:2" ht="13" x14ac:dyDescent="0.15">
      <c r="A484" s="2">
        <f ca="1">IFERROR(__xludf.DUMMYFUNCTION("""COMPUTED_VALUE"""),42037.6666666666)</f>
        <v>42037.666666666599</v>
      </c>
      <c r="B484" s="1">
        <f ca="1">IFERROR(__xludf.DUMMYFUNCTION("""COMPUTED_VALUE"""),2020.85)</f>
        <v>2020.85</v>
      </c>
    </row>
    <row r="485" spans="1:2" ht="13" x14ac:dyDescent="0.15">
      <c r="A485" s="2">
        <f ca="1">IFERROR(__xludf.DUMMYFUNCTION("""COMPUTED_VALUE"""),42038.6666666666)</f>
        <v>42038.666666666599</v>
      </c>
      <c r="B485" s="1">
        <f ca="1">IFERROR(__xludf.DUMMYFUNCTION("""COMPUTED_VALUE"""),2050.03)</f>
        <v>2050.0300000000002</v>
      </c>
    </row>
    <row r="486" spans="1:2" ht="13" x14ac:dyDescent="0.15">
      <c r="A486" s="2">
        <f ca="1">IFERROR(__xludf.DUMMYFUNCTION("""COMPUTED_VALUE"""),42039.6666666666)</f>
        <v>42039.666666666599</v>
      </c>
      <c r="B486" s="1">
        <f ca="1">IFERROR(__xludf.DUMMYFUNCTION("""COMPUTED_VALUE"""),2041.51)</f>
        <v>2041.51</v>
      </c>
    </row>
    <row r="487" spans="1:2" ht="13" x14ac:dyDescent="0.15">
      <c r="A487" s="2">
        <f ca="1">IFERROR(__xludf.DUMMYFUNCTION("""COMPUTED_VALUE"""),42040.6666666666)</f>
        <v>42040.666666666599</v>
      </c>
      <c r="B487" s="1">
        <f ca="1">IFERROR(__xludf.DUMMYFUNCTION("""COMPUTED_VALUE"""),2062.52)</f>
        <v>2062.52</v>
      </c>
    </row>
    <row r="488" spans="1:2" ht="13" x14ac:dyDescent="0.15">
      <c r="A488" s="2">
        <f ca="1">IFERROR(__xludf.DUMMYFUNCTION("""COMPUTED_VALUE"""),42041.6666666666)</f>
        <v>42041.666666666599</v>
      </c>
      <c r="B488" s="1">
        <f ca="1">IFERROR(__xludf.DUMMYFUNCTION("""COMPUTED_VALUE"""),2055.47)</f>
        <v>2055.4699999999998</v>
      </c>
    </row>
    <row r="489" spans="1:2" ht="13" x14ac:dyDescent="0.15">
      <c r="A489" s="2">
        <f ca="1">IFERROR(__xludf.DUMMYFUNCTION("""COMPUTED_VALUE"""),42044.6666666666)</f>
        <v>42044.666666666599</v>
      </c>
      <c r="B489" s="1">
        <f ca="1">IFERROR(__xludf.DUMMYFUNCTION("""COMPUTED_VALUE"""),2046.74)</f>
        <v>2046.74</v>
      </c>
    </row>
    <row r="490" spans="1:2" ht="13" x14ac:dyDescent="0.15">
      <c r="A490" s="2">
        <f ca="1">IFERROR(__xludf.DUMMYFUNCTION("""COMPUTED_VALUE"""),42045.6666666666)</f>
        <v>42045.666666666599</v>
      </c>
      <c r="B490" s="1">
        <f ca="1">IFERROR(__xludf.DUMMYFUNCTION("""COMPUTED_VALUE"""),2068.59)</f>
        <v>2068.59</v>
      </c>
    </row>
    <row r="491" spans="1:2" ht="13" x14ac:dyDescent="0.15">
      <c r="A491" s="2">
        <f ca="1">IFERROR(__xludf.DUMMYFUNCTION("""COMPUTED_VALUE"""),42046.6666666666)</f>
        <v>42046.666666666599</v>
      </c>
      <c r="B491" s="1">
        <f ca="1">IFERROR(__xludf.DUMMYFUNCTION("""COMPUTED_VALUE"""),2068.53)</f>
        <v>2068.5300000000002</v>
      </c>
    </row>
    <row r="492" spans="1:2" ht="13" x14ac:dyDescent="0.15">
      <c r="A492" s="2">
        <f ca="1">IFERROR(__xludf.DUMMYFUNCTION("""COMPUTED_VALUE"""),42047.6666666666)</f>
        <v>42047.666666666599</v>
      </c>
      <c r="B492" s="1">
        <f ca="1">IFERROR(__xludf.DUMMYFUNCTION("""COMPUTED_VALUE"""),2088.48)</f>
        <v>2088.48</v>
      </c>
    </row>
    <row r="493" spans="1:2" ht="13" x14ac:dyDescent="0.15">
      <c r="A493" s="2">
        <f ca="1">IFERROR(__xludf.DUMMYFUNCTION("""COMPUTED_VALUE"""),42048.6666666666)</f>
        <v>42048.666666666599</v>
      </c>
      <c r="B493" s="1">
        <f ca="1">IFERROR(__xludf.DUMMYFUNCTION("""COMPUTED_VALUE"""),2096.99)</f>
        <v>2096.9899999999998</v>
      </c>
    </row>
    <row r="494" spans="1:2" ht="13" x14ac:dyDescent="0.15">
      <c r="A494" s="2">
        <f ca="1">IFERROR(__xludf.DUMMYFUNCTION("""COMPUTED_VALUE"""),42052.6666666666)</f>
        <v>42052.666666666599</v>
      </c>
      <c r="B494" s="1">
        <f ca="1">IFERROR(__xludf.DUMMYFUNCTION("""COMPUTED_VALUE"""),2100.34)</f>
        <v>2100.34</v>
      </c>
    </row>
    <row r="495" spans="1:2" ht="13" x14ac:dyDescent="0.15">
      <c r="A495" s="2">
        <f ca="1">IFERROR(__xludf.DUMMYFUNCTION("""COMPUTED_VALUE"""),42053.6666666666)</f>
        <v>42053.666666666599</v>
      </c>
      <c r="B495" s="1">
        <f ca="1">IFERROR(__xludf.DUMMYFUNCTION("""COMPUTED_VALUE"""),2099.68)</f>
        <v>2099.6799999999998</v>
      </c>
    </row>
    <row r="496" spans="1:2" ht="13" x14ac:dyDescent="0.15">
      <c r="A496" s="2">
        <f ca="1">IFERROR(__xludf.DUMMYFUNCTION("""COMPUTED_VALUE"""),42054.6666666666)</f>
        <v>42054.666666666599</v>
      </c>
      <c r="B496" s="1">
        <f ca="1">IFERROR(__xludf.DUMMYFUNCTION("""COMPUTED_VALUE"""),2097.45)</f>
        <v>2097.4499999999998</v>
      </c>
    </row>
    <row r="497" spans="1:2" ht="13" x14ac:dyDescent="0.15">
      <c r="A497" s="2">
        <f ca="1">IFERROR(__xludf.DUMMYFUNCTION("""COMPUTED_VALUE"""),42055.6666666666)</f>
        <v>42055.666666666599</v>
      </c>
      <c r="B497" s="1">
        <f ca="1">IFERROR(__xludf.DUMMYFUNCTION("""COMPUTED_VALUE"""),2110.3)</f>
        <v>2110.3000000000002</v>
      </c>
    </row>
    <row r="498" spans="1:2" ht="13" x14ac:dyDescent="0.15">
      <c r="A498" s="2">
        <f ca="1">IFERROR(__xludf.DUMMYFUNCTION("""COMPUTED_VALUE"""),42058.6666666666)</f>
        <v>42058.666666666599</v>
      </c>
      <c r="B498" s="1">
        <f ca="1">IFERROR(__xludf.DUMMYFUNCTION("""COMPUTED_VALUE"""),2109.66)</f>
        <v>2109.66</v>
      </c>
    </row>
    <row r="499" spans="1:2" ht="13" x14ac:dyDescent="0.15">
      <c r="A499" s="2">
        <f ca="1">IFERROR(__xludf.DUMMYFUNCTION("""COMPUTED_VALUE"""),42059.6666666666)</f>
        <v>42059.666666666599</v>
      </c>
      <c r="B499" s="1">
        <f ca="1">IFERROR(__xludf.DUMMYFUNCTION("""COMPUTED_VALUE"""),2115.48)</f>
        <v>2115.48</v>
      </c>
    </row>
    <row r="500" spans="1:2" ht="13" x14ac:dyDescent="0.15">
      <c r="A500" s="2">
        <f ca="1">IFERROR(__xludf.DUMMYFUNCTION("""COMPUTED_VALUE"""),42060.6666666666)</f>
        <v>42060.666666666599</v>
      </c>
      <c r="B500" s="1">
        <f ca="1">IFERROR(__xludf.DUMMYFUNCTION("""COMPUTED_VALUE"""),2113.86)</f>
        <v>2113.86</v>
      </c>
    </row>
    <row r="501" spans="1:2" ht="13" x14ac:dyDescent="0.15">
      <c r="A501" s="2">
        <f ca="1">IFERROR(__xludf.DUMMYFUNCTION("""COMPUTED_VALUE"""),42061.6666666666)</f>
        <v>42061.666666666599</v>
      </c>
      <c r="B501" s="1">
        <f ca="1">IFERROR(__xludf.DUMMYFUNCTION("""COMPUTED_VALUE"""),2110.74)</f>
        <v>2110.7399999999998</v>
      </c>
    </row>
    <row r="502" spans="1:2" ht="13" x14ac:dyDescent="0.15">
      <c r="A502" s="2">
        <f ca="1">IFERROR(__xludf.DUMMYFUNCTION("""COMPUTED_VALUE"""),42062.6666666666)</f>
        <v>42062.666666666599</v>
      </c>
      <c r="B502" s="1">
        <f ca="1">IFERROR(__xludf.DUMMYFUNCTION("""COMPUTED_VALUE"""),2104.5)</f>
        <v>2104.5</v>
      </c>
    </row>
    <row r="503" spans="1:2" ht="13" x14ac:dyDescent="0.15">
      <c r="A503" s="2">
        <f ca="1">IFERROR(__xludf.DUMMYFUNCTION("""COMPUTED_VALUE"""),42065.6666666666)</f>
        <v>42065.666666666599</v>
      </c>
      <c r="B503" s="1">
        <f ca="1">IFERROR(__xludf.DUMMYFUNCTION("""COMPUTED_VALUE"""),2117.39)</f>
        <v>2117.39</v>
      </c>
    </row>
    <row r="504" spans="1:2" ht="13" x14ac:dyDescent="0.15">
      <c r="A504" s="2">
        <f ca="1">IFERROR(__xludf.DUMMYFUNCTION("""COMPUTED_VALUE"""),42066.6666666666)</f>
        <v>42066.666666666599</v>
      </c>
      <c r="B504" s="1">
        <f ca="1">IFERROR(__xludf.DUMMYFUNCTION("""COMPUTED_VALUE"""),2107.78)</f>
        <v>2107.7800000000002</v>
      </c>
    </row>
    <row r="505" spans="1:2" ht="13" x14ac:dyDescent="0.15">
      <c r="A505" s="2">
        <f ca="1">IFERROR(__xludf.DUMMYFUNCTION("""COMPUTED_VALUE"""),42067.6666666666)</f>
        <v>42067.666666666599</v>
      </c>
      <c r="B505" s="1">
        <f ca="1">IFERROR(__xludf.DUMMYFUNCTION("""COMPUTED_VALUE"""),2098.53)</f>
        <v>2098.5300000000002</v>
      </c>
    </row>
    <row r="506" spans="1:2" ht="13" x14ac:dyDescent="0.15">
      <c r="A506" s="2">
        <f ca="1">IFERROR(__xludf.DUMMYFUNCTION("""COMPUTED_VALUE"""),42068.6666666666)</f>
        <v>42068.666666666599</v>
      </c>
      <c r="B506" s="1">
        <f ca="1">IFERROR(__xludf.DUMMYFUNCTION("""COMPUTED_VALUE"""),2101.04)</f>
        <v>2101.04</v>
      </c>
    </row>
    <row r="507" spans="1:2" ht="13" x14ac:dyDescent="0.15">
      <c r="A507" s="2">
        <f ca="1">IFERROR(__xludf.DUMMYFUNCTION("""COMPUTED_VALUE"""),42069.6666666666)</f>
        <v>42069.666666666599</v>
      </c>
      <c r="B507" s="1">
        <f ca="1">IFERROR(__xludf.DUMMYFUNCTION("""COMPUTED_VALUE"""),2071.26)</f>
        <v>2071.2600000000002</v>
      </c>
    </row>
    <row r="508" spans="1:2" ht="13" x14ac:dyDescent="0.15">
      <c r="A508" s="2">
        <f ca="1">IFERROR(__xludf.DUMMYFUNCTION("""COMPUTED_VALUE"""),42072.6666666666)</f>
        <v>42072.666666666599</v>
      </c>
      <c r="B508" s="1">
        <f ca="1">IFERROR(__xludf.DUMMYFUNCTION("""COMPUTED_VALUE"""),2079.43)</f>
        <v>2079.4299999999998</v>
      </c>
    </row>
    <row r="509" spans="1:2" ht="13" x14ac:dyDescent="0.15">
      <c r="A509" s="2">
        <f ca="1">IFERROR(__xludf.DUMMYFUNCTION("""COMPUTED_VALUE"""),42073.6666666666)</f>
        <v>42073.666666666599</v>
      </c>
      <c r="B509" s="1">
        <f ca="1">IFERROR(__xludf.DUMMYFUNCTION("""COMPUTED_VALUE"""),2044.16)</f>
        <v>2044.16</v>
      </c>
    </row>
    <row r="510" spans="1:2" ht="13" x14ac:dyDescent="0.15">
      <c r="A510" s="2">
        <f ca="1">IFERROR(__xludf.DUMMYFUNCTION("""COMPUTED_VALUE"""),42074.6666666666)</f>
        <v>42074.666666666599</v>
      </c>
      <c r="B510" s="1">
        <f ca="1">IFERROR(__xludf.DUMMYFUNCTION("""COMPUTED_VALUE"""),2040.24)</f>
        <v>2040.24</v>
      </c>
    </row>
    <row r="511" spans="1:2" ht="13" x14ac:dyDescent="0.15">
      <c r="A511" s="2">
        <f ca="1">IFERROR(__xludf.DUMMYFUNCTION("""COMPUTED_VALUE"""),42075.6666666666)</f>
        <v>42075.666666666599</v>
      </c>
      <c r="B511" s="1">
        <f ca="1">IFERROR(__xludf.DUMMYFUNCTION("""COMPUTED_VALUE"""),2065.95)</f>
        <v>2065.9499999999998</v>
      </c>
    </row>
    <row r="512" spans="1:2" ht="13" x14ac:dyDescent="0.15">
      <c r="A512" s="2">
        <f ca="1">IFERROR(__xludf.DUMMYFUNCTION("""COMPUTED_VALUE"""),42076.6666666666)</f>
        <v>42076.666666666599</v>
      </c>
      <c r="B512" s="1">
        <f ca="1">IFERROR(__xludf.DUMMYFUNCTION("""COMPUTED_VALUE"""),2053.4)</f>
        <v>2053.4</v>
      </c>
    </row>
    <row r="513" spans="1:2" ht="13" x14ac:dyDescent="0.15">
      <c r="A513" s="2">
        <f ca="1">IFERROR(__xludf.DUMMYFUNCTION("""COMPUTED_VALUE"""),42079.6666666666)</f>
        <v>42079.666666666599</v>
      </c>
      <c r="B513" s="1">
        <f ca="1">IFERROR(__xludf.DUMMYFUNCTION("""COMPUTED_VALUE"""),2081.19)</f>
        <v>2081.19</v>
      </c>
    </row>
    <row r="514" spans="1:2" ht="13" x14ac:dyDescent="0.15">
      <c r="A514" s="2">
        <f ca="1">IFERROR(__xludf.DUMMYFUNCTION("""COMPUTED_VALUE"""),42080.6666666666)</f>
        <v>42080.666666666599</v>
      </c>
      <c r="B514" s="1">
        <f ca="1">IFERROR(__xludf.DUMMYFUNCTION("""COMPUTED_VALUE"""),2074.28)</f>
        <v>2074.2800000000002</v>
      </c>
    </row>
    <row r="515" spans="1:2" ht="13" x14ac:dyDescent="0.15">
      <c r="A515" s="2">
        <f ca="1">IFERROR(__xludf.DUMMYFUNCTION("""COMPUTED_VALUE"""),42081.6666666666)</f>
        <v>42081.666666666599</v>
      </c>
      <c r="B515" s="1">
        <f ca="1">IFERROR(__xludf.DUMMYFUNCTION("""COMPUTED_VALUE"""),2099.5)</f>
        <v>2099.5</v>
      </c>
    </row>
    <row r="516" spans="1:2" ht="13" x14ac:dyDescent="0.15">
      <c r="A516" s="2">
        <f ca="1">IFERROR(__xludf.DUMMYFUNCTION("""COMPUTED_VALUE"""),42082.6666666666)</f>
        <v>42082.666666666599</v>
      </c>
      <c r="B516" s="1">
        <f ca="1">IFERROR(__xludf.DUMMYFUNCTION("""COMPUTED_VALUE"""),2089.27)</f>
        <v>2089.27</v>
      </c>
    </row>
    <row r="517" spans="1:2" ht="13" x14ac:dyDescent="0.15">
      <c r="A517" s="2">
        <f ca="1">IFERROR(__xludf.DUMMYFUNCTION("""COMPUTED_VALUE"""),42083.6666666666)</f>
        <v>42083.666666666599</v>
      </c>
      <c r="B517" s="1">
        <f ca="1">IFERROR(__xludf.DUMMYFUNCTION("""COMPUTED_VALUE"""),2108.1)</f>
        <v>2108.1</v>
      </c>
    </row>
    <row r="518" spans="1:2" ht="13" x14ac:dyDescent="0.15">
      <c r="A518" s="2">
        <f ca="1">IFERROR(__xludf.DUMMYFUNCTION("""COMPUTED_VALUE"""),42086.6666666666)</f>
        <v>42086.666666666599</v>
      </c>
      <c r="B518" s="1">
        <f ca="1">IFERROR(__xludf.DUMMYFUNCTION("""COMPUTED_VALUE"""),2104.42)</f>
        <v>2104.42</v>
      </c>
    </row>
    <row r="519" spans="1:2" ht="13" x14ac:dyDescent="0.15">
      <c r="A519" s="2">
        <f ca="1">IFERROR(__xludf.DUMMYFUNCTION("""COMPUTED_VALUE"""),42087.6666666666)</f>
        <v>42087.666666666599</v>
      </c>
      <c r="B519" s="1">
        <f ca="1">IFERROR(__xludf.DUMMYFUNCTION("""COMPUTED_VALUE"""),2091.5)</f>
        <v>2091.5</v>
      </c>
    </row>
    <row r="520" spans="1:2" ht="13" x14ac:dyDescent="0.15">
      <c r="A520" s="2">
        <f ca="1">IFERROR(__xludf.DUMMYFUNCTION("""COMPUTED_VALUE"""),42088.6666666666)</f>
        <v>42088.666666666599</v>
      </c>
      <c r="B520" s="1">
        <f ca="1">IFERROR(__xludf.DUMMYFUNCTION("""COMPUTED_VALUE"""),2061.05)</f>
        <v>2061.0500000000002</v>
      </c>
    </row>
    <row r="521" spans="1:2" ht="13" x14ac:dyDescent="0.15">
      <c r="A521" s="2">
        <f ca="1">IFERROR(__xludf.DUMMYFUNCTION("""COMPUTED_VALUE"""),42089.6666666666)</f>
        <v>42089.666666666599</v>
      </c>
      <c r="B521" s="1">
        <f ca="1">IFERROR(__xludf.DUMMYFUNCTION("""COMPUTED_VALUE"""),2056.15)</f>
        <v>2056.15</v>
      </c>
    </row>
    <row r="522" spans="1:2" ht="13" x14ac:dyDescent="0.15">
      <c r="A522" s="2">
        <f ca="1">IFERROR(__xludf.DUMMYFUNCTION("""COMPUTED_VALUE"""),42090.6666666666)</f>
        <v>42090.666666666599</v>
      </c>
      <c r="B522" s="1">
        <f ca="1">IFERROR(__xludf.DUMMYFUNCTION("""COMPUTED_VALUE"""),2061.02)</f>
        <v>2061.02</v>
      </c>
    </row>
    <row r="523" spans="1:2" ht="13" x14ac:dyDescent="0.15">
      <c r="A523" s="2">
        <f ca="1">IFERROR(__xludf.DUMMYFUNCTION("""COMPUTED_VALUE"""),42093.6666666666)</f>
        <v>42093.666666666599</v>
      </c>
      <c r="B523" s="1">
        <f ca="1">IFERROR(__xludf.DUMMYFUNCTION("""COMPUTED_VALUE"""),2086.24)</f>
        <v>2086.2399999999998</v>
      </c>
    </row>
    <row r="524" spans="1:2" ht="13" x14ac:dyDescent="0.15">
      <c r="A524" s="2">
        <f ca="1">IFERROR(__xludf.DUMMYFUNCTION("""COMPUTED_VALUE"""),42094.6666666666)</f>
        <v>42094.666666666599</v>
      </c>
      <c r="B524" s="1">
        <f ca="1">IFERROR(__xludf.DUMMYFUNCTION("""COMPUTED_VALUE"""),2067.89)</f>
        <v>2067.89</v>
      </c>
    </row>
    <row r="525" spans="1:2" ht="13" x14ac:dyDescent="0.15">
      <c r="A525" s="2">
        <f ca="1">IFERROR(__xludf.DUMMYFUNCTION("""COMPUTED_VALUE"""),42095.6666666666)</f>
        <v>42095.666666666599</v>
      </c>
      <c r="B525" s="1">
        <f ca="1">IFERROR(__xludf.DUMMYFUNCTION("""COMPUTED_VALUE"""),2059.69)</f>
        <v>2059.69</v>
      </c>
    </row>
    <row r="526" spans="1:2" ht="13" x14ac:dyDescent="0.15">
      <c r="A526" s="2">
        <f ca="1">IFERROR(__xludf.DUMMYFUNCTION("""COMPUTED_VALUE"""),42096.6666666666)</f>
        <v>42096.666666666599</v>
      </c>
      <c r="B526" s="1">
        <f ca="1">IFERROR(__xludf.DUMMYFUNCTION("""COMPUTED_VALUE"""),2066.96)</f>
        <v>2066.96</v>
      </c>
    </row>
    <row r="527" spans="1:2" ht="13" x14ac:dyDescent="0.15">
      <c r="A527" s="2">
        <f ca="1">IFERROR(__xludf.DUMMYFUNCTION("""COMPUTED_VALUE"""),42100.6666666666)</f>
        <v>42100.666666666599</v>
      </c>
      <c r="B527" s="1">
        <f ca="1">IFERROR(__xludf.DUMMYFUNCTION("""COMPUTED_VALUE"""),2080.62)</f>
        <v>2080.62</v>
      </c>
    </row>
    <row r="528" spans="1:2" ht="13" x14ac:dyDescent="0.15">
      <c r="A528" s="2">
        <f ca="1">IFERROR(__xludf.DUMMYFUNCTION("""COMPUTED_VALUE"""),42101.6666666666)</f>
        <v>42101.666666666599</v>
      </c>
      <c r="B528" s="1">
        <f ca="1">IFERROR(__xludf.DUMMYFUNCTION("""COMPUTED_VALUE"""),2076.33)</f>
        <v>2076.33</v>
      </c>
    </row>
    <row r="529" spans="1:2" ht="13" x14ac:dyDescent="0.15">
      <c r="A529" s="2">
        <f ca="1">IFERROR(__xludf.DUMMYFUNCTION("""COMPUTED_VALUE"""),42102.6666666666)</f>
        <v>42102.666666666599</v>
      </c>
      <c r="B529" s="1">
        <f ca="1">IFERROR(__xludf.DUMMYFUNCTION("""COMPUTED_VALUE"""),2081.9)</f>
        <v>2081.9</v>
      </c>
    </row>
    <row r="530" spans="1:2" ht="13" x14ac:dyDescent="0.15">
      <c r="A530" s="2">
        <f ca="1">IFERROR(__xludf.DUMMYFUNCTION("""COMPUTED_VALUE"""),42103.6666666666)</f>
        <v>42103.666666666599</v>
      </c>
      <c r="B530" s="1">
        <f ca="1">IFERROR(__xludf.DUMMYFUNCTION("""COMPUTED_VALUE"""),2091.18)</f>
        <v>2091.1799999999998</v>
      </c>
    </row>
    <row r="531" spans="1:2" ht="13" x14ac:dyDescent="0.15">
      <c r="A531" s="2">
        <f ca="1">IFERROR(__xludf.DUMMYFUNCTION("""COMPUTED_VALUE"""),42104.6666666666)</f>
        <v>42104.666666666599</v>
      </c>
      <c r="B531" s="1">
        <f ca="1">IFERROR(__xludf.DUMMYFUNCTION("""COMPUTED_VALUE"""),2102.06)</f>
        <v>2102.06</v>
      </c>
    </row>
    <row r="532" spans="1:2" ht="13" x14ac:dyDescent="0.15">
      <c r="A532" s="2">
        <f ca="1">IFERROR(__xludf.DUMMYFUNCTION("""COMPUTED_VALUE"""),42107.6666666666)</f>
        <v>42107.666666666599</v>
      </c>
      <c r="B532" s="1">
        <f ca="1">IFERROR(__xludf.DUMMYFUNCTION("""COMPUTED_VALUE"""),2092.43)</f>
        <v>2092.4299999999998</v>
      </c>
    </row>
    <row r="533" spans="1:2" ht="13" x14ac:dyDescent="0.15">
      <c r="A533" s="2">
        <f ca="1">IFERROR(__xludf.DUMMYFUNCTION("""COMPUTED_VALUE"""),42108.6666666666)</f>
        <v>42108.666666666599</v>
      </c>
      <c r="B533" s="1">
        <f ca="1">IFERROR(__xludf.DUMMYFUNCTION("""COMPUTED_VALUE"""),2095.84)</f>
        <v>2095.84</v>
      </c>
    </row>
    <row r="534" spans="1:2" ht="13" x14ac:dyDescent="0.15">
      <c r="A534" s="2">
        <f ca="1">IFERROR(__xludf.DUMMYFUNCTION("""COMPUTED_VALUE"""),42109.6666666666)</f>
        <v>42109.666666666599</v>
      </c>
      <c r="B534" s="1">
        <f ca="1">IFERROR(__xludf.DUMMYFUNCTION("""COMPUTED_VALUE"""),2106.63)</f>
        <v>2106.63</v>
      </c>
    </row>
    <row r="535" spans="1:2" ht="13" x14ac:dyDescent="0.15">
      <c r="A535" s="2">
        <f ca="1">IFERROR(__xludf.DUMMYFUNCTION("""COMPUTED_VALUE"""),42110.6666666666)</f>
        <v>42110.666666666599</v>
      </c>
      <c r="B535" s="1">
        <f ca="1">IFERROR(__xludf.DUMMYFUNCTION("""COMPUTED_VALUE"""),2104.99)</f>
        <v>2104.9899999999998</v>
      </c>
    </row>
    <row r="536" spans="1:2" ht="13" x14ac:dyDescent="0.15">
      <c r="A536" s="2">
        <f ca="1">IFERROR(__xludf.DUMMYFUNCTION("""COMPUTED_VALUE"""),42111.6666666666)</f>
        <v>42111.666666666599</v>
      </c>
      <c r="B536" s="1">
        <f ca="1">IFERROR(__xludf.DUMMYFUNCTION("""COMPUTED_VALUE"""),2081.18)</f>
        <v>2081.1799999999998</v>
      </c>
    </row>
    <row r="537" spans="1:2" ht="13" x14ac:dyDescent="0.15">
      <c r="A537" s="2">
        <f ca="1">IFERROR(__xludf.DUMMYFUNCTION("""COMPUTED_VALUE"""),42114.6666666666)</f>
        <v>42114.666666666599</v>
      </c>
      <c r="B537" s="1">
        <f ca="1">IFERROR(__xludf.DUMMYFUNCTION("""COMPUTED_VALUE"""),2100.4)</f>
        <v>2100.4</v>
      </c>
    </row>
    <row r="538" spans="1:2" ht="13" x14ac:dyDescent="0.15">
      <c r="A538" s="2">
        <f ca="1">IFERROR(__xludf.DUMMYFUNCTION("""COMPUTED_VALUE"""),42115.6666666666)</f>
        <v>42115.666666666599</v>
      </c>
      <c r="B538" s="1">
        <f ca="1">IFERROR(__xludf.DUMMYFUNCTION("""COMPUTED_VALUE"""),2097.29)</f>
        <v>2097.29</v>
      </c>
    </row>
    <row r="539" spans="1:2" ht="13" x14ac:dyDescent="0.15">
      <c r="A539" s="2">
        <f ca="1">IFERROR(__xludf.DUMMYFUNCTION("""COMPUTED_VALUE"""),42116.6666666666)</f>
        <v>42116.666666666599</v>
      </c>
      <c r="B539" s="1">
        <f ca="1">IFERROR(__xludf.DUMMYFUNCTION("""COMPUTED_VALUE"""),2107.96)</f>
        <v>2107.96</v>
      </c>
    </row>
    <row r="540" spans="1:2" ht="13" x14ac:dyDescent="0.15">
      <c r="A540" s="2">
        <f ca="1">IFERROR(__xludf.DUMMYFUNCTION("""COMPUTED_VALUE"""),42117.6666666666)</f>
        <v>42117.666666666599</v>
      </c>
      <c r="B540" s="1">
        <f ca="1">IFERROR(__xludf.DUMMYFUNCTION("""COMPUTED_VALUE"""),2112.93)</f>
        <v>2112.9299999999998</v>
      </c>
    </row>
    <row r="541" spans="1:2" ht="13" x14ac:dyDescent="0.15">
      <c r="A541" s="2">
        <f ca="1">IFERROR(__xludf.DUMMYFUNCTION("""COMPUTED_VALUE"""),42118.6666666666)</f>
        <v>42118.666666666599</v>
      </c>
      <c r="B541" s="1">
        <f ca="1">IFERROR(__xludf.DUMMYFUNCTION("""COMPUTED_VALUE"""),2117.69)</f>
        <v>2117.69</v>
      </c>
    </row>
    <row r="542" spans="1:2" ht="13" x14ac:dyDescent="0.15">
      <c r="A542" s="2">
        <f ca="1">IFERROR(__xludf.DUMMYFUNCTION("""COMPUTED_VALUE"""),42121.6666666666)</f>
        <v>42121.666666666599</v>
      </c>
      <c r="B542" s="1">
        <f ca="1">IFERROR(__xludf.DUMMYFUNCTION("""COMPUTED_VALUE"""),2108.92)</f>
        <v>2108.92</v>
      </c>
    </row>
    <row r="543" spans="1:2" ht="13" x14ac:dyDescent="0.15">
      <c r="A543" s="2">
        <f ca="1">IFERROR(__xludf.DUMMYFUNCTION("""COMPUTED_VALUE"""),42122.6666666666)</f>
        <v>42122.666666666599</v>
      </c>
      <c r="B543" s="1">
        <f ca="1">IFERROR(__xludf.DUMMYFUNCTION("""COMPUTED_VALUE"""),2114.76)</f>
        <v>2114.7600000000002</v>
      </c>
    </row>
    <row r="544" spans="1:2" ht="13" x14ac:dyDescent="0.15">
      <c r="A544" s="2">
        <f ca="1">IFERROR(__xludf.DUMMYFUNCTION("""COMPUTED_VALUE"""),42123.6666666666)</f>
        <v>42123.666666666599</v>
      </c>
      <c r="B544" s="1">
        <f ca="1">IFERROR(__xludf.DUMMYFUNCTION("""COMPUTED_VALUE"""),2106.85)</f>
        <v>2106.85</v>
      </c>
    </row>
    <row r="545" spans="1:2" ht="13" x14ac:dyDescent="0.15">
      <c r="A545" s="2">
        <f ca="1">IFERROR(__xludf.DUMMYFUNCTION("""COMPUTED_VALUE"""),42124.6666666666)</f>
        <v>42124.666666666599</v>
      </c>
      <c r="B545" s="1">
        <f ca="1">IFERROR(__xludf.DUMMYFUNCTION("""COMPUTED_VALUE"""),2085.51)</f>
        <v>2085.5100000000002</v>
      </c>
    </row>
    <row r="546" spans="1:2" ht="13" x14ac:dyDescent="0.15">
      <c r="A546" s="2">
        <f ca="1">IFERROR(__xludf.DUMMYFUNCTION("""COMPUTED_VALUE"""),42125.6666666666)</f>
        <v>42125.666666666599</v>
      </c>
      <c r="B546" s="1">
        <f ca="1">IFERROR(__xludf.DUMMYFUNCTION("""COMPUTED_VALUE"""),2108.29)</f>
        <v>2108.29</v>
      </c>
    </row>
    <row r="547" spans="1:2" ht="13" x14ac:dyDescent="0.15">
      <c r="A547" s="2">
        <f ca="1">IFERROR(__xludf.DUMMYFUNCTION("""COMPUTED_VALUE"""),42128.6666666666)</f>
        <v>42128.666666666599</v>
      </c>
      <c r="B547" s="1">
        <f ca="1">IFERROR(__xludf.DUMMYFUNCTION("""COMPUTED_VALUE"""),2114.49)</f>
        <v>2114.4899999999998</v>
      </c>
    </row>
    <row r="548" spans="1:2" ht="13" x14ac:dyDescent="0.15">
      <c r="A548" s="2">
        <f ca="1">IFERROR(__xludf.DUMMYFUNCTION("""COMPUTED_VALUE"""),42129.6666666666)</f>
        <v>42129.666666666599</v>
      </c>
      <c r="B548" s="1">
        <f ca="1">IFERROR(__xludf.DUMMYFUNCTION("""COMPUTED_VALUE"""),2089.46)</f>
        <v>2089.46</v>
      </c>
    </row>
    <row r="549" spans="1:2" ht="13" x14ac:dyDescent="0.15">
      <c r="A549" s="2">
        <f ca="1">IFERROR(__xludf.DUMMYFUNCTION("""COMPUTED_VALUE"""),42130.6666666666)</f>
        <v>42130.666666666599</v>
      </c>
      <c r="B549" s="1">
        <f ca="1">IFERROR(__xludf.DUMMYFUNCTION("""COMPUTED_VALUE"""),2080.15)</f>
        <v>2080.15</v>
      </c>
    </row>
    <row r="550" spans="1:2" ht="13" x14ac:dyDescent="0.15">
      <c r="A550" s="2">
        <f ca="1">IFERROR(__xludf.DUMMYFUNCTION("""COMPUTED_VALUE"""),42131.6666666666)</f>
        <v>42131.666666666599</v>
      </c>
      <c r="B550" s="1">
        <f ca="1">IFERROR(__xludf.DUMMYFUNCTION("""COMPUTED_VALUE"""),2088)</f>
        <v>2088</v>
      </c>
    </row>
    <row r="551" spans="1:2" ht="13" x14ac:dyDescent="0.15">
      <c r="A551" s="2">
        <f ca="1">IFERROR(__xludf.DUMMYFUNCTION("""COMPUTED_VALUE"""),42132.6666666666)</f>
        <v>42132.666666666599</v>
      </c>
      <c r="B551" s="1">
        <f ca="1">IFERROR(__xludf.DUMMYFUNCTION("""COMPUTED_VALUE"""),2116.1)</f>
        <v>2116.1</v>
      </c>
    </row>
    <row r="552" spans="1:2" ht="13" x14ac:dyDescent="0.15">
      <c r="A552" s="2">
        <f ca="1">IFERROR(__xludf.DUMMYFUNCTION("""COMPUTED_VALUE"""),42135.6666666666)</f>
        <v>42135.666666666599</v>
      </c>
      <c r="B552" s="1">
        <f ca="1">IFERROR(__xludf.DUMMYFUNCTION("""COMPUTED_VALUE"""),2105.33)</f>
        <v>2105.33</v>
      </c>
    </row>
    <row r="553" spans="1:2" ht="13" x14ac:dyDescent="0.15">
      <c r="A553" s="2">
        <f ca="1">IFERROR(__xludf.DUMMYFUNCTION("""COMPUTED_VALUE"""),42136.6666666666)</f>
        <v>42136.666666666599</v>
      </c>
      <c r="B553" s="1">
        <f ca="1">IFERROR(__xludf.DUMMYFUNCTION("""COMPUTED_VALUE"""),2099.12)</f>
        <v>2099.12</v>
      </c>
    </row>
    <row r="554" spans="1:2" ht="13" x14ac:dyDescent="0.15">
      <c r="A554" s="2">
        <f ca="1">IFERROR(__xludf.DUMMYFUNCTION("""COMPUTED_VALUE"""),42137.6666666666)</f>
        <v>42137.666666666599</v>
      </c>
      <c r="B554" s="1">
        <f ca="1">IFERROR(__xludf.DUMMYFUNCTION("""COMPUTED_VALUE"""),2098.48)</f>
        <v>2098.48</v>
      </c>
    </row>
    <row r="555" spans="1:2" ht="13" x14ac:dyDescent="0.15">
      <c r="A555" s="2">
        <f ca="1">IFERROR(__xludf.DUMMYFUNCTION("""COMPUTED_VALUE"""),42138.6666666666)</f>
        <v>42138.666666666599</v>
      </c>
      <c r="B555" s="1">
        <f ca="1">IFERROR(__xludf.DUMMYFUNCTION("""COMPUTED_VALUE"""),2121.1)</f>
        <v>2121.1</v>
      </c>
    </row>
    <row r="556" spans="1:2" ht="13" x14ac:dyDescent="0.15">
      <c r="A556" s="2">
        <f ca="1">IFERROR(__xludf.DUMMYFUNCTION("""COMPUTED_VALUE"""),42139.6666666666)</f>
        <v>42139.666666666599</v>
      </c>
      <c r="B556" s="1">
        <f ca="1">IFERROR(__xludf.DUMMYFUNCTION("""COMPUTED_VALUE"""),2122.73)</f>
        <v>2122.73</v>
      </c>
    </row>
    <row r="557" spans="1:2" ht="13" x14ac:dyDescent="0.15">
      <c r="A557" s="2">
        <f ca="1">IFERROR(__xludf.DUMMYFUNCTION("""COMPUTED_VALUE"""),42142.6666666666)</f>
        <v>42142.666666666599</v>
      </c>
      <c r="B557" s="1">
        <f ca="1">IFERROR(__xludf.DUMMYFUNCTION("""COMPUTED_VALUE"""),2129.2)</f>
        <v>2129.1999999999998</v>
      </c>
    </row>
    <row r="558" spans="1:2" ht="13" x14ac:dyDescent="0.15">
      <c r="A558" s="2">
        <f ca="1">IFERROR(__xludf.DUMMYFUNCTION("""COMPUTED_VALUE"""),42143.6666666666)</f>
        <v>42143.666666666599</v>
      </c>
      <c r="B558" s="1">
        <f ca="1">IFERROR(__xludf.DUMMYFUNCTION("""COMPUTED_VALUE"""),2127.83)</f>
        <v>2127.83</v>
      </c>
    </row>
    <row r="559" spans="1:2" ht="13" x14ac:dyDescent="0.15">
      <c r="A559" s="2">
        <f ca="1">IFERROR(__xludf.DUMMYFUNCTION("""COMPUTED_VALUE"""),42144.6666666666)</f>
        <v>42144.666666666599</v>
      </c>
      <c r="B559" s="1">
        <f ca="1">IFERROR(__xludf.DUMMYFUNCTION("""COMPUTED_VALUE"""),2125.85)</f>
        <v>2125.85</v>
      </c>
    </row>
    <row r="560" spans="1:2" ht="13" x14ac:dyDescent="0.15">
      <c r="A560" s="2">
        <f ca="1">IFERROR(__xludf.DUMMYFUNCTION("""COMPUTED_VALUE"""),42145.6666666666)</f>
        <v>42145.666666666599</v>
      </c>
      <c r="B560" s="1">
        <f ca="1">IFERROR(__xludf.DUMMYFUNCTION("""COMPUTED_VALUE"""),2130.82)</f>
        <v>2130.8200000000002</v>
      </c>
    </row>
    <row r="561" spans="1:2" ht="13" x14ac:dyDescent="0.15">
      <c r="A561" s="2">
        <f ca="1">IFERROR(__xludf.DUMMYFUNCTION("""COMPUTED_VALUE"""),42146.6666666666)</f>
        <v>42146.666666666599</v>
      </c>
      <c r="B561" s="1">
        <f ca="1">IFERROR(__xludf.DUMMYFUNCTION("""COMPUTED_VALUE"""),2126.06)</f>
        <v>2126.06</v>
      </c>
    </row>
    <row r="562" spans="1:2" ht="13" x14ac:dyDescent="0.15">
      <c r="A562" s="2">
        <f ca="1">IFERROR(__xludf.DUMMYFUNCTION("""COMPUTED_VALUE"""),42150.6666666666)</f>
        <v>42150.666666666599</v>
      </c>
      <c r="B562" s="1">
        <f ca="1">IFERROR(__xludf.DUMMYFUNCTION("""COMPUTED_VALUE"""),2104.2)</f>
        <v>2104.1999999999998</v>
      </c>
    </row>
    <row r="563" spans="1:2" ht="13" x14ac:dyDescent="0.15">
      <c r="A563" s="2">
        <f ca="1">IFERROR(__xludf.DUMMYFUNCTION("""COMPUTED_VALUE"""),42151.6666666666)</f>
        <v>42151.666666666599</v>
      </c>
      <c r="B563" s="1">
        <f ca="1">IFERROR(__xludf.DUMMYFUNCTION("""COMPUTED_VALUE"""),2123.48)</f>
        <v>2123.48</v>
      </c>
    </row>
    <row r="564" spans="1:2" ht="13" x14ac:dyDescent="0.15">
      <c r="A564" s="2">
        <f ca="1">IFERROR(__xludf.DUMMYFUNCTION("""COMPUTED_VALUE"""),42152.6666666666)</f>
        <v>42152.666666666599</v>
      </c>
      <c r="B564" s="1">
        <f ca="1">IFERROR(__xludf.DUMMYFUNCTION("""COMPUTED_VALUE"""),2120.79)</f>
        <v>2120.79</v>
      </c>
    </row>
    <row r="565" spans="1:2" ht="13" x14ac:dyDescent="0.15">
      <c r="A565" s="2">
        <f ca="1">IFERROR(__xludf.DUMMYFUNCTION("""COMPUTED_VALUE"""),42153.6666666666)</f>
        <v>42153.666666666599</v>
      </c>
      <c r="B565" s="1">
        <f ca="1">IFERROR(__xludf.DUMMYFUNCTION("""COMPUTED_VALUE"""),2107.39)</f>
        <v>2107.39</v>
      </c>
    </row>
    <row r="566" spans="1:2" ht="13" x14ac:dyDescent="0.15">
      <c r="A566" s="2">
        <f ca="1">IFERROR(__xludf.DUMMYFUNCTION("""COMPUTED_VALUE"""),42156.6666666666)</f>
        <v>42156.666666666599</v>
      </c>
      <c r="B566" s="1">
        <f ca="1">IFERROR(__xludf.DUMMYFUNCTION("""COMPUTED_VALUE"""),2111.73)</f>
        <v>2111.73</v>
      </c>
    </row>
    <row r="567" spans="1:2" ht="13" x14ac:dyDescent="0.15">
      <c r="A567" s="2">
        <f ca="1">IFERROR(__xludf.DUMMYFUNCTION("""COMPUTED_VALUE"""),42157.6666666666)</f>
        <v>42157.666666666599</v>
      </c>
      <c r="B567" s="1">
        <f ca="1">IFERROR(__xludf.DUMMYFUNCTION("""COMPUTED_VALUE"""),2109.6)</f>
        <v>2109.6</v>
      </c>
    </row>
    <row r="568" spans="1:2" ht="13" x14ac:dyDescent="0.15">
      <c r="A568" s="2">
        <f ca="1">IFERROR(__xludf.DUMMYFUNCTION("""COMPUTED_VALUE"""),42158.6666666666)</f>
        <v>42158.666666666599</v>
      </c>
      <c r="B568" s="1">
        <f ca="1">IFERROR(__xludf.DUMMYFUNCTION("""COMPUTED_VALUE"""),2114.07)</f>
        <v>2114.0700000000002</v>
      </c>
    </row>
    <row r="569" spans="1:2" ht="13" x14ac:dyDescent="0.15">
      <c r="A569" s="2">
        <f ca="1">IFERROR(__xludf.DUMMYFUNCTION("""COMPUTED_VALUE"""),42159.6666666666)</f>
        <v>42159.666666666599</v>
      </c>
      <c r="B569" s="1">
        <f ca="1">IFERROR(__xludf.DUMMYFUNCTION("""COMPUTED_VALUE"""),2095.84)</f>
        <v>2095.84</v>
      </c>
    </row>
    <row r="570" spans="1:2" ht="13" x14ac:dyDescent="0.15">
      <c r="A570" s="2">
        <f ca="1">IFERROR(__xludf.DUMMYFUNCTION("""COMPUTED_VALUE"""),42160.6666666666)</f>
        <v>42160.666666666599</v>
      </c>
      <c r="B570" s="1">
        <f ca="1">IFERROR(__xludf.DUMMYFUNCTION("""COMPUTED_VALUE"""),2092.83)</f>
        <v>2092.83</v>
      </c>
    </row>
    <row r="571" spans="1:2" ht="13" x14ac:dyDescent="0.15">
      <c r="A571" s="2">
        <f ca="1">IFERROR(__xludf.DUMMYFUNCTION("""COMPUTED_VALUE"""),42163.6666666666)</f>
        <v>42163.666666666599</v>
      </c>
      <c r="B571" s="1">
        <f ca="1">IFERROR(__xludf.DUMMYFUNCTION("""COMPUTED_VALUE"""),2079.28)</f>
        <v>2079.2800000000002</v>
      </c>
    </row>
    <row r="572" spans="1:2" ht="13" x14ac:dyDescent="0.15">
      <c r="A572" s="2">
        <f ca="1">IFERROR(__xludf.DUMMYFUNCTION("""COMPUTED_VALUE"""),42164.6666666666)</f>
        <v>42164.666666666599</v>
      </c>
      <c r="B572" s="1">
        <f ca="1">IFERROR(__xludf.DUMMYFUNCTION("""COMPUTED_VALUE"""),2080.15)</f>
        <v>2080.15</v>
      </c>
    </row>
    <row r="573" spans="1:2" ht="13" x14ac:dyDescent="0.15">
      <c r="A573" s="2">
        <f ca="1">IFERROR(__xludf.DUMMYFUNCTION("""COMPUTED_VALUE"""),42165.6666666666)</f>
        <v>42165.666666666599</v>
      </c>
      <c r="B573" s="1">
        <f ca="1">IFERROR(__xludf.DUMMYFUNCTION("""COMPUTED_VALUE"""),2105.2)</f>
        <v>2105.1999999999998</v>
      </c>
    </row>
    <row r="574" spans="1:2" ht="13" x14ac:dyDescent="0.15">
      <c r="A574" s="2">
        <f ca="1">IFERROR(__xludf.DUMMYFUNCTION("""COMPUTED_VALUE"""),42166.6666666666)</f>
        <v>42166.666666666599</v>
      </c>
      <c r="B574" s="1">
        <f ca="1">IFERROR(__xludf.DUMMYFUNCTION("""COMPUTED_VALUE"""),2108.86)</f>
        <v>2108.86</v>
      </c>
    </row>
    <row r="575" spans="1:2" ht="13" x14ac:dyDescent="0.15">
      <c r="A575" s="2">
        <f ca="1">IFERROR(__xludf.DUMMYFUNCTION("""COMPUTED_VALUE"""),42167.6666666666)</f>
        <v>42167.666666666599</v>
      </c>
      <c r="B575" s="1">
        <f ca="1">IFERROR(__xludf.DUMMYFUNCTION("""COMPUTED_VALUE"""),2094.11)</f>
        <v>2094.11</v>
      </c>
    </row>
    <row r="576" spans="1:2" ht="13" x14ac:dyDescent="0.15">
      <c r="A576" s="2">
        <f ca="1">IFERROR(__xludf.DUMMYFUNCTION("""COMPUTED_VALUE"""),42170.6666666666)</f>
        <v>42170.666666666599</v>
      </c>
      <c r="B576" s="1">
        <f ca="1">IFERROR(__xludf.DUMMYFUNCTION("""COMPUTED_VALUE"""),2084.43)</f>
        <v>2084.4299999999998</v>
      </c>
    </row>
    <row r="577" spans="1:2" ht="13" x14ac:dyDescent="0.15">
      <c r="A577" s="2">
        <f ca="1">IFERROR(__xludf.DUMMYFUNCTION("""COMPUTED_VALUE"""),42171.6666666666)</f>
        <v>42171.666666666599</v>
      </c>
      <c r="B577" s="1">
        <f ca="1">IFERROR(__xludf.DUMMYFUNCTION("""COMPUTED_VALUE"""),2096.29)</f>
        <v>2096.29</v>
      </c>
    </row>
    <row r="578" spans="1:2" ht="13" x14ac:dyDescent="0.15">
      <c r="A578" s="2">
        <f ca="1">IFERROR(__xludf.DUMMYFUNCTION("""COMPUTED_VALUE"""),42172.6666666666)</f>
        <v>42172.666666666599</v>
      </c>
      <c r="B578" s="1">
        <f ca="1">IFERROR(__xludf.DUMMYFUNCTION("""COMPUTED_VALUE"""),2100.44)</f>
        <v>2100.44</v>
      </c>
    </row>
    <row r="579" spans="1:2" ht="13" x14ac:dyDescent="0.15">
      <c r="A579" s="2">
        <f ca="1">IFERROR(__xludf.DUMMYFUNCTION("""COMPUTED_VALUE"""),42173.6666666666)</f>
        <v>42173.666666666599</v>
      </c>
      <c r="B579" s="1">
        <f ca="1">IFERROR(__xludf.DUMMYFUNCTION("""COMPUTED_VALUE"""),2121.24)</f>
        <v>2121.2399999999998</v>
      </c>
    </row>
    <row r="580" spans="1:2" ht="13" x14ac:dyDescent="0.15">
      <c r="A580" s="2">
        <f ca="1">IFERROR(__xludf.DUMMYFUNCTION("""COMPUTED_VALUE"""),42174.6666666666)</f>
        <v>42174.666666666599</v>
      </c>
      <c r="B580" s="1">
        <f ca="1">IFERROR(__xludf.DUMMYFUNCTION("""COMPUTED_VALUE"""),2109.99)</f>
        <v>2109.9899999999998</v>
      </c>
    </row>
    <row r="581" spans="1:2" ht="13" x14ac:dyDescent="0.15">
      <c r="A581" s="2">
        <f ca="1">IFERROR(__xludf.DUMMYFUNCTION("""COMPUTED_VALUE"""),42177.6666666666)</f>
        <v>42177.666666666599</v>
      </c>
      <c r="B581" s="1">
        <f ca="1">IFERROR(__xludf.DUMMYFUNCTION("""COMPUTED_VALUE"""),2122.85)</f>
        <v>2122.85</v>
      </c>
    </row>
    <row r="582" spans="1:2" ht="13" x14ac:dyDescent="0.15">
      <c r="A582" s="2">
        <f ca="1">IFERROR(__xludf.DUMMYFUNCTION("""COMPUTED_VALUE"""),42178.6666666666)</f>
        <v>42178.666666666599</v>
      </c>
      <c r="B582" s="1">
        <f ca="1">IFERROR(__xludf.DUMMYFUNCTION("""COMPUTED_VALUE"""),2124.2)</f>
        <v>2124.1999999999998</v>
      </c>
    </row>
    <row r="583" spans="1:2" ht="13" x14ac:dyDescent="0.15">
      <c r="A583" s="2">
        <f ca="1">IFERROR(__xludf.DUMMYFUNCTION("""COMPUTED_VALUE"""),42179.6666666666)</f>
        <v>42179.666666666599</v>
      </c>
      <c r="B583" s="1">
        <f ca="1">IFERROR(__xludf.DUMMYFUNCTION("""COMPUTED_VALUE"""),2108.58)</f>
        <v>2108.58</v>
      </c>
    </row>
    <row r="584" spans="1:2" ht="13" x14ac:dyDescent="0.15">
      <c r="A584" s="2">
        <f ca="1">IFERROR(__xludf.DUMMYFUNCTION("""COMPUTED_VALUE"""),42180.6666666666)</f>
        <v>42180.666666666599</v>
      </c>
      <c r="B584" s="1">
        <f ca="1">IFERROR(__xludf.DUMMYFUNCTION("""COMPUTED_VALUE"""),2102.31)</f>
        <v>2102.31</v>
      </c>
    </row>
    <row r="585" spans="1:2" ht="13" x14ac:dyDescent="0.15">
      <c r="A585" s="2">
        <f ca="1">IFERROR(__xludf.DUMMYFUNCTION("""COMPUTED_VALUE"""),42181.6666666666)</f>
        <v>42181.666666666599</v>
      </c>
      <c r="B585" s="1">
        <f ca="1">IFERROR(__xludf.DUMMYFUNCTION("""COMPUTED_VALUE"""),2101.49)</f>
        <v>2101.4899999999998</v>
      </c>
    </row>
    <row r="586" spans="1:2" ht="13" x14ac:dyDescent="0.15">
      <c r="A586" s="2">
        <f ca="1">IFERROR(__xludf.DUMMYFUNCTION("""COMPUTED_VALUE"""),42184.6666666666)</f>
        <v>42184.666666666599</v>
      </c>
      <c r="B586" s="1">
        <f ca="1">IFERROR(__xludf.DUMMYFUNCTION("""COMPUTED_VALUE"""),2057.64)</f>
        <v>2057.64</v>
      </c>
    </row>
    <row r="587" spans="1:2" ht="13" x14ac:dyDescent="0.15">
      <c r="A587" s="2">
        <f ca="1">IFERROR(__xludf.DUMMYFUNCTION("""COMPUTED_VALUE"""),42185.6666666666)</f>
        <v>42185.666666666599</v>
      </c>
      <c r="B587" s="1">
        <f ca="1">IFERROR(__xludf.DUMMYFUNCTION("""COMPUTED_VALUE"""),2063.11)</f>
        <v>2063.11</v>
      </c>
    </row>
    <row r="588" spans="1:2" ht="13" x14ac:dyDescent="0.15">
      <c r="A588" s="2">
        <f ca="1">IFERROR(__xludf.DUMMYFUNCTION("""COMPUTED_VALUE"""),42186.6666666666)</f>
        <v>42186.666666666599</v>
      </c>
      <c r="B588" s="1">
        <f ca="1">IFERROR(__xludf.DUMMYFUNCTION("""COMPUTED_VALUE"""),2077.42)</f>
        <v>2077.42</v>
      </c>
    </row>
    <row r="589" spans="1:2" ht="13" x14ac:dyDescent="0.15">
      <c r="A589" s="2">
        <f ca="1">IFERROR(__xludf.DUMMYFUNCTION("""COMPUTED_VALUE"""),42187.6666666666)</f>
        <v>42187.666666666599</v>
      </c>
      <c r="B589" s="1">
        <f ca="1">IFERROR(__xludf.DUMMYFUNCTION("""COMPUTED_VALUE"""),2076.78)</f>
        <v>2076.7800000000002</v>
      </c>
    </row>
    <row r="590" spans="1:2" ht="13" x14ac:dyDescent="0.15">
      <c r="A590" s="2">
        <f ca="1">IFERROR(__xludf.DUMMYFUNCTION("""COMPUTED_VALUE"""),42191.6666666666)</f>
        <v>42191.666666666599</v>
      </c>
      <c r="B590" s="1">
        <f ca="1">IFERROR(__xludf.DUMMYFUNCTION("""COMPUTED_VALUE"""),2068.76)</f>
        <v>2068.7600000000002</v>
      </c>
    </row>
    <row r="591" spans="1:2" ht="13" x14ac:dyDescent="0.15">
      <c r="A591" s="2">
        <f ca="1">IFERROR(__xludf.DUMMYFUNCTION("""COMPUTED_VALUE"""),42192.6666666666)</f>
        <v>42192.666666666599</v>
      </c>
      <c r="B591" s="1">
        <f ca="1">IFERROR(__xludf.DUMMYFUNCTION("""COMPUTED_VALUE"""),2081.34)</f>
        <v>2081.34</v>
      </c>
    </row>
    <row r="592" spans="1:2" ht="13" x14ac:dyDescent="0.15">
      <c r="A592" s="2">
        <f ca="1">IFERROR(__xludf.DUMMYFUNCTION("""COMPUTED_VALUE"""),42193.6666666666)</f>
        <v>42193.666666666599</v>
      </c>
      <c r="B592" s="1">
        <f ca="1">IFERROR(__xludf.DUMMYFUNCTION("""COMPUTED_VALUE"""),2046.68)</f>
        <v>2046.68</v>
      </c>
    </row>
    <row r="593" spans="1:2" ht="13" x14ac:dyDescent="0.15">
      <c r="A593" s="2">
        <f ca="1">IFERROR(__xludf.DUMMYFUNCTION("""COMPUTED_VALUE"""),42194.6666666666)</f>
        <v>42194.666666666599</v>
      </c>
      <c r="B593" s="1">
        <f ca="1">IFERROR(__xludf.DUMMYFUNCTION("""COMPUTED_VALUE"""),2051.31)</f>
        <v>2051.31</v>
      </c>
    </row>
    <row r="594" spans="1:2" ht="13" x14ac:dyDescent="0.15">
      <c r="A594" s="2">
        <f ca="1">IFERROR(__xludf.DUMMYFUNCTION("""COMPUTED_VALUE"""),42195.6666666666)</f>
        <v>42195.666666666599</v>
      </c>
      <c r="B594" s="1">
        <f ca="1">IFERROR(__xludf.DUMMYFUNCTION("""COMPUTED_VALUE"""),2076.62)</f>
        <v>2076.62</v>
      </c>
    </row>
    <row r="595" spans="1:2" ht="13" x14ac:dyDescent="0.15">
      <c r="A595" s="2">
        <f ca="1">IFERROR(__xludf.DUMMYFUNCTION("""COMPUTED_VALUE"""),42198.6666666666)</f>
        <v>42198.666666666599</v>
      </c>
      <c r="B595" s="1">
        <f ca="1">IFERROR(__xludf.DUMMYFUNCTION("""COMPUTED_VALUE"""),2099.6)</f>
        <v>2099.6</v>
      </c>
    </row>
    <row r="596" spans="1:2" ht="13" x14ac:dyDescent="0.15">
      <c r="A596" s="2">
        <f ca="1">IFERROR(__xludf.DUMMYFUNCTION("""COMPUTED_VALUE"""),42199.6666666666)</f>
        <v>42199.666666666599</v>
      </c>
      <c r="B596" s="1">
        <f ca="1">IFERROR(__xludf.DUMMYFUNCTION("""COMPUTED_VALUE"""),2108.95)</f>
        <v>2108.9499999999998</v>
      </c>
    </row>
    <row r="597" spans="1:2" ht="13" x14ac:dyDescent="0.15">
      <c r="A597" s="2">
        <f ca="1">IFERROR(__xludf.DUMMYFUNCTION("""COMPUTED_VALUE"""),42200.6666666666)</f>
        <v>42200.666666666599</v>
      </c>
      <c r="B597" s="1">
        <f ca="1">IFERROR(__xludf.DUMMYFUNCTION("""COMPUTED_VALUE"""),2107.4)</f>
        <v>2107.4</v>
      </c>
    </row>
    <row r="598" spans="1:2" ht="13" x14ac:dyDescent="0.15">
      <c r="A598" s="2">
        <f ca="1">IFERROR(__xludf.DUMMYFUNCTION("""COMPUTED_VALUE"""),42201.6666666666)</f>
        <v>42201.666666666599</v>
      </c>
      <c r="B598" s="1">
        <f ca="1">IFERROR(__xludf.DUMMYFUNCTION("""COMPUTED_VALUE"""),2124.29)</f>
        <v>2124.29</v>
      </c>
    </row>
    <row r="599" spans="1:2" ht="13" x14ac:dyDescent="0.15">
      <c r="A599" s="2">
        <f ca="1">IFERROR(__xludf.DUMMYFUNCTION("""COMPUTED_VALUE"""),42202.6666666666)</f>
        <v>42202.666666666599</v>
      </c>
      <c r="B599" s="1">
        <f ca="1">IFERROR(__xludf.DUMMYFUNCTION("""COMPUTED_VALUE"""),2126.64)</f>
        <v>2126.64</v>
      </c>
    </row>
    <row r="600" spans="1:2" ht="13" x14ac:dyDescent="0.15">
      <c r="A600" s="2">
        <f ca="1">IFERROR(__xludf.DUMMYFUNCTION("""COMPUTED_VALUE"""),42205.6666666666)</f>
        <v>42205.666666666599</v>
      </c>
      <c r="B600" s="1">
        <f ca="1">IFERROR(__xludf.DUMMYFUNCTION("""COMPUTED_VALUE"""),2128.28)</f>
        <v>2128.2800000000002</v>
      </c>
    </row>
    <row r="601" spans="1:2" ht="13" x14ac:dyDescent="0.15">
      <c r="A601" s="2">
        <f ca="1">IFERROR(__xludf.DUMMYFUNCTION("""COMPUTED_VALUE"""),42206.6666666666)</f>
        <v>42206.666666666599</v>
      </c>
      <c r="B601" s="1">
        <f ca="1">IFERROR(__xludf.DUMMYFUNCTION("""COMPUTED_VALUE"""),2119.21)</f>
        <v>2119.21</v>
      </c>
    </row>
    <row r="602" spans="1:2" ht="13" x14ac:dyDescent="0.15">
      <c r="A602" s="2">
        <f ca="1">IFERROR(__xludf.DUMMYFUNCTION("""COMPUTED_VALUE"""),42207.6666666666)</f>
        <v>42207.666666666599</v>
      </c>
      <c r="B602" s="1">
        <f ca="1">IFERROR(__xludf.DUMMYFUNCTION("""COMPUTED_VALUE"""),2114.15)</f>
        <v>2114.15</v>
      </c>
    </row>
    <row r="603" spans="1:2" ht="13" x14ac:dyDescent="0.15">
      <c r="A603" s="2">
        <f ca="1">IFERROR(__xludf.DUMMYFUNCTION("""COMPUTED_VALUE"""),42208.6666666666)</f>
        <v>42208.666666666599</v>
      </c>
      <c r="B603" s="1">
        <f ca="1">IFERROR(__xludf.DUMMYFUNCTION("""COMPUTED_VALUE"""),2102.15)</f>
        <v>2102.15</v>
      </c>
    </row>
    <row r="604" spans="1:2" ht="13" x14ac:dyDescent="0.15">
      <c r="A604" s="2">
        <f ca="1">IFERROR(__xludf.DUMMYFUNCTION("""COMPUTED_VALUE"""),42209.6666666666)</f>
        <v>42209.666666666599</v>
      </c>
      <c r="B604" s="1">
        <f ca="1">IFERROR(__xludf.DUMMYFUNCTION("""COMPUTED_VALUE"""),2079.65)</f>
        <v>2079.65</v>
      </c>
    </row>
    <row r="605" spans="1:2" ht="13" x14ac:dyDescent="0.15">
      <c r="A605" s="2">
        <f ca="1">IFERROR(__xludf.DUMMYFUNCTION("""COMPUTED_VALUE"""),42212.6666666666)</f>
        <v>42212.666666666599</v>
      </c>
      <c r="B605" s="1">
        <f ca="1">IFERROR(__xludf.DUMMYFUNCTION("""COMPUTED_VALUE"""),2067.64)</f>
        <v>2067.64</v>
      </c>
    </row>
    <row r="606" spans="1:2" ht="13" x14ac:dyDescent="0.15">
      <c r="A606" s="2">
        <f ca="1">IFERROR(__xludf.DUMMYFUNCTION("""COMPUTED_VALUE"""),42213.6666666666)</f>
        <v>42213.666666666599</v>
      </c>
      <c r="B606" s="1">
        <f ca="1">IFERROR(__xludf.DUMMYFUNCTION("""COMPUTED_VALUE"""),2093.25)</f>
        <v>2093.25</v>
      </c>
    </row>
    <row r="607" spans="1:2" ht="13" x14ac:dyDescent="0.15">
      <c r="A607" s="2">
        <f ca="1">IFERROR(__xludf.DUMMYFUNCTION("""COMPUTED_VALUE"""),42214.6666666666)</f>
        <v>42214.666666666599</v>
      </c>
      <c r="B607" s="1">
        <f ca="1">IFERROR(__xludf.DUMMYFUNCTION("""COMPUTED_VALUE"""),2108.57)</f>
        <v>2108.5700000000002</v>
      </c>
    </row>
    <row r="608" spans="1:2" ht="13" x14ac:dyDescent="0.15">
      <c r="A608" s="2">
        <f ca="1">IFERROR(__xludf.DUMMYFUNCTION("""COMPUTED_VALUE"""),42215.6666666666)</f>
        <v>42215.666666666599</v>
      </c>
      <c r="B608" s="1">
        <f ca="1">IFERROR(__xludf.DUMMYFUNCTION("""COMPUTED_VALUE"""),2108.63)</f>
        <v>2108.63</v>
      </c>
    </row>
    <row r="609" spans="1:2" ht="13" x14ac:dyDescent="0.15">
      <c r="A609" s="2">
        <f ca="1">IFERROR(__xludf.DUMMYFUNCTION("""COMPUTED_VALUE"""),42216.6666666666)</f>
        <v>42216.666666666599</v>
      </c>
      <c r="B609" s="1">
        <f ca="1">IFERROR(__xludf.DUMMYFUNCTION("""COMPUTED_VALUE"""),2103.84)</f>
        <v>2103.84</v>
      </c>
    </row>
    <row r="610" spans="1:2" ht="13" x14ac:dyDescent="0.15">
      <c r="A610" s="2">
        <f ca="1">IFERROR(__xludf.DUMMYFUNCTION("""COMPUTED_VALUE"""),42219.6666666666)</f>
        <v>42219.666666666599</v>
      </c>
      <c r="B610" s="1">
        <f ca="1">IFERROR(__xludf.DUMMYFUNCTION("""COMPUTED_VALUE"""),2098.04)</f>
        <v>2098.04</v>
      </c>
    </row>
    <row r="611" spans="1:2" ht="13" x14ac:dyDescent="0.15">
      <c r="A611" s="2">
        <f ca="1">IFERROR(__xludf.DUMMYFUNCTION("""COMPUTED_VALUE"""),42220.6666666666)</f>
        <v>42220.666666666599</v>
      </c>
      <c r="B611" s="1">
        <f ca="1">IFERROR(__xludf.DUMMYFUNCTION("""COMPUTED_VALUE"""),2093.32)</f>
        <v>2093.3200000000002</v>
      </c>
    </row>
    <row r="612" spans="1:2" ht="13" x14ac:dyDescent="0.15">
      <c r="A612" s="2">
        <f ca="1">IFERROR(__xludf.DUMMYFUNCTION("""COMPUTED_VALUE"""),42221.6666666666)</f>
        <v>42221.666666666599</v>
      </c>
      <c r="B612" s="1">
        <f ca="1">IFERROR(__xludf.DUMMYFUNCTION("""COMPUTED_VALUE"""),2099.84)</f>
        <v>2099.84</v>
      </c>
    </row>
    <row r="613" spans="1:2" ht="13" x14ac:dyDescent="0.15">
      <c r="A613" s="2">
        <f ca="1">IFERROR(__xludf.DUMMYFUNCTION("""COMPUTED_VALUE"""),42222.6666666666)</f>
        <v>42222.666666666599</v>
      </c>
      <c r="B613" s="1">
        <f ca="1">IFERROR(__xludf.DUMMYFUNCTION("""COMPUTED_VALUE"""),2083.56)</f>
        <v>2083.56</v>
      </c>
    </row>
    <row r="614" spans="1:2" ht="13" x14ac:dyDescent="0.15">
      <c r="A614" s="2">
        <f ca="1">IFERROR(__xludf.DUMMYFUNCTION("""COMPUTED_VALUE"""),42223.6666666666)</f>
        <v>42223.666666666599</v>
      </c>
      <c r="B614" s="1">
        <f ca="1">IFERROR(__xludf.DUMMYFUNCTION("""COMPUTED_VALUE"""),2077.57)</f>
        <v>2077.5700000000002</v>
      </c>
    </row>
    <row r="615" spans="1:2" ht="13" x14ac:dyDescent="0.15">
      <c r="A615" s="2">
        <f ca="1">IFERROR(__xludf.DUMMYFUNCTION("""COMPUTED_VALUE"""),42226.6666666666)</f>
        <v>42226.666666666599</v>
      </c>
      <c r="B615" s="1">
        <f ca="1">IFERROR(__xludf.DUMMYFUNCTION("""COMPUTED_VALUE"""),2104.18)</f>
        <v>2104.1799999999998</v>
      </c>
    </row>
    <row r="616" spans="1:2" ht="13" x14ac:dyDescent="0.15">
      <c r="A616" s="2">
        <f ca="1">IFERROR(__xludf.DUMMYFUNCTION("""COMPUTED_VALUE"""),42227.6666666666)</f>
        <v>42227.666666666599</v>
      </c>
      <c r="B616" s="1">
        <f ca="1">IFERROR(__xludf.DUMMYFUNCTION("""COMPUTED_VALUE"""),2084.07)</f>
        <v>2084.0700000000002</v>
      </c>
    </row>
    <row r="617" spans="1:2" ht="13" x14ac:dyDescent="0.15">
      <c r="A617" s="2">
        <f ca="1">IFERROR(__xludf.DUMMYFUNCTION("""COMPUTED_VALUE"""),42228.6666666666)</f>
        <v>42228.666666666599</v>
      </c>
      <c r="B617" s="1">
        <f ca="1">IFERROR(__xludf.DUMMYFUNCTION("""COMPUTED_VALUE"""),2086.05)</f>
        <v>2086.0500000000002</v>
      </c>
    </row>
    <row r="618" spans="1:2" ht="13" x14ac:dyDescent="0.15">
      <c r="A618" s="2">
        <f ca="1">IFERROR(__xludf.DUMMYFUNCTION("""COMPUTED_VALUE"""),42229.6666666666)</f>
        <v>42229.666666666599</v>
      </c>
      <c r="B618" s="1">
        <f ca="1">IFERROR(__xludf.DUMMYFUNCTION("""COMPUTED_VALUE"""),2083.39)</f>
        <v>2083.39</v>
      </c>
    </row>
    <row r="619" spans="1:2" ht="13" x14ac:dyDescent="0.15">
      <c r="A619" s="2">
        <f ca="1">IFERROR(__xludf.DUMMYFUNCTION("""COMPUTED_VALUE"""),42230.6666666666)</f>
        <v>42230.666666666599</v>
      </c>
      <c r="B619" s="1">
        <f ca="1">IFERROR(__xludf.DUMMYFUNCTION("""COMPUTED_VALUE"""),2091.54)</f>
        <v>2091.54</v>
      </c>
    </row>
    <row r="620" spans="1:2" ht="13" x14ac:dyDescent="0.15">
      <c r="A620" s="2">
        <f ca="1">IFERROR(__xludf.DUMMYFUNCTION("""COMPUTED_VALUE"""),42233.6666666666)</f>
        <v>42233.666666666599</v>
      </c>
      <c r="B620" s="1">
        <f ca="1">IFERROR(__xludf.DUMMYFUNCTION("""COMPUTED_VALUE"""),2102.44)</f>
        <v>2102.44</v>
      </c>
    </row>
    <row r="621" spans="1:2" ht="13" x14ac:dyDescent="0.15">
      <c r="A621" s="2">
        <f ca="1">IFERROR(__xludf.DUMMYFUNCTION("""COMPUTED_VALUE"""),42234.6666666666)</f>
        <v>42234.666666666599</v>
      </c>
      <c r="B621" s="1">
        <f ca="1">IFERROR(__xludf.DUMMYFUNCTION("""COMPUTED_VALUE"""),2096.92)</f>
        <v>2096.92</v>
      </c>
    </row>
    <row r="622" spans="1:2" ht="13" x14ac:dyDescent="0.15">
      <c r="A622" s="2">
        <f ca="1">IFERROR(__xludf.DUMMYFUNCTION("""COMPUTED_VALUE"""),42235.6666666666)</f>
        <v>42235.666666666599</v>
      </c>
      <c r="B622" s="1">
        <f ca="1">IFERROR(__xludf.DUMMYFUNCTION("""COMPUTED_VALUE"""),2079.61)</f>
        <v>2079.61</v>
      </c>
    </row>
    <row r="623" spans="1:2" ht="13" x14ac:dyDescent="0.15">
      <c r="A623" s="2">
        <f ca="1">IFERROR(__xludf.DUMMYFUNCTION("""COMPUTED_VALUE"""),42236.6666666666)</f>
        <v>42236.666666666599</v>
      </c>
      <c r="B623" s="1">
        <f ca="1">IFERROR(__xludf.DUMMYFUNCTION("""COMPUTED_VALUE"""),2035.73)</f>
        <v>2035.73</v>
      </c>
    </row>
    <row r="624" spans="1:2" ht="13" x14ac:dyDescent="0.15">
      <c r="A624" s="2">
        <f ca="1">IFERROR(__xludf.DUMMYFUNCTION("""COMPUTED_VALUE"""),42237.6666666666)</f>
        <v>42237.666666666599</v>
      </c>
      <c r="B624" s="1">
        <f ca="1">IFERROR(__xludf.DUMMYFUNCTION("""COMPUTED_VALUE"""),1970.89)</f>
        <v>1970.89</v>
      </c>
    </row>
    <row r="625" spans="1:2" ht="13" x14ac:dyDescent="0.15">
      <c r="A625" s="2">
        <f ca="1">IFERROR(__xludf.DUMMYFUNCTION("""COMPUTED_VALUE"""),42240.6666666666)</f>
        <v>42240.666666666599</v>
      </c>
      <c r="B625" s="1">
        <f ca="1">IFERROR(__xludf.DUMMYFUNCTION("""COMPUTED_VALUE"""),1893.21)</f>
        <v>1893.21</v>
      </c>
    </row>
    <row r="626" spans="1:2" ht="13" x14ac:dyDescent="0.15">
      <c r="A626" s="2">
        <f ca="1">IFERROR(__xludf.DUMMYFUNCTION("""COMPUTED_VALUE"""),42241.6666666666)</f>
        <v>42241.666666666599</v>
      </c>
      <c r="B626" s="1">
        <f ca="1">IFERROR(__xludf.DUMMYFUNCTION("""COMPUTED_VALUE"""),1867.61)</f>
        <v>1867.61</v>
      </c>
    </row>
    <row r="627" spans="1:2" ht="13" x14ac:dyDescent="0.15">
      <c r="A627" s="2">
        <f ca="1">IFERROR(__xludf.DUMMYFUNCTION("""COMPUTED_VALUE"""),42242.6666666666)</f>
        <v>42242.666666666599</v>
      </c>
      <c r="B627" s="1">
        <f ca="1">IFERROR(__xludf.DUMMYFUNCTION("""COMPUTED_VALUE"""),1940.51)</f>
        <v>1940.51</v>
      </c>
    </row>
    <row r="628" spans="1:2" ht="13" x14ac:dyDescent="0.15">
      <c r="A628" s="2">
        <f ca="1">IFERROR(__xludf.DUMMYFUNCTION("""COMPUTED_VALUE"""),42243.6666666666)</f>
        <v>42243.666666666599</v>
      </c>
      <c r="B628" s="1">
        <f ca="1">IFERROR(__xludf.DUMMYFUNCTION("""COMPUTED_VALUE"""),1987.66)</f>
        <v>1987.66</v>
      </c>
    </row>
    <row r="629" spans="1:2" ht="13" x14ac:dyDescent="0.15">
      <c r="A629" s="2">
        <f ca="1">IFERROR(__xludf.DUMMYFUNCTION("""COMPUTED_VALUE"""),42244.6666666666)</f>
        <v>42244.666666666599</v>
      </c>
      <c r="B629" s="1">
        <f ca="1">IFERROR(__xludf.DUMMYFUNCTION("""COMPUTED_VALUE"""),1988.87)</f>
        <v>1988.87</v>
      </c>
    </row>
    <row r="630" spans="1:2" ht="13" x14ac:dyDescent="0.15">
      <c r="A630" s="2">
        <f ca="1">IFERROR(__xludf.DUMMYFUNCTION("""COMPUTED_VALUE"""),42247.6666666666)</f>
        <v>42247.666666666599</v>
      </c>
      <c r="B630" s="1">
        <f ca="1">IFERROR(__xludf.DUMMYFUNCTION("""COMPUTED_VALUE"""),1972.18)</f>
        <v>1972.18</v>
      </c>
    </row>
    <row r="631" spans="1:2" ht="13" x14ac:dyDescent="0.15">
      <c r="A631" s="2">
        <f ca="1">IFERROR(__xludf.DUMMYFUNCTION("""COMPUTED_VALUE"""),42248.6666666666)</f>
        <v>42248.666666666599</v>
      </c>
      <c r="B631" s="1">
        <f ca="1">IFERROR(__xludf.DUMMYFUNCTION("""COMPUTED_VALUE"""),1913.85)</f>
        <v>1913.85</v>
      </c>
    </row>
    <row r="632" spans="1:2" ht="13" x14ac:dyDescent="0.15">
      <c r="A632" s="2">
        <f ca="1">IFERROR(__xludf.DUMMYFUNCTION("""COMPUTED_VALUE"""),42249.6666666666)</f>
        <v>42249.666666666599</v>
      </c>
      <c r="B632" s="1">
        <f ca="1">IFERROR(__xludf.DUMMYFUNCTION("""COMPUTED_VALUE"""),1948.86)</f>
        <v>1948.86</v>
      </c>
    </row>
    <row r="633" spans="1:2" ht="13" x14ac:dyDescent="0.15">
      <c r="A633" s="2">
        <f ca="1">IFERROR(__xludf.DUMMYFUNCTION("""COMPUTED_VALUE"""),42250.6666666666)</f>
        <v>42250.666666666599</v>
      </c>
      <c r="B633" s="1">
        <f ca="1">IFERROR(__xludf.DUMMYFUNCTION("""COMPUTED_VALUE"""),1951.13)</f>
        <v>1951.13</v>
      </c>
    </row>
    <row r="634" spans="1:2" ht="13" x14ac:dyDescent="0.15">
      <c r="A634" s="2">
        <f ca="1">IFERROR(__xludf.DUMMYFUNCTION("""COMPUTED_VALUE"""),42251.6666666666)</f>
        <v>42251.666666666599</v>
      </c>
      <c r="B634" s="1">
        <f ca="1">IFERROR(__xludf.DUMMYFUNCTION("""COMPUTED_VALUE"""),1921.22)</f>
        <v>1921.22</v>
      </c>
    </row>
    <row r="635" spans="1:2" ht="13" x14ac:dyDescent="0.15">
      <c r="A635" s="2">
        <f ca="1">IFERROR(__xludf.DUMMYFUNCTION("""COMPUTED_VALUE"""),42255.6666666666)</f>
        <v>42255.666666666599</v>
      </c>
      <c r="B635" s="1">
        <f ca="1">IFERROR(__xludf.DUMMYFUNCTION("""COMPUTED_VALUE"""),1969.41)</f>
        <v>1969.41</v>
      </c>
    </row>
    <row r="636" spans="1:2" ht="13" x14ac:dyDescent="0.15">
      <c r="A636" s="2">
        <f ca="1">IFERROR(__xludf.DUMMYFUNCTION("""COMPUTED_VALUE"""),42256.6666666666)</f>
        <v>42256.666666666599</v>
      </c>
      <c r="B636" s="1">
        <f ca="1">IFERROR(__xludf.DUMMYFUNCTION("""COMPUTED_VALUE"""),1942.04)</f>
        <v>1942.04</v>
      </c>
    </row>
    <row r="637" spans="1:2" ht="13" x14ac:dyDescent="0.15">
      <c r="A637" s="2">
        <f ca="1">IFERROR(__xludf.DUMMYFUNCTION("""COMPUTED_VALUE"""),42257.6666666666)</f>
        <v>42257.666666666599</v>
      </c>
      <c r="B637" s="1">
        <f ca="1">IFERROR(__xludf.DUMMYFUNCTION("""COMPUTED_VALUE"""),1952.29)</f>
        <v>1952.29</v>
      </c>
    </row>
    <row r="638" spans="1:2" ht="13" x14ac:dyDescent="0.15">
      <c r="A638" s="2">
        <f ca="1">IFERROR(__xludf.DUMMYFUNCTION("""COMPUTED_VALUE"""),42258.6666666666)</f>
        <v>42258.666666666599</v>
      </c>
      <c r="B638" s="1">
        <f ca="1">IFERROR(__xludf.DUMMYFUNCTION("""COMPUTED_VALUE"""),1961.05)</f>
        <v>1961.05</v>
      </c>
    </row>
    <row r="639" spans="1:2" ht="13" x14ac:dyDescent="0.15">
      <c r="A639" s="2">
        <f ca="1">IFERROR(__xludf.DUMMYFUNCTION("""COMPUTED_VALUE"""),42261.6666666666)</f>
        <v>42261.666666666599</v>
      </c>
      <c r="B639" s="1">
        <f ca="1">IFERROR(__xludf.DUMMYFUNCTION("""COMPUTED_VALUE"""),1953.03)</f>
        <v>1953.03</v>
      </c>
    </row>
    <row r="640" spans="1:2" ht="13" x14ac:dyDescent="0.15">
      <c r="A640" s="2">
        <f ca="1">IFERROR(__xludf.DUMMYFUNCTION("""COMPUTED_VALUE"""),42262.6666666666)</f>
        <v>42262.666666666599</v>
      </c>
      <c r="B640" s="1">
        <f ca="1">IFERROR(__xludf.DUMMYFUNCTION("""COMPUTED_VALUE"""),1978.09)</f>
        <v>1978.09</v>
      </c>
    </row>
    <row r="641" spans="1:2" ht="13" x14ac:dyDescent="0.15">
      <c r="A641" s="2">
        <f ca="1">IFERROR(__xludf.DUMMYFUNCTION("""COMPUTED_VALUE"""),42263.6666666666)</f>
        <v>42263.666666666599</v>
      </c>
      <c r="B641" s="1">
        <f ca="1">IFERROR(__xludf.DUMMYFUNCTION("""COMPUTED_VALUE"""),1995.31)</f>
        <v>1995.31</v>
      </c>
    </row>
    <row r="642" spans="1:2" ht="13" x14ac:dyDescent="0.15">
      <c r="A642" s="2">
        <f ca="1">IFERROR(__xludf.DUMMYFUNCTION("""COMPUTED_VALUE"""),42264.6666666666)</f>
        <v>42264.666666666599</v>
      </c>
      <c r="B642" s="1">
        <f ca="1">IFERROR(__xludf.DUMMYFUNCTION("""COMPUTED_VALUE"""),1990.2)</f>
        <v>1990.2</v>
      </c>
    </row>
    <row r="643" spans="1:2" ht="13" x14ac:dyDescent="0.15">
      <c r="A643" s="2">
        <f ca="1">IFERROR(__xludf.DUMMYFUNCTION("""COMPUTED_VALUE"""),42265.6666666666)</f>
        <v>42265.666666666599</v>
      </c>
      <c r="B643" s="1">
        <f ca="1">IFERROR(__xludf.DUMMYFUNCTION("""COMPUTED_VALUE"""),1958.03)</f>
        <v>1958.03</v>
      </c>
    </row>
    <row r="644" spans="1:2" ht="13" x14ac:dyDescent="0.15">
      <c r="A644" s="2">
        <f ca="1">IFERROR(__xludf.DUMMYFUNCTION("""COMPUTED_VALUE"""),42268.6666666666)</f>
        <v>42268.666666666599</v>
      </c>
      <c r="B644" s="1">
        <f ca="1">IFERROR(__xludf.DUMMYFUNCTION("""COMPUTED_VALUE"""),1966.97)</f>
        <v>1966.97</v>
      </c>
    </row>
    <row r="645" spans="1:2" ht="13" x14ac:dyDescent="0.15">
      <c r="A645" s="2">
        <f ca="1">IFERROR(__xludf.DUMMYFUNCTION("""COMPUTED_VALUE"""),42269.6666666666)</f>
        <v>42269.666666666599</v>
      </c>
      <c r="B645" s="1">
        <f ca="1">IFERROR(__xludf.DUMMYFUNCTION("""COMPUTED_VALUE"""),1942.74)</f>
        <v>1942.74</v>
      </c>
    </row>
    <row r="646" spans="1:2" ht="13" x14ac:dyDescent="0.15">
      <c r="A646" s="2">
        <f ca="1">IFERROR(__xludf.DUMMYFUNCTION("""COMPUTED_VALUE"""),42270.6666666666)</f>
        <v>42270.666666666599</v>
      </c>
      <c r="B646" s="1">
        <f ca="1">IFERROR(__xludf.DUMMYFUNCTION("""COMPUTED_VALUE"""),1938.76)</f>
        <v>1938.76</v>
      </c>
    </row>
    <row r="647" spans="1:2" ht="13" x14ac:dyDescent="0.15">
      <c r="A647" s="2">
        <f ca="1">IFERROR(__xludf.DUMMYFUNCTION("""COMPUTED_VALUE"""),42271.6666666666)</f>
        <v>42271.666666666599</v>
      </c>
      <c r="B647" s="1">
        <f ca="1">IFERROR(__xludf.DUMMYFUNCTION("""COMPUTED_VALUE"""),1932.24)</f>
        <v>1932.24</v>
      </c>
    </row>
    <row r="648" spans="1:2" ht="13" x14ac:dyDescent="0.15">
      <c r="A648" s="2">
        <f ca="1">IFERROR(__xludf.DUMMYFUNCTION("""COMPUTED_VALUE"""),42272.6666666666)</f>
        <v>42272.666666666599</v>
      </c>
      <c r="B648" s="1">
        <f ca="1">IFERROR(__xludf.DUMMYFUNCTION("""COMPUTED_VALUE"""),1931.34)</f>
        <v>1931.34</v>
      </c>
    </row>
    <row r="649" spans="1:2" ht="13" x14ac:dyDescent="0.15">
      <c r="A649" s="2">
        <f ca="1">IFERROR(__xludf.DUMMYFUNCTION("""COMPUTED_VALUE"""),42275.6666666666)</f>
        <v>42275.666666666599</v>
      </c>
      <c r="B649" s="1">
        <f ca="1">IFERROR(__xludf.DUMMYFUNCTION("""COMPUTED_VALUE"""),1881.77)</f>
        <v>1881.77</v>
      </c>
    </row>
    <row r="650" spans="1:2" ht="13" x14ac:dyDescent="0.15">
      <c r="A650" s="2">
        <f ca="1">IFERROR(__xludf.DUMMYFUNCTION("""COMPUTED_VALUE"""),42276.6666666666)</f>
        <v>42276.666666666599</v>
      </c>
      <c r="B650" s="1">
        <f ca="1">IFERROR(__xludf.DUMMYFUNCTION("""COMPUTED_VALUE"""),1884.09)</f>
        <v>1884.09</v>
      </c>
    </row>
    <row r="651" spans="1:2" ht="13" x14ac:dyDescent="0.15">
      <c r="A651" s="2">
        <f ca="1">IFERROR(__xludf.DUMMYFUNCTION("""COMPUTED_VALUE"""),42277.6666666666)</f>
        <v>42277.666666666599</v>
      </c>
      <c r="B651" s="1">
        <f ca="1">IFERROR(__xludf.DUMMYFUNCTION("""COMPUTED_VALUE"""),1920.03)</f>
        <v>1920.03</v>
      </c>
    </row>
    <row r="652" spans="1:2" ht="13" x14ac:dyDescent="0.15">
      <c r="A652" s="2">
        <f ca="1">IFERROR(__xludf.DUMMYFUNCTION("""COMPUTED_VALUE"""),42278.6666666666)</f>
        <v>42278.666666666599</v>
      </c>
      <c r="B652" s="1">
        <f ca="1">IFERROR(__xludf.DUMMYFUNCTION("""COMPUTED_VALUE"""),1923.82)</f>
        <v>1923.82</v>
      </c>
    </row>
    <row r="653" spans="1:2" ht="13" x14ac:dyDescent="0.15">
      <c r="A653" s="2">
        <f ca="1">IFERROR(__xludf.DUMMYFUNCTION("""COMPUTED_VALUE"""),42279.6666666666)</f>
        <v>42279.666666666599</v>
      </c>
      <c r="B653" s="1">
        <f ca="1">IFERROR(__xludf.DUMMYFUNCTION("""COMPUTED_VALUE"""),1951.36)</f>
        <v>1951.36</v>
      </c>
    </row>
    <row r="654" spans="1:2" ht="13" x14ac:dyDescent="0.15">
      <c r="A654" s="2">
        <f ca="1">IFERROR(__xludf.DUMMYFUNCTION("""COMPUTED_VALUE"""),42282.6666666666)</f>
        <v>42282.666666666599</v>
      </c>
      <c r="B654" s="1">
        <f ca="1">IFERROR(__xludf.DUMMYFUNCTION("""COMPUTED_VALUE"""),1987.05)</f>
        <v>1987.05</v>
      </c>
    </row>
    <row r="655" spans="1:2" ht="13" x14ac:dyDescent="0.15">
      <c r="A655" s="2">
        <f ca="1">IFERROR(__xludf.DUMMYFUNCTION("""COMPUTED_VALUE"""),42283.6666666666)</f>
        <v>42283.666666666599</v>
      </c>
      <c r="B655" s="1">
        <f ca="1">IFERROR(__xludf.DUMMYFUNCTION("""COMPUTED_VALUE"""),1979.92)</f>
        <v>1979.92</v>
      </c>
    </row>
    <row r="656" spans="1:2" ht="13" x14ac:dyDescent="0.15">
      <c r="A656" s="2">
        <f ca="1">IFERROR(__xludf.DUMMYFUNCTION("""COMPUTED_VALUE"""),42284.6666666666)</f>
        <v>42284.666666666599</v>
      </c>
      <c r="B656" s="1">
        <f ca="1">IFERROR(__xludf.DUMMYFUNCTION("""COMPUTED_VALUE"""),1995.83)</f>
        <v>1995.83</v>
      </c>
    </row>
    <row r="657" spans="1:2" ht="13" x14ac:dyDescent="0.15">
      <c r="A657" s="2">
        <f ca="1">IFERROR(__xludf.DUMMYFUNCTION("""COMPUTED_VALUE"""),42285.6666666666)</f>
        <v>42285.666666666599</v>
      </c>
      <c r="B657" s="1">
        <f ca="1">IFERROR(__xludf.DUMMYFUNCTION("""COMPUTED_VALUE"""),2013.43)</f>
        <v>2013.43</v>
      </c>
    </row>
    <row r="658" spans="1:2" ht="13" x14ac:dyDescent="0.15">
      <c r="A658" s="2">
        <f ca="1">IFERROR(__xludf.DUMMYFUNCTION("""COMPUTED_VALUE"""),42286.6666666666)</f>
        <v>42286.666666666599</v>
      </c>
      <c r="B658" s="1">
        <f ca="1">IFERROR(__xludf.DUMMYFUNCTION("""COMPUTED_VALUE"""),2014.89)</f>
        <v>2014.89</v>
      </c>
    </row>
    <row r="659" spans="1:2" ht="13" x14ac:dyDescent="0.15">
      <c r="A659" s="2">
        <f ca="1">IFERROR(__xludf.DUMMYFUNCTION("""COMPUTED_VALUE"""),42289.6666666666)</f>
        <v>42289.666666666599</v>
      </c>
      <c r="B659" s="1">
        <f ca="1">IFERROR(__xludf.DUMMYFUNCTION("""COMPUTED_VALUE"""),2017.46)</f>
        <v>2017.46</v>
      </c>
    </row>
    <row r="660" spans="1:2" ht="13" x14ac:dyDescent="0.15">
      <c r="A660" s="2">
        <f ca="1">IFERROR(__xludf.DUMMYFUNCTION("""COMPUTED_VALUE"""),42290.6666666666)</f>
        <v>42290.666666666599</v>
      </c>
      <c r="B660" s="1">
        <f ca="1">IFERROR(__xludf.DUMMYFUNCTION("""COMPUTED_VALUE"""),2003.69)</f>
        <v>2003.69</v>
      </c>
    </row>
    <row r="661" spans="1:2" ht="13" x14ac:dyDescent="0.15">
      <c r="A661" s="2">
        <f ca="1">IFERROR(__xludf.DUMMYFUNCTION("""COMPUTED_VALUE"""),42291.6666666666)</f>
        <v>42291.666666666599</v>
      </c>
      <c r="B661" s="1">
        <f ca="1">IFERROR(__xludf.DUMMYFUNCTION("""COMPUTED_VALUE"""),1994.24)</f>
        <v>1994.24</v>
      </c>
    </row>
    <row r="662" spans="1:2" ht="13" x14ac:dyDescent="0.15">
      <c r="A662" s="2">
        <f ca="1">IFERROR(__xludf.DUMMYFUNCTION("""COMPUTED_VALUE"""),42292.6666666666)</f>
        <v>42292.666666666599</v>
      </c>
      <c r="B662" s="1">
        <f ca="1">IFERROR(__xludf.DUMMYFUNCTION("""COMPUTED_VALUE"""),2023.86)</f>
        <v>2023.86</v>
      </c>
    </row>
    <row r="663" spans="1:2" ht="13" x14ac:dyDescent="0.15">
      <c r="A663" s="2">
        <f ca="1">IFERROR(__xludf.DUMMYFUNCTION("""COMPUTED_VALUE"""),42293.6666666666)</f>
        <v>42293.666666666599</v>
      </c>
      <c r="B663" s="1">
        <f ca="1">IFERROR(__xludf.DUMMYFUNCTION("""COMPUTED_VALUE"""),2033.11)</f>
        <v>2033.11</v>
      </c>
    </row>
    <row r="664" spans="1:2" ht="13" x14ac:dyDescent="0.15">
      <c r="A664" s="2">
        <f ca="1">IFERROR(__xludf.DUMMYFUNCTION("""COMPUTED_VALUE"""),42296.6666666666)</f>
        <v>42296.666666666599</v>
      </c>
      <c r="B664" s="1">
        <f ca="1">IFERROR(__xludf.DUMMYFUNCTION("""COMPUTED_VALUE"""),2033.66)</f>
        <v>2033.66</v>
      </c>
    </row>
    <row r="665" spans="1:2" ht="13" x14ac:dyDescent="0.15">
      <c r="A665" s="2">
        <f ca="1">IFERROR(__xludf.DUMMYFUNCTION("""COMPUTED_VALUE"""),42297.6666666666)</f>
        <v>42297.666666666599</v>
      </c>
      <c r="B665" s="1">
        <f ca="1">IFERROR(__xludf.DUMMYFUNCTION("""COMPUTED_VALUE"""),2030.77)</f>
        <v>2030.77</v>
      </c>
    </row>
    <row r="666" spans="1:2" ht="13" x14ac:dyDescent="0.15">
      <c r="A666" s="2">
        <f ca="1">IFERROR(__xludf.DUMMYFUNCTION("""COMPUTED_VALUE"""),42298.6666666666)</f>
        <v>42298.666666666599</v>
      </c>
      <c r="B666" s="1">
        <f ca="1">IFERROR(__xludf.DUMMYFUNCTION("""COMPUTED_VALUE"""),2018.94)</f>
        <v>2018.94</v>
      </c>
    </row>
    <row r="667" spans="1:2" ht="13" x14ac:dyDescent="0.15">
      <c r="A667" s="2">
        <f ca="1">IFERROR(__xludf.DUMMYFUNCTION("""COMPUTED_VALUE"""),42299.6666666666)</f>
        <v>42299.666666666599</v>
      </c>
      <c r="B667" s="1">
        <f ca="1">IFERROR(__xludf.DUMMYFUNCTION("""COMPUTED_VALUE"""),2052.51)</f>
        <v>2052.5100000000002</v>
      </c>
    </row>
    <row r="668" spans="1:2" ht="13" x14ac:dyDescent="0.15">
      <c r="A668" s="2">
        <f ca="1">IFERROR(__xludf.DUMMYFUNCTION("""COMPUTED_VALUE"""),42300.6666666666)</f>
        <v>42300.666666666599</v>
      </c>
      <c r="B668" s="1">
        <f ca="1">IFERROR(__xludf.DUMMYFUNCTION("""COMPUTED_VALUE"""),2075.15)</f>
        <v>2075.15</v>
      </c>
    </row>
    <row r="669" spans="1:2" ht="13" x14ac:dyDescent="0.15">
      <c r="A669" s="2">
        <f ca="1">IFERROR(__xludf.DUMMYFUNCTION("""COMPUTED_VALUE"""),42303.6666666666)</f>
        <v>42303.666666666599</v>
      </c>
      <c r="B669" s="1">
        <f ca="1">IFERROR(__xludf.DUMMYFUNCTION("""COMPUTED_VALUE"""),2071.18)</f>
        <v>2071.1799999999998</v>
      </c>
    </row>
    <row r="670" spans="1:2" ht="13" x14ac:dyDescent="0.15">
      <c r="A670" s="2">
        <f ca="1">IFERROR(__xludf.DUMMYFUNCTION("""COMPUTED_VALUE"""),42304.6666666666)</f>
        <v>42304.666666666599</v>
      </c>
      <c r="B670" s="1">
        <f ca="1">IFERROR(__xludf.DUMMYFUNCTION("""COMPUTED_VALUE"""),2065.89)</f>
        <v>2065.89</v>
      </c>
    </row>
    <row r="671" spans="1:2" ht="13" x14ac:dyDescent="0.15">
      <c r="A671" s="2">
        <f ca="1">IFERROR(__xludf.DUMMYFUNCTION("""COMPUTED_VALUE"""),42305.6666666666)</f>
        <v>42305.666666666599</v>
      </c>
      <c r="B671" s="1">
        <f ca="1">IFERROR(__xludf.DUMMYFUNCTION("""COMPUTED_VALUE"""),2090.35)</f>
        <v>2090.35</v>
      </c>
    </row>
    <row r="672" spans="1:2" ht="13" x14ac:dyDescent="0.15">
      <c r="A672" s="2">
        <f ca="1">IFERROR(__xludf.DUMMYFUNCTION("""COMPUTED_VALUE"""),42306.6666666666)</f>
        <v>42306.666666666599</v>
      </c>
      <c r="B672" s="1">
        <f ca="1">IFERROR(__xludf.DUMMYFUNCTION("""COMPUTED_VALUE"""),2089.41)</f>
        <v>2089.41</v>
      </c>
    </row>
    <row r="673" spans="1:2" ht="13" x14ac:dyDescent="0.15">
      <c r="A673" s="2">
        <f ca="1">IFERROR(__xludf.DUMMYFUNCTION("""COMPUTED_VALUE"""),42307.6666666666)</f>
        <v>42307.666666666599</v>
      </c>
      <c r="B673" s="1">
        <f ca="1">IFERROR(__xludf.DUMMYFUNCTION("""COMPUTED_VALUE"""),2079.36)</f>
        <v>2079.36</v>
      </c>
    </row>
    <row r="674" spans="1:2" ht="13" x14ac:dyDescent="0.15">
      <c r="A674" s="2">
        <f ca="1">IFERROR(__xludf.DUMMYFUNCTION("""COMPUTED_VALUE"""),42310.6666666666)</f>
        <v>42310.666666666599</v>
      </c>
      <c r="B674" s="1">
        <f ca="1">IFERROR(__xludf.DUMMYFUNCTION("""COMPUTED_VALUE"""),2104.05)</f>
        <v>2104.0500000000002</v>
      </c>
    </row>
    <row r="675" spans="1:2" ht="13" x14ac:dyDescent="0.15">
      <c r="A675" s="2">
        <f ca="1">IFERROR(__xludf.DUMMYFUNCTION("""COMPUTED_VALUE"""),42311.6666666666)</f>
        <v>42311.666666666599</v>
      </c>
      <c r="B675" s="1">
        <f ca="1">IFERROR(__xludf.DUMMYFUNCTION("""COMPUTED_VALUE"""),2109.79)</f>
        <v>2109.79</v>
      </c>
    </row>
    <row r="676" spans="1:2" ht="13" x14ac:dyDescent="0.15">
      <c r="A676" s="2">
        <f ca="1">IFERROR(__xludf.DUMMYFUNCTION("""COMPUTED_VALUE"""),42312.6666666666)</f>
        <v>42312.666666666599</v>
      </c>
      <c r="B676" s="1">
        <f ca="1">IFERROR(__xludf.DUMMYFUNCTION("""COMPUTED_VALUE"""),2102.31)</f>
        <v>2102.31</v>
      </c>
    </row>
    <row r="677" spans="1:2" ht="13" x14ac:dyDescent="0.15">
      <c r="A677" s="2">
        <f ca="1">IFERROR(__xludf.DUMMYFUNCTION("""COMPUTED_VALUE"""),42313.6666666666)</f>
        <v>42313.666666666599</v>
      </c>
      <c r="B677" s="1">
        <f ca="1">IFERROR(__xludf.DUMMYFUNCTION("""COMPUTED_VALUE"""),2099.93)</f>
        <v>2099.9299999999998</v>
      </c>
    </row>
    <row r="678" spans="1:2" ht="13" x14ac:dyDescent="0.15">
      <c r="A678" s="2">
        <f ca="1">IFERROR(__xludf.DUMMYFUNCTION("""COMPUTED_VALUE"""),42314.6666666666)</f>
        <v>42314.666666666599</v>
      </c>
      <c r="B678" s="1">
        <f ca="1">IFERROR(__xludf.DUMMYFUNCTION("""COMPUTED_VALUE"""),2099.2)</f>
        <v>2099.1999999999998</v>
      </c>
    </row>
    <row r="679" spans="1:2" ht="13" x14ac:dyDescent="0.15">
      <c r="A679" s="2">
        <f ca="1">IFERROR(__xludf.DUMMYFUNCTION("""COMPUTED_VALUE"""),42317.6666666666)</f>
        <v>42317.666666666599</v>
      </c>
      <c r="B679" s="1">
        <f ca="1">IFERROR(__xludf.DUMMYFUNCTION("""COMPUTED_VALUE"""),2078.58)</f>
        <v>2078.58</v>
      </c>
    </row>
    <row r="680" spans="1:2" ht="13" x14ac:dyDescent="0.15">
      <c r="A680" s="2">
        <f ca="1">IFERROR(__xludf.DUMMYFUNCTION("""COMPUTED_VALUE"""),42318.6666666666)</f>
        <v>42318.666666666599</v>
      </c>
      <c r="B680" s="1">
        <f ca="1">IFERROR(__xludf.DUMMYFUNCTION("""COMPUTED_VALUE"""),2081.72)</f>
        <v>2081.7199999999998</v>
      </c>
    </row>
    <row r="681" spans="1:2" ht="13" x14ac:dyDescent="0.15">
      <c r="A681" s="2">
        <f ca="1">IFERROR(__xludf.DUMMYFUNCTION("""COMPUTED_VALUE"""),42319.6666666666)</f>
        <v>42319.666666666599</v>
      </c>
      <c r="B681" s="1">
        <f ca="1">IFERROR(__xludf.DUMMYFUNCTION("""COMPUTED_VALUE"""),2075)</f>
        <v>2075</v>
      </c>
    </row>
    <row r="682" spans="1:2" ht="13" x14ac:dyDescent="0.15">
      <c r="A682" s="2">
        <f ca="1">IFERROR(__xludf.DUMMYFUNCTION("""COMPUTED_VALUE"""),42320.6666666666)</f>
        <v>42320.666666666599</v>
      </c>
      <c r="B682" s="1">
        <f ca="1">IFERROR(__xludf.DUMMYFUNCTION("""COMPUTED_VALUE"""),2045.97)</f>
        <v>2045.97</v>
      </c>
    </row>
    <row r="683" spans="1:2" ht="13" x14ac:dyDescent="0.15">
      <c r="A683" s="2">
        <f ca="1">IFERROR(__xludf.DUMMYFUNCTION("""COMPUTED_VALUE"""),42321.6666666666)</f>
        <v>42321.666666666599</v>
      </c>
      <c r="B683" s="1">
        <f ca="1">IFERROR(__xludf.DUMMYFUNCTION("""COMPUTED_VALUE"""),2023.04)</f>
        <v>2023.04</v>
      </c>
    </row>
    <row r="684" spans="1:2" ht="13" x14ac:dyDescent="0.15">
      <c r="A684" s="2">
        <f ca="1">IFERROR(__xludf.DUMMYFUNCTION("""COMPUTED_VALUE"""),42324.6666666666)</f>
        <v>42324.666666666599</v>
      </c>
      <c r="B684" s="1">
        <f ca="1">IFERROR(__xludf.DUMMYFUNCTION("""COMPUTED_VALUE"""),2053.19)</f>
        <v>2053.19</v>
      </c>
    </row>
    <row r="685" spans="1:2" ht="13" x14ac:dyDescent="0.15">
      <c r="A685" s="2">
        <f ca="1">IFERROR(__xludf.DUMMYFUNCTION("""COMPUTED_VALUE"""),42325.6666666666)</f>
        <v>42325.666666666599</v>
      </c>
      <c r="B685" s="1">
        <f ca="1">IFERROR(__xludf.DUMMYFUNCTION("""COMPUTED_VALUE"""),2050.44)</f>
        <v>2050.44</v>
      </c>
    </row>
    <row r="686" spans="1:2" ht="13" x14ac:dyDescent="0.15">
      <c r="A686" s="2">
        <f ca="1">IFERROR(__xludf.DUMMYFUNCTION("""COMPUTED_VALUE"""),42326.6666666666)</f>
        <v>42326.666666666599</v>
      </c>
      <c r="B686" s="1">
        <f ca="1">IFERROR(__xludf.DUMMYFUNCTION("""COMPUTED_VALUE"""),2083.58)</f>
        <v>2083.58</v>
      </c>
    </row>
    <row r="687" spans="1:2" ht="13" x14ac:dyDescent="0.15">
      <c r="A687" s="2">
        <f ca="1">IFERROR(__xludf.DUMMYFUNCTION("""COMPUTED_VALUE"""),42327.6666666666)</f>
        <v>42327.666666666599</v>
      </c>
      <c r="B687" s="1">
        <f ca="1">IFERROR(__xludf.DUMMYFUNCTION("""COMPUTED_VALUE"""),2081.24)</f>
        <v>2081.2399999999998</v>
      </c>
    </row>
    <row r="688" spans="1:2" ht="13" x14ac:dyDescent="0.15">
      <c r="A688" s="2">
        <f ca="1">IFERROR(__xludf.DUMMYFUNCTION("""COMPUTED_VALUE"""),42328.6666666666)</f>
        <v>42328.666666666599</v>
      </c>
      <c r="B688" s="1">
        <f ca="1">IFERROR(__xludf.DUMMYFUNCTION("""COMPUTED_VALUE"""),2089.17)</f>
        <v>2089.17</v>
      </c>
    </row>
    <row r="689" spans="1:2" ht="13" x14ac:dyDescent="0.15">
      <c r="A689" s="2">
        <f ca="1">IFERROR(__xludf.DUMMYFUNCTION("""COMPUTED_VALUE"""),42331.6666666666)</f>
        <v>42331.666666666599</v>
      </c>
      <c r="B689" s="1">
        <f ca="1">IFERROR(__xludf.DUMMYFUNCTION("""COMPUTED_VALUE"""),2086.59)</f>
        <v>2086.59</v>
      </c>
    </row>
    <row r="690" spans="1:2" ht="13" x14ac:dyDescent="0.15">
      <c r="A690" s="2">
        <f ca="1">IFERROR(__xludf.DUMMYFUNCTION("""COMPUTED_VALUE"""),42332.6666666666)</f>
        <v>42332.666666666599</v>
      </c>
      <c r="B690" s="1">
        <f ca="1">IFERROR(__xludf.DUMMYFUNCTION("""COMPUTED_VALUE"""),2089.14)</f>
        <v>2089.14</v>
      </c>
    </row>
    <row r="691" spans="1:2" ht="13" x14ac:dyDescent="0.15">
      <c r="A691" s="2">
        <f ca="1">IFERROR(__xludf.DUMMYFUNCTION("""COMPUTED_VALUE"""),42333.6666666666)</f>
        <v>42333.666666666599</v>
      </c>
      <c r="B691" s="1">
        <f ca="1">IFERROR(__xludf.DUMMYFUNCTION("""COMPUTED_VALUE"""),2088.87)</f>
        <v>2088.87</v>
      </c>
    </row>
    <row r="692" spans="1:2" ht="13" x14ac:dyDescent="0.15">
      <c r="A692" s="2">
        <f ca="1">IFERROR(__xludf.DUMMYFUNCTION("""COMPUTED_VALUE"""),42335.6666666666)</f>
        <v>42335.666666666599</v>
      </c>
      <c r="B692" s="1">
        <f ca="1">IFERROR(__xludf.DUMMYFUNCTION("""COMPUTED_VALUE"""),2090.11)</f>
        <v>2090.11</v>
      </c>
    </row>
    <row r="693" spans="1:2" ht="13" x14ac:dyDescent="0.15">
      <c r="A693" s="2">
        <f ca="1">IFERROR(__xludf.DUMMYFUNCTION("""COMPUTED_VALUE"""),42338.6666666666)</f>
        <v>42338.666666666599</v>
      </c>
      <c r="B693" s="1">
        <f ca="1">IFERROR(__xludf.DUMMYFUNCTION("""COMPUTED_VALUE"""),2080.41)</f>
        <v>2080.41</v>
      </c>
    </row>
    <row r="694" spans="1:2" ht="13" x14ac:dyDescent="0.15">
      <c r="A694" s="2">
        <f ca="1">IFERROR(__xludf.DUMMYFUNCTION("""COMPUTED_VALUE"""),42339.6666666666)</f>
        <v>42339.666666666599</v>
      </c>
      <c r="B694" s="1">
        <f ca="1">IFERROR(__xludf.DUMMYFUNCTION("""COMPUTED_VALUE"""),2102.63)</f>
        <v>2102.63</v>
      </c>
    </row>
    <row r="695" spans="1:2" ht="13" x14ac:dyDescent="0.15">
      <c r="A695" s="2">
        <f ca="1">IFERROR(__xludf.DUMMYFUNCTION("""COMPUTED_VALUE"""),42340.6666666666)</f>
        <v>42340.666666666599</v>
      </c>
      <c r="B695" s="1">
        <f ca="1">IFERROR(__xludf.DUMMYFUNCTION("""COMPUTED_VALUE"""),2079.51)</f>
        <v>2079.5100000000002</v>
      </c>
    </row>
    <row r="696" spans="1:2" ht="13" x14ac:dyDescent="0.15">
      <c r="A696" s="2">
        <f ca="1">IFERROR(__xludf.DUMMYFUNCTION("""COMPUTED_VALUE"""),42341.6666666666)</f>
        <v>42341.666666666599</v>
      </c>
      <c r="B696" s="1">
        <f ca="1">IFERROR(__xludf.DUMMYFUNCTION("""COMPUTED_VALUE"""),2049.62)</f>
        <v>2049.62</v>
      </c>
    </row>
    <row r="697" spans="1:2" ht="13" x14ac:dyDescent="0.15">
      <c r="A697" s="2">
        <f ca="1">IFERROR(__xludf.DUMMYFUNCTION("""COMPUTED_VALUE"""),42342.6666666666)</f>
        <v>42342.666666666599</v>
      </c>
      <c r="B697" s="1">
        <f ca="1">IFERROR(__xludf.DUMMYFUNCTION("""COMPUTED_VALUE"""),2091.69)</f>
        <v>2091.69</v>
      </c>
    </row>
    <row r="698" spans="1:2" ht="13" x14ac:dyDescent="0.15">
      <c r="A698" s="2">
        <f ca="1">IFERROR(__xludf.DUMMYFUNCTION("""COMPUTED_VALUE"""),42345.6666666666)</f>
        <v>42345.666666666599</v>
      </c>
      <c r="B698" s="1">
        <f ca="1">IFERROR(__xludf.DUMMYFUNCTION("""COMPUTED_VALUE"""),2077.07)</f>
        <v>2077.0700000000002</v>
      </c>
    </row>
    <row r="699" spans="1:2" ht="13" x14ac:dyDescent="0.15">
      <c r="A699" s="2">
        <f ca="1">IFERROR(__xludf.DUMMYFUNCTION("""COMPUTED_VALUE"""),42346.6666666666)</f>
        <v>42346.666666666599</v>
      </c>
      <c r="B699" s="1">
        <f ca="1">IFERROR(__xludf.DUMMYFUNCTION("""COMPUTED_VALUE"""),2063.59)</f>
        <v>2063.59</v>
      </c>
    </row>
    <row r="700" spans="1:2" ht="13" x14ac:dyDescent="0.15">
      <c r="A700" s="2">
        <f ca="1">IFERROR(__xludf.DUMMYFUNCTION("""COMPUTED_VALUE"""),42347.6666666666)</f>
        <v>42347.666666666599</v>
      </c>
      <c r="B700" s="1">
        <f ca="1">IFERROR(__xludf.DUMMYFUNCTION("""COMPUTED_VALUE"""),2047.62)</f>
        <v>2047.62</v>
      </c>
    </row>
    <row r="701" spans="1:2" ht="13" x14ac:dyDescent="0.15">
      <c r="A701" s="2">
        <f ca="1">IFERROR(__xludf.DUMMYFUNCTION("""COMPUTED_VALUE"""),42348.6666666666)</f>
        <v>42348.666666666599</v>
      </c>
      <c r="B701" s="1">
        <f ca="1">IFERROR(__xludf.DUMMYFUNCTION("""COMPUTED_VALUE"""),2052.23)</f>
        <v>2052.23</v>
      </c>
    </row>
    <row r="702" spans="1:2" ht="13" x14ac:dyDescent="0.15">
      <c r="A702" s="2">
        <f ca="1">IFERROR(__xludf.DUMMYFUNCTION("""COMPUTED_VALUE"""),42349.6666666666)</f>
        <v>42349.666666666599</v>
      </c>
      <c r="B702" s="1">
        <f ca="1">IFERROR(__xludf.DUMMYFUNCTION("""COMPUTED_VALUE"""),2012.37)</f>
        <v>2012.37</v>
      </c>
    </row>
    <row r="703" spans="1:2" ht="13" x14ac:dyDescent="0.15">
      <c r="A703" s="2">
        <f ca="1">IFERROR(__xludf.DUMMYFUNCTION("""COMPUTED_VALUE"""),42352.6666666666)</f>
        <v>42352.666666666599</v>
      </c>
      <c r="B703" s="1">
        <f ca="1">IFERROR(__xludf.DUMMYFUNCTION("""COMPUTED_VALUE"""),2021.94)</f>
        <v>2021.94</v>
      </c>
    </row>
    <row r="704" spans="1:2" ht="13" x14ac:dyDescent="0.15">
      <c r="A704" s="2">
        <f ca="1">IFERROR(__xludf.DUMMYFUNCTION("""COMPUTED_VALUE"""),42353.6666666666)</f>
        <v>42353.666666666599</v>
      </c>
      <c r="B704" s="1">
        <f ca="1">IFERROR(__xludf.DUMMYFUNCTION("""COMPUTED_VALUE"""),2043.41)</f>
        <v>2043.41</v>
      </c>
    </row>
    <row r="705" spans="1:2" ht="13" x14ac:dyDescent="0.15">
      <c r="A705" s="2">
        <f ca="1">IFERROR(__xludf.DUMMYFUNCTION("""COMPUTED_VALUE"""),42354.6666666666)</f>
        <v>42354.666666666599</v>
      </c>
      <c r="B705" s="1">
        <f ca="1">IFERROR(__xludf.DUMMYFUNCTION("""COMPUTED_VALUE"""),2073.07)</f>
        <v>2073.0700000000002</v>
      </c>
    </row>
    <row r="706" spans="1:2" ht="13" x14ac:dyDescent="0.15">
      <c r="A706" s="2">
        <f ca="1">IFERROR(__xludf.DUMMYFUNCTION("""COMPUTED_VALUE"""),42355.6666666666)</f>
        <v>42355.666666666599</v>
      </c>
      <c r="B706" s="1">
        <f ca="1">IFERROR(__xludf.DUMMYFUNCTION("""COMPUTED_VALUE"""),2041.89)</f>
        <v>2041.89</v>
      </c>
    </row>
    <row r="707" spans="1:2" ht="13" x14ac:dyDescent="0.15">
      <c r="A707" s="2">
        <f ca="1">IFERROR(__xludf.DUMMYFUNCTION("""COMPUTED_VALUE"""),42356.6666666666)</f>
        <v>42356.666666666599</v>
      </c>
      <c r="B707" s="1">
        <f ca="1">IFERROR(__xludf.DUMMYFUNCTION("""COMPUTED_VALUE"""),2005.55)</f>
        <v>2005.55</v>
      </c>
    </row>
    <row r="708" spans="1:2" ht="13" x14ac:dyDescent="0.15">
      <c r="A708" s="2">
        <f ca="1">IFERROR(__xludf.DUMMYFUNCTION("""COMPUTED_VALUE"""),42359.6666666666)</f>
        <v>42359.666666666599</v>
      </c>
      <c r="B708" s="1">
        <f ca="1">IFERROR(__xludf.DUMMYFUNCTION("""COMPUTED_VALUE"""),2021.15)</f>
        <v>2021.15</v>
      </c>
    </row>
    <row r="709" spans="1:2" ht="13" x14ac:dyDescent="0.15">
      <c r="A709" s="2">
        <f ca="1">IFERROR(__xludf.DUMMYFUNCTION("""COMPUTED_VALUE"""),42360.6666666666)</f>
        <v>42360.666666666599</v>
      </c>
      <c r="B709" s="1">
        <f ca="1">IFERROR(__xludf.DUMMYFUNCTION("""COMPUTED_VALUE"""),2038.97)</f>
        <v>2038.97</v>
      </c>
    </row>
    <row r="710" spans="1:2" ht="13" x14ac:dyDescent="0.15">
      <c r="A710" s="2">
        <f ca="1">IFERROR(__xludf.DUMMYFUNCTION("""COMPUTED_VALUE"""),42361.6666666666)</f>
        <v>42361.666666666599</v>
      </c>
      <c r="B710" s="1">
        <f ca="1">IFERROR(__xludf.DUMMYFUNCTION("""COMPUTED_VALUE"""),2064.29)</f>
        <v>2064.29</v>
      </c>
    </row>
    <row r="711" spans="1:2" ht="13" x14ac:dyDescent="0.15">
      <c r="A711" s="2">
        <f ca="1">IFERROR(__xludf.DUMMYFUNCTION("""COMPUTED_VALUE"""),42362.6666666666)</f>
        <v>42362.666666666599</v>
      </c>
      <c r="B711" s="1">
        <f ca="1">IFERROR(__xludf.DUMMYFUNCTION("""COMPUTED_VALUE"""),2060.99)</f>
        <v>2060.9899999999998</v>
      </c>
    </row>
    <row r="712" spans="1:2" ht="13" x14ac:dyDescent="0.15">
      <c r="A712" s="2">
        <f ca="1">IFERROR(__xludf.DUMMYFUNCTION("""COMPUTED_VALUE"""),42366.6666666666)</f>
        <v>42366.666666666599</v>
      </c>
      <c r="B712" s="1">
        <f ca="1">IFERROR(__xludf.DUMMYFUNCTION("""COMPUTED_VALUE"""),2056.5)</f>
        <v>2056.5</v>
      </c>
    </row>
    <row r="713" spans="1:2" ht="13" x14ac:dyDescent="0.15">
      <c r="A713" s="2">
        <f ca="1">IFERROR(__xludf.DUMMYFUNCTION("""COMPUTED_VALUE"""),42367.6666666666)</f>
        <v>42367.666666666599</v>
      </c>
      <c r="B713" s="1">
        <f ca="1">IFERROR(__xludf.DUMMYFUNCTION("""COMPUTED_VALUE"""),2078.36)</f>
        <v>2078.36</v>
      </c>
    </row>
    <row r="714" spans="1:2" ht="13" x14ac:dyDescent="0.15">
      <c r="A714" s="2">
        <f ca="1">IFERROR(__xludf.DUMMYFUNCTION("""COMPUTED_VALUE"""),42368.6666666666)</f>
        <v>42368.666666666599</v>
      </c>
      <c r="B714" s="1">
        <f ca="1">IFERROR(__xludf.DUMMYFUNCTION("""COMPUTED_VALUE"""),2063.36)</f>
        <v>2063.36</v>
      </c>
    </row>
    <row r="715" spans="1:2" ht="13" x14ac:dyDescent="0.15">
      <c r="A715" s="2">
        <f ca="1">IFERROR(__xludf.DUMMYFUNCTION("""COMPUTED_VALUE"""),42369.6666666666)</f>
        <v>42369.666666666599</v>
      </c>
      <c r="B715" s="1">
        <f ca="1">IFERROR(__xludf.DUMMYFUNCTION("""COMPUTED_VALUE"""),2043.94)</f>
        <v>2043.94</v>
      </c>
    </row>
    <row r="716" spans="1:2" ht="13" x14ac:dyDescent="0.15">
      <c r="A716" s="2">
        <f ca="1">IFERROR(__xludf.DUMMYFUNCTION("""COMPUTED_VALUE"""),42373.6666666666)</f>
        <v>42373.666666666599</v>
      </c>
      <c r="B716" s="1">
        <f ca="1">IFERROR(__xludf.DUMMYFUNCTION("""COMPUTED_VALUE"""),2012.66)</f>
        <v>2012.66</v>
      </c>
    </row>
    <row r="717" spans="1:2" ht="13" x14ac:dyDescent="0.15">
      <c r="A717" s="2">
        <f ca="1">IFERROR(__xludf.DUMMYFUNCTION("""COMPUTED_VALUE"""),42374.6666666666)</f>
        <v>42374.666666666599</v>
      </c>
      <c r="B717" s="1">
        <f ca="1">IFERROR(__xludf.DUMMYFUNCTION("""COMPUTED_VALUE"""),2016.71)</f>
        <v>2016.71</v>
      </c>
    </row>
    <row r="718" spans="1:2" ht="13" x14ac:dyDescent="0.15">
      <c r="A718" s="2">
        <f ca="1">IFERROR(__xludf.DUMMYFUNCTION("""COMPUTED_VALUE"""),42375.6666666666)</f>
        <v>42375.666666666599</v>
      </c>
      <c r="B718" s="1">
        <f ca="1">IFERROR(__xludf.DUMMYFUNCTION("""COMPUTED_VALUE"""),1990.26)</f>
        <v>1990.26</v>
      </c>
    </row>
    <row r="719" spans="1:2" ht="13" x14ac:dyDescent="0.15">
      <c r="A719" s="2">
        <f ca="1">IFERROR(__xludf.DUMMYFUNCTION("""COMPUTED_VALUE"""),42376.6666666666)</f>
        <v>42376.666666666599</v>
      </c>
      <c r="B719" s="1">
        <f ca="1">IFERROR(__xludf.DUMMYFUNCTION("""COMPUTED_VALUE"""),1943.09)</f>
        <v>1943.09</v>
      </c>
    </row>
    <row r="720" spans="1:2" ht="13" x14ac:dyDescent="0.15">
      <c r="A720" s="2">
        <f ca="1">IFERROR(__xludf.DUMMYFUNCTION("""COMPUTED_VALUE"""),42377.6666666666)</f>
        <v>42377.666666666599</v>
      </c>
      <c r="B720" s="1">
        <f ca="1">IFERROR(__xludf.DUMMYFUNCTION("""COMPUTED_VALUE"""),1922.03)</f>
        <v>1922.03</v>
      </c>
    </row>
    <row r="721" spans="1:2" ht="13" x14ac:dyDescent="0.15">
      <c r="A721" s="2">
        <f ca="1">IFERROR(__xludf.DUMMYFUNCTION("""COMPUTED_VALUE"""),42380.6666666666)</f>
        <v>42380.666666666599</v>
      </c>
      <c r="B721" s="1">
        <f ca="1">IFERROR(__xludf.DUMMYFUNCTION("""COMPUTED_VALUE"""),1923.67)</f>
        <v>1923.67</v>
      </c>
    </row>
    <row r="722" spans="1:2" ht="13" x14ac:dyDescent="0.15">
      <c r="A722" s="2">
        <f ca="1">IFERROR(__xludf.DUMMYFUNCTION("""COMPUTED_VALUE"""),42381.6666666666)</f>
        <v>42381.666666666599</v>
      </c>
      <c r="B722" s="1">
        <f ca="1">IFERROR(__xludf.DUMMYFUNCTION("""COMPUTED_VALUE"""),1938.68)</f>
        <v>1938.68</v>
      </c>
    </row>
    <row r="723" spans="1:2" ht="13" x14ac:dyDescent="0.15">
      <c r="A723" s="2">
        <f ca="1">IFERROR(__xludf.DUMMYFUNCTION("""COMPUTED_VALUE"""),42382.6666666666)</f>
        <v>42382.666666666599</v>
      </c>
      <c r="B723" s="1">
        <f ca="1">IFERROR(__xludf.DUMMYFUNCTION("""COMPUTED_VALUE"""),1890.28)</f>
        <v>1890.28</v>
      </c>
    </row>
    <row r="724" spans="1:2" ht="13" x14ac:dyDescent="0.15">
      <c r="A724" s="2">
        <f ca="1">IFERROR(__xludf.DUMMYFUNCTION("""COMPUTED_VALUE"""),42383.6666666666)</f>
        <v>42383.666666666599</v>
      </c>
      <c r="B724" s="1">
        <f ca="1">IFERROR(__xludf.DUMMYFUNCTION("""COMPUTED_VALUE"""),1921.84)</f>
        <v>1921.84</v>
      </c>
    </row>
    <row r="725" spans="1:2" ht="13" x14ac:dyDescent="0.15">
      <c r="A725" s="2">
        <f ca="1">IFERROR(__xludf.DUMMYFUNCTION("""COMPUTED_VALUE"""),42384.6666666666)</f>
        <v>42384.666666666599</v>
      </c>
      <c r="B725" s="1">
        <f ca="1">IFERROR(__xludf.DUMMYFUNCTION("""COMPUTED_VALUE"""),1880.33)</f>
        <v>1880.33</v>
      </c>
    </row>
    <row r="726" spans="1:2" ht="13" x14ac:dyDescent="0.15">
      <c r="A726" s="2">
        <f ca="1">IFERROR(__xludf.DUMMYFUNCTION("""COMPUTED_VALUE"""),42388.6666666666)</f>
        <v>42388.666666666599</v>
      </c>
      <c r="B726" s="1">
        <f ca="1">IFERROR(__xludf.DUMMYFUNCTION("""COMPUTED_VALUE"""),1881.33)</f>
        <v>1881.33</v>
      </c>
    </row>
    <row r="727" spans="1:2" ht="13" x14ac:dyDescent="0.15">
      <c r="A727" s="2">
        <f ca="1">IFERROR(__xludf.DUMMYFUNCTION("""COMPUTED_VALUE"""),42389.6666666666)</f>
        <v>42389.666666666599</v>
      </c>
      <c r="B727" s="1">
        <f ca="1">IFERROR(__xludf.DUMMYFUNCTION("""COMPUTED_VALUE"""),1859.33)</f>
        <v>1859.33</v>
      </c>
    </row>
    <row r="728" spans="1:2" ht="13" x14ac:dyDescent="0.15">
      <c r="A728" s="2">
        <f ca="1">IFERROR(__xludf.DUMMYFUNCTION("""COMPUTED_VALUE"""),42390.6666666666)</f>
        <v>42390.666666666599</v>
      </c>
      <c r="B728" s="1">
        <f ca="1">IFERROR(__xludf.DUMMYFUNCTION("""COMPUTED_VALUE"""),1868.99)</f>
        <v>1868.99</v>
      </c>
    </row>
    <row r="729" spans="1:2" ht="13" x14ac:dyDescent="0.15">
      <c r="A729" s="2">
        <f ca="1">IFERROR(__xludf.DUMMYFUNCTION("""COMPUTED_VALUE"""),42391.6666666666)</f>
        <v>42391.666666666599</v>
      </c>
      <c r="B729" s="1">
        <f ca="1">IFERROR(__xludf.DUMMYFUNCTION("""COMPUTED_VALUE"""),1906.9)</f>
        <v>1906.9</v>
      </c>
    </row>
    <row r="730" spans="1:2" ht="13" x14ac:dyDescent="0.15">
      <c r="A730" s="2">
        <f ca="1">IFERROR(__xludf.DUMMYFUNCTION("""COMPUTED_VALUE"""),42394.6666666666)</f>
        <v>42394.666666666599</v>
      </c>
      <c r="B730" s="1">
        <f ca="1">IFERROR(__xludf.DUMMYFUNCTION("""COMPUTED_VALUE"""),1877.08)</f>
        <v>1877.08</v>
      </c>
    </row>
    <row r="731" spans="1:2" ht="13" x14ac:dyDescent="0.15">
      <c r="A731" s="2">
        <f ca="1">IFERROR(__xludf.DUMMYFUNCTION("""COMPUTED_VALUE"""),42395.6666666666)</f>
        <v>42395.666666666599</v>
      </c>
      <c r="B731" s="1">
        <f ca="1">IFERROR(__xludf.DUMMYFUNCTION("""COMPUTED_VALUE"""),1903.63)</f>
        <v>1903.63</v>
      </c>
    </row>
    <row r="732" spans="1:2" ht="13" x14ac:dyDescent="0.15">
      <c r="A732" s="2">
        <f ca="1">IFERROR(__xludf.DUMMYFUNCTION("""COMPUTED_VALUE"""),42396.6666666666)</f>
        <v>42396.666666666599</v>
      </c>
      <c r="B732" s="1">
        <f ca="1">IFERROR(__xludf.DUMMYFUNCTION("""COMPUTED_VALUE"""),1882.95)</f>
        <v>1882.95</v>
      </c>
    </row>
    <row r="733" spans="1:2" ht="13" x14ac:dyDescent="0.15">
      <c r="A733" s="2">
        <f ca="1">IFERROR(__xludf.DUMMYFUNCTION("""COMPUTED_VALUE"""),42397.6666666666)</f>
        <v>42397.666666666599</v>
      </c>
      <c r="B733" s="1">
        <f ca="1">IFERROR(__xludf.DUMMYFUNCTION("""COMPUTED_VALUE"""),1893.36)</f>
        <v>1893.36</v>
      </c>
    </row>
    <row r="734" spans="1:2" ht="13" x14ac:dyDescent="0.15">
      <c r="A734" s="2">
        <f ca="1">IFERROR(__xludf.DUMMYFUNCTION("""COMPUTED_VALUE"""),42398.6666666666)</f>
        <v>42398.666666666599</v>
      </c>
      <c r="B734" s="1">
        <f ca="1">IFERROR(__xludf.DUMMYFUNCTION("""COMPUTED_VALUE"""),1940.24)</f>
        <v>1940.24</v>
      </c>
    </row>
    <row r="735" spans="1:2" ht="13" x14ac:dyDescent="0.15">
      <c r="A735" s="2">
        <f ca="1">IFERROR(__xludf.DUMMYFUNCTION("""COMPUTED_VALUE"""),42401.6666666666)</f>
        <v>42401.666666666599</v>
      </c>
      <c r="B735" s="1">
        <f ca="1">IFERROR(__xludf.DUMMYFUNCTION("""COMPUTED_VALUE"""),1939.38)</f>
        <v>1939.38</v>
      </c>
    </row>
    <row r="736" spans="1:2" ht="13" x14ac:dyDescent="0.15">
      <c r="A736" s="2">
        <f ca="1">IFERROR(__xludf.DUMMYFUNCTION("""COMPUTED_VALUE"""),42402.6666666666)</f>
        <v>42402.666666666599</v>
      </c>
      <c r="B736" s="1">
        <f ca="1">IFERROR(__xludf.DUMMYFUNCTION("""COMPUTED_VALUE"""),1903.03)</f>
        <v>1903.03</v>
      </c>
    </row>
    <row r="737" spans="1:2" ht="13" x14ac:dyDescent="0.15">
      <c r="A737" s="2">
        <f ca="1">IFERROR(__xludf.DUMMYFUNCTION("""COMPUTED_VALUE"""),42403.6666666666)</f>
        <v>42403.666666666599</v>
      </c>
      <c r="B737" s="1">
        <f ca="1">IFERROR(__xludf.DUMMYFUNCTION("""COMPUTED_VALUE"""),1912.53)</f>
        <v>1912.53</v>
      </c>
    </row>
    <row r="738" spans="1:2" ht="13" x14ac:dyDescent="0.15">
      <c r="A738" s="2">
        <f ca="1">IFERROR(__xludf.DUMMYFUNCTION("""COMPUTED_VALUE"""),42404.6666666666)</f>
        <v>42404.666666666599</v>
      </c>
      <c r="B738" s="1">
        <f ca="1">IFERROR(__xludf.DUMMYFUNCTION("""COMPUTED_VALUE"""),1915.45)</f>
        <v>1915.45</v>
      </c>
    </row>
    <row r="739" spans="1:2" ht="13" x14ac:dyDescent="0.15">
      <c r="A739" s="2">
        <f ca="1">IFERROR(__xludf.DUMMYFUNCTION("""COMPUTED_VALUE"""),42405.6666666666)</f>
        <v>42405.666666666599</v>
      </c>
      <c r="B739" s="1">
        <f ca="1">IFERROR(__xludf.DUMMYFUNCTION("""COMPUTED_VALUE"""),1880.05)</f>
        <v>1880.05</v>
      </c>
    </row>
    <row r="740" spans="1:2" ht="13" x14ac:dyDescent="0.15">
      <c r="A740" s="2">
        <f ca="1">IFERROR(__xludf.DUMMYFUNCTION("""COMPUTED_VALUE"""),42408.6666666666)</f>
        <v>42408.666666666599</v>
      </c>
      <c r="B740" s="1">
        <f ca="1">IFERROR(__xludf.DUMMYFUNCTION("""COMPUTED_VALUE"""),1853.44)</f>
        <v>1853.44</v>
      </c>
    </row>
    <row r="741" spans="1:2" ht="13" x14ac:dyDescent="0.15">
      <c r="A741" s="2">
        <f ca="1">IFERROR(__xludf.DUMMYFUNCTION("""COMPUTED_VALUE"""),42409.6666666666)</f>
        <v>42409.666666666599</v>
      </c>
      <c r="B741" s="1">
        <f ca="1">IFERROR(__xludf.DUMMYFUNCTION("""COMPUTED_VALUE"""),1852.21)</f>
        <v>1852.21</v>
      </c>
    </row>
    <row r="742" spans="1:2" ht="13" x14ac:dyDescent="0.15">
      <c r="A742" s="2">
        <f ca="1">IFERROR(__xludf.DUMMYFUNCTION("""COMPUTED_VALUE"""),42410.6666666666)</f>
        <v>42410.666666666599</v>
      </c>
      <c r="B742" s="1">
        <f ca="1">IFERROR(__xludf.DUMMYFUNCTION("""COMPUTED_VALUE"""),1851.86)</f>
        <v>1851.86</v>
      </c>
    </row>
    <row r="743" spans="1:2" ht="13" x14ac:dyDescent="0.15">
      <c r="A743" s="2">
        <f ca="1">IFERROR(__xludf.DUMMYFUNCTION("""COMPUTED_VALUE"""),42411.6666666666)</f>
        <v>42411.666666666599</v>
      </c>
      <c r="B743" s="1">
        <f ca="1">IFERROR(__xludf.DUMMYFUNCTION("""COMPUTED_VALUE"""),1829.08)</f>
        <v>1829.08</v>
      </c>
    </row>
    <row r="744" spans="1:2" ht="13" x14ac:dyDescent="0.15">
      <c r="A744" s="2">
        <f ca="1">IFERROR(__xludf.DUMMYFUNCTION("""COMPUTED_VALUE"""),42412.6666666666)</f>
        <v>42412.666666666599</v>
      </c>
      <c r="B744" s="1">
        <f ca="1">IFERROR(__xludf.DUMMYFUNCTION("""COMPUTED_VALUE"""),1864.78)</f>
        <v>1864.78</v>
      </c>
    </row>
    <row r="745" spans="1:2" ht="13" x14ac:dyDescent="0.15">
      <c r="A745" s="2">
        <f ca="1">IFERROR(__xludf.DUMMYFUNCTION("""COMPUTED_VALUE"""),42416.6666666666)</f>
        <v>42416.666666666599</v>
      </c>
      <c r="B745" s="1">
        <f ca="1">IFERROR(__xludf.DUMMYFUNCTION("""COMPUTED_VALUE"""),1895.58)</f>
        <v>1895.58</v>
      </c>
    </row>
    <row r="746" spans="1:2" ht="13" x14ac:dyDescent="0.15">
      <c r="A746" s="2">
        <f ca="1">IFERROR(__xludf.DUMMYFUNCTION("""COMPUTED_VALUE"""),42417.6666666666)</f>
        <v>42417.666666666599</v>
      </c>
      <c r="B746" s="1">
        <f ca="1">IFERROR(__xludf.DUMMYFUNCTION("""COMPUTED_VALUE"""),1926.82)</f>
        <v>1926.82</v>
      </c>
    </row>
    <row r="747" spans="1:2" ht="13" x14ac:dyDescent="0.15">
      <c r="A747" s="2">
        <f ca="1">IFERROR(__xludf.DUMMYFUNCTION("""COMPUTED_VALUE"""),42418.6666666666)</f>
        <v>42418.666666666599</v>
      </c>
      <c r="B747" s="1">
        <f ca="1">IFERROR(__xludf.DUMMYFUNCTION("""COMPUTED_VALUE"""),1917.83)</f>
        <v>1917.83</v>
      </c>
    </row>
    <row r="748" spans="1:2" ht="13" x14ac:dyDescent="0.15">
      <c r="A748" s="2">
        <f ca="1">IFERROR(__xludf.DUMMYFUNCTION("""COMPUTED_VALUE"""),42419.6666666666)</f>
        <v>42419.666666666599</v>
      </c>
      <c r="B748" s="1">
        <f ca="1">IFERROR(__xludf.DUMMYFUNCTION("""COMPUTED_VALUE"""),1917.78)</f>
        <v>1917.78</v>
      </c>
    </row>
    <row r="749" spans="1:2" ht="13" x14ac:dyDescent="0.15">
      <c r="A749" s="2">
        <f ca="1">IFERROR(__xludf.DUMMYFUNCTION("""COMPUTED_VALUE"""),42422.6666666666)</f>
        <v>42422.666666666599</v>
      </c>
      <c r="B749" s="1">
        <f ca="1">IFERROR(__xludf.DUMMYFUNCTION("""COMPUTED_VALUE"""),1945.5)</f>
        <v>1945.5</v>
      </c>
    </row>
    <row r="750" spans="1:2" ht="13" x14ac:dyDescent="0.15">
      <c r="A750" s="2">
        <f ca="1">IFERROR(__xludf.DUMMYFUNCTION("""COMPUTED_VALUE"""),42423.6666666666)</f>
        <v>42423.666666666599</v>
      </c>
      <c r="B750" s="1">
        <f ca="1">IFERROR(__xludf.DUMMYFUNCTION("""COMPUTED_VALUE"""),1921.27)</f>
        <v>1921.27</v>
      </c>
    </row>
    <row r="751" spans="1:2" ht="13" x14ac:dyDescent="0.15">
      <c r="A751" s="2">
        <f ca="1">IFERROR(__xludf.DUMMYFUNCTION("""COMPUTED_VALUE"""),42424.6666666666)</f>
        <v>42424.666666666599</v>
      </c>
      <c r="B751" s="1">
        <f ca="1">IFERROR(__xludf.DUMMYFUNCTION("""COMPUTED_VALUE"""),1929.8)</f>
        <v>1929.8</v>
      </c>
    </row>
    <row r="752" spans="1:2" ht="13" x14ac:dyDescent="0.15">
      <c r="A752" s="2">
        <f ca="1">IFERROR(__xludf.DUMMYFUNCTION("""COMPUTED_VALUE"""),42425.6666666666)</f>
        <v>42425.666666666599</v>
      </c>
      <c r="B752" s="1">
        <f ca="1">IFERROR(__xludf.DUMMYFUNCTION("""COMPUTED_VALUE"""),1951.7)</f>
        <v>1951.7</v>
      </c>
    </row>
    <row r="753" spans="1:2" ht="13" x14ac:dyDescent="0.15">
      <c r="A753" s="2">
        <f ca="1">IFERROR(__xludf.DUMMYFUNCTION("""COMPUTED_VALUE"""),42426.6666666666)</f>
        <v>42426.666666666599</v>
      </c>
      <c r="B753" s="1">
        <f ca="1">IFERROR(__xludf.DUMMYFUNCTION("""COMPUTED_VALUE"""),1948.05)</f>
        <v>1948.05</v>
      </c>
    </row>
    <row r="754" spans="1:2" ht="13" x14ac:dyDescent="0.15">
      <c r="A754" s="2">
        <f ca="1">IFERROR(__xludf.DUMMYFUNCTION("""COMPUTED_VALUE"""),42429.6666666666)</f>
        <v>42429.666666666599</v>
      </c>
      <c r="B754" s="1">
        <f ca="1">IFERROR(__xludf.DUMMYFUNCTION("""COMPUTED_VALUE"""),1932.23)</f>
        <v>1932.23</v>
      </c>
    </row>
    <row r="755" spans="1:2" ht="13" x14ac:dyDescent="0.15">
      <c r="A755" s="2">
        <f ca="1">IFERROR(__xludf.DUMMYFUNCTION("""COMPUTED_VALUE"""),42430.6666666666)</f>
        <v>42430.666666666599</v>
      </c>
      <c r="B755" s="1">
        <f ca="1">IFERROR(__xludf.DUMMYFUNCTION("""COMPUTED_VALUE"""),1978.35)</f>
        <v>1978.35</v>
      </c>
    </row>
    <row r="756" spans="1:2" ht="13" x14ac:dyDescent="0.15">
      <c r="A756" s="2">
        <f ca="1">IFERROR(__xludf.DUMMYFUNCTION("""COMPUTED_VALUE"""),42431.6666666666)</f>
        <v>42431.666666666599</v>
      </c>
      <c r="B756" s="1">
        <f ca="1">IFERROR(__xludf.DUMMYFUNCTION("""COMPUTED_VALUE"""),1986.45)</f>
        <v>1986.45</v>
      </c>
    </row>
    <row r="757" spans="1:2" ht="13" x14ac:dyDescent="0.15">
      <c r="A757" s="2">
        <f ca="1">IFERROR(__xludf.DUMMYFUNCTION("""COMPUTED_VALUE"""),42432.6666666666)</f>
        <v>42432.666666666599</v>
      </c>
      <c r="B757" s="1">
        <f ca="1">IFERROR(__xludf.DUMMYFUNCTION("""COMPUTED_VALUE"""),1993.4)</f>
        <v>1993.4</v>
      </c>
    </row>
    <row r="758" spans="1:2" ht="13" x14ac:dyDescent="0.15">
      <c r="A758" s="2">
        <f ca="1">IFERROR(__xludf.DUMMYFUNCTION("""COMPUTED_VALUE"""),42433.6666666666)</f>
        <v>42433.666666666599</v>
      </c>
      <c r="B758" s="1">
        <f ca="1">IFERROR(__xludf.DUMMYFUNCTION("""COMPUTED_VALUE"""),1999.99)</f>
        <v>1999.99</v>
      </c>
    </row>
    <row r="759" spans="1:2" ht="13" x14ac:dyDescent="0.15">
      <c r="A759" s="2">
        <f ca="1">IFERROR(__xludf.DUMMYFUNCTION("""COMPUTED_VALUE"""),42436.6666666666)</f>
        <v>42436.666666666599</v>
      </c>
      <c r="B759" s="1">
        <f ca="1">IFERROR(__xludf.DUMMYFUNCTION("""COMPUTED_VALUE"""),2001.76)</f>
        <v>2001.76</v>
      </c>
    </row>
    <row r="760" spans="1:2" ht="13" x14ac:dyDescent="0.15">
      <c r="A760" s="2">
        <f ca="1">IFERROR(__xludf.DUMMYFUNCTION("""COMPUTED_VALUE"""),42437.6666666666)</f>
        <v>42437.666666666599</v>
      </c>
      <c r="B760" s="1">
        <f ca="1">IFERROR(__xludf.DUMMYFUNCTION("""COMPUTED_VALUE"""),1979.26)</f>
        <v>1979.26</v>
      </c>
    </row>
    <row r="761" spans="1:2" ht="13" x14ac:dyDescent="0.15">
      <c r="A761" s="2">
        <f ca="1">IFERROR(__xludf.DUMMYFUNCTION("""COMPUTED_VALUE"""),42438.6666666666)</f>
        <v>42438.666666666599</v>
      </c>
      <c r="B761" s="1">
        <f ca="1">IFERROR(__xludf.DUMMYFUNCTION("""COMPUTED_VALUE"""),1989.26)</f>
        <v>1989.26</v>
      </c>
    </row>
    <row r="762" spans="1:2" ht="13" x14ac:dyDescent="0.15">
      <c r="A762" s="2">
        <f ca="1">IFERROR(__xludf.DUMMYFUNCTION("""COMPUTED_VALUE"""),42439.6666666666)</f>
        <v>42439.666666666599</v>
      </c>
      <c r="B762" s="1">
        <f ca="1">IFERROR(__xludf.DUMMYFUNCTION("""COMPUTED_VALUE"""),1989.57)</f>
        <v>1989.57</v>
      </c>
    </row>
    <row r="763" spans="1:2" ht="13" x14ac:dyDescent="0.15">
      <c r="A763" s="2">
        <f ca="1">IFERROR(__xludf.DUMMYFUNCTION("""COMPUTED_VALUE"""),42440.6666666666)</f>
        <v>42440.666666666599</v>
      </c>
      <c r="B763" s="1">
        <f ca="1">IFERROR(__xludf.DUMMYFUNCTION("""COMPUTED_VALUE"""),2022.19)</f>
        <v>2022.19</v>
      </c>
    </row>
    <row r="764" spans="1:2" ht="13" x14ac:dyDescent="0.15">
      <c r="A764" s="2">
        <f ca="1">IFERROR(__xludf.DUMMYFUNCTION("""COMPUTED_VALUE"""),42443.6666666666)</f>
        <v>42443.666666666599</v>
      </c>
      <c r="B764" s="1">
        <f ca="1">IFERROR(__xludf.DUMMYFUNCTION("""COMPUTED_VALUE"""),2019.64)</f>
        <v>2019.64</v>
      </c>
    </row>
    <row r="765" spans="1:2" ht="13" x14ac:dyDescent="0.15">
      <c r="A765" s="2">
        <f ca="1">IFERROR(__xludf.DUMMYFUNCTION("""COMPUTED_VALUE"""),42444.6666666666)</f>
        <v>42444.666666666599</v>
      </c>
      <c r="B765" s="1">
        <f ca="1">IFERROR(__xludf.DUMMYFUNCTION("""COMPUTED_VALUE"""),2015.93)</f>
        <v>2015.93</v>
      </c>
    </row>
    <row r="766" spans="1:2" ht="13" x14ac:dyDescent="0.15">
      <c r="A766" s="2">
        <f ca="1">IFERROR(__xludf.DUMMYFUNCTION("""COMPUTED_VALUE"""),42445.6666666666)</f>
        <v>42445.666666666599</v>
      </c>
      <c r="B766" s="1">
        <f ca="1">IFERROR(__xludf.DUMMYFUNCTION("""COMPUTED_VALUE"""),2027.22)</f>
        <v>2027.22</v>
      </c>
    </row>
    <row r="767" spans="1:2" ht="13" x14ac:dyDescent="0.15">
      <c r="A767" s="2">
        <f ca="1">IFERROR(__xludf.DUMMYFUNCTION("""COMPUTED_VALUE"""),42446.6666666666)</f>
        <v>42446.666666666599</v>
      </c>
      <c r="B767" s="1">
        <f ca="1">IFERROR(__xludf.DUMMYFUNCTION("""COMPUTED_VALUE"""),2040.59)</f>
        <v>2040.59</v>
      </c>
    </row>
    <row r="768" spans="1:2" ht="13" x14ac:dyDescent="0.15">
      <c r="A768" s="2">
        <f ca="1">IFERROR(__xludf.DUMMYFUNCTION("""COMPUTED_VALUE"""),42447.6666666666)</f>
        <v>42447.666666666599</v>
      </c>
      <c r="B768" s="1">
        <f ca="1">IFERROR(__xludf.DUMMYFUNCTION("""COMPUTED_VALUE"""),2049.58)</f>
        <v>2049.58</v>
      </c>
    </row>
    <row r="769" spans="1:2" ht="13" x14ac:dyDescent="0.15">
      <c r="A769" s="2">
        <f ca="1">IFERROR(__xludf.DUMMYFUNCTION("""COMPUTED_VALUE"""),42450.6666666666)</f>
        <v>42450.666666666599</v>
      </c>
      <c r="B769" s="1">
        <f ca="1">IFERROR(__xludf.DUMMYFUNCTION("""COMPUTED_VALUE"""),2051.6)</f>
        <v>2051.6</v>
      </c>
    </row>
    <row r="770" spans="1:2" ht="13" x14ac:dyDescent="0.15">
      <c r="A770" s="2">
        <f ca="1">IFERROR(__xludf.DUMMYFUNCTION("""COMPUTED_VALUE"""),42451.6666666666)</f>
        <v>42451.666666666599</v>
      </c>
      <c r="B770" s="1">
        <f ca="1">IFERROR(__xludf.DUMMYFUNCTION("""COMPUTED_VALUE"""),2049.8)</f>
        <v>2049.8000000000002</v>
      </c>
    </row>
    <row r="771" spans="1:2" ht="13" x14ac:dyDescent="0.15">
      <c r="A771" s="2">
        <f ca="1">IFERROR(__xludf.DUMMYFUNCTION("""COMPUTED_VALUE"""),42452.6666666666)</f>
        <v>42452.666666666599</v>
      </c>
      <c r="B771" s="1">
        <f ca="1">IFERROR(__xludf.DUMMYFUNCTION("""COMPUTED_VALUE"""),2036.71)</f>
        <v>2036.71</v>
      </c>
    </row>
    <row r="772" spans="1:2" ht="13" x14ac:dyDescent="0.15">
      <c r="A772" s="2">
        <f ca="1">IFERROR(__xludf.DUMMYFUNCTION("""COMPUTED_VALUE"""),42453.6666666666)</f>
        <v>42453.666666666599</v>
      </c>
      <c r="B772" s="1">
        <f ca="1">IFERROR(__xludf.DUMMYFUNCTION("""COMPUTED_VALUE"""),2035.94)</f>
        <v>2035.94</v>
      </c>
    </row>
    <row r="773" spans="1:2" ht="13" x14ac:dyDescent="0.15">
      <c r="A773" s="2">
        <f ca="1">IFERROR(__xludf.DUMMYFUNCTION("""COMPUTED_VALUE"""),42457.6666666666)</f>
        <v>42457.666666666599</v>
      </c>
      <c r="B773" s="1">
        <f ca="1">IFERROR(__xludf.DUMMYFUNCTION("""COMPUTED_VALUE"""),2037.05)</f>
        <v>2037.05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07"/>
  <sheetViews>
    <sheetView workbookViewId="0"/>
  </sheetViews>
  <sheetFormatPr baseColWidth="10" defaultColWidth="14.5" defaultRowHeight="15.75" customHeight="1" x14ac:dyDescent="0.15"/>
  <cols>
    <col min="1" max="1" width="10.1640625" style="4" bestFit="1" customWidth="1"/>
    <col min="2" max="2" width="7.83203125" customWidth="1"/>
  </cols>
  <sheetData>
    <row r="1" spans="1:2" ht="15.75" customHeight="1" x14ac:dyDescent="0.15">
      <c r="A1" s="3" t="s">
        <v>0</v>
      </c>
      <c r="B1" s="1" t="s">
        <v>1</v>
      </c>
    </row>
    <row r="2" spans="1:2" ht="15.75" customHeight="1" x14ac:dyDescent="0.15">
      <c r="A2" s="4">
        <v>42131</v>
      </c>
      <c r="B2" s="1">
        <v>2088</v>
      </c>
    </row>
    <row r="3" spans="1:2" ht="15.75" customHeight="1" x14ac:dyDescent="0.15">
      <c r="A3" s="4">
        <v>42132</v>
      </c>
      <c r="B3" s="1">
        <v>2116.1</v>
      </c>
    </row>
    <row r="4" spans="1:2" ht="15.75" customHeight="1" x14ac:dyDescent="0.15">
      <c r="A4" s="4">
        <v>42135</v>
      </c>
      <c r="B4" s="1">
        <v>2105.33</v>
      </c>
    </row>
    <row r="5" spans="1:2" ht="15.75" customHeight="1" x14ac:dyDescent="0.15">
      <c r="A5" s="4">
        <v>42136</v>
      </c>
      <c r="B5" s="1">
        <v>2099.12</v>
      </c>
    </row>
    <row r="6" spans="1:2" ht="15.75" customHeight="1" x14ac:dyDescent="0.15">
      <c r="A6" s="4">
        <v>42137</v>
      </c>
      <c r="B6" s="1">
        <v>2098.48</v>
      </c>
    </row>
    <row r="7" spans="1:2" ht="15.75" customHeight="1" x14ac:dyDescent="0.15">
      <c r="A7" s="4">
        <v>42138</v>
      </c>
      <c r="B7" s="1">
        <v>2121.1</v>
      </c>
    </row>
    <row r="8" spans="1:2" ht="15.75" customHeight="1" x14ac:dyDescent="0.15">
      <c r="A8" s="4">
        <v>42139</v>
      </c>
      <c r="B8" s="1">
        <v>2122.73</v>
      </c>
    </row>
    <row r="9" spans="1:2" ht="15.75" customHeight="1" x14ac:dyDescent="0.15">
      <c r="A9" s="4">
        <v>42142</v>
      </c>
      <c r="B9" s="1">
        <v>2129.1999999999998</v>
      </c>
    </row>
    <row r="10" spans="1:2" ht="15.75" customHeight="1" x14ac:dyDescent="0.15">
      <c r="A10" s="4">
        <v>42143</v>
      </c>
      <c r="B10" s="1">
        <v>2127.83</v>
      </c>
    </row>
    <row r="11" spans="1:2" ht="15.75" customHeight="1" x14ac:dyDescent="0.15">
      <c r="A11" s="4">
        <v>42144</v>
      </c>
      <c r="B11" s="1">
        <v>2125.85</v>
      </c>
    </row>
    <row r="12" spans="1:2" ht="15.75" customHeight="1" x14ac:dyDescent="0.15">
      <c r="A12" s="4">
        <v>42145</v>
      </c>
      <c r="B12" s="1">
        <v>2130.8200000000002</v>
      </c>
    </row>
    <row r="13" spans="1:2" ht="15.75" customHeight="1" x14ac:dyDescent="0.15">
      <c r="A13" s="4">
        <v>42146</v>
      </c>
      <c r="B13" s="1">
        <v>2126.06</v>
      </c>
    </row>
    <row r="14" spans="1:2" ht="15.75" customHeight="1" x14ac:dyDescent="0.15">
      <c r="A14" s="4">
        <v>42150</v>
      </c>
      <c r="B14" s="1">
        <v>2104.1999999999998</v>
      </c>
    </row>
    <row r="15" spans="1:2" ht="15.75" customHeight="1" x14ac:dyDescent="0.15">
      <c r="A15" s="4">
        <v>42151</v>
      </c>
      <c r="B15" s="1">
        <v>2123.48</v>
      </c>
    </row>
    <row r="16" spans="1:2" ht="15.75" customHeight="1" x14ac:dyDescent="0.15">
      <c r="A16" s="4">
        <v>42152</v>
      </c>
      <c r="B16" s="1">
        <v>2120.79</v>
      </c>
    </row>
    <row r="17" spans="1:2" ht="15.75" customHeight="1" x14ac:dyDescent="0.15">
      <c r="A17" s="4">
        <v>42153</v>
      </c>
      <c r="B17" s="1">
        <v>2107.39</v>
      </c>
    </row>
    <row r="18" spans="1:2" ht="15.75" customHeight="1" x14ac:dyDescent="0.15">
      <c r="A18" s="4">
        <v>42156</v>
      </c>
      <c r="B18" s="1">
        <v>2111.73</v>
      </c>
    </row>
    <row r="19" spans="1:2" ht="15.75" customHeight="1" x14ac:dyDescent="0.15">
      <c r="A19" s="4">
        <v>42157</v>
      </c>
      <c r="B19" s="1">
        <v>2109.6</v>
      </c>
    </row>
    <row r="20" spans="1:2" ht="15.75" customHeight="1" x14ac:dyDescent="0.15">
      <c r="A20" s="4">
        <v>42158</v>
      </c>
      <c r="B20" s="1">
        <v>2114.0700000000002</v>
      </c>
    </row>
    <row r="21" spans="1:2" ht="15.75" customHeight="1" x14ac:dyDescent="0.15">
      <c r="A21" s="4">
        <v>42159</v>
      </c>
      <c r="B21" s="1">
        <v>2095.84</v>
      </c>
    </row>
    <row r="22" spans="1:2" ht="15.75" customHeight="1" x14ac:dyDescent="0.15">
      <c r="A22" s="4">
        <v>42160</v>
      </c>
      <c r="B22" s="1">
        <v>2092.83</v>
      </c>
    </row>
    <row r="23" spans="1:2" ht="15.75" customHeight="1" x14ac:dyDescent="0.15">
      <c r="A23" s="4">
        <v>42163</v>
      </c>
      <c r="B23" s="1">
        <v>2079.2800000000002</v>
      </c>
    </row>
    <row r="24" spans="1:2" ht="15.75" customHeight="1" x14ac:dyDescent="0.15">
      <c r="A24" s="4">
        <v>42164</v>
      </c>
      <c r="B24" s="1">
        <v>2080.15</v>
      </c>
    </row>
    <row r="25" spans="1:2" ht="15.75" customHeight="1" x14ac:dyDescent="0.15">
      <c r="A25" s="4">
        <v>42165</v>
      </c>
      <c r="B25" s="1">
        <v>2105.1999999999998</v>
      </c>
    </row>
    <row r="26" spans="1:2" ht="15.75" customHeight="1" x14ac:dyDescent="0.15">
      <c r="A26" s="4">
        <v>42166</v>
      </c>
      <c r="B26" s="1">
        <v>2108.86</v>
      </c>
    </row>
    <row r="27" spans="1:2" ht="15.75" customHeight="1" x14ac:dyDescent="0.15">
      <c r="A27" s="4">
        <v>42167</v>
      </c>
      <c r="B27" s="1">
        <v>2094.11</v>
      </c>
    </row>
    <row r="28" spans="1:2" ht="15.75" customHeight="1" x14ac:dyDescent="0.15">
      <c r="A28" s="4">
        <v>42170</v>
      </c>
      <c r="B28" s="1">
        <v>2084.4299999999998</v>
      </c>
    </row>
    <row r="29" spans="1:2" ht="15.75" customHeight="1" x14ac:dyDescent="0.15">
      <c r="A29" s="4">
        <v>42171</v>
      </c>
      <c r="B29" s="1">
        <v>2096.29</v>
      </c>
    </row>
    <row r="30" spans="1:2" ht="15.75" customHeight="1" x14ac:dyDescent="0.15">
      <c r="A30" s="4">
        <v>42172</v>
      </c>
      <c r="B30" s="1">
        <v>2100.44</v>
      </c>
    </row>
    <row r="31" spans="1:2" ht="15.75" customHeight="1" x14ac:dyDescent="0.15">
      <c r="A31" s="4">
        <v>42173</v>
      </c>
      <c r="B31" s="1">
        <v>2121.2399999999998</v>
      </c>
    </row>
    <row r="32" spans="1:2" ht="15.75" customHeight="1" x14ac:dyDescent="0.15">
      <c r="A32" s="4">
        <v>42174</v>
      </c>
      <c r="B32" s="1">
        <v>2109.9899999999998</v>
      </c>
    </row>
    <row r="33" spans="1:2" ht="15.75" customHeight="1" x14ac:dyDescent="0.15">
      <c r="A33" s="4">
        <v>42177</v>
      </c>
      <c r="B33" s="1">
        <v>2122.85</v>
      </c>
    </row>
    <row r="34" spans="1:2" ht="15.75" customHeight="1" x14ac:dyDescent="0.15">
      <c r="A34" s="4">
        <v>42178</v>
      </c>
      <c r="B34" s="1">
        <v>2124.1999999999998</v>
      </c>
    </row>
    <row r="35" spans="1:2" ht="15.75" customHeight="1" x14ac:dyDescent="0.15">
      <c r="A35" s="4">
        <v>42179</v>
      </c>
      <c r="B35" s="1">
        <v>2108.58</v>
      </c>
    </row>
    <row r="36" spans="1:2" ht="15.75" customHeight="1" x14ac:dyDescent="0.15">
      <c r="A36" s="4">
        <v>42180</v>
      </c>
      <c r="B36" s="1">
        <v>2102.31</v>
      </c>
    </row>
    <row r="37" spans="1:2" ht="15.75" customHeight="1" x14ac:dyDescent="0.15">
      <c r="A37" s="4">
        <v>42181</v>
      </c>
      <c r="B37" s="1">
        <v>2101.4899999999998</v>
      </c>
    </row>
    <row r="38" spans="1:2" ht="15.75" customHeight="1" x14ac:dyDescent="0.15">
      <c r="A38" s="4">
        <v>42184</v>
      </c>
      <c r="B38" s="1">
        <v>2057.64</v>
      </c>
    </row>
    <row r="39" spans="1:2" ht="15.75" customHeight="1" x14ac:dyDescent="0.15">
      <c r="A39" s="4">
        <v>42185</v>
      </c>
      <c r="B39" s="1">
        <v>2063.11</v>
      </c>
    </row>
    <row r="40" spans="1:2" ht="13" x14ac:dyDescent="0.15">
      <c r="A40" s="4">
        <v>42186</v>
      </c>
      <c r="B40" s="1">
        <v>2077.42</v>
      </c>
    </row>
    <row r="41" spans="1:2" ht="13" x14ac:dyDescent="0.15">
      <c r="A41" s="4">
        <v>42187</v>
      </c>
      <c r="B41" s="1">
        <v>2076.7800000000002</v>
      </c>
    </row>
    <row r="42" spans="1:2" ht="13" x14ac:dyDescent="0.15">
      <c r="A42" s="4">
        <v>42191</v>
      </c>
      <c r="B42" s="1">
        <v>2068.7600000000002</v>
      </c>
    </row>
    <row r="43" spans="1:2" ht="13" x14ac:dyDescent="0.15">
      <c r="A43" s="4">
        <v>42192</v>
      </c>
      <c r="B43" s="1">
        <v>2081.34</v>
      </c>
    </row>
    <row r="44" spans="1:2" ht="13" x14ac:dyDescent="0.15">
      <c r="A44" s="4">
        <v>42193</v>
      </c>
      <c r="B44" s="1">
        <v>2046.68</v>
      </c>
    </row>
    <row r="45" spans="1:2" ht="13" x14ac:dyDescent="0.15">
      <c r="A45" s="4">
        <v>42194</v>
      </c>
      <c r="B45" s="1">
        <v>2051.31</v>
      </c>
    </row>
    <row r="46" spans="1:2" ht="13" x14ac:dyDescent="0.15">
      <c r="A46" s="4">
        <v>42195</v>
      </c>
      <c r="B46" s="1">
        <v>2076.62</v>
      </c>
    </row>
    <row r="47" spans="1:2" ht="13" x14ac:dyDescent="0.15">
      <c r="A47" s="4">
        <v>42198</v>
      </c>
      <c r="B47" s="1">
        <v>2099.6</v>
      </c>
    </row>
    <row r="48" spans="1:2" ht="13" x14ac:dyDescent="0.15">
      <c r="A48" s="4">
        <v>42199</v>
      </c>
      <c r="B48" s="1">
        <v>2108.9499999999998</v>
      </c>
    </row>
    <row r="49" spans="1:2" ht="13" x14ac:dyDescent="0.15">
      <c r="A49" s="4">
        <v>42200</v>
      </c>
      <c r="B49" s="1">
        <v>2107.4</v>
      </c>
    </row>
    <row r="50" spans="1:2" ht="13" x14ac:dyDescent="0.15">
      <c r="A50" s="4">
        <v>42201</v>
      </c>
      <c r="B50" s="1">
        <v>2124.29</v>
      </c>
    </row>
    <row r="51" spans="1:2" ht="13" x14ac:dyDescent="0.15">
      <c r="A51" s="4">
        <v>42202</v>
      </c>
      <c r="B51" s="1">
        <v>2126.64</v>
      </c>
    </row>
    <row r="52" spans="1:2" ht="13" x14ac:dyDescent="0.15">
      <c r="A52" s="4">
        <v>42205</v>
      </c>
      <c r="B52" s="1">
        <v>2128.2800000000002</v>
      </c>
    </row>
    <row r="53" spans="1:2" ht="13" x14ac:dyDescent="0.15">
      <c r="A53" s="4">
        <v>42206</v>
      </c>
      <c r="B53" s="1">
        <v>2119.21</v>
      </c>
    </row>
    <row r="54" spans="1:2" ht="13" x14ac:dyDescent="0.15">
      <c r="A54" s="4">
        <v>42207</v>
      </c>
      <c r="B54" s="1">
        <v>2114.15</v>
      </c>
    </row>
    <row r="55" spans="1:2" ht="13" x14ac:dyDescent="0.15">
      <c r="A55" s="4">
        <v>42208</v>
      </c>
      <c r="B55" s="1">
        <v>2102.15</v>
      </c>
    </row>
    <row r="56" spans="1:2" ht="13" x14ac:dyDescent="0.15">
      <c r="A56" s="4">
        <v>42209</v>
      </c>
      <c r="B56" s="1">
        <v>2079.65</v>
      </c>
    </row>
    <row r="57" spans="1:2" ht="13" x14ac:dyDescent="0.15">
      <c r="A57" s="4">
        <v>42212</v>
      </c>
      <c r="B57" s="1">
        <v>2067.64</v>
      </c>
    </row>
    <row r="58" spans="1:2" ht="13" x14ac:dyDescent="0.15">
      <c r="A58" s="4">
        <v>42213</v>
      </c>
      <c r="B58" s="1">
        <v>2093.25</v>
      </c>
    </row>
    <row r="59" spans="1:2" ht="13" x14ac:dyDescent="0.15">
      <c r="A59" s="4">
        <v>42214</v>
      </c>
      <c r="B59" s="1">
        <v>2108.5700000000002</v>
      </c>
    </row>
    <row r="60" spans="1:2" ht="13" x14ac:dyDescent="0.15">
      <c r="A60" s="4">
        <v>42215</v>
      </c>
      <c r="B60" s="1">
        <v>2108.63</v>
      </c>
    </row>
    <row r="61" spans="1:2" ht="13" x14ac:dyDescent="0.15">
      <c r="A61" s="4">
        <v>42216</v>
      </c>
      <c r="B61" s="1">
        <v>2103.84</v>
      </c>
    </row>
    <row r="62" spans="1:2" ht="13" x14ac:dyDescent="0.15">
      <c r="A62" s="4">
        <v>42219</v>
      </c>
      <c r="B62" s="1">
        <v>2098.04</v>
      </c>
    </row>
    <row r="63" spans="1:2" ht="13" x14ac:dyDescent="0.15">
      <c r="A63" s="4">
        <v>42220</v>
      </c>
      <c r="B63" s="1">
        <v>2093.3200000000002</v>
      </c>
    </row>
    <row r="64" spans="1:2" ht="13" x14ac:dyDescent="0.15">
      <c r="A64" s="4">
        <v>42221</v>
      </c>
      <c r="B64" s="1">
        <v>2099.84</v>
      </c>
    </row>
    <row r="65" spans="1:2" ht="13" x14ac:dyDescent="0.15">
      <c r="A65" s="4">
        <v>42222</v>
      </c>
      <c r="B65" s="1">
        <v>2083.56</v>
      </c>
    </row>
    <row r="66" spans="1:2" ht="13" x14ac:dyDescent="0.15">
      <c r="A66" s="4">
        <v>42223</v>
      </c>
      <c r="B66" s="1">
        <v>2077.5700000000002</v>
      </c>
    </row>
    <row r="67" spans="1:2" ht="13" x14ac:dyDescent="0.15">
      <c r="A67" s="4">
        <v>42226</v>
      </c>
      <c r="B67" s="1">
        <v>2104.1799999999998</v>
      </c>
    </row>
    <row r="68" spans="1:2" ht="13" x14ac:dyDescent="0.15">
      <c r="A68" s="4">
        <v>42227</v>
      </c>
      <c r="B68" s="1">
        <v>2084.0700000000002</v>
      </c>
    </row>
    <row r="69" spans="1:2" ht="13" x14ac:dyDescent="0.15">
      <c r="A69" s="4">
        <v>42228</v>
      </c>
      <c r="B69" s="1">
        <v>2086.0500000000002</v>
      </c>
    </row>
    <row r="70" spans="1:2" ht="13" x14ac:dyDescent="0.15">
      <c r="A70" s="4">
        <v>42229</v>
      </c>
      <c r="B70" s="1">
        <v>2083.39</v>
      </c>
    </row>
    <row r="71" spans="1:2" ht="13" x14ac:dyDescent="0.15">
      <c r="A71" s="4">
        <v>42230</v>
      </c>
      <c r="B71" s="1">
        <v>2091.54</v>
      </c>
    </row>
    <row r="72" spans="1:2" ht="13" x14ac:dyDescent="0.15">
      <c r="A72" s="4">
        <v>42233</v>
      </c>
      <c r="B72" s="1">
        <v>2102.44</v>
      </c>
    </row>
    <row r="73" spans="1:2" ht="13" x14ac:dyDescent="0.15">
      <c r="A73" s="4">
        <v>42234</v>
      </c>
      <c r="B73" s="1">
        <v>2096.92</v>
      </c>
    </row>
    <row r="74" spans="1:2" ht="13" x14ac:dyDescent="0.15">
      <c r="A74" s="4">
        <v>42235</v>
      </c>
      <c r="B74" s="1">
        <v>2079.61</v>
      </c>
    </row>
    <row r="75" spans="1:2" ht="13" x14ac:dyDescent="0.15">
      <c r="A75" s="4">
        <v>42236</v>
      </c>
      <c r="B75" s="1">
        <v>2035.73</v>
      </c>
    </row>
    <row r="76" spans="1:2" ht="13" x14ac:dyDescent="0.15">
      <c r="A76" s="4">
        <v>42237</v>
      </c>
      <c r="B76" s="1">
        <v>1970.89</v>
      </c>
    </row>
    <row r="77" spans="1:2" ht="13" x14ac:dyDescent="0.15">
      <c r="A77" s="4">
        <v>42240</v>
      </c>
      <c r="B77" s="1">
        <v>1893.21</v>
      </c>
    </row>
    <row r="78" spans="1:2" ht="13" x14ac:dyDescent="0.15">
      <c r="A78" s="4">
        <v>42241</v>
      </c>
      <c r="B78" s="1">
        <v>1867.61</v>
      </c>
    </row>
    <row r="79" spans="1:2" ht="13" x14ac:dyDescent="0.15">
      <c r="A79" s="4">
        <v>42242</v>
      </c>
      <c r="B79" s="1">
        <v>1940.51</v>
      </c>
    </row>
    <row r="80" spans="1:2" ht="13" x14ac:dyDescent="0.15">
      <c r="A80" s="4">
        <v>42243</v>
      </c>
      <c r="B80" s="1">
        <v>1987.66</v>
      </c>
    </row>
    <row r="81" spans="1:2" ht="13" x14ac:dyDescent="0.15">
      <c r="A81" s="4">
        <v>42244</v>
      </c>
      <c r="B81" s="1">
        <v>1988.87</v>
      </c>
    </row>
    <row r="82" spans="1:2" ht="13" x14ac:dyDescent="0.15">
      <c r="A82" s="4">
        <v>42247</v>
      </c>
      <c r="B82" s="1">
        <v>1972.18</v>
      </c>
    </row>
    <row r="83" spans="1:2" ht="13" x14ac:dyDescent="0.15">
      <c r="A83" s="4">
        <v>42248</v>
      </c>
      <c r="B83" s="1">
        <v>1913.85</v>
      </c>
    </row>
    <row r="84" spans="1:2" ht="13" x14ac:dyDescent="0.15">
      <c r="A84" s="4">
        <v>42249</v>
      </c>
      <c r="B84" s="1">
        <v>1948.86</v>
      </c>
    </row>
    <row r="85" spans="1:2" ht="13" x14ac:dyDescent="0.15">
      <c r="A85" s="4">
        <v>42250</v>
      </c>
      <c r="B85" s="1">
        <v>1951.13</v>
      </c>
    </row>
    <row r="86" spans="1:2" ht="13" x14ac:dyDescent="0.15">
      <c r="A86" s="4">
        <v>42251</v>
      </c>
      <c r="B86" s="1">
        <v>1921.22</v>
      </c>
    </row>
    <row r="87" spans="1:2" ht="13" x14ac:dyDescent="0.15">
      <c r="A87" s="4">
        <v>42255</v>
      </c>
      <c r="B87" s="1">
        <v>1969.41</v>
      </c>
    </row>
    <row r="88" spans="1:2" ht="13" x14ac:dyDescent="0.15">
      <c r="A88" s="4">
        <v>42256</v>
      </c>
      <c r="B88" s="1">
        <v>1942.04</v>
      </c>
    </row>
    <row r="89" spans="1:2" ht="13" x14ac:dyDescent="0.15">
      <c r="A89" s="4">
        <v>42257</v>
      </c>
      <c r="B89" s="1">
        <v>1952.29</v>
      </c>
    </row>
    <row r="90" spans="1:2" ht="13" x14ac:dyDescent="0.15">
      <c r="A90" s="4">
        <v>42258</v>
      </c>
      <c r="B90" s="1">
        <v>1961.05</v>
      </c>
    </row>
    <row r="91" spans="1:2" ht="13" x14ac:dyDescent="0.15">
      <c r="A91" s="4">
        <v>42261</v>
      </c>
      <c r="B91" s="1">
        <v>1953.03</v>
      </c>
    </row>
    <row r="92" spans="1:2" ht="13" x14ac:dyDescent="0.15">
      <c r="A92" s="4">
        <v>42262</v>
      </c>
      <c r="B92" s="1">
        <v>1978.09</v>
      </c>
    </row>
    <row r="93" spans="1:2" ht="13" x14ac:dyDescent="0.15">
      <c r="A93" s="4">
        <v>42263</v>
      </c>
      <c r="B93" s="1">
        <v>1995.31</v>
      </c>
    </row>
    <row r="94" spans="1:2" ht="13" x14ac:dyDescent="0.15">
      <c r="A94" s="4">
        <v>42264</v>
      </c>
      <c r="B94" s="1">
        <v>1990.2</v>
      </c>
    </row>
    <row r="95" spans="1:2" ht="13" x14ac:dyDescent="0.15">
      <c r="A95" s="4">
        <v>42265</v>
      </c>
      <c r="B95" s="1">
        <v>1958.03</v>
      </c>
    </row>
    <row r="96" spans="1:2" ht="13" x14ac:dyDescent="0.15">
      <c r="A96" s="4">
        <v>42268</v>
      </c>
      <c r="B96" s="1">
        <v>1966.97</v>
      </c>
    </row>
    <row r="97" spans="1:2" ht="13" x14ac:dyDescent="0.15">
      <c r="A97" s="4">
        <v>42269</v>
      </c>
      <c r="B97" s="1">
        <v>1942.74</v>
      </c>
    </row>
    <row r="98" spans="1:2" ht="13" x14ac:dyDescent="0.15">
      <c r="A98" s="4">
        <v>42270</v>
      </c>
      <c r="B98" s="1">
        <v>1938.76</v>
      </c>
    </row>
    <row r="99" spans="1:2" ht="13" x14ac:dyDescent="0.15">
      <c r="A99" s="4">
        <v>42271</v>
      </c>
      <c r="B99" s="1">
        <v>1932.24</v>
      </c>
    </row>
    <row r="100" spans="1:2" ht="13" x14ac:dyDescent="0.15">
      <c r="A100" s="4">
        <v>42272</v>
      </c>
      <c r="B100" s="1">
        <v>1931.34</v>
      </c>
    </row>
    <row r="101" spans="1:2" ht="13" x14ac:dyDescent="0.15">
      <c r="A101" s="4">
        <v>42275</v>
      </c>
      <c r="B101" s="1">
        <v>1881.77</v>
      </c>
    </row>
    <row r="102" spans="1:2" ht="13" x14ac:dyDescent="0.15">
      <c r="A102" s="4">
        <v>42276</v>
      </c>
      <c r="B102" s="1">
        <v>1884.09</v>
      </c>
    </row>
    <row r="103" spans="1:2" ht="13" x14ac:dyDescent="0.15">
      <c r="A103" s="4">
        <v>42277</v>
      </c>
      <c r="B103" s="1">
        <v>1920.03</v>
      </c>
    </row>
    <row r="104" spans="1:2" ht="13" x14ac:dyDescent="0.15">
      <c r="A104" s="4">
        <v>42278</v>
      </c>
      <c r="B104" s="1">
        <v>1923.82</v>
      </c>
    </row>
    <row r="105" spans="1:2" ht="13" x14ac:dyDescent="0.15">
      <c r="A105" s="4">
        <v>42279</v>
      </c>
      <c r="B105" s="1">
        <v>1951.36</v>
      </c>
    </row>
    <row r="106" spans="1:2" ht="13" x14ac:dyDescent="0.15">
      <c r="A106" s="4">
        <v>42282</v>
      </c>
      <c r="B106" s="1">
        <v>1987.05</v>
      </c>
    </row>
    <row r="107" spans="1:2" ht="13" x14ac:dyDescent="0.15">
      <c r="A107" s="4">
        <v>42283</v>
      </c>
      <c r="B107" s="1">
        <v>1979.92</v>
      </c>
    </row>
    <row r="108" spans="1:2" ht="13" x14ac:dyDescent="0.15">
      <c r="A108" s="4">
        <v>42284</v>
      </c>
      <c r="B108" s="1">
        <v>1995.83</v>
      </c>
    </row>
    <row r="109" spans="1:2" ht="13" x14ac:dyDescent="0.15">
      <c r="A109" s="4">
        <v>42285</v>
      </c>
      <c r="B109" s="1">
        <v>2013.43</v>
      </c>
    </row>
    <row r="110" spans="1:2" ht="13" x14ac:dyDescent="0.15">
      <c r="A110" s="4">
        <v>42286</v>
      </c>
      <c r="B110" s="1">
        <v>2014.89</v>
      </c>
    </row>
    <row r="111" spans="1:2" ht="13" x14ac:dyDescent="0.15">
      <c r="A111" s="4">
        <v>42289</v>
      </c>
      <c r="B111" s="1">
        <v>2017.46</v>
      </c>
    </row>
    <row r="112" spans="1:2" ht="13" x14ac:dyDescent="0.15">
      <c r="A112" s="4">
        <v>42290</v>
      </c>
      <c r="B112" s="1">
        <v>2003.69</v>
      </c>
    </row>
    <row r="113" spans="1:2" ht="13" x14ac:dyDescent="0.15">
      <c r="A113" s="4">
        <v>42291</v>
      </c>
      <c r="B113" s="1">
        <v>1994.24</v>
      </c>
    </row>
    <row r="114" spans="1:2" ht="13" x14ac:dyDescent="0.15">
      <c r="A114" s="4">
        <v>42292</v>
      </c>
      <c r="B114" s="1">
        <v>2023.86</v>
      </c>
    </row>
    <row r="115" spans="1:2" ht="13" x14ac:dyDescent="0.15">
      <c r="A115" s="4">
        <v>42293</v>
      </c>
      <c r="B115" s="1">
        <v>2033.11</v>
      </c>
    </row>
    <row r="116" spans="1:2" ht="13" x14ac:dyDescent="0.15">
      <c r="A116" s="4">
        <v>42296</v>
      </c>
      <c r="B116" s="1">
        <v>2033.66</v>
      </c>
    </row>
    <row r="117" spans="1:2" ht="13" x14ac:dyDescent="0.15">
      <c r="A117" s="4">
        <v>42297</v>
      </c>
      <c r="B117" s="1">
        <v>2030.77</v>
      </c>
    </row>
    <row r="118" spans="1:2" ht="13" x14ac:dyDescent="0.15">
      <c r="A118" s="4">
        <v>42298</v>
      </c>
      <c r="B118" s="1">
        <v>2018.94</v>
      </c>
    </row>
    <row r="119" spans="1:2" ht="13" x14ac:dyDescent="0.15">
      <c r="A119" s="4">
        <v>42299</v>
      </c>
      <c r="B119" s="1">
        <v>2052.5100000000002</v>
      </c>
    </row>
    <row r="120" spans="1:2" ht="13" x14ac:dyDescent="0.15">
      <c r="A120" s="4">
        <v>42300</v>
      </c>
      <c r="B120" s="1">
        <v>2075.15</v>
      </c>
    </row>
    <row r="121" spans="1:2" ht="13" x14ac:dyDescent="0.15">
      <c r="A121" s="4">
        <v>42303</v>
      </c>
      <c r="B121" s="1">
        <v>2071.1799999999998</v>
      </c>
    </row>
    <row r="122" spans="1:2" ht="13" x14ac:dyDescent="0.15">
      <c r="A122" s="4">
        <v>42304</v>
      </c>
      <c r="B122" s="1">
        <v>2065.89</v>
      </c>
    </row>
    <row r="123" spans="1:2" ht="13" x14ac:dyDescent="0.15">
      <c r="A123" s="4">
        <v>42305</v>
      </c>
      <c r="B123" s="1">
        <v>2090.35</v>
      </c>
    </row>
    <row r="124" spans="1:2" ht="13" x14ac:dyDescent="0.15">
      <c r="A124" s="4">
        <v>42306</v>
      </c>
      <c r="B124" s="1">
        <v>2089.41</v>
      </c>
    </row>
    <row r="125" spans="1:2" ht="13" x14ac:dyDescent="0.15">
      <c r="A125" s="4">
        <v>42307</v>
      </c>
      <c r="B125" s="1">
        <v>2079.36</v>
      </c>
    </row>
    <row r="126" spans="1:2" ht="13" x14ac:dyDescent="0.15">
      <c r="A126" s="4">
        <v>42310</v>
      </c>
      <c r="B126" s="1">
        <v>2104.0500000000002</v>
      </c>
    </row>
    <row r="127" spans="1:2" ht="13" x14ac:dyDescent="0.15">
      <c r="A127" s="4">
        <v>42311</v>
      </c>
      <c r="B127" s="1">
        <v>2109.79</v>
      </c>
    </row>
    <row r="128" spans="1:2" ht="13" x14ac:dyDescent="0.15">
      <c r="A128" s="4">
        <v>42312</v>
      </c>
      <c r="B128" s="1">
        <v>2102.31</v>
      </c>
    </row>
    <row r="129" spans="1:2" ht="13" x14ac:dyDescent="0.15">
      <c r="A129" s="4">
        <v>42313</v>
      </c>
      <c r="B129" s="1">
        <v>2099.9299999999998</v>
      </c>
    </row>
    <row r="130" spans="1:2" ht="13" x14ac:dyDescent="0.15">
      <c r="A130" s="4">
        <v>42314</v>
      </c>
      <c r="B130" s="1">
        <v>2099.1999999999998</v>
      </c>
    </row>
    <row r="131" spans="1:2" ht="13" x14ac:dyDescent="0.15">
      <c r="A131" s="4">
        <v>42317</v>
      </c>
      <c r="B131" s="1">
        <v>2078.58</v>
      </c>
    </row>
    <row r="132" spans="1:2" ht="13" x14ac:dyDescent="0.15">
      <c r="A132" s="4">
        <v>42318</v>
      </c>
      <c r="B132" s="1">
        <v>2081.7199999999998</v>
      </c>
    </row>
    <row r="133" spans="1:2" ht="13" x14ac:dyDescent="0.15">
      <c r="A133" s="4">
        <v>42319</v>
      </c>
      <c r="B133" s="1">
        <v>2075</v>
      </c>
    </row>
    <row r="134" spans="1:2" ht="13" x14ac:dyDescent="0.15">
      <c r="A134" s="4">
        <v>42320</v>
      </c>
      <c r="B134" s="1">
        <v>2045.97</v>
      </c>
    </row>
    <row r="135" spans="1:2" ht="13" x14ac:dyDescent="0.15">
      <c r="A135" s="4">
        <v>42321</v>
      </c>
      <c r="B135" s="1">
        <v>2023.04</v>
      </c>
    </row>
    <row r="136" spans="1:2" ht="13" x14ac:dyDescent="0.15">
      <c r="A136" s="4">
        <v>42324</v>
      </c>
      <c r="B136" s="1">
        <v>2053.19</v>
      </c>
    </row>
    <row r="137" spans="1:2" ht="13" x14ac:dyDescent="0.15">
      <c r="A137" s="4">
        <v>42325</v>
      </c>
      <c r="B137" s="1">
        <v>2050.44</v>
      </c>
    </row>
    <row r="138" spans="1:2" ht="13" x14ac:dyDescent="0.15">
      <c r="A138" s="4">
        <v>42326</v>
      </c>
      <c r="B138" s="1">
        <v>2083.58</v>
      </c>
    </row>
    <row r="139" spans="1:2" ht="13" x14ac:dyDescent="0.15">
      <c r="A139" s="4">
        <v>42327</v>
      </c>
      <c r="B139" s="1">
        <v>2081.2399999999998</v>
      </c>
    </row>
    <row r="140" spans="1:2" ht="13" x14ac:dyDescent="0.15">
      <c r="A140" s="4">
        <v>42328</v>
      </c>
      <c r="B140" s="1">
        <v>2089.17</v>
      </c>
    </row>
    <row r="141" spans="1:2" ht="13" x14ac:dyDescent="0.15">
      <c r="A141" s="4">
        <v>42331</v>
      </c>
      <c r="B141" s="1">
        <v>2086.59</v>
      </c>
    </row>
    <row r="142" spans="1:2" ht="13" x14ac:dyDescent="0.15">
      <c r="A142" s="4">
        <v>42332</v>
      </c>
      <c r="B142" s="1">
        <v>2089.14</v>
      </c>
    </row>
    <row r="143" spans="1:2" ht="13" x14ac:dyDescent="0.15">
      <c r="A143" s="4">
        <v>42333</v>
      </c>
      <c r="B143" s="1">
        <v>2088.87</v>
      </c>
    </row>
    <row r="144" spans="1:2" ht="13" x14ac:dyDescent="0.15">
      <c r="A144" s="4">
        <v>42335</v>
      </c>
      <c r="B144" s="1">
        <v>2090.11</v>
      </c>
    </row>
    <row r="145" spans="1:2" ht="13" x14ac:dyDescent="0.15">
      <c r="A145" s="4">
        <v>42338</v>
      </c>
      <c r="B145" s="1">
        <v>2080.41</v>
      </c>
    </row>
    <row r="146" spans="1:2" ht="13" x14ac:dyDescent="0.15">
      <c r="A146" s="4">
        <v>42339</v>
      </c>
      <c r="B146" s="1">
        <v>2102.63</v>
      </c>
    </row>
    <row r="147" spans="1:2" ht="13" x14ac:dyDescent="0.15">
      <c r="A147" s="4">
        <v>42340</v>
      </c>
      <c r="B147" s="1">
        <v>2079.5100000000002</v>
      </c>
    </row>
    <row r="148" spans="1:2" ht="13" x14ac:dyDescent="0.15">
      <c r="A148" s="4">
        <v>42341</v>
      </c>
      <c r="B148" s="1">
        <v>2049.62</v>
      </c>
    </row>
    <row r="149" spans="1:2" ht="13" x14ac:dyDescent="0.15">
      <c r="A149" s="4">
        <v>42342</v>
      </c>
      <c r="B149" s="1">
        <v>2091.69</v>
      </c>
    </row>
    <row r="150" spans="1:2" ht="13" x14ac:dyDescent="0.15">
      <c r="A150" s="4">
        <v>42345</v>
      </c>
      <c r="B150" s="1">
        <v>2077.0700000000002</v>
      </c>
    </row>
    <row r="151" spans="1:2" ht="13" x14ac:dyDescent="0.15">
      <c r="A151" s="4">
        <v>42346</v>
      </c>
      <c r="B151" s="1">
        <v>2063.59</v>
      </c>
    </row>
    <row r="152" spans="1:2" ht="13" x14ac:dyDescent="0.15">
      <c r="A152" s="4">
        <v>42347</v>
      </c>
      <c r="B152" s="1">
        <v>2047.62</v>
      </c>
    </row>
    <row r="153" spans="1:2" ht="13" x14ac:dyDescent="0.15">
      <c r="A153" s="4">
        <v>42348</v>
      </c>
      <c r="B153" s="1">
        <v>2052.23</v>
      </c>
    </row>
    <row r="154" spans="1:2" ht="13" x14ac:dyDescent="0.15">
      <c r="A154" s="4">
        <v>42349</v>
      </c>
      <c r="B154" s="1">
        <v>2012.37</v>
      </c>
    </row>
    <row r="155" spans="1:2" ht="13" x14ac:dyDescent="0.15">
      <c r="A155" s="4">
        <v>42352</v>
      </c>
      <c r="B155" s="1">
        <v>2021.94</v>
      </c>
    </row>
    <row r="156" spans="1:2" ht="13" x14ac:dyDescent="0.15">
      <c r="A156" s="4">
        <v>42353</v>
      </c>
      <c r="B156" s="1">
        <v>2043.41</v>
      </c>
    </row>
    <row r="157" spans="1:2" ht="13" x14ac:dyDescent="0.15">
      <c r="A157" s="4">
        <v>42354</v>
      </c>
      <c r="B157" s="1">
        <v>2073.0700000000002</v>
      </c>
    </row>
    <row r="158" spans="1:2" ht="13" x14ac:dyDescent="0.15">
      <c r="A158" s="4">
        <v>42355</v>
      </c>
      <c r="B158" s="1">
        <v>2041.89</v>
      </c>
    </row>
    <row r="159" spans="1:2" ht="13" x14ac:dyDescent="0.15">
      <c r="A159" s="4">
        <v>42356</v>
      </c>
      <c r="B159" s="1">
        <v>2005.55</v>
      </c>
    </row>
    <row r="160" spans="1:2" ht="13" x14ac:dyDescent="0.15">
      <c r="A160" s="4">
        <v>42359</v>
      </c>
      <c r="B160" s="1">
        <v>2021.15</v>
      </c>
    </row>
    <row r="161" spans="1:2" ht="13" x14ac:dyDescent="0.15">
      <c r="A161" s="4">
        <v>42360</v>
      </c>
      <c r="B161" s="1">
        <v>2038.97</v>
      </c>
    </row>
    <row r="162" spans="1:2" ht="13" x14ac:dyDescent="0.15">
      <c r="A162" s="4">
        <v>42361</v>
      </c>
      <c r="B162" s="1">
        <v>2064.29</v>
      </c>
    </row>
    <row r="163" spans="1:2" ht="13" x14ac:dyDescent="0.15">
      <c r="A163" s="4">
        <v>42362</v>
      </c>
      <c r="B163" s="1">
        <v>2060.9899999999998</v>
      </c>
    </row>
    <row r="164" spans="1:2" ht="13" x14ac:dyDescent="0.15">
      <c r="A164" s="4">
        <v>42366</v>
      </c>
      <c r="B164" s="1">
        <v>2056.5</v>
      </c>
    </row>
    <row r="165" spans="1:2" ht="13" x14ac:dyDescent="0.15">
      <c r="A165" s="4">
        <v>42367</v>
      </c>
      <c r="B165" s="1">
        <v>2078.36</v>
      </c>
    </row>
    <row r="166" spans="1:2" ht="13" x14ac:dyDescent="0.15">
      <c r="A166" s="4">
        <v>42368</v>
      </c>
      <c r="B166" s="1">
        <v>2063.36</v>
      </c>
    </row>
    <row r="167" spans="1:2" ht="13" x14ac:dyDescent="0.15">
      <c r="A167" s="4">
        <v>42369</v>
      </c>
      <c r="B167" s="1">
        <v>2043.94</v>
      </c>
    </row>
    <row r="168" spans="1:2" ht="13" x14ac:dyDescent="0.15">
      <c r="A168" s="4">
        <v>42373</v>
      </c>
      <c r="B168" s="1">
        <v>2012.66</v>
      </c>
    </row>
    <row r="169" spans="1:2" ht="13" x14ac:dyDescent="0.15">
      <c r="A169" s="4">
        <v>42374</v>
      </c>
      <c r="B169" s="1">
        <v>2016.71</v>
      </c>
    </row>
    <row r="170" spans="1:2" ht="13" x14ac:dyDescent="0.15">
      <c r="A170" s="4">
        <v>42375</v>
      </c>
      <c r="B170" s="1">
        <v>1990.26</v>
      </c>
    </row>
    <row r="171" spans="1:2" ht="13" x14ac:dyDescent="0.15">
      <c r="A171" s="4">
        <v>42376</v>
      </c>
      <c r="B171" s="1">
        <v>1943.09</v>
      </c>
    </row>
    <row r="172" spans="1:2" ht="13" x14ac:dyDescent="0.15">
      <c r="A172" s="4">
        <v>42377</v>
      </c>
      <c r="B172" s="1">
        <v>1922.03</v>
      </c>
    </row>
    <row r="173" spans="1:2" ht="13" x14ac:dyDescent="0.15">
      <c r="A173" s="4">
        <v>42380</v>
      </c>
      <c r="B173" s="1">
        <v>1923.67</v>
      </c>
    </row>
    <row r="174" spans="1:2" ht="13" x14ac:dyDescent="0.15">
      <c r="A174" s="4">
        <v>42381</v>
      </c>
      <c r="B174" s="1">
        <v>1938.68</v>
      </c>
    </row>
    <row r="175" spans="1:2" ht="13" x14ac:dyDescent="0.15">
      <c r="A175" s="4">
        <v>42382</v>
      </c>
      <c r="B175" s="1">
        <v>1890.28</v>
      </c>
    </row>
    <row r="176" spans="1:2" ht="13" x14ac:dyDescent="0.15">
      <c r="A176" s="4">
        <v>42383</v>
      </c>
      <c r="B176" s="1">
        <v>1921.84</v>
      </c>
    </row>
    <row r="177" spans="1:2" ht="13" x14ac:dyDescent="0.15">
      <c r="A177" s="4">
        <v>42384</v>
      </c>
      <c r="B177" s="1">
        <v>1880.33</v>
      </c>
    </row>
    <row r="178" spans="1:2" ht="13" x14ac:dyDescent="0.15">
      <c r="A178" s="4">
        <v>42388</v>
      </c>
      <c r="B178" s="1">
        <v>1881.33</v>
      </c>
    </row>
    <row r="179" spans="1:2" ht="13" x14ac:dyDescent="0.15">
      <c r="A179" s="4">
        <v>42389</v>
      </c>
      <c r="B179" s="1">
        <v>1859.33</v>
      </c>
    </row>
    <row r="180" spans="1:2" ht="13" x14ac:dyDescent="0.15">
      <c r="A180" s="4">
        <v>42390</v>
      </c>
      <c r="B180" s="1">
        <v>1868.99</v>
      </c>
    </row>
    <row r="181" spans="1:2" ht="13" x14ac:dyDescent="0.15">
      <c r="A181" s="4">
        <v>42391</v>
      </c>
      <c r="B181" s="1">
        <v>1906.9</v>
      </c>
    </row>
    <row r="182" spans="1:2" ht="13" x14ac:dyDescent="0.15">
      <c r="A182" s="4">
        <v>42394</v>
      </c>
      <c r="B182" s="1">
        <v>1877.08</v>
      </c>
    </row>
    <row r="183" spans="1:2" ht="13" x14ac:dyDescent="0.15">
      <c r="A183" s="4">
        <v>42395</v>
      </c>
      <c r="B183" s="1">
        <v>1903.63</v>
      </c>
    </row>
    <row r="184" spans="1:2" ht="13" x14ac:dyDescent="0.15">
      <c r="A184" s="4">
        <v>42396</v>
      </c>
      <c r="B184" s="1">
        <v>1882.95</v>
      </c>
    </row>
    <row r="185" spans="1:2" ht="13" x14ac:dyDescent="0.15">
      <c r="A185" s="4">
        <v>42397</v>
      </c>
      <c r="B185" s="1">
        <v>1893.36</v>
      </c>
    </row>
    <row r="186" spans="1:2" ht="13" x14ac:dyDescent="0.15">
      <c r="A186" s="4">
        <v>42398</v>
      </c>
      <c r="B186" s="1">
        <v>1940.24</v>
      </c>
    </row>
    <row r="187" spans="1:2" ht="13" x14ac:dyDescent="0.15">
      <c r="A187" s="4">
        <v>42401</v>
      </c>
      <c r="B187" s="1">
        <v>1939.38</v>
      </c>
    </row>
    <row r="188" spans="1:2" ht="13" x14ac:dyDescent="0.15">
      <c r="A188" s="4">
        <v>42402</v>
      </c>
      <c r="B188" s="1">
        <v>1903.03</v>
      </c>
    </row>
    <row r="189" spans="1:2" ht="13" x14ac:dyDescent="0.15">
      <c r="A189" s="4">
        <v>42403</v>
      </c>
      <c r="B189" s="1">
        <v>1912.53</v>
      </c>
    </row>
    <row r="190" spans="1:2" ht="13" x14ac:dyDescent="0.15">
      <c r="A190" s="4">
        <v>42404</v>
      </c>
      <c r="B190" s="1">
        <v>1915.45</v>
      </c>
    </row>
    <row r="191" spans="1:2" ht="13" x14ac:dyDescent="0.15">
      <c r="A191" s="4">
        <v>42405</v>
      </c>
      <c r="B191" s="1">
        <v>1880.05</v>
      </c>
    </row>
    <row r="192" spans="1:2" ht="13" x14ac:dyDescent="0.15">
      <c r="A192" s="4">
        <v>42408</v>
      </c>
      <c r="B192" s="1">
        <v>1853.44</v>
      </c>
    </row>
    <row r="193" spans="1:2" ht="13" x14ac:dyDescent="0.15">
      <c r="A193" s="4">
        <v>42409</v>
      </c>
      <c r="B193" s="1">
        <v>1852.21</v>
      </c>
    </row>
    <row r="194" spans="1:2" ht="13" x14ac:dyDescent="0.15">
      <c r="A194" s="4">
        <v>42410</v>
      </c>
      <c r="B194" s="1">
        <v>1851.86</v>
      </c>
    </row>
    <row r="195" spans="1:2" ht="13" x14ac:dyDescent="0.15">
      <c r="A195" s="4">
        <v>42411</v>
      </c>
      <c r="B195" s="1">
        <v>1829.08</v>
      </c>
    </row>
    <row r="196" spans="1:2" ht="13" x14ac:dyDescent="0.15">
      <c r="A196" s="4">
        <v>42412</v>
      </c>
      <c r="B196" s="1">
        <v>1864.78</v>
      </c>
    </row>
    <row r="197" spans="1:2" ht="13" x14ac:dyDescent="0.15">
      <c r="A197" s="4">
        <v>42416</v>
      </c>
      <c r="B197" s="1">
        <v>1895.58</v>
      </c>
    </row>
    <row r="198" spans="1:2" ht="13" x14ac:dyDescent="0.15">
      <c r="A198" s="4">
        <v>42417</v>
      </c>
      <c r="B198" s="1">
        <v>1926.82</v>
      </c>
    </row>
    <row r="199" spans="1:2" ht="13" x14ac:dyDescent="0.15">
      <c r="A199" s="4">
        <v>42418</v>
      </c>
      <c r="B199" s="1">
        <v>1917.83</v>
      </c>
    </row>
    <row r="200" spans="1:2" ht="13" x14ac:dyDescent="0.15">
      <c r="A200" s="4">
        <v>42419</v>
      </c>
      <c r="B200" s="1">
        <v>1917.78</v>
      </c>
    </row>
    <row r="201" spans="1:2" ht="13" x14ac:dyDescent="0.15">
      <c r="A201" s="4">
        <v>42422</v>
      </c>
      <c r="B201" s="1">
        <v>1945.5</v>
      </c>
    </row>
    <row r="202" spans="1:2" ht="13" x14ac:dyDescent="0.15">
      <c r="A202" s="4">
        <v>42423</v>
      </c>
      <c r="B202" s="1">
        <v>1921.27</v>
      </c>
    </row>
    <row r="203" spans="1:2" ht="13" x14ac:dyDescent="0.15">
      <c r="A203" s="4">
        <v>42424</v>
      </c>
      <c r="B203" s="1">
        <v>1929.8</v>
      </c>
    </row>
    <row r="204" spans="1:2" ht="13" x14ac:dyDescent="0.15">
      <c r="A204" s="4">
        <v>42425</v>
      </c>
      <c r="B204" s="1">
        <v>1951.7</v>
      </c>
    </row>
    <row r="205" spans="1:2" ht="13" x14ac:dyDescent="0.15">
      <c r="A205" s="4">
        <v>42426</v>
      </c>
      <c r="B205" s="1">
        <v>1948.05</v>
      </c>
    </row>
    <row r="206" spans="1:2" ht="13" x14ac:dyDescent="0.15">
      <c r="A206" s="4">
        <v>42429</v>
      </c>
      <c r="B206" s="1">
        <v>1932.23</v>
      </c>
    </row>
    <row r="207" spans="1:2" ht="13" x14ac:dyDescent="0.15">
      <c r="A207" s="4">
        <v>42430</v>
      </c>
      <c r="B207" s="1">
        <v>1978.35</v>
      </c>
    </row>
    <row r="208" spans="1:2" ht="13" x14ac:dyDescent="0.15">
      <c r="A208" s="4">
        <v>42431</v>
      </c>
      <c r="B208" s="1">
        <v>1986.45</v>
      </c>
    </row>
    <row r="209" spans="1:2" ht="13" x14ac:dyDescent="0.15">
      <c r="A209" s="4">
        <v>42432</v>
      </c>
      <c r="B209" s="1">
        <v>1993.4</v>
      </c>
    </row>
    <row r="210" spans="1:2" ht="13" x14ac:dyDescent="0.15">
      <c r="A210" s="4">
        <v>42433</v>
      </c>
      <c r="B210" s="1">
        <v>1999.99</v>
      </c>
    </row>
    <row r="211" spans="1:2" ht="13" x14ac:dyDescent="0.15">
      <c r="A211" s="4">
        <v>42436</v>
      </c>
      <c r="B211" s="1">
        <v>2001.76</v>
      </c>
    </row>
    <row r="212" spans="1:2" ht="13" x14ac:dyDescent="0.15">
      <c r="A212" s="4">
        <v>42437</v>
      </c>
      <c r="B212" s="1">
        <v>1979.26</v>
      </c>
    </row>
    <row r="213" spans="1:2" ht="13" x14ac:dyDescent="0.15">
      <c r="A213" s="4">
        <v>42438</v>
      </c>
      <c r="B213" s="1">
        <v>1989.26</v>
      </c>
    </row>
    <row r="214" spans="1:2" ht="13" x14ac:dyDescent="0.15">
      <c r="A214" s="4">
        <v>42439</v>
      </c>
      <c r="B214" s="1">
        <v>1989.57</v>
      </c>
    </row>
    <row r="215" spans="1:2" ht="13" x14ac:dyDescent="0.15">
      <c r="A215" s="4">
        <v>42440</v>
      </c>
      <c r="B215" s="1">
        <v>2022.19</v>
      </c>
    </row>
    <row r="216" spans="1:2" ht="13" x14ac:dyDescent="0.15">
      <c r="A216" s="4">
        <v>42443</v>
      </c>
      <c r="B216" s="1">
        <v>2019.64</v>
      </c>
    </row>
    <row r="217" spans="1:2" ht="13" x14ac:dyDescent="0.15">
      <c r="A217" s="4">
        <v>42444</v>
      </c>
      <c r="B217" s="1">
        <v>2015.93</v>
      </c>
    </row>
    <row r="218" spans="1:2" ht="13" x14ac:dyDescent="0.15">
      <c r="A218" s="4">
        <v>42445</v>
      </c>
      <c r="B218" s="1">
        <v>2027.22</v>
      </c>
    </row>
    <row r="219" spans="1:2" ht="13" x14ac:dyDescent="0.15">
      <c r="A219" s="4">
        <v>42446</v>
      </c>
      <c r="B219" s="1">
        <v>2040.59</v>
      </c>
    </row>
    <row r="220" spans="1:2" ht="13" x14ac:dyDescent="0.15">
      <c r="A220" s="4">
        <v>42447</v>
      </c>
      <c r="B220" s="1">
        <v>2049.58</v>
      </c>
    </row>
    <row r="221" spans="1:2" ht="13" x14ac:dyDescent="0.15">
      <c r="A221" s="4">
        <v>42450</v>
      </c>
      <c r="B221" s="1">
        <v>2051.6</v>
      </c>
    </row>
    <row r="222" spans="1:2" ht="13" x14ac:dyDescent="0.15">
      <c r="A222" s="4">
        <v>42451</v>
      </c>
      <c r="B222" s="1">
        <v>2049.8000000000002</v>
      </c>
    </row>
    <row r="223" spans="1:2" ht="13" x14ac:dyDescent="0.15">
      <c r="A223" s="4">
        <v>42452</v>
      </c>
      <c r="B223" s="1">
        <v>2036.71</v>
      </c>
    </row>
    <row r="224" spans="1:2" ht="13" x14ac:dyDescent="0.15">
      <c r="A224" s="4">
        <v>42453</v>
      </c>
      <c r="B224" s="1">
        <v>2035.94</v>
      </c>
    </row>
    <row r="225" spans="1:2" ht="13" x14ac:dyDescent="0.15">
      <c r="A225" s="4">
        <v>42457</v>
      </c>
      <c r="B225" s="1">
        <v>2037.05</v>
      </c>
    </row>
    <row r="226" spans="1:2" ht="13" x14ac:dyDescent="0.15">
      <c r="A226" s="4">
        <v>42458</v>
      </c>
      <c r="B226" s="1">
        <v>2055.0100000000002</v>
      </c>
    </row>
    <row r="227" spans="1:2" ht="13" x14ac:dyDescent="0.15">
      <c r="A227" s="4">
        <v>42459</v>
      </c>
      <c r="B227" s="1">
        <v>2063.9499999999998</v>
      </c>
    </row>
    <row r="228" spans="1:2" ht="13" x14ac:dyDescent="0.15">
      <c r="A228" s="4">
        <v>42460</v>
      </c>
      <c r="B228" s="1">
        <v>2059.7399999999998</v>
      </c>
    </row>
    <row r="229" spans="1:2" ht="13" x14ac:dyDescent="0.15">
      <c r="A229" s="4">
        <v>42461</v>
      </c>
      <c r="B229" s="1">
        <v>2072.7800000000002</v>
      </c>
    </row>
    <row r="230" spans="1:2" ht="13" x14ac:dyDescent="0.15">
      <c r="A230" s="4">
        <v>42464</v>
      </c>
      <c r="B230" s="1">
        <v>2066.13</v>
      </c>
    </row>
    <row r="231" spans="1:2" ht="13" x14ac:dyDescent="0.15">
      <c r="A231" s="4">
        <v>42465</v>
      </c>
      <c r="B231" s="1">
        <v>2045.17</v>
      </c>
    </row>
    <row r="232" spans="1:2" ht="13" x14ac:dyDescent="0.15">
      <c r="A232" s="4">
        <v>42466</v>
      </c>
      <c r="B232" s="1">
        <v>2066.66</v>
      </c>
    </row>
    <row r="233" spans="1:2" ht="13" x14ac:dyDescent="0.15">
      <c r="A233" s="4">
        <v>42467</v>
      </c>
      <c r="B233" s="1">
        <v>2041.91</v>
      </c>
    </row>
    <row r="234" spans="1:2" ht="13" x14ac:dyDescent="0.15">
      <c r="A234" s="4">
        <v>42468</v>
      </c>
      <c r="B234" s="1">
        <v>2047.6</v>
      </c>
    </row>
    <row r="235" spans="1:2" ht="13" x14ac:dyDescent="0.15">
      <c r="A235" s="4">
        <v>42471</v>
      </c>
      <c r="B235" s="1">
        <v>2041.99</v>
      </c>
    </row>
    <row r="236" spans="1:2" ht="13" x14ac:dyDescent="0.15">
      <c r="A236" s="4">
        <v>42472</v>
      </c>
      <c r="B236" s="1">
        <v>2061.7199999999998</v>
      </c>
    </row>
    <row r="237" spans="1:2" ht="13" x14ac:dyDescent="0.15">
      <c r="A237" s="4">
        <v>42473</v>
      </c>
      <c r="B237" s="1">
        <v>2082.42</v>
      </c>
    </row>
    <row r="238" spans="1:2" ht="13" x14ac:dyDescent="0.15">
      <c r="A238" s="4">
        <v>42474</v>
      </c>
      <c r="B238" s="1">
        <v>2082.7800000000002</v>
      </c>
    </row>
    <row r="239" spans="1:2" ht="13" x14ac:dyDescent="0.15">
      <c r="A239" s="4">
        <v>42475</v>
      </c>
      <c r="B239" s="1">
        <v>2080.73</v>
      </c>
    </row>
    <row r="240" spans="1:2" ht="13" x14ac:dyDescent="0.15">
      <c r="A240" s="4">
        <v>42478</v>
      </c>
      <c r="B240" s="1">
        <v>2094.34</v>
      </c>
    </row>
    <row r="241" spans="1:2" ht="13" x14ac:dyDescent="0.15">
      <c r="A241" s="4">
        <v>42479</v>
      </c>
      <c r="B241" s="1">
        <v>2100.8000000000002</v>
      </c>
    </row>
    <row r="242" spans="1:2" ht="13" x14ac:dyDescent="0.15">
      <c r="A242" s="4">
        <v>42480</v>
      </c>
      <c r="B242" s="1">
        <v>2102.4</v>
      </c>
    </row>
    <row r="243" spans="1:2" ht="13" x14ac:dyDescent="0.15">
      <c r="A243" s="4">
        <v>42481</v>
      </c>
      <c r="B243" s="1">
        <v>2091.48</v>
      </c>
    </row>
    <row r="244" spans="1:2" ht="13" x14ac:dyDescent="0.15">
      <c r="A244" s="4">
        <v>42482</v>
      </c>
      <c r="B244" s="1">
        <v>2091.58</v>
      </c>
    </row>
    <row r="245" spans="1:2" ht="13" x14ac:dyDescent="0.15">
      <c r="A245" s="4">
        <v>42485</v>
      </c>
      <c r="B245" s="1">
        <v>2087.79</v>
      </c>
    </row>
    <row r="246" spans="1:2" ht="13" x14ac:dyDescent="0.15">
      <c r="A246" s="4">
        <v>42486</v>
      </c>
      <c r="B246" s="1">
        <v>2091.6999999999998</v>
      </c>
    </row>
    <row r="247" spans="1:2" ht="13" x14ac:dyDescent="0.15">
      <c r="A247" s="4">
        <v>42487</v>
      </c>
      <c r="B247" s="1">
        <v>2095.15</v>
      </c>
    </row>
    <row r="248" spans="1:2" ht="13" x14ac:dyDescent="0.15">
      <c r="A248" s="4">
        <v>42488</v>
      </c>
      <c r="B248" s="1">
        <v>2075.81</v>
      </c>
    </row>
    <row r="249" spans="1:2" ht="13" x14ac:dyDescent="0.15">
      <c r="A249" s="4">
        <v>42489</v>
      </c>
      <c r="B249" s="1">
        <v>2065.3000000000002</v>
      </c>
    </row>
    <row r="250" spans="1:2" ht="13" x14ac:dyDescent="0.15">
      <c r="A250" s="4">
        <v>42492</v>
      </c>
      <c r="B250" s="1">
        <v>2081.4299999999998</v>
      </c>
    </row>
    <row r="251" spans="1:2" ht="13" x14ac:dyDescent="0.15">
      <c r="A251" s="4">
        <v>42493</v>
      </c>
      <c r="B251" s="1">
        <v>2063.37</v>
      </c>
    </row>
    <row r="252" spans="1:2" ht="13" x14ac:dyDescent="0.15">
      <c r="A252" s="4">
        <v>42494</v>
      </c>
      <c r="B252" s="1">
        <v>2051.12</v>
      </c>
    </row>
    <row r="253" spans="1:2" ht="13" x14ac:dyDescent="0.15">
      <c r="A253" s="4">
        <v>42495</v>
      </c>
      <c r="B253" s="1">
        <v>2050.63</v>
      </c>
    </row>
    <row r="254" spans="1:2" ht="13" x14ac:dyDescent="0.15">
      <c r="A254" s="4">
        <v>42496</v>
      </c>
      <c r="B254" s="1">
        <v>2057.14</v>
      </c>
    </row>
    <row r="255" spans="1:2" ht="13" x14ac:dyDescent="0.15">
      <c r="A255" s="4">
        <v>42499</v>
      </c>
      <c r="B255" s="1">
        <v>2058.69</v>
      </c>
    </row>
    <row r="256" spans="1:2" ht="13" x14ac:dyDescent="0.15">
      <c r="A256" s="4">
        <v>42500</v>
      </c>
      <c r="B256" s="1">
        <v>2084.39</v>
      </c>
    </row>
    <row r="257" spans="1:2" ht="13" x14ac:dyDescent="0.15">
      <c r="A257" s="4">
        <v>42501</v>
      </c>
      <c r="B257" s="1">
        <v>2064.46</v>
      </c>
    </row>
    <row r="258" spans="1:2" ht="13" x14ac:dyDescent="0.15">
      <c r="A258" s="4">
        <v>42502</v>
      </c>
      <c r="B258" s="1">
        <v>2064.11</v>
      </c>
    </row>
    <row r="259" spans="1:2" ht="13" x14ac:dyDescent="0.15">
      <c r="A259" s="4">
        <v>42503</v>
      </c>
      <c r="B259" s="1">
        <v>2046.61</v>
      </c>
    </row>
    <row r="260" spans="1:2" ht="13" x14ac:dyDescent="0.15">
      <c r="A260" s="4">
        <v>42506</v>
      </c>
      <c r="B260" s="1">
        <v>2066.66</v>
      </c>
    </row>
    <row r="261" spans="1:2" ht="13" x14ac:dyDescent="0.15">
      <c r="A261" s="4">
        <v>42507</v>
      </c>
      <c r="B261" s="1">
        <v>2047.21</v>
      </c>
    </row>
    <row r="262" spans="1:2" ht="13" x14ac:dyDescent="0.15">
      <c r="A262" s="4">
        <v>42508</v>
      </c>
      <c r="B262" s="1">
        <v>2047.63</v>
      </c>
    </row>
    <row r="263" spans="1:2" ht="13" x14ac:dyDescent="0.15">
      <c r="A263" s="4">
        <v>42509</v>
      </c>
      <c r="B263" s="1">
        <v>2040.04</v>
      </c>
    </row>
    <row r="264" spans="1:2" ht="13" x14ac:dyDescent="0.15">
      <c r="A264" s="4">
        <v>42510</v>
      </c>
      <c r="B264" s="1">
        <v>2052.3200000000002</v>
      </c>
    </row>
    <row r="265" spans="1:2" ht="13" x14ac:dyDescent="0.15">
      <c r="A265" s="4">
        <v>42513</v>
      </c>
      <c r="B265" s="1">
        <v>2048.04</v>
      </c>
    </row>
    <row r="266" spans="1:2" ht="13" x14ac:dyDescent="0.15">
      <c r="A266" s="4">
        <v>42514</v>
      </c>
      <c r="B266" s="1">
        <v>2076.06</v>
      </c>
    </row>
    <row r="267" spans="1:2" ht="13" x14ac:dyDescent="0.15">
      <c r="A267" s="4">
        <v>42515</v>
      </c>
      <c r="B267" s="1">
        <v>2090.54</v>
      </c>
    </row>
    <row r="268" spans="1:2" ht="13" x14ac:dyDescent="0.15">
      <c r="A268" s="4">
        <v>42516</v>
      </c>
      <c r="B268" s="1">
        <v>2090.1</v>
      </c>
    </row>
    <row r="269" spans="1:2" ht="13" x14ac:dyDescent="0.15">
      <c r="A269" s="4">
        <v>42517</v>
      </c>
      <c r="B269" s="1">
        <v>2099.06</v>
      </c>
    </row>
    <row r="270" spans="1:2" ht="13" x14ac:dyDescent="0.15">
      <c r="A270" s="4">
        <v>42521</v>
      </c>
      <c r="B270" s="1">
        <v>2096.96</v>
      </c>
    </row>
    <row r="271" spans="1:2" ht="13" x14ac:dyDescent="0.15">
      <c r="A271" s="4">
        <v>42522</v>
      </c>
      <c r="B271" s="1">
        <v>2099.33</v>
      </c>
    </row>
    <row r="272" spans="1:2" ht="13" x14ac:dyDescent="0.15">
      <c r="A272" s="4">
        <v>42523</v>
      </c>
      <c r="B272" s="1">
        <v>2105.2600000000002</v>
      </c>
    </row>
    <row r="273" spans="1:2" ht="13" x14ac:dyDescent="0.15">
      <c r="A273" s="4">
        <v>42524</v>
      </c>
      <c r="B273" s="1">
        <v>2099.13</v>
      </c>
    </row>
    <row r="274" spans="1:2" ht="13" x14ac:dyDescent="0.15">
      <c r="A274" s="4">
        <v>42527</v>
      </c>
      <c r="B274" s="1">
        <v>2109.41</v>
      </c>
    </row>
    <row r="275" spans="1:2" ht="13" x14ac:dyDescent="0.15">
      <c r="A275" s="4">
        <v>42528</v>
      </c>
      <c r="B275" s="1">
        <v>2112.13</v>
      </c>
    </row>
    <row r="276" spans="1:2" ht="13" x14ac:dyDescent="0.15">
      <c r="A276" s="4">
        <v>42529</v>
      </c>
      <c r="B276" s="1">
        <v>2119.12</v>
      </c>
    </row>
    <row r="277" spans="1:2" ht="13" x14ac:dyDescent="0.15">
      <c r="A277" s="4">
        <v>42530</v>
      </c>
      <c r="B277" s="1">
        <v>2115.48</v>
      </c>
    </row>
    <row r="278" spans="1:2" ht="13" x14ac:dyDescent="0.15">
      <c r="A278" s="4">
        <v>42531</v>
      </c>
      <c r="B278" s="1">
        <v>2096.0700000000002</v>
      </c>
    </row>
    <row r="279" spans="1:2" ht="13" x14ac:dyDescent="0.15">
      <c r="A279" s="4">
        <v>42534</v>
      </c>
      <c r="B279" s="1">
        <v>2079.06</v>
      </c>
    </row>
    <row r="280" spans="1:2" ht="13" x14ac:dyDescent="0.15">
      <c r="A280" s="4">
        <v>42535</v>
      </c>
      <c r="B280" s="1">
        <v>2075.3200000000002</v>
      </c>
    </row>
    <row r="281" spans="1:2" ht="13" x14ac:dyDescent="0.15">
      <c r="A281" s="4">
        <v>42536</v>
      </c>
      <c r="B281" s="1">
        <v>2071.5</v>
      </c>
    </row>
    <row r="282" spans="1:2" ht="13" x14ac:dyDescent="0.15">
      <c r="A282" s="4">
        <v>42537</v>
      </c>
      <c r="B282" s="1">
        <v>2077.9899999999998</v>
      </c>
    </row>
    <row r="283" spans="1:2" ht="13" x14ac:dyDescent="0.15">
      <c r="A283" s="4">
        <v>42538</v>
      </c>
      <c r="B283" s="1">
        <v>2071.2199999999998</v>
      </c>
    </row>
    <row r="284" spans="1:2" ht="13" x14ac:dyDescent="0.15">
      <c r="A284" s="4">
        <v>42541</v>
      </c>
      <c r="B284" s="1">
        <v>2083.25</v>
      </c>
    </row>
    <row r="285" spans="1:2" ht="13" x14ac:dyDescent="0.15">
      <c r="A285" s="4">
        <v>42542</v>
      </c>
      <c r="B285" s="1">
        <v>2088.9</v>
      </c>
    </row>
    <row r="286" spans="1:2" ht="13" x14ac:dyDescent="0.15">
      <c r="A286" s="4">
        <v>42543</v>
      </c>
      <c r="B286" s="1">
        <v>2085.4499999999998</v>
      </c>
    </row>
    <row r="287" spans="1:2" ht="13" x14ac:dyDescent="0.15">
      <c r="A287" s="4">
        <v>42544</v>
      </c>
      <c r="B287" s="1">
        <v>2113.3200000000002</v>
      </c>
    </row>
    <row r="288" spans="1:2" ht="13" x14ac:dyDescent="0.15">
      <c r="A288" s="4">
        <v>42545</v>
      </c>
      <c r="B288" s="1">
        <v>2037.41</v>
      </c>
    </row>
    <row r="289" spans="1:2" ht="13" x14ac:dyDescent="0.15">
      <c r="A289" s="4">
        <v>42548</v>
      </c>
      <c r="B289" s="1">
        <v>2000.54</v>
      </c>
    </row>
    <row r="290" spans="1:2" ht="13" x14ac:dyDescent="0.15">
      <c r="A290" s="4">
        <v>42549</v>
      </c>
      <c r="B290" s="1">
        <v>2036.09</v>
      </c>
    </row>
    <row r="291" spans="1:2" ht="13" x14ac:dyDescent="0.15">
      <c r="A291" s="4">
        <v>42550</v>
      </c>
      <c r="B291" s="1">
        <v>2070.77</v>
      </c>
    </row>
    <row r="292" spans="1:2" ht="13" x14ac:dyDescent="0.15">
      <c r="A292" s="4">
        <v>42551</v>
      </c>
      <c r="B292" s="1">
        <v>2098.86</v>
      </c>
    </row>
    <row r="293" spans="1:2" ht="13" x14ac:dyDescent="0.15">
      <c r="A293" s="4">
        <v>42552</v>
      </c>
      <c r="B293" s="1">
        <v>2102.9499999999998</v>
      </c>
    </row>
    <row r="294" spans="1:2" ht="13" x14ac:dyDescent="0.15">
      <c r="A294" s="4">
        <v>42556</v>
      </c>
      <c r="B294" s="1">
        <v>2088.5500000000002</v>
      </c>
    </row>
    <row r="295" spans="1:2" ht="13" x14ac:dyDescent="0.15">
      <c r="A295" s="4">
        <v>42557</v>
      </c>
      <c r="B295" s="1">
        <v>2099.73</v>
      </c>
    </row>
    <row r="296" spans="1:2" ht="13" x14ac:dyDescent="0.15">
      <c r="A296" s="4">
        <v>42558</v>
      </c>
      <c r="B296" s="1">
        <v>2097.9</v>
      </c>
    </row>
    <row r="297" spans="1:2" ht="13" x14ac:dyDescent="0.15">
      <c r="A297" s="4">
        <v>42559</v>
      </c>
      <c r="B297" s="1">
        <v>2129.9</v>
      </c>
    </row>
    <row r="298" spans="1:2" ht="13" x14ac:dyDescent="0.15">
      <c r="A298" s="4">
        <v>42562</v>
      </c>
      <c r="B298" s="1">
        <v>2137.16</v>
      </c>
    </row>
    <row r="299" spans="1:2" ht="13" x14ac:dyDescent="0.15">
      <c r="A299" s="4">
        <v>42563</v>
      </c>
      <c r="B299" s="1">
        <v>2152.14</v>
      </c>
    </row>
    <row r="300" spans="1:2" ht="13" x14ac:dyDescent="0.15">
      <c r="A300" s="4">
        <v>42564</v>
      </c>
      <c r="B300" s="1">
        <v>2152.4299999999998</v>
      </c>
    </row>
    <row r="301" spans="1:2" ht="13" x14ac:dyDescent="0.15">
      <c r="A301" s="4">
        <v>42565</v>
      </c>
      <c r="B301" s="1">
        <v>2163.75</v>
      </c>
    </row>
    <row r="302" spans="1:2" ht="13" x14ac:dyDescent="0.15">
      <c r="A302" s="4">
        <v>42566</v>
      </c>
      <c r="B302" s="1">
        <v>2161.7399999999998</v>
      </c>
    </row>
    <row r="303" spans="1:2" ht="13" x14ac:dyDescent="0.15">
      <c r="A303" s="4">
        <v>42569</v>
      </c>
      <c r="B303" s="1">
        <v>2166.89</v>
      </c>
    </row>
    <row r="304" spans="1:2" ht="13" x14ac:dyDescent="0.15">
      <c r="A304" s="4">
        <v>42570</v>
      </c>
      <c r="B304" s="1">
        <v>2163.7800000000002</v>
      </c>
    </row>
    <row r="305" spans="1:2" ht="13" x14ac:dyDescent="0.15">
      <c r="A305" s="4">
        <v>42571</v>
      </c>
      <c r="B305" s="1">
        <v>2173.02</v>
      </c>
    </row>
    <row r="306" spans="1:2" ht="13" x14ac:dyDescent="0.15">
      <c r="A306" s="4">
        <v>42572</v>
      </c>
      <c r="B306" s="1">
        <v>2165.17</v>
      </c>
    </row>
    <row r="307" spans="1:2" ht="13" x14ac:dyDescent="0.15">
      <c r="A307" s="4">
        <v>42573</v>
      </c>
      <c r="B307" s="1">
        <v>2175.0300000000002</v>
      </c>
    </row>
    <row r="308" spans="1:2" ht="13" x14ac:dyDescent="0.15">
      <c r="A308" s="4">
        <v>42576</v>
      </c>
      <c r="B308" s="1">
        <v>2168.48</v>
      </c>
    </row>
    <row r="309" spans="1:2" ht="13" x14ac:dyDescent="0.15">
      <c r="A309" s="4">
        <v>42577</v>
      </c>
      <c r="B309" s="1">
        <v>2169.1799999999998</v>
      </c>
    </row>
    <row r="310" spans="1:2" ht="13" x14ac:dyDescent="0.15">
      <c r="A310" s="4">
        <v>42578</v>
      </c>
      <c r="B310" s="1">
        <v>2166.58</v>
      </c>
    </row>
    <row r="311" spans="1:2" ht="13" x14ac:dyDescent="0.15">
      <c r="A311" s="4">
        <v>42579</v>
      </c>
      <c r="B311" s="1">
        <v>2170.06</v>
      </c>
    </row>
    <row r="312" spans="1:2" ht="13" x14ac:dyDescent="0.15">
      <c r="A312" s="4">
        <v>42580</v>
      </c>
      <c r="B312" s="1">
        <v>2173.6</v>
      </c>
    </row>
    <row r="313" spans="1:2" ht="13" x14ac:dyDescent="0.15">
      <c r="A313" s="4">
        <v>42583</v>
      </c>
      <c r="B313" s="1">
        <v>2170.84</v>
      </c>
    </row>
    <row r="314" spans="1:2" ht="13" x14ac:dyDescent="0.15">
      <c r="A314" s="4">
        <v>42584</v>
      </c>
      <c r="B314" s="1">
        <v>2157.0300000000002</v>
      </c>
    </row>
    <row r="315" spans="1:2" ht="13" x14ac:dyDescent="0.15">
      <c r="A315" s="4">
        <v>42585</v>
      </c>
      <c r="B315" s="1">
        <v>2163.79</v>
      </c>
    </row>
    <row r="316" spans="1:2" ht="13" x14ac:dyDescent="0.15">
      <c r="A316" s="4">
        <v>42586</v>
      </c>
      <c r="B316" s="1">
        <v>2164.25</v>
      </c>
    </row>
    <row r="317" spans="1:2" ht="13" x14ac:dyDescent="0.15">
      <c r="A317" s="4">
        <v>42587</v>
      </c>
      <c r="B317" s="1">
        <v>2182.87</v>
      </c>
    </row>
    <row r="318" spans="1:2" ht="13" x14ac:dyDescent="0.15">
      <c r="A318" s="4">
        <v>42590</v>
      </c>
      <c r="B318" s="1">
        <v>2180.89</v>
      </c>
    </row>
    <row r="319" spans="1:2" ht="13" x14ac:dyDescent="0.15">
      <c r="A319" s="4">
        <v>42591</v>
      </c>
      <c r="B319" s="1">
        <v>2181.7399999999998</v>
      </c>
    </row>
    <row r="320" spans="1:2" ht="13" x14ac:dyDescent="0.15">
      <c r="A320" s="4">
        <v>42592</v>
      </c>
      <c r="B320" s="1">
        <v>2175.4899999999998</v>
      </c>
    </row>
    <row r="321" spans="1:2" ht="13" x14ac:dyDescent="0.15">
      <c r="A321" s="4">
        <v>42593</v>
      </c>
      <c r="B321" s="1">
        <v>2185.79</v>
      </c>
    </row>
    <row r="322" spans="1:2" ht="13" x14ac:dyDescent="0.15">
      <c r="A322" s="4">
        <v>42594</v>
      </c>
      <c r="B322" s="1">
        <v>2184.0500000000002</v>
      </c>
    </row>
    <row r="323" spans="1:2" ht="13" x14ac:dyDescent="0.15">
      <c r="A323" s="4">
        <v>42597</v>
      </c>
      <c r="B323" s="1">
        <v>2190.15</v>
      </c>
    </row>
    <row r="324" spans="1:2" ht="13" x14ac:dyDescent="0.15">
      <c r="A324" s="4">
        <v>42598</v>
      </c>
      <c r="B324" s="1">
        <v>2178.15</v>
      </c>
    </row>
    <row r="325" spans="1:2" ht="13" x14ac:dyDescent="0.15">
      <c r="A325" s="4">
        <v>42599</v>
      </c>
      <c r="B325" s="1">
        <v>2182.2199999999998</v>
      </c>
    </row>
    <row r="326" spans="1:2" ht="13" x14ac:dyDescent="0.15">
      <c r="A326" s="4">
        <v>42600</v>
      </c>
      <c r="B326" s="1">
        <v>2187.02</v>
      </c>
    </row>
    <row r="327" spans="1:2" ht="13" x14ac:dyDescent="0.15">
      <c r="A327" s="4">
        <v>42601</v>
      </c>
      <c r="B327" s="1">
        <v>2183.87</v>
      </c>
    </row>
    <row r="328" spans="1:2" ht="13" x14ac:dyDescent="0.15">
      <c r="A328" s="4">
        <v>42604</v>
      </c>
      <c r="B328" s="1">
        <v>2182.64</v>
      </c>
    </row>
    <row r="329" spans="1:2" ht="13" x14ac:dyDescent="0.15">
      <c r="A329" s="4">
        <v>42605</v>
      </c>
      <c r="B329" s="1">
        <v>2186.9</v>
      </c>
    </row>
    <row r="330" spans="1:2" ht="13" x14ac:dyDescent="0.15">
      <c r="A330" s="4">
        <v>42606</v>
      </c>
      <c r="B330" s="1">
        <v>2175.44</v>
      </c>
    </row>
    <row r="331" spans="1:2" ht="13" x14ac:dyDescent="0.15">
      <c r="A331" s="4">
        <v>42607</v>
      </c>
      <c r="B331" s="1">
        <v>2172.4699999999998</v>
      </c>
    </row>
    <row r="332" spans="1:2" ht="13" x14ac:dyDescent="0.15">
      <c r="A332" s="4">
        <v>42608</v>
      </c>
      <c r="B332" s="1">
        <v>2169.04</v>
      </c>
    </row>
    <row r="333" spans="1:2" ht="13" x14ac:dyDescent="0.15">
      <c r="A333" s="4">
        <v>42611</v>
      </c>
      <c r="B333" s="1">
        <v>2180.38</v>
      </c>
    </row>
    <row r="334" spans="1:2" ht="13" x14ac:dyDescent="0.15">
      <c r="A334" s="4">
        <v>42612</v>
      </c>
      <c r="B334" s="1">
        <v>2176.12</v>
      </c>
    </row>
    <row r="335" spans="1:2" ht="13" x14ac:dyDescent="0.15">
      <c r="A335" s="4">
        <v>42613</v>
      </c>
      <c r="B335" s="1">
        <v>2170.9499999999998</v>
      </c>
    </row>
    <row r="336" spans="1:2" ht="13" x14ac:dyDescent="0.15">
      <c r="A336" s="4">
        <v>42614</v>
      </c>
      <c r="B336" s="1">
        <v>2170.86</v>
      </c>
    </row>
    <row r="337" spans="1:2" ht="13" x14ac:dyDescent="0.15">
      <c r="A337" s="4">
        <v>42615</v>
      </c>
      <c r="B337" s="1">
        <v>2179.98</v>
      </c>
    </row>
    <row r="338" spans="1:2" ht="13" x14ac:dyDescent="0.15">
      <c r="A338" s="4">
        <v>42619</v>
      </c>
      <c r="B338" s="1">
        <v>2186.48</v>
      </c>
    </row>
    <row r="339" spans="1:2" ht="13" x14ac:dyDescent="0.15">
      <c r="A339" s="4">
        <v>42620</v>
      </c>
      <c r="B339" s="1">
        <v>2186.16</v>
      </c>
    </row>
    <row r="340" spans="1:2" ht="13" x14ac:dyDescent="0.15">
      <c r="A340" s="4">
        <v>42621</v>
      </c>
      <c r="B340" s="1">
        <v>2181.3000000000002</v>
      </c>
    </row>
    <row r="341" spans="1:2" ht="13" x14ac:dyDescent="0.15">
      <c r="A341" s="4">
        <v>42622</v>
      </c>
      <c r="B341" s="1">
        <v>2127.81</v>
      </c>
    </row>
    <row r="342" spans="1:2" ht="13" x14ac:dyDescent="0.15">
      <c r="A342" s="4">
        <v>42625</v>
      </c>
      <c r="B342" s="1">
        <v>2159.04</v>
      </c>
    </row>
    <row r="343" spans="1:2" ht="13" x14ac:dyDescent="0.15">
      <c r="A343" s="4">
        <v>42626</v>
      </c>
      <c r="B343" s="1">
        <v>2127.02</v>
      </c>
    </row>
    <row r="344" spans="1:2" ht="13" x14ac:dyDescent="0.15">
      <c r="A344" s="4">
        <v>42627</v>
      </c>
      <c r="B344" s="1">
        <v>2125.77</v>
      </c>
    </row>
    <row r="345" spans="1:2" ht="13" x14ac:dyDescent="0.15">
      <c r="A345" s="4">
        <v>42628</v>
      </c>
      <c r="B345" s="1">
        <v>2147.2600000000002</v>
      </c>
    </row>
    <row r="346" spans="1:2" ht="13" x14ac:dyDescent="0.15">
      <c r="A346" s="4">
        <v>42629</v>
      </c>
      <c r="B346" s="1">
        <v>2139.16</v>
      </c>
    </row>
    <row r="347" spans="1:2" ht="13" x14ac:dyDescent="0.15">
      <c r="A347" s="4">
        <v>42632</v>
      </c>
      <c r="B347" s="1">
        <v>2139.12</v>
      </c>
    </row>
    <row r="348" spans="1:2" ht="13" x14ac:dyDescent="0.15">
      <c r="A348" s="4">
        <v>42633</v>
      </c>
      <c r="B348" s="1">
        <v>2139.7600000000002</v>
      </c>
    </row>
    <row r="349" spans="1:2" ht="13" x14ac:dyDescent="0.15">
      <c r="A349" s="4">
        <v>42634</v>
      </c>
      <c r="B349" s="1">
        <v>2163.12</v>
      </c>
    </row>
    <row r="350" spans="1:2" ht="13" x14ac:dyDescent="0.15">
      <c r="A350" s="4">
        <v>42635</v>
      </c>
      <c r="B350" s="1">
        <v>2177.1799999999998</v>
      </c>
    </row>
    <row r="351" spans="1:2" ht="13" x14ac:dyDescent="0.15">
      <c r="A351" s="4">
        <v>42636</v>
      </c>
      <c r="B351" s="1">
        <v>2164.69</v>
      </c>
    </row>
    <row r="352" spans="1:2" ht="13" x14ac:dyDescent="0.15">
      <c r="A352" s="4">
        <v>42639</v>
      </c>
      <c r="B352" s="1">
        <v>2146.1</v>
      </c>
    </row>
    <row r="353" spans="1:2" ht="13" x14ac:dyDescent="0.15">
      <c r="A353" s="4">
        <v>42640</v>
      </c>
      <c r="B353" s="1">
        <v>2159.9299999999998</v>
      </c>
    </row>
    <row r="354" spans="1:2" ht="13" x14ac:dyDescent="0.15">
      <c r="A354" s="4">
        <v>42641</v>
      </c>
      <c r="B354" s="1">
        <v>2171.37</v>
      </c>
    </row>
    <row r="355" spans="1:2" ht="13" x14ac:dyDescent="0.15">
      <c r="A355" s="4">
        <v>42642</v>
      </c>
      <c r="B355" s="1">
        <v>2151.13</v>
      </c>
    </row>
    <row r="356" spans="1:2" ht="13" x14ac:dyDescent="0.15">
      <c r="A356" s="4">
        <v>42643</v>
      </c>
      <c r="B356" s="1">
        <v>2168.27</v>
      </c>
    </row>
    <row r="357" spans="1:2" ht="13" x14ac:dyDescent="0.15">
      <c r="A357" s="4">
        <v>42646</v>
      </c>
      <c r="B357" s="1">
        <v>2161.1999999999998</v>
      </c>
    </row>
    <row r="358" spans="1:2" ht="13" x14ac:dyDescent="0.15">
      <c r="A358" s="4">
        <v>42647</v>
      </c>
      <c r="B358" s="1">
        <v>2150.4899999999998</v>
      </c>
    </row>
    <row r="359" spans="1:2" ht="13" x14ac:dyDescent="0.15">
      <c r="A359" s="4">
        <v>42648</v>
      </c>
      <c r="B359" s="1">
        <v>2159.73</v>
      </c>
    </row>
    <row r="360" spans="1:2" ht="13" x14ac:dyDescent="0.15">
      <c r="A360" s="4">
        <v>42649</v>
      </c>
      <c r="B360" s="1">
        <v>2160.77</v>
      </c>
    </row>
    <row r="361" spans="1:2" ht="13" x14ac:dyDescent="0.15">
      <c r="A361" s="4">
        <v>42650</v>
      </c>
      <c r="B361" s="1">
        <v>2153.7399999999998</v>
      </c>
    </row>
    <row r="362" spans="1:2" ht="13" x14ac:dyDescent="0.15">
      <c r="A362" s="4">
        <v>42653</v>
      </c>
      <c r="B362" s="1">
        <v>2163.66</v>
      </c>
    </row>
    <row r="363" spans="1:2" ht="13" x14ac:dyDescent="0.15">
      <c r="A363" s="4">
        <v>42654</v>
      </c>
      <c r="B363" s="1">
        <v>2136.73</v>
      </c>
    </row>
    <row r="364" spans="1:2" ht="13" x14ac:dyDescent="0.15">
      <c r="A364" s="4">
        <v>42655</v>
      </c>
      <c r="B364" s="1">
        <v>2139.1799999999998</v>
      </c>
    </row>
    <row r="365" spans="1:2" ht="13" x14ac:dyDescent="0.15">
      <c r="A365" s="4">
        <v>42656</v>
      </c>
      <c r="B365" s="1">
        <v>2132.5500000000002</v>
      </c>
    </row>
    <row r="366" spans="1:2" ht="13" x14ac:dyDescent="0.15">
      <c r="A366" s="4">
        <v>42657</v>
      </c>
      <c r="B366" s="1">
        <v>2132.98</v>
      </c>
    </row>
    <row r="367" spans="1:2" ht="13" x14ac:dyDescent="0.15">
      <c r="A367" s="4">
        <v>42660</v>
      </c>
      <c r="B367" s="1">
        <v>2126.5</v>
      </c>
    </row>
    <row r="368" spans="1:2" ht="13" x14ac:dyDescent="0.15">
      <c r="A368" s="4">
        <v>42661</v>
      </c>
      <c r="B368" s="1">
        <v>2139.6</v>
      </c>
    </row>
    <row r="369" spans="1:2" ht="13" x14ac:dyDescent="0.15">
      <c r="A369" s="4">
        <v>42662</v>
      </c>
      <c r="B369" s="1">
        <v>2144.29</v>
      </c>
    </row>
    <row r="370" spans="1:2" ht="13" x14ac:dyDescent="0.15">
      <c r="A370" s="4">
        <v>42663</v>
      </c>
      <c r="B370" s="1">
        <v>2141.34</v>
      </c>
    </row>
    <row r="371" spans="1:2" ht="13" x14ac:dyDescent="0.15">
      <c r="A371" s="4">
        <v>42664</v>
      </c>
      <c r="B371" s="1">
        <v>2141.16</v>
      </c>
    </row>
    <row r="372" spans="1:2" ht="13" x14ac:dyDescent="0.15">
      <c r="A372" s="4">
        <v>42667</v>
      </c>
      <c r="B372" s="1">
        <v>2151.33</v>
      </c>
    </row>
    <row r="373" spans="1:2" ht="13" x14ac:dyDescent="0.15">
      <c r="A373" s="4">
        <v>42668</v>
      </c>
      <c r="B373" s="1">
        <v>2143.16</v>
      </c>
    </row>
    <row r="374" spans="1:2" ht="13" x14ac:dyDescent="0.15">
      <c r="A374" s="4">
        <v>42669</v>
      </c>
      <c r="B374" s="1">
        <v>2139.4299999999998</v>
      </c>
    </row>
    <row r="375" spans="1:2" ht="13" x14ac:dyDescent="0.15">
      <c r="A375" s="4">
        <v>42670</v>
      </c>
      <c r="B375" s="1">
        <v>2133.04</v>
      </c>
    </row>
    <row r="376" spans="1:2" ht="13" x14ac:dyDescent="0.15">
      <c r="A376" s="4">
        <v>42671</v>
      </c>
      <c r="B376" s="1">
        <v>2126.41</v>
      </c>
    </row>
    <row r="377" spans="1:2" ht="13" x14ac:dyDescent="0.15">
      <c r="A377" s="4">
        <v>42674</v>
      </c>
      <c r="B377" s="1">
        <v>2126.15</v>
      </c>
    </row>
    <row r="378" spans="1:2" ht="13" x14ac:dyDescent="0.15">
      <c r="A378" s="4">
        <v>42675</v>
      </c>
      <c r="B378" s="1">
        <v>2111.7199999999998</v>
      </c>
    </row>
    <row r="379" spans="1:2" ht="13" x14ac:dyDescent="0.15">
      <c r="A379" s="4">
        <v>42676</v>
      </c>
      <c r="B379" s="1">
        <v>2097.94</v>
      </c>
    </row>
    <row r="380" spans="1:2" ht="13" x14ac:dyDescent="0.15">
      <c r="A380" s="4">
        <v>42677</v>
      </c>
      <c r="B380" s="1">
        <v>2088.66</v>
      </c>
    </row>
    <row r="381" spans="1:2" ht="13" x14ac:dyDescent="0.15">
      <c r="A381" s="4">
        <v>42678</v>
      </c>
      <c r="B381" s="1">
        <v>2085.1799999999998</v>
      </c>
    </row>
    <row r="382" spans="1:2" ht="13" x14ac:dyDescent="0.15">
      <c r="A382" s="4">
        <v>42681</v>
      </c>
      <c r="B382" s="1">
        <v>2131.52</v>
      </c>
    </row>
    <row r="383" spans="1:2" ht="13" x14ac:dyDescent="0.15">
      <c r="A383" s="4">
        <v>42682</v>
      </c>
      <c r="B383" s="1">
        <v>2139.56</v>
      </c>
    </row>
    <row r="384" spans="1:2" ht="13" x14ac:dyDescent="0.15">
      <c r="A384" s="4">
        <v>42683</v>
      </c>
      <c r="B384" s="1">
        <v>2163.2600000000002</v>
      </c>
    </row>
    <row r="385" spans="1:2" ht="13" x14ac:dyDescent="0.15">
      <c r="A385" s="4">
        <v>42684</v>
      </c>
      <c r="B385" s="1">
        <v>2167.48</v>
      </c>
    </row>
    <row r="386" spans="1:2" ht="13" x14ac:dyDescent="0.15">
      <c r="A386" s="4">
        <v>42685</v>
      </c>
      <c r="B386" s="1">
        <v>2164.4499999999998</v>
      </c>
    </row>
    <row r="387" spans="1:2" ht="13" x14ac:dyDescent="0.15">
      <c r="A387" s="4">
        <v>42688</v>
      </c>
      <c r="B387" s="1">
        <v>2164.1999999999998</v>
      </c>
    </row>
    <row r="388" spans="1:2" ht="13" x14ac:dyDescent="0.15">
      <c r="A388" s="4">
        <v>42689</v>
      </c>
      <c r="B388" s="1">
        <v>2180.39</v>
      </c>
    </row>
    <row r="389" spans="1:2" ht="13" x14ac:dyDescent="0.15">
      <c r="A389" s="4">
        <v>42690</v>
      </c>
      <c r="B389" s="1">
        <v>2176.94</v>
      </c>
    </row>
    <row r="390" spans="1:2" ht="13" x14ac:dyDescent="0.15">
      <c r="A390" s="4">
        <v>42691</v>
      </c>
      <c r="B390" s="1">
        <v>2187.12</v>
      </c>
    </row>
    <row r="391" spans="1:2" ht="13" x14ac:dyDescent="0.15">
      <c r="A391" s="4">
        <v>42692</v>
      </c>
      <c r="B391" s="1">
        <v>2181.9</v>
      </c>
    </row>
    <row r="392" spans="1:2" ht="13" x14ac:dyDescent="0.15">
      <c r="A392" s="4">
        <v>42695</v>
      </c>
      <c r="B392" s="1">
        <v>2198.1799999999998</v>
      </c>
    </row>
    <row r="393" spans="1:2" ht="13" x14ac:dyDescent="0.15">
      <c r="A393" s="4">
        <v>42696</v>
      </c>
      <c r="B393" s="1">
        <v>2202.94</v>
      </c>
    </row>
    <row r="394" spans="1:2" ht="13" x14ac:dyDescent="0.15">
      <c r="A394" s="4">
        <v>42697</v>
      </c>
      <c r="B394" s="1">
        <v>2204.7199999999998</v>
      </c>
    </row>
    <row r="395" spans="1:2" ht="13" x14ac:dyDescent="0.15">
      <c r="A395" s="4">
        <v>42699</v>
      </c>
      <c r="B395" s="1">
        <v>2213.35</v>
      </c>
    </row>
    <row r="396" spans="1:2" ht="13" x14ac:dyDescent="0.15">
      <c r="A396" s="4">
        <v>42702</v>
      </c>
      <c r="B396" s="1">
        <v>2201.7199999999998</v>
      </c>
    </row>
    <row r="397" spans="1:2" ht="13" x14ac:dyDescent="0.15">
      <c r="A397" s="4">
        <v>42703</v>
      </c>
      <c r="B397" s="1">
        <v>2204.66</v>
      </c>
    </row>
    <row r="398" spans="1:2" ht="13" x14ac:dyDescent="0.15">
      <c r="A398" s="4">
        <v>42704</v>
      </c>
      <c r="B398" s="1">
        <v>2198.81</v>
      </c>
    </row>
    <row r="399" spans="1:2" ht="13" x14ac:dyDescent="0.15">
      <c r="A399" s="4">
        <v>42705</v>
      </c>
      <c r="B399" s="1">
        <v>2191.08</v>
      </c>
    </row>
    <row r="400" spans="1:2" ht="13" x14ac:dyDescent="0.15">
      <c r="A400" s="4">
        <v>42706</v>
      </c>
      <c r="B400" s="1">
        <v>2191.9499999999998</v>
      </c>
    </row>
    <row r="401" spans="1:2" ht="13" x14ac:dyDescent="0.15">
      <c r="A401" s="4">
        <v>42709</v>
      </c>
      <c r="B401" s="1">
        <v>2204.71</v>
      </c>
    </row>
    <row r="402" spans="1:2" ht="13" x14ac:dyDescent="0.15">
      <c r="A402" s="4">
        <v>42710</v>
      </c>
      <c r="B402" s="1">
        <v>2212.23</v>
      </c>
    </row>
    <row r="403" spans="1:2" ht="13" x14ac:dyDescent="0.15">
      <c r="A403" s="4">
        <v>42711</v>
      </c>
      <c r="B403" s="1">
        <v>2241.35</v>
      </c>
    </row>
    <row r="404" spans="1:2" ht="13" x14ac:dyDescent="0.15">
      <c r="A404" s="4">
        <v>42712</v>
      </c>
      <c r="B404" s="1">
        <v>2246.19</v>
      </c>
    </row>
    <row r="405" spans="1:2" ht="13" x14ac:dyDescent="0.15">
      <c r="A405" s="4">
        <v>42713</v>
      </c>
      <c r="B405" s="1">
        <v>2259.5300000000002</v>
      </c>
    </row>
    <row r="406" spans="1:2" ht="13" x14ac:dyDescent="0.15">
      <c r="A406" s="4">
        <v>42716</v>
      </c>
      <c r="B406" s="1">
        <v>2256.96</v>
      </c>
    </row>
    <row r="407" spans="1:2" ht="13" x14ac:dyDescent="0.15">
      <c r="A407" s="4">
        <v>42717</v>
      </c>
      <c r="B407" s="1">
        <v>2271.7199999999998</v>
      </c>
    </row>
    <row r="408" spans="1:2" ht="13" x14ac:dyDescent="0.15">
      <c r="A408" s="4">
        <v>42718</v>
      </c>
      <c r="B408" s="1">
        <v>2253.2800000000002</v>
      </c>
    </row>
    <row r="409" spans="1:2" ht="13" x14ac:dyDescent="0.15">
      <c r="A409" s="4">
        <v>42719</v>
      </c>
      <c r="B409" s="1">
        <v>2262.0300000000002</v>
      </c>
    </row>
    <row r="410" spans="1:2" ht="13" x14ac:dyDescent="0.15">
      <c r="A410" s="4">
        <v>42720</v>
      </c>
      <c r="B410" s="1">
        <v>2258.0700000000002</v>
      </c>
    </row>
    <row r="411" spans="1:2" ht="13" x14ac:dyDescent="0.15">
      <c r="A411" s="4">
        <v>42723</v>
      </c>
      <c r="B411" s="1">
        <v>2262.5300000000002</v>
      </c>
    </row>
    <row r="412" spans="1:2" ht="13" x14ac:dyDescent="0.15">
      <c r="A412" s="4">
        <v>42724</v>
      </c>
      <c r="B412" s="1">
        <v>2270.7600000000002</v>
      </c>
    </row>
    <row r="413" spans="1:2" ht="13" x14ac:dyDescent="0.15">
      <c r="A413" s="4">
        <v>42725</v>
      </c>
      <c r="B413" s="1">
        <v>2265.1799999999998</v>
      </c>
    </row>
    <row r="414" spans="1:2" ht="13" x14ac:dyDescent="0.15">
      <c r="A414" s="4">
        <v>42726</v>
      </c>
      <c r="B414" s="1">
        <v>2260.96</v>
      </c>
    </row>
    <row r="415" spans="1:2" ht="13" x14ac:dyDescent="0.15">
      <c r="A415" s="4">
        <v>42727</v>
      </c>
      <c r="B415" s="1">
        <v>2263.79</v>
      </c>
    </row>
    <row r="416" spans="1:2" ht="13" x14ac:dyDescent="0.15">
      <c r="A416" s="4">
        <v>42731</v>
      </c>
      <c r="B416" s="1">
        <v>2268.88</v>
      </c>
    </row>
    <row r="417" spans="1:2" ht="13" x14ac:dyDescent="0.15">
      <c r="A417" s="4">
        <v>42732</v>
      </c>
      <c r="B417" s="1">
        <v>2249.92</v>
      </c>
    </row>
    <row r="418" spans="1:2" ht="13" x14ac:dyDescent="0.15">
      <c r="A418" s="4">
        <v>42733</v>
      </c>
      <c r="B418" s="1">
        <v>2249.2600000000002</v>
      </c>
    </row>
    <row r="419" spans="1:2" ht="13" x14ac:dyDescent="0.15">
      <c r="A419" s="4">
        <v>42734</v>
      </c>
      <c r="B419" s="1">
        <v>2238.83</v>
      </c>
    </row>
    <row r="420" spans="1:2" ht="13" x14ac:dyDescent="0.15">
      <c r="A420" s="4">
        <v>42738</v>
      </c>
      <c r="B420" s="1">
        <v>2257.83</v>
      </c>
    </row>
    <row r="421" spans="1:2" ht="13" x14ac:dyDescent="0.15">
      <c r="A421" s="4">
        <v>42739</v>
      </c>
      <c r="B421" s="1">
        <v>2270.75</v>
      </c>
    </row>
    <row r="422" spans="1:2" ht="13" x14ac:dyDescent="0.15">
      <c r="A422" s="4">
        <v>42740</v>
      </c>
      <c r="B422" s="1">
        <v>2269</v>
      </c>
    </row>
    <row r="423" spans="1:2" ht="13" x14ac:dyDescent="0.15">
      <c r="A423" s="4">
        <v>42741</v>
      </c>
      <c r="B423" s="1">
        <v>2276.98</v>
      </c>
    </row>
    <row r="424" spans="1:2" ht="13" x14ac:dyDescent="0.15">
      <c r="A424" s="4">
        <v>42744</v>
      </c>
      <c r="B424" s="1">
        <v>2268.9</v>
      </c>
    </row>
    <row r="425" spans="1:2" ht="13" x14ac:dyDescent="0.15">
      <c r="A425" s="4">
        <v>42745</v>
      </c>
      <c r="B425" s="1">
        <v>2268.9</v>
      </c>
    </row>
    <row r="426" spans="1:2" ht="13" x14ac:dyDescent="0.15">
      <c r="A426" s="4">
        <v>42746</v>
      </c>
      <c r="B426" s="1">
        <v>2275.3200000000002</v>
      </c>
    </row>
    <row r="427" spans="1:2" ht="13" x14ac:dyDescent="0.15">
      <c r="A427" s="4">
        <v>42747</v>
      </c>
      <c r="B427" s="1">
        <v>2270.44</v>
      </c>
    </row>
    <row r="428" spans="1:2" ht="13" x14ac:dyDescent="0.15">
      <c r="A428" s="4">
        <v>42748</v>
      </c>
      <c r="B428" s="1">
        <v>2274.64</v>
      </c>
    </row>
    <row r="429" spans="1:2" ht="13" x14ac:dyDescent="0.15">
      <c r="A429" s="4">
        <v>42752</v>
      </c>
      <c r="B429" s="1">
        <v>2267.89</v>
      </c>
    </row>
    <row r="430" spans="1:2" ht="13" x14ac:dyDescent="0.15">
      <c r="A430" s="4">
        <v>42753</v>
      </c>
      <c r="B430" s="1">
        <v>2271.89</v>
      </c>
    </row>
    <row r="431" spans="1:2" ht="13" x14ac:dyDescent="0.15">
      <c r="A431" s="4">
        <v>42754</v>
      </c>
      <c r="B431" s="1">
        <v>2263.69</v>
      </c>
    </row>
    <row r="432" spans="1:2" ht="13" x14ac:dyDescent="0.15">
      <c r="A432" s="4">
        <v>42755</v>
      </c>
      <c r="B432" s="1">
        <v>2271.31</v>
      </c>
    </row>
    <row r="433" spans="1:2" ht="13" x14ac:dyDescent="0.15">
      <c r="A433" s="4">
        <v>42758</v>
      </c>
      <c r="B433" s="1">
        <v>2265.1999999999998</v>
      </c>
    </row>
    <row r="434" spans="1:2" ht="13" x14ac:dyDescent="0.15">
      <c r="A434" s="4">
        <v>42759</v>
      </c>
      <c r="B434" s="1">
        <v>2280.0700000000002</v>
      </c>
    </row>
    <row r="435" spans="1:2" ht="13" x14ac:dyDescent="0.15">
      <c r="A435" s="4">
        <v>42760</v>
      </c>
      <c r="B435" s="1">
        <v>2298.37</v>
      </c>
    </row>
    <row r="436" spans="1:2" ht="13" x14ac:dyDescent="0.15">
      <c r="A436" s="4">
        <v>42761</v>
      </c>
      <c r="B436" s="1">
        <v>2296.6799999999998</v>
      </c>
    </row>
    <row r="437" spans="1:2" ht="13" x14ac:dyDescent="0.15">
      <c r="A437" s="4">
        <v>42762</v>
      </c>
      <c r="B437" s="1">
        <v>2294.69</v>
      </c>
    </row>
    <row r="438" spans="1:2" ht="13" x14ac:dyDescent="0.15">
      <c r="A438" s="4">
        <v>42765</v>
      </c>
      <c r="B438" s="1">
        <v>2280.9</v>
      </c>
    </row>
    <row r="439" spans="1:2" ht="13" x14ac:dyDescent="0.15">
      <c r="A439" s="4">
        <v>42766</v>
      </c>
      <c r="B439" s="1">
        <v>2278.87</v>
      </c>
    </row>
    <row r="440" spans="1:2" ht="13" x14ac:dyDescent="0.15">
      <c r="A440" s="4">
        <v>42767</v>
      </c>
      <c r="B440" s="1">
        <v>2279.5500000000002</v>
      </c>
    </row>
    <row r="441" spans="1:2" ht="13" x14ac:dyDescent="0.15">
      <c r="A441" s="4">
        <v>42768</v>
      </c>
      <c r="B441" s="1">
        <v>2280.85</v>
      </c>
    </row>
    <row r="442" spans="1:2" ht="13" x14ac:dyDescent="0.15">
      <c r="A442" s="4">
        <v>42769</v>
      </c>
      <c r="B442" s="1">
        <v>2297.42</v>
      </c>
    </row>
    <row r="443" spans="1:2" ht="13" x14ac:dyDescent="0.15">
      <c r="A443" s="4">
        <v>42772</v>
      </c>
      <c r="B443" s="1">
        <v>2292.56</v>
      </c>
    </row>
    <row r="444" spans="1:2" ht="13" x14ac:dyDescent="0.15">
      <c r="A444" s="4">
        <v>42773</v>
      </c>
      <c r="B444" s="1">
        <v>2293.08</v>
      </c>
    </row>
    <row r="445" spans="1:2" ht="13" x14ac:dyDescent="0.15">
      <c r="A445" s="4">
        <v>42774</v>
      </c>
      <c r="B445" s="1">
        <v>2294.67</v>
      </c>
    </row>
    <row r="446" spans="1:2" ht="13" x14ac:dyDescent="0.15">
      <c r="A446" s="4">
        <v>42775</v>
      </c>
      <c r="B446" s="1">
        <v>2307.87</v>
      </c>
    </row>
    <row r="447" spans="1:2" ht="13" x14ac:dyDescent="0.15">
      <c r="A447" s="4">
        <v>42776</v>
      </c>
      <c r="B447" s="1">
        <v>2316.1</v>
      </c>
    </row>
    <row r="448" spans="1:2" ht="13" x14ac:dyDescent="0.15">
      <c r="A448" s="4">
        <v>42779</v>
      </c>
      <c r="B448" s="1">
        <v>2328.25</v>
      </c>
    </row>
    <row r="449" spans="1:2" ht="13" x14ac:dyDescent="0.15">
      <c r="A449" s="4">
        <v>42780</v>
      </c>
      <c r="B449" s="1">
        <v>2337.58</v>
      </c>
    </row>
    <row r="450" spans="1:2" ht="13" x14ac:dyDescent="0.15">
      <c r="A450" s="4">
        <v>42781</v>
      </c>
      <c r="B450" s="1">
        <v>2349.25</v>
      </c>
    </row>
    <row r="451" spans="1:2" ht="13" x14ac:dyDescent="0.15">
      <c r="A451" s="4">
        <v>42782</v>
      </c>
      <c r="B451" s="1">
        <v>2347.2199999999998</v>
      </c>
    </row>
    <row r="452" spans="1:2" ht="13" x14ac:dyDescent="0.15">
      <c r="A452" s="4">
        <v>42783</v>
      </c>
      <c r="B452" s="1">
        <v>2351.16</v>
      </c>
    </row>
    <row r="453" spans="1:2" ht="13" x14ac:dyDescent="0.15">
      <c r="A453" s="4">
        <v>42787</v>
      </c>
      <c r="B453" s="1">
        <v>2365.38</v>
      </c>
    </row>
    <row r="454" spans="1:2" ht="13" x14ac:dyDescent="0.15">
      <c r="A454" s="4">
        <v>42788</v>
      </c>
      <c r="B454" s="1">
        <v>2362.8200000000002</v>
      </c>
    </row>
    <row r="455" spans="1:2" ht="13" x14ac:dyDescent="0.15">
      <c r="A455" s="4">
        <v>42789</v>
      </c>
      <c r="B455" s="1">
        <v>2363.81</v>
      </c>
    </row>
    <row r="456" spans="1:2" ht="13" x14ac:dyDescent="0.15">
      <c r="A456" s="4">
        <v>42790</v>
      </c>
      <c r="B456" s="1">
        <v>2367.34</v>
      </c>
    </row>
    <row r="457" spans="1:2" ht="13" x14ac:dyDescent="0.15">
      <c r="A457" s="4">
        <v>42793</v>
      </c>
      <c r="B457" s="1">
        <v>2369.75</v>
      </c>
    </row>
    <row r="458" spans="1:2" ht="13" x14ac:dyDescent="0.15">
      <c r="A458" s="4">
        <v>42794</v>
      </c>
      <c r="B458" s="1">
        <v>2363.64</v>
      </c>
    </row>
    <row r="459" spans="1:2" ht="13" x14ac:dyDescent="0.15">
      <c r="A459" s="4">
        <v>42795</v>
      </c>
      <c r="B459" s="1">
        <v>2395.96</v>
      </c>
    </row>
    <row r="460" spans="1:2" ht="13" x14ac:dyDescent="0.15">
      <c r="A460" s="4">
        <v>42796</v>
      </c>
      <c r="B460" s="1">
        <v>2381.92</v>
      </c>
    </row>
    <row r="461" spans="1:2" ht="13" x14ac:dyDescent="0.15">
      <c r="A461" s="4">
        <v>42797</v>
      </c>
      <c r="B461" s="1">
        <v>2383.12</v>
      </c>
    </row>
    <row r="462" spans="1:2" ht="13" x14ac:dyDescent="0.15">
      <c r="A462" s="4">
        <v>42800</v>
      </c>
      <c r="B462" s="1">
        <v>2375.31</v>
      </c>
    </row>
    <row r="463" spans="1:2" ht="13" x14ac:dyDescent="0.15">
      <c r="A463" s="4">
        <v>42801</v>
      </c>
      <c r="B463" s="1">
        <v>2368.39</v>
      </c>
    </row>
    <row r="464" spans="1:2" ht="13" x14ac:dyDescent="0.15">
      <c r="A464" s="4">
        <v>42802</v>
      </c>
      <c r="B464" s="1">
        <v>2362.98</v>
      </c>
    </row>
    <row r="465" spans="1:2" ht="13" x14ac:dyDescent="0.15">
      <c r="A465" s="4">
        <v>42803</v>
      </c>
      <c r="B465" s="1">
        <v>2364.87</v>
      </c>
    </row>
    <row r="466" spans="1:2" ht="13" x14ac:dyDescent="0.15">
      <c r="A466" s="4">
        <v>42804</v>
      </c>
      <c r="B466" s="1">
        <v>2372.6</v>
      </c>
    </row>
    <row r="467" spans="1:2" ht="13" x14ac:dyDescent="0.15">
      <c r="A467" s="4">
        <v>42807</v>
      </c>
      <c r="B467" s="1">
        <v>2373.4699999999998</v>
      </c>
    </row>
    <row r="468" spans="1:2" ht="13" x14ac:dyDescent="0.15">
      <c r="A468" s="4">
        <v>42808</v>
      </c>
      <c r="B468" s="1">
        <v>2365.4499999999998</v>
      </c>
    </row>
    <row r="469" spans="1:2" ht="13" x14ac:dyDescent="0.15">
      <c r="A469" s="4">
        <v>42809</v>
      </c>
      <c r="B469" s="1">
        <v>2385.2600000000002</v>
      </c>
    </row>
    <row r="470" spans="1:2" ht="13" x14ac:dyDescent="0.15">
      <c r="A470" s="4">
        <v>42810</v>
      </c>
      <c r="B470" s="1">
        <v>2381.38</v>
      </c>
    </row>
    <row r="471" spans="1:2" ht="13" x14ac:dyDescent="0.15">
      <c r="A471" s="4">
        <v>42811</v>
      </c>
      <c r="B471" s="1">
        <v>2378.25</v>
      </c>
    </row>
    <row r="472" spans="1:2" ht="13" x14ac:dyDescent="0.15">
      <c r="A472" s="4">
        <v>42814</v>
      </c>
      <c r="B472" s="1">
        <v>2373.4699999999998</v>
      </c>
    </row>
    <row r="473" spans="1:2" ht="13" x14ac:dyDescent="0.15">
      <c r="A473" s="4">
        <v>42815</v>
      </c>
      <c r="B473" s="1">
        <v>2344.02</v>
      </c>
    </row>
    <row r="474" spans="1:2" ht="13" x14ac:dyDescent="0.15">
      <c r="A474" s="4">
        <v>42816</v>
      </c>
      <c r="B474" s="1">
        <v>2348.4499999999998</v>
      </c>
    </row>
    <row r="475" spans="1:2" ht="13" x14ac:dyDescent="0.15">
      <c r="A475" s="4">
        <v>42817</v>
      </c>
      <c r="B475" s="1">
        <v>2345.96</v>
      </c>
    </row>
    <row r="476" spans="1:2" ht="13" x14ac:dyDescent="0.15">
      <c r="A476" s="4">
        <v>42818</v>
      </c>
      <c r="B476" s="1">
        <v>2343.98</v>
      </c>
    </row>
    <row r="477" spans="1:2" ht="13" x14ac:dyDescent="0.15">
      <c r="A477" s="4">
        <v>42821</v>
      </c>
      <c r="B477" s="1">
        <v>2341.59</v>
      </c>
    </row>
    <row r="478" spans="1:2" ht="13" x14ac:dyDescent="0.15">
      <c r="A478" s="4">
        <v>42822</v>
      </c>
      <c r="B478" s="1">
        <v>2358.5700000000002</v>
      </c>
    </row>
    <row r="479" spans="1:2" ht="13" x14ac:dyDescent="0.15">
      <c r="A479" s="4">
        <v>42823</v>
      </c>
      <c r="B479" s="1">
        <v>2361.13</v>
      </c>
    </row>
    <row r="480" spans="1:2" ht="13" x14ac:dyDescent="0.15">
      <c r="A480" s="4">
        <v>42824</v>
      </c>
      <c r="B480" s="1">
        <v>2368.06</v>
      </c>
    </row>
    <row r="481" spans="1:2" ht="13" x14ac:dyDescent="0.15">
      <c r="A481" s="4">
        <v>42825</v>
      </c>
      <c r="B481" s="1">
        <v>2362.7199999999998</v>
      </c>
    </row>
    <row r="482" spans="1:2" ht="13" x14ac:dyDescent="0.15">
      <c r="A482" s="4">
        <v>42828</v>
      </c>
      <c r="B482" s="1">
        <v>2358.84</v>
      </c>
    </row>
    <row r="483" spans="1:2" ht="13" x14ac:dyDescent="0.15">
      <c r="A483" s="4">
        <v>42829</v>
      </c>
      <c r="B483" s="1">
        <v>2360.16</v>
      </c>
    </row>
    <row r="484" spans="1:2" ht="13" x14ac:dyDescent="0.15">
      <c r="A484" s="4">
        <v>42830</v>
      </c>
      <c r="B484" s="1">
        <v>2352.9499999999998</v>
      </c>
    </row>
    <row r="485" spans="1:2" ht="13" x14ac:dyDescent="0.15">
      <c r="A485" s="4">
        <v>42831</v>
      </c>
      <c r="B485" s="1">
        <v>2357.4899999999998</v>
      </c>
    </row>
    <row r="486" spans="1:2" ht="13" x14ac:dyDescent="0.15">
      <c r="A486" s="4">
        <v>42832</v>
      </c>
      <c r="B486" s="1">
        <v>2355.54</v>
      </c>
    </row>
    <row r="487" spans="1:2" ht="13" x14ac:dyDescent="0.15">
      <c r="A487" s="4">
        <v>42835</v>
      </c>
      <c r="B487" s="1">
        <v>2357.16</v>
      </c>
    </row>
    <row r="488" spans="1:2" ht="13" x14ac:dyDescent="0.15">
      <c r="A488" s="4">
        <v>42836</v>
      </c>
      <c r="B488" s="1">
        <v>2353.7800000000002</v>
      </c>
    </row>
    <row r="489" spans="1:2" ht="13" x14ac:dyDescent="0.15">
      <c r="A489" s="4">
        <v>42837</v>
      </c>
      <c r="B489" s="1">
        <v>2344.9299999999998</v>
      </c>
    </row>
    <row r="490" spans="1:2" ht="13" x14ac:dyDescent="0.15">
      <c r="A490" s="4">
        <v>42838</v>
      </c>
      <c r="B490" s="1">
        <v>2328.9499999999998</v>
      </c>
    </row>
    <row r="491" spans="1:2" ht="13" x14ac:dyDescent="0.15">
      <c r="A491" s="4">
        <v>42842</v>
      </c>
      <c r="B491" s="1">
        <v>2349.0100000000002</v>
      </c>
    </row>
    <row r="492" spans="1:2" ht="13" x14ac:dyDescent="0.15">
      <c r="A492" s="4">
        <v>42843</v>
      </c>
      <c r="B492" s="1">
        <v>2342.19</v>
      </c>
    </row>
    <row r="493" spans="1:2" ht="13" x14ac:dyDescent="0.15">
      <c r="A493" s="4">
        <v>42844</v>
      </c>
      <c r="B493" s="1">
        <v>2338.17</v>
      </c>
    </row>
    <row r="494" spans="1:2" ht="13" x14ac:dyDescent="0.15">
      <c r="A494" s="4">
        <v>42845</v>
      </c>
      <c r="B494" s="1">
        <v>2355.84</v>
      </c>
    </row>
    <row r="495" spans="1:2" ht="13" x14ac:dyDescent="0.15">
      <c r="A495" s="4">
        <v>42846</v>
      </c>
      <c r="B495" s="1">
        <v>2348.69</v>
      </c>
    </row>
    <row r="496" spans="1:2" ht="13" x14ac:dyDescent="0.15">
      <c r="A496" s="4">
        <v>42849</v>
      </c>
      <c r="B496" s="1">
        <v>2374.15</v>
      </c>
    </row>
    <row r="497" spans="1:2" ht="13" x14ac:dyDescent="0.15">
      <c r="A497" s="4">
        <v>42850</v>
      </c>
      <c r="B497" s="1">
        <v>2388.61</v>
      </c>
    </row>
    <row r="498" spans="1:2" ht="13" x14ac:dyDescent="0.15">
      <c r="A498" s="4">
        <v>42851</v>
      </c>
      <c r="B498" s="1">
        <v>2387.4499999999998</v>
      </c>
    </row>
    <row r="499" spans="1:2" ht="13" x14ac:dyDescent="0.15">
      <c r="A499" s="4">
        <v>42852</v>
      </c>
      <c r="B499" s="1">
        <v>2388.77</v>
      </c>
    </row>
    <row r="500" spans="1:2" ht="13" x14ac:dyDescent="0.15">
      <c r="A500" s="4">
        <v>42853</v>
      </c>
      <c r="B500" s="1">
        <v>2384.1999999999998</v>
      </c>
    </row>
    <row r="501" spans="1:2" ht="13" x14ac:dyDescent="0.15">
      <c r="A501" s="4">
        <v>42856</v>
      </c>
      <c r="B501" s="1">
        <v>2388.33</v>
      </c>
    </row>
    <row r="502" spans="1:2" ht="13" x14ac:dyDescent="0.15">
      <c r="A502" s="4">
        <v>42857</v>
      </c>
      <c r="B502" s="1">
        <v>2391.17</v>
      </c>
    </row>
    <row r="503" spans="1:2" ht="13" x14ac:dyDescent="0.15">
      <c r="A503" s="4">
        <v>42858</v>
      </c>
      <c r="B503" s="1">
        <v>2388.13</v>
      </c>
    </row>
    <row r="504" spans="1:2" ht="13" x14ac:dyDescent="0.15">
      <c r="A504" s="4">
        <v>42859</v>
      </c>
      <c r="B504" s="1">
        <v>2389.52</v>
      </c>
    </row>
    <row r="505" spans="1:2" ht="13" x14ac:dyDescent="0.15">
      <c r="A505" s="4">
        <v>42860</v>
      </c>
      <c r="B505" s="1">
        <v>2399.29</v>
      </c>
    </row>
    <row r="506" spans="1:2" ht="13" x14ac:dyDescent="0.15">
      <c r="A506" s="4">
        <v>42863</v>
      </c>
      <c r="B506" s="1">
        <v>2399.38</v>
      </c>
    </row>
    <row r="507" spans="1:2" ht="13" x14ac:dyDescent="0.15">
      <c r="A507" s="4">
        <v>42864</v>
      </c>
      <c r="B507" s="1">
        <v>2396.92</v>
      </c>
    </row>
    <row r="508" spans="1:2" ht="13" x14ac:dyDescent="0.15">
      <c r="A508" s="4">
        <v>42865</v>
      </c>
      <c r="B508" s="1">
        <v>2399.63</v>
      </c>
    </row>
    <row r="509" spans="1:2" ht="13" x14ac:dyDescent="0.15">
      <c r="A509" s="4">
        <v>42866</v>
      </c>
      <c r="B509" s="1">
        <v>2394.44</v>
      </c>
    </row>
    <row r="510" spans="1:2" ht="13" x14ac:dyDescent="0.15">
      <c r="A510" s="4">
        <v>42867</v>
      </c>
      <c r="B510" s="1">
        <v>2390.9</v>
      </c>
    </row>
    <row r="511" spans="1:2" ht="13" x14ac:dyDescent="0.15">
      <c r="A511" s="4">
        <v>42870</v>
      </c>
      <c r="B511" s="1">
        <v>2402.3200000000002</v>
      </c>
    </row>
    <row r="512" spans="1:2" ht="13" x14ac:dyDescent="0.15">
      <c r="A512" s="4">
        <v>42871</v>
      </c>
      <c r="B512" s="1">
        <v>2400.67</v>
      </c>
    </row>
    <row r="513" spans="1:2" ht="13" x14ac:dyDescent="0.15">
      <c r="A513" s="4">
        <v>42872</v>
      </c>
      <c r="B513" s="1">
        <v>2357.0300000000002</v>
      </c>
    </row>
    <row r="514" spans="1:2" ht="13" x14ac:dyDescent="0.15">
      <c r="A514" s="4">
        <v>42873</v>
      </c>
      <c r="B514" s="1">
        <v>2365.7199999999998</v>
      </c>
    </row>
    <row r="515" spans="1:2" ht="13" x14ac:dyDescent="0.15">
      <c r="A515" s="4">
        <v>42874</v>
      </c>
      <c r="B515" s="1">
        <v>2381.73</v>
      </c>
    </row>
    <row r="516" spans="1:2" ht="13" x14ac:dyDescent="0.15">
      <c r="A516" s="4">
        <v>42877</v>
      </c>
      <c r="B516" s="1">
        <v>2394.02</v>
      </c>
    </row>
    <row r="517" spans="1:2" ht="13" x14ac:dyDescent="0.15">
      <c r="A517" s="4">
        <v>42878</v>
      </c>
      <c r="B517" s="1">
        <v>2398.42</v>
      </c>
    </row>
    <row r="518" spans="1:2" ht="13" x14ac:dyDescent="0.15">
      <c r="A518" s="4">
        <v>42879</v>
      </c>
      <c r="B518" s="1">
        <v>2404.39</v>
      </c>
    </row>
    <row r="519" spans="1:2" ht="13" x14ac:dyDescent="0.15">
      <c r="A519" s="4">
        <v>42880</v>
      </c>
      <c r="B519" s="1">
        <v>2415.0700000000002</v>
      </c>
    </row>
    <row r="520" spans="1:2" ht="13" x14ac:dyDescent="0.15">
      <c r="A520" s="4">
        <v>42881</v>
      </c>
      <c r="B520" s="1">
        <v>2415.8200000000002</v>
      </c>
    </row>
    <row r="521" spans="1:2" ht="13" x14ac:dyDescent="0.15">
      <c r="A521" s="4">
        <v>42885</v>
      </c>
      <c r="B521" s="1">
        <v>2412.91</v>
      </c>
    </row>
    <row r="522" spans="1:2" ht="13" x14ac:dyDescent="0.15">
      <c r="A522" s="4">
        <v>42886</v>
      </c>
      <c r="B522" s="1">
        <v>2411.8000000000002</v>
      </c>
    </row>
    <row r="523" spans="1:2" ht="13" x14ac:dyDescent="0.15">
      <c r="A523" s="4">
        <v>42887</v>
      </c>
      <c r="B523" s="1">
        <v>2430.06</v>
      </c>
    </row>
    <row r="524" spans="1:2" ht="13" x14ac:dyDescent="0.15">
      <c r="A524" s="4">
        <v>42888</v>
      </c>
      <c r="B524" s="1">
        <v>2439.0700000000002</v>
      </c>
    </row>
    <row r="525" spans="1:2" ht="13" x14ac:dyDescent="0.15">
      <c r="A525" s="4">
        <v>42891</v>
      </c>
      <c r="B525" s="1">
        <v>2436.1</v>
      </c>
    </row>
    <row r="526" spans="1:2" ht="13" x14ac:dyDescent="0.15">
      <c r="A526" s="4">
        <v>42892</v>
      </c>
      <c r="B526" s="1">
        <v>2429.33</v>
      </c>
    </row>
    <row r="527" spans="1:2" ht="13" x14ac:dyDescent="0.15">
      <c r="A527" s="4">
        <v>42893</v>
      </c>
      <c r="B527" s="1">
        <v>2433.14</v>
      </c>
    </row>
    <row r="528" spans="1:2" ht="13" x14ac:dyDescent="0.15">
      <c r="A528" s="4">
        <v>42894</v>
      </c>
      <c r="B528" s="1">
        <v>2433.79</v>
      </c>
    </row>
    <row r="529" spans="1:2" ht="13" x14ac:dyDescent="0.15">
      <c r="A529" s="4">
        <v>42895</v>
      </c>
      <c r="B529" s="1">
        <v>2431.77</v>
      </c>
    </row>
    <row r="530" spans="1:2" ht="13" x14ac:dyDescent="0.15">
      <c r="A530" s="4">
        <v>42898</v>
      </c>
      <c r="B530" s="1">
        <v>2429.39</v>
      </c>
    </row>
    <row r="531" spans="1:2" ht="13" x14ac:dyDescent="0.15">
      <c r="A531" s="4">
        <v>42899</v>
      </c>
      <c r="B531" s="1">
        <v>2440.35</v>
      </c>
    </row>
    <row r="532" spans="1:2" ht="13" x14ac:dyDescent="0.15">
      <c r="A532" s="4">
        <v>42900</v>
      </c>
      <c r="B532" s="1">
        <v>2437.92</v>
      </c>
    </row>
    <row r="533" spans="1:2" ht="13" x14ac:dyDescent="0.15">
      <c r="A533" s="4">
        <v>42901</v>
      </c>
      <c r="B533" s="1">
        <v>2432.46</v>
      </c>
    </row>
    <row r="534" spans="1:2" ht="13" x14ac:dyDescent="0.15">
      <c r="A534" s="4">
        <v>42902</v>
      </c>
      <c r="B534" s="1">
        <v>2433.15</v>
      </c>
    </row>
    <row r="535" spans="1:2" ht="13" x14ac:dyDescent="0.15">
      <c r="A535" s="4">
        <v>42905</v>
      </c>
      <c r="B535" s="1">
        <v>2453.46</v>
      </c>
    </row>
    <row r="536" spans="1:2" ht="13" x14ac:dyDescent="0.15">
      <c r="A536" s="4">
        <v>42906</v>
      </c>
      <c r="B536" s="1">
        <v>2437.0300000000002</v>
      </c>
    </row>
    <row r="537" spans="1:2" ht="13" x14ac:dyDescent="0.15">
      <c r="A537" s="4">
        <v>42907</v>
      </c>
      <c r="B537" s="1">
        <v>2435.61</v>
      </c>
    </row>
    <row r="538" spans="1:2" ht="13" x14ac:dyDescent="0.15">
      <c r="A538" s="4">
        <v>42908</v>
      </c>
      <c r="B538" s="1">
        <v>2434.5</v>
      </c>
    </row>
    <row r="539" spans="1:2" ht="13" x14ac:dyDescent="0.15">
      <c r="A539" s="4">
        <v>42909</v>
      </c>
      <c r="B539" s="1">
        <v>2438.3000000000002</v>
      </c>
    </row>
    <row r="540" spans="1:2" ht="13" x14ac:dyDescent="0.15">
      <c r="A540" s="4">
        <v>42912</v>
      </c>
      <c r="B540" s="1">
        <v>2439.0700000000002</v>
      </c>
    </row>
    <row r="541" spans="1:2" ht="13" x14ac:dyDescent="0.15">
      <c r="A541" s="4">
        <v>42913</v>
      </c>
      <c r="B541" s="1">
        <v>2419.38</v>
      </c>
    </row>
    <row r="542" spans="1:2" ht="13" x14ac:dyDescent="0.15">
      <c r="A542" s="4">
        <v>42914</v>
      </c>
      <c r="B542" s="1">
        <v>2440.69</v>
      </c>
    </row>
    <row r="543" spans="1:2" ht="13" x14ac:dyDescent="0.15">
      <c r="A543" s="4">
        <v>42915</v>
      </c>
      <c r="B543" s="1">
        <v>2419.6999999999998</v>
      </c>
    </row>
    <row r="544" spans="1:2" ht="13" x14ac:dyDescent="0.15">
      <c r="A544" s="4">
        <v>42916</v>
      </c>
      <c r="B544" s="1">
        <v>2423.41</v>
      </c>
    </row>
    <row r="545" spans="1:2" ht="13" x14ac:dyDescent="0.15">
      <c r="A545" s="4">
        <v>42919</v>
      </c>
      <c r="B545" s="1">
        <v>2429.0100000000002</v>
      </c>
    </row>
    <row r="546" spans="1:2" ht="13" x14ac:dyDescent="0.15">
      <c r="A546" s="4">
        <v>42921</v>
      </c>
      <c r="B546" s="1">
        <v>2432.54</v>
      </c>
    </row>
    <row r="547" spans="1:2" ht="13" x14ac:dyDescent="0.15">
      <c r="A547" s="4">
        <v>42922</v>
      </c>
      <c r="B547" s="1">
        <v>2409.75</v>
      </c>
    </row>
    <row r="548" spans="1:2" ht="13" x14ac:dyDescent="0.15">
      <c r="A548" s="4">
        <v>42923</v>
      </c>
      <c r="B548" s="1">
        <v>2425.1799999999998</v>
      </c>
    </row>
    <row r="549" spans="1:2" ht="13" x14ac:dyDescent="0.15">
      <c r="A549" s="4">
        <v>42926</v>
      </c>
      <c r="B549" s="1">
        <v>2427.4299999999998</v>
      </c>
    </row>
    <row r="550" spans="1:2" ht="13" x14ac:dyDescent="0.15">
      <c r="A550" s="4">
        <v>42927</v>
      </c>
      <c r="B550" s="1">
        <v>2425.5300000000002</v>
      </c>
    </row>
    <row r="551" spans="1:2" ht="13" x14ac:dyDescent="0.15">
      <c r="A551" s="4">
        <v>42928</v>
      </c>
      <c r="B551" s="1">
        <v>2443.25</v>
      </c>
    </row>
    <row r="552" spans="1:2" ht="13" x14ac:dyDescent="0.15">
      <c r="A552" s="4">
        <v>42929</v>
      </c>
      <c r="B552" s="1">
        <v>2447.83</v>
      </c>
    </row>
    <row r="553" spans="1:2" ht="13" x14ac:dyDescent="0.15">
      <c r="A553" s="4">
        <v>42930</v>
      </c>
      <c r="B553" s="1">
        <v>2459.27</v>
      </c>
    </row>
    <row r="554" spans="1:2" ht="13" x14ac:dyDescent="0.15">
      <c r="A554" s="4">
        <v>42933</v>
      </c>
      <c r="B554" s="1">
        <v>2459.14</v>
      </c>
    </row>
    <row r="555" spans="1:2" ht="13" x14ac:dyDescent="0.15">
      <c r="A555" s="4">
        <v>42934</v>
      </c>
      <c r="B555" s="1">
        <v>2460.61</v>
      </c>
    </row>
    <row r="556" spans="1:2" ht="13" x14ac:dyDescent="0.15">
      <c r="A556" s="4">
        <v>42935</v>
      </c>
      <c r="B556" s="1">
        <v>2473.83</v>
      </c>
    </row>
    <row r="557" spans="1:2" ht="13" x14ac:dyDescent="0.15">
      <c r="A557" s="4">
        <v>42936</v>
      </c>
      <c r="B557" s="1">
        <v>2473.4499999999998</v>
      </c>
    </row>
    <row r="558" spans="1:2" ht="13" x14ac:dyDescent="0.15">
      <c r="A558" s="4">
        <v>42937</v>
      </c>
      <c r="B558" s="1">
        <v>2472.54</v>
      </c>
    </row>
    <row r="559" spans="1:2" ht="13" x14ac:dyDescent="0.15">
      <c r="A559" s="4">
        <v>42940</v>
      </c>
      <c r="B559" s="1">
        <v>2469.91</v>
      </c>
    </row>
    <row r="560" spans="1:2" ht="13" x14ac:dyDescent="0.15">
      <c r="A560" s="4">
        <v>42941</v>
      </c>
      <c r="B560" s="1">
        <v>2477.13</v>
      </c>
    </row>
    <row r="561" spans="1:2" ht="13" x14ac:dyDescent="0.15">
      <c r="A561" s="4">
        <v>42942</v>
      </c>
      <c r="B561" s="1">
        <v>2477.83</v>
      </c>
    </row>
    <row r="562" spans="1:2" ht="13" x14ac:dyDescent="0.15">
      <c r="A562" s="4">
        <v>42943</v>
      </c>
      <c r="B562" s="1">
        <v>2475.42</v>
      </c>
    </row>
    <row r="563" spans="1:2" ht="13" x14ac:dyDescent="0.15">
      <c r="A563" s="4">
        <v>42944</v>
      </c>
      <c r="B563" s="1">
        <v>2472.1</v>
      </c>
    </row>
    <row r="564" spans="1:2" ht="13" x14ac:dyDescent="0.15">
      <c r="A564" s="4">
        <v>42947</v>
      </c>
      <c r="B564" s="1">
        <v>2470.3000000000002</v>
      </c>
    </row>
    <row r="565" spans="1:2" ht="13" x14ac:dyDescent="0.15">
      <c r="A565" s="4">
        <v>42948</v>
      </c>
      <c r="B565" s="1">
        <v>2476.35</v>
      </c>
    </row>
    <row r="566" spans="1:2" ht="13" x14ac:dyDescent="0.15">
      <c r="A566" s="4">
        <v>42949</v>
      </c>
      <c r="B566" s="1">
        <v>2477.5700000000002</v>
      </c>
    </row>
    <row r="567" spans="1:2" ht="13" x14ac:dyDescent="0.15">
      <c r="A567" s="4">
        <v>42950</v>
      </c>
      <c r="B567" s="1">
        <v>2472.16</v>
      </c>
    </row>
    <row r="568" spans="1:2" ht="13" x14ac:dyDescent="0.15">
      <c r="A568" s="4">
        <v>42951</v>
      </c>
      <c r="B568" s="1">
        <v>2476.83</v>
      </c>
    </row>
    <row r="569" spans="1:2" ht="13" x14ac:dyDescent="0.15">
      <c r="A569" s="4">
        <v>42954</v>
      </c>
      <c r="B569" s="1">
        <v>2480.91</v>
      </c>
    </row>
    <row r="570" spans="1:2" ht="13" x14ac:dyDescent="0.15">
      <c r="A570" s="4">
        <v>42955</v>
      </c>
      <c r="B570" s="1">
        <v>2474.92</v>
      </c>
    </row>
    <row r="571" spans="1:2" ht="13" x14ac:dyDescent="0.15">
      <c r="A571" s="4">
        <v>42956</v>
      </c>
      <c r="B571" s="1">
        <v>2474.02</v>
      </c>
    </row>
    <row r="572" spans="1:2" ht="13" x14ac:dyDescent="0.15">
      <c r="A572" s="4">
        <v>42957</v>
      </c>
      <c r="B572" s="1">
        <v>2438.21</v>
      </c>
    </row>
    <row r="573" spans="1:2" ht="13" x14ac:dyDescent="0.15">
      <c r="A573" s="4">
        <v>42958</v>
      </c>
      <c r="B573" s="1">
        <v>2441.3200000000002</v>
      </c>
    </row>
    <row r="574" spans="1:2" ht="13" x14ac:dyDescent="0.15">
      <c r="A574" s="4">
        <v>42961</v>
      </c>
      <c r="B574" s="1">
        <v>2465.84</v>
      </c>
    </row>
    <row r="575" spans="1:2" ht="13" x14ac:dyDescent="0.15">
      <c r="A575" s="4">
        <v>42962</v>
      </c>
      <c r="B575" s="1">
        <v>2464.61</v>
      </c>
    </row>
    <row r="576" spans="1:2" ht="13" x14ac:dyDescent="0.15">
      <c r="A576" s="4">
        <v>42963</v>
      </c>
      <c r="B576" s="1">
        <v>2468.11</v>
      </c>
    </row>
    <row r="577" spans="1:2" ht="13" x14ac:dyDescent="0.15">
      <c r="A577" s="4">
        <v>42964</v>
      </c>
      <c r="B577" s="1">
        <v>2430.0100000000002</v>
      </c>
    </row>
    <row r="578" spans="1:2" ht="13" x14ac:dyDescent="0.15">
      <c r="A578" s="4">
        <v>42965</v>
      </c>
      <c r="B578" s="1">
        <v>2425.5500000000002</v>
      </c>
    </row>
    <row r="579" spans="1:2" ht="13" x14ac:dyDescent="0.15">
      <c r="A579" s="4">
        <v>42968</v>
      </c>
      <c r="B579" s="1">
        <v>2428.37</v>
      </c>
    </row>
    <row r="580" spans="1:2" ht="13" x14ac:dyDescent="0.15">
      <c r="A580" s="4">
        <v>42969</v>
      </c>
      <c r="B580" s="1">
        <v>2452.5100000000002</v>
      </c>
    </row>
    <row r="581" spans="1:2" ht="13" x14ac:dyDescent="0.15">
      <c r="A581" s="4">
        <v>42970</v>
      </c>
      <c r="B581" s="1">
        <v>2444.04</v>
      </c>
    </row>
    <row r="582" spans="1:2" ht="13" x14ac:dyDescent="0.15">
      <c r="A582" s="4">
        <v>42971</v>
      </c>
      <c r="B582" s="1">
        <v>2438.9699999999998</v>
      </c>
    </row>
    <row r="583" spans="1:2" ht="13" x14ac:dyDescent="0.15">
      <c r="A583" s="4">
        <v>42972</v>
      </c>
      <c r="B583" s="1">
        <v>2443.0500000000002</v>
      </c>
    </row>
    <row r="584" spans="1:2" ht="13" x14ac:dyDescent="0.15">
      <c r="A584" s="4">
        <v>42975</v>
      </c>
      <c r="B584" s="1">
        <v>2444.2399999999998</v>
      </c>
    </row>
    <row r="585" spans="1:2" ht="13" x14ac:dyDescent="0.15">
      <c r="A585" s="4">
        <v>42976</v>
      </c>
      <c r="B585" s="1">
        <v>2446.3000000000002</v>
      </c>
    </row>
    <row r="586" spans="1:2" ht="13" x14ac:dyDescent="0.15">
      <c r="A586" s="4">
        <v>42977</v>
      </c>
      <c r="B586" s="1">
        <v>2457.59</v>
      </c>
    </row>
    <row r="587" spans="1:2" ht="13" x14ac:dyDescent="0.15">
      <c r="A587" s="4">
        <v>42978</v>
      </c>
      <c r="B587" s="1">
        <v>2471.65</v>
      </c>
    </row>
    <row r="588" spans="1:2" ht="13" x14ac:dyDescent="0.15">
      <c r="A588" s="4">
        <v>42979</v>
      </c>
      <c r="B588" s="1">
        <v>2476.5500000000002</v>
      </c>
    </row>
    <row r="589" spans="1:2" ht="13" x14ac:dyDescent="0.15">
      <c r="A589" s="4">
        <v>42983</v>
      </c>
      <c r="B589" s="1">
        <v>2457.85</v>
      </c>
    </row>
    <row r="590" spans="1:2" ht="13" x14ac:dyDescent="0.15">
      <c r="A590" s="4">
        <v>42984</v>
      </c>
      <c r="B590" s="1">
        <v>2465.54</v>
      </c>
    </row>
    <row r="591" spans="1:2" ht="13" x14ac:dyDescent="0.15">
      <c r="A591" s="4">
        <v>42985</v>
      </c>
      <c r="B591" s="1">
        <v>2465.1</v>
      </c>
    </row>
    <row r="592" spans="1:2" ht="13" x14ac:dyDescent="0.15">
      <c r="A592" s="4">
        <v>42986</v>
      </c>
      <c r="B592" s="1">
        <v>2461.4299999999998</v>
      </c>
    </row>
    <row r="593" spans="1:2" ht="13" x14ac:dyDescent="0.15">
      <c r="A593" s="4">
        <v>42989</v>
      </c>
      <c r="B593" s="1">
        <v>2488.11</v>
      </c>
    </row>
    <row r="594" spans="1:2" ht="13" x14ac:dyDescent="0.15">
      <c r="A594" s="4">
        <v>42990</v>
      </c>
      <c r="B594" s="1">
        <v>2496.48</v>
      </c>
    </row>
    <row r="595" spans="1:2" ht="13" x14ac:dyDescent="0.15">
      <c r="A595" s="4">
        <v>42991</v>
      </c>
      <c r="B595" s="1">
        <v>2498.37</v>
      </c>
    </row>
    <row r="596" spans="1:2" ht="13" x14ac:dyDescent="0.15">
      <c r="A596" s="4">
        <v>42992</v>
      </c>
      <c r="B596" s="1">
        <v>2495.62</v>
      </c>
    </row>
    <row r="597" spans="1:2" ht="13" x14ac:dyDescent="0.15">
      <c r="A597" s="4">
        <v>42993</v>
      </c>
      <c r="B597" s="1">
        <v>2500.23</v>
      </c>
    </row>
    <row r="598" spans="1:2" ht="13" x14ac:dyDescent="0.15">
      <c r="A598" s="4">
        <v>42996</v>
      </c>
      <c r="B598" s="1">
        <v>2503.87</v>
      </c>
    </row>
    <row r="599" spans="1:2" ht="13" x14ac:dyDescent="0.15">
      <c r="A599" s="4">
        <v>42997</v>
      </c>
      <c r="B599" s="1">
        <v>2506.65</v>
      </c>
    </row>
    <row r="600" spans="1:2" ht="13" x14ac:dyDescent="0.15">
      <c r="A600" s="4">
        <v>42998</v>
      </c>
      <c r="B600" s="1">
        <v>2508.2399999999998</v>
      </c>
    </row>
    <row r="601" spans="1:2" ht="13" x14ac:dyDescent="0.15">
      <c r="A601" s="4">
        <v>42999</v>
      </c>
      <c r="B601" s="1">
        <v>2500.6</v>
      </c>
    </row>
    <row r="602" spans="1:2" ht="13" x14ac:dyDescent="0.15">
      <c r="A602" s="4">
        <v>43000</v>
      </c>
      <c r="B602" s="1">
        <v>2502.2199999999998</v>
      </c>
    </row>
    <row r="603" spans="1:2" ht="13" x14ac:dyDescent="0.15">
      <c r="A603" s="4">
        <v>43003</v>
      </c>
      <c r="B603" s="1">
        <v>2496.66</v>
      </c>
    </row>
    <row r="604" spans="1:2" ht="13" x14ac:dyDescent="0.15">
      <c r="A604" s="4">
        <v>43004</v>
      </c>
      <c r="B604" s="1">
        <v>2496.84</v>
      </c>
    </row>
    <row r="605" spans="1:2" ht="13" x14ac:dyDescent="0.15">
      <c r="A605" s="4">
        <v>43005</v>
      </c>
      <c r="B605" s="1">
        <v>2507.04</v>
      </c>
    </row>
    <row r="606" spans="1:2" ht="13" x14ac:dyDescent="0.15">
      <c r="A606" s="4">
        <v>43006</v>
      </c>
      <c r="B606" s="1">
        <v>2510.06</v>
      </c>
    </row>
    <row r="607" spans="1:2" ht="13" x14ac:dyDescent="0.15">
      <c r="A607" s="4">
        <v>43007</v>
      </c>
      <c r="B607" s="1">
        <v>2519.36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335"/>
  <sheetViews>
    <sheetView workbookViewId="0">
      <selection sqref="A1:A1048576"/>
    </sheetView>
  </sheetViews>
  <sheetFormatPr baseColWidth="10" defaultColWidth="14.5" defaultRowHeight="15.75" customHeight="1" x14ac:dyDescent="0.15"/>
  <cols>
    <col min="1" max="1" width="10.1640625" style="4" bestFit="1" customWidth="1"/>
    <col min="2" max="2" width="7.83203125" customWidth="1"/>
  </cols>
  <sheetData>
    <row r="1" spans="1:2" ht="15.75" customHeight="1" x14ac:dyDescent="0.15">
      <c r="A1" s="3" t="s">
        <v>0</v>
      </c>
      <c r="B1" s="1" t="s">
        <v>1</v>
      </c>
    </row>
    <row r="2" spans="1:2" ht="15.75" customHeight="1" x14ac:dyDescent="0.15">
      <c r="A2" s="4">
        <v>39918</v>
      </c>
      <c r="B2" s="1">
        <v>852.06</v>
      </c>
    </row>
    <row r="3" spans="1:2" ht="15.75" customHeight="1" x14ac:dyDescent="0.15">
      <c r="A3" s="4">
        <v>39919</v>
      </c>
      <c r="B3" s="1">
        <v>865.3</v>
      </c>
    </row>
    <row r="4" spans="1:2" ht="15.75" customHeight="1" x14ac:dyDescent="0.15">
      <c r="A4" s="4">
        <v>39920</v>
      </c>
      <c r="B4" s="1">
        <v>869.6</v>
      </c>
    </row>
    <row r="5" spans="1:2" ht="15.75" customHeight="1" x14ac:dyDescent="0.15">
      <c r="A5" s="4">
        <v>39923</v>
      </c>
      <c r="B5" s="1">
        <v>832.39</v>
      </c>
    </row>
    <row r="6" spans="1:2" ht="15.75" customHeight="1" x14ac:dyDescent="0.15">
      <c r="A6" s="4">
        <v>39924</v>
      </c>
      <c r="B6" s="1">
        <v>850.08</v>
      </c>
    </row>
    <row r="7" spans="1:2" ht="15.75" customHeight="1" x14ac:dyDescent="0.15">
      <c r="A7" s="4">
        <v>39925</v>
      </c>
      <c r="B7" s="1">
        <v>843.55</v>
      </c>
    </row>
    <row r="8" spans="1:2" ht="15.75" customHeight="1" x14ac:dyDescent="0.15">
      <c r="A8" s="4">
        <v>39926</v>
      </c>
      <c r="B8" s="1">
        <v>851.92</v>
      </c>
    </row>
    <row r="9" spans="1:2" ht="15.75" customHeight="1" x14ac:dyDescent="0.15">
      <c r="A9" s="4">
        <v>39927</v>
      </c>
      <c r="B9" s="1">
        <v>866.23</v>
      </c>
    </row>
    <row r="10" spans="1:2" ht="15.75" customHeight="1" x14ac:dyDescent="0.15">
      <c r="A10" s="4">
        <v>39930</v>
      </c>
      <c r="B10" s="1">
        <v>857.51</v>
      </c>
    </row>
    <row r="11" spans="1:2" ht="15.75" customHeight="1" x14ac:dyDescent="0.15">
      <c r="A11" s="4">
        <v>39931</v>
      </c>
      <c r="B11" s="1">
        <v>855.16</v>
      </c>
    </row>
    <row r="12" spans="1:2" ht="15.75" customHeight="1" x14ac:dyDescent="0.15">
      <c r="A12" s="4">
        <v>39932</v>
      </c>
      <c r="B12" s="1">
        <v>873.64</v>
      </c>
    </row>
    <row r="13" spans="1:2" ht="15.75" customHeight="1" x14ac:dyDescent="0.15">
      <c r="A13" s="4">
        <v>39933</v>
      </c>
      <c r="B13" s="1">
        <v>872.81</v>
      </c>
    </row>
    <row r="14" spans="1:2" ht="15.75" customHeight="1" x14ac:dyDescent="0.15">
      <c r="A14" s="4">
        <v>39934</v>
      </c>
      <c r="B14" s="1">
        <v>877.52</v>
      </c>
    </row>
    <row r="15" spans="1:2" ht="15.75" customHeight="1" x14ac:dyDescent="0.15">
      <c r="A15" s="4">
        <v>39937</v>
      </c>
      <c r="B15" s="1">
        <v>907.24</v>
      </c>
    </row>
    <row r="16" spans="1:2" ht="15.75" customHeight="1" x14ac:dyDescent="0.15">
      <c r="A16" s="4">
        <v>39938</v>
      </c>
      <c r="B16" s="1">
        <v>903.8</v>
      </c>
    </row>
    <row r="17" spans="1:2" ht="15.75" customHeight="1" x14ac:dyDescent="0.15">
      <c r="A17" s="4">
        <v>39939</v>
      </c>
      <c r="B17" s="1">
        <v>919.53</v>
      </c>
    </row>
    <row r="18" spans="1:2" ht="15.75" customHeight="1" x14ac:dyDescent="0.15">
      <c r="A18" s="4">
        <v>39940</v>
      </c>
      <c r="B18" s="1">
        <v>907.39</v>
      </c>
    </row>
    <row r="19" spans="1:2" ht="15.75" customHeight="1" x14ac:dyDescent="0.15">
      <c r="A19" s="4">
        <v>39941</v>
      </c>
      <c r="B19" s="1">
        <v>929.23</v>
      </c>
    </row>
    <row r="20" spans="1:2" ht="15.75" customHeight="1" x14ac:dyDescent="0.15">
      <c r="A20" s="4">
        <v>39944</v>
      </c>
      <c r="B20" s="1">
        <v>909.24</v>
      </c>
    </row>
    <row r="21" spans="1:2" ht="15.75" customHeight="1" x14ac:dyDescent="0.15">
      <c r="A21" s="4">
        <v>39945</v>
      </c>
      <c r="B21" s="1">
        <v>908.35</v>
      </c>
    </row>
    <row r="22" spans="1:2" ht="15.75" customHeight="1" x14ac:dyDescent="0.15">
      <c r="A22" s="4">
        <v>39946</v>
      </c>
      <c r="B22" s="1">
        <v>883.92</v>
      </c>
    </row>
    <row r="23" spans="1:2" ht="15.75" customHeight="1" x14ac:dyDescent="0.15">
      <c r="A23" s="4">
        <v>39947</v>
      </c>
      <c r="B23" s="1">
        <v>893.07</v>
      </c>
    </row>
    <row r="24" spans="1:2" ht="15.75" customHeight="1" x14ac:dyDescent="0.15">
      <c r="A24" s="4">
        <v>39948</v>
      </c>
      <c r="B24" s="1">
        <v>882.88</v>
      </c>
    </row>
    <row r="25" spans="1:2" ht="15.75" customHeight="1" x14ac:dyDescent="0.15">
      <c r="A25" s="4">
        <v>39951</v>
      </c>
      <c r="B25" s="1">
        <v>909.71</v>
      </c>
    </row>
    <row r="26" spans="1:2" ht="15.75" customHeight="1" x14ac:dyDescent="0.15">
      <c r="A26" s="4">
        <v>39952</v>
      </c>
      <c r="B26" s="1">
        <v>908.13</v>
      </c>
    </row>
    <row r="27" spans="1:2" ht="15.75" customHeight="1" x14ac:dyDescent="0.15">
      <c r="A27" s="4">
        <v>39953</v>
      </c>
      <c r="B27" s="1">
        <v>903.47</v>
      </c>
    </row>
    <row r="28" spans="1:2" ht="15.75" customHeight="1" x14ac:dyDescent="0.15">
      <c r="A28" s="4">
        <v>39954</v>
      </c>
      <c r="B28" s="1">
        <v>888.33</v>
      </c>
    </row>
    <row r="29" spans="1:2" ht="15.75" customHeight="1" x14ac:dyDescent="0.15">
      <c r="A29" s="4">
        <v>39955</v>
      </c>
      <c r="B29" s="1">
        <v>887</v>
      </c>
    </row>
    <row r="30" spans="1:2" ht="15.75" customHeight="1" x14ac:dyDescent="0.15">
      <c r="A30" s="4">
        <v>39959</v>
      </c>
      <c r="B30" s="1">
        <v>910.33</v>
      </c>
    </row>
    <row r="31" spans="1:2" ht="15.75" customHeight="1" x14ac:dyDescent="0.15">
      <c r="A31" s="4">
        <v>39960</v>
      </c>
      <c r="B31" s="1">
        <v>893.06</v>
      </c>
    </row>
    <row r="32" spans="1:2" ht="15.75" customHeight="1" x14ac:dyDescent="0.15">
      <c r="A32" s="4">
        <v>39961</v>
      </c>
      <c r="B32" s="1">
        <v>906.83</v>
      </c>
    </row>
    <row r="33" spans="1:2" ht="15.75" customHeight="1" x14ac:dyDescent="0.15">
      <c r="A33" s="4">
        <v>39962</v>
      </c>
      <c r="B33" s="1">
        <v>919.14</v>
      </c>
    </row>
    <row r="34" spans="1:2" ht="15.75" customHeight="1" x14ac:dyDescent="0.15">
      <c r="A34" s="4">
        <v>39965</v>
      </c>
      <c r="B34" s="1">
        <v>942.87</v>
      </c>
    </row>
    <row r="35" spans="1:2" ht="15.75" customHeight="1" x14ac:dyDescent="0.15">
      <c r="A35" s="4">
        <v>39966</v>
      </c>
      <c r="B35" s="1">
        <v>944.74</v>
      </c>
    </row>
    <row r="36" spans="1:2" ht="15.75" customHeight="1" x14ac:dyDescent="0.15">
      <c r="A36" s="4">
        <v>39967</v>
      </c>
      <c r="B36" s="1">
        <v>931.76</v>
      </c>
    </row>
    <row r="37" spans="1:2" ht="15.75" customHeight="1" x14ac:dyDescent="0.15">
      <c r="A37" s="4">
        <v>39968</v>
      </c>
      <c r="B37" s="1">
        <v>942.46</v>
      </c>
    </row>
    <row r="38" spans="1:2" ht="15.75" customHeight="1" x14ac:dyDescent="0.15">
      <c r="A38" s="4">
        <v>39969</v>
      </c>
      <c r="B38" s="1">
        <v>940.09</v>
      </c>
    </row>
    <row r="39" spans="1:2" ht="15.75" customHeight="1" x14ac:dyDescent="0.15">
      <c r="A39" s="4">
        <v>39972</v>
      </c>
      <c r="B39" s="1">
        <v>939.14</v>
      </c>
    </row>
    <row r="40" spans="1:2" ht="13" x14ac:dyDescent="0.15">
      <c r="A40" s="4">
        <v>39973</v>
      </c>
      <c r="B40" s="1">
        <v>942.43</v>
      </c>
    </row>
    <row r="41" spans="1:2" ht="13" x14ac:dyDescent="0.15">
      <c r="A41" s="4">
        <v>39974</v>
      </c>
      <c r="B41" s="1">
        <v>939.15</v>
      </c>
    </row>
    <row r="42" spans="1:2" ht="13" x14ac:dyDescent="0.15">
      <c r="A42" s="4">
        <v>39975</v>
      </c>
      <c r="B42" s="1">
        <v>944.89</v>
      </c>
    </row>
    <row r="43" spans="1:2" ht="13" x14ac:dyDescent="0.15">
      <c r="A43" s="4">
        <v>39976</v>
      </c>
      <c r="B43" s="1">
        <v>946.21</v>
      </c>
    </row>
    <row r="44" spans="1:2" ht="13" x14ac:dyDescent="0.15">
      <c r="A44" s="4">
        <v>39979</v>
      </c>
      <c r="B44" s="1">
        <v>923.72</v>
      </c>
    </row>
    <row r="45" spans="1:2" ht="13" x14ac:dyDescent="0.15">
      <c r="A45" s="4">
        <v>39980</v>
      </c>
      <c r="B45" s="1">
        <v>911.97</v>
      </c>
    </row>
    <row r="46" spans="1:2" ht="13" x14ac:dyDescent="0.15">
      <c r="A46" s="4">
        <v>39981</v>
      </c>
      <c r="B46" s="1">
        <v>910.71</v>
      </c>
    </row>
    <row r="47" spans="1:2" ht="13" x14ac:dyDescent="0.15">
      <c r="A47" s="4">
        <v>39982</v>
      </c>
      <c r="B47" s="1">
        <v>918.37</v>
      </c>
    </row>
    <row r="48" spans="1:2" ht="13" x14ac:dyDescent="0.15">
      <c r="A48" s="4">
        <v>39983</v>
      </c>
      <c r="B48" s="1">
        <v>921.23</v>
      </c>
    </row>
    <row r="49" spans="1:2" ht="13" x14ac:dyDescent="0.15">
      <c r="A49" s="4">
        <v>39986</v>
      </c>
      <c r="B49" s="1">
        <v>893.04</v>
      </c>
    </row>
    <row r="50" spans="1:2" ht="13" x14ac:dyDescent="0.15">
      <c r="A50" s="4">
        <v>39987</v>
      </c>
      <c r="B50" s="1">
        <v>895.1</v>
      </c>
    </row>
    <row r="51" spans="1:2" ht="13" x14ac:dyDescent="0.15">
      <c r="A51" s="4">
        <v>39988</v>
      </c>
      <c r="B51" s="1">
        <v>900.94</v>
      </c>
    </row>
    <row r="52" spans="1:2" ht="13" x14ac:dyDescent="0.15">
      <c r="A52" s="4">
        <v>39989</v>
      </c>
      <c r="B52" s="1">
        <v>920.26</v>
      </c>
    </row>
    <row r="53" spans="1:2" ht="13" x14ac:dyDescent="0.15">
      <c r="A53" s="4">
        <v>39990</v>
      </c>
      <c r="B53" s="1">
        <v>918.9</v>
      </c>
    </row>
    <row r="54" spans="1:2" ht="13" x14ac:dyDescent="0.15">
      <c r="A54" s="4">
        <v>39993</v>
      </c>
      <c r="B54" s="1">
        <v>927.23</v>
      </c>
    </row>
    <row r="55" spans="1:2" ht="13" x14ac:dyDescent="0.15">
      <c r="A55" s="4">
        <v>39994</v>
      </c>
      <c r="B55" s="1">
        <v>919.32</v>
      </c>
    </row>
    <row r="56" spans="1:2" ht="13" x14ac:dyDescent="0.15">
      <c r="A56" s="4">
        <v>39995</v>
      </c>
      <c r="B56" s="1">
        <v>923.33</v>
      </c>
    </row>
    <row r="57" spans="1:2" ht="13" x14ac:dyDescent="0.15">
      <c r="A57" s="4">
        <v>39996</v>
      </c>
      <c r="B57" s="1">
        <v>896.42</v>
      </c>
    </row>
    <row r="58" spans="1:2" ht="13" x14ac:dyDescent="0.15">
      <c r="A58" s="4">
        <v>40000</v>
      </c>
      <c r="B58" s="1">
        <v>898.72</v>
      </c>
    </row>
    <row r="59" spans="1:2" ht="13" x14ac:dyDescent="0.15">
      <c r="A59" s="4">
        <v>40001</v>
      </c>
      <c r="B59" s="1">
        <v>881.03</v>
      </c>
    </row>
    <row r="60" spans="1:2" ht="13" x14ac:dyDescent="0.15">
      <c r="A60" s="4">
        <v>40002</v>
      </c>
      <c r="B60" s="1">
        <v>879.56</v>
      </c>
    </row>
    <row r="61" spans="1:2" ht="13" x14ac:dyDescent="0.15">
      <c r="A61" s="4">
        <v>40003</v>
      </c>
      <c r="B61" s="1">
        <v>882.68</v>
      </c>
    </row>
    <row r="62" spans="1:2" ht="13" x14ac:dyDescent="0.15">
      <c r="A62" s="4">
        <v>40004</v>
      </c>
      <c r="B62" s="1">
        <v>879.13</v>
      </c>
    </row>
    <row r="63" spans="1:2" ht="13" x14ac:dyDescent="0.15">
      <c r="A63" s="4">
        <v>40007</v>
      </c>
      <c r="B63" s="1">
        <v>901.05</v>
      </c>
    </row>
    <row r="64" spans="1:2" ht="13" x14ac:dyDescent="0.15">
      <c r="A64" s="4">
        <v>40008</v>
      </c>
      <c r="B64" s="1">
        <v>905.84</v>
      </c>
    </row>
    <row r="65" spans="1:2" ht="13" x14ac:dyDescent="0.15">
      <c r="A65" s="4">
        <v>40009</v>
      </c>
      <c r="B65" s="1">
        <v>932.68</v>
      </c>
    </row>
    <row r="66" spans="1:2" ht="13" x14ac:dyDescent="0.15">
      <c r="A66" s="4">
        <v>40010</v>
      </c>
      <c r="B66" s="1">
        <v>940.74</v>
      </c>
    </row>
    <row r="67" spans="1:2" ht="13" x14ac:dyDescent="0.15">
      <c r="A67" s="4">
        <v>40011</v>
      </c>
      <c r="B67" s="1">
        <v>940.38</v>
      </c>
    </row>
    <row r="68" spans="1:2" ht="13" x14ac:dyDescent="0.15">
      <c r="A68" s="4">
        <v>40014</v>
      </c>
      <c r="B68" s="1">
        <v>951.13</v>
      </c>
    </row>
    <row r="69" spans="1:2" ht="13" x14ac:dyDescent="0.15">
      <c r="A69" s="4">
        <v>40015</v>
      </c>
      <c r="B69" s="1">
        <v>954.58</v>
      </c>
    </row>
    <row r="70" spans="1:2" ht="13" x14ac:dyDescent="0.15">
      <c r="A70" s="4">
        <v>40016</v>
      </c>
      <c r="B70" s="1">
        <v>954.07</v>
      </c>
    </row>
    <row r="71" spans="1:2" ht="13" x14ac:dyDescent="0.15">
      <c r="A71" s="4">
        <v>40017</v>
      </c>
      <c r="B71" s="1">
        <v>976.29</v>
      </c>
    </row>
    <row r="72" spans="1:2" ht="13" x14ac:dyDescent="0.15">
      <c r="A72" s="4">
        <v>40018</v>
      </c>
      <c r="B72" s="1">
        <v>979.26</v>
      </c>
    </row>
    <row r="73" spans="1:2" ht="13" x14ac:dyDescent="0.15">
      <c r="A73" s="4">
        <v>40021</v>
      </c>
      <c r="B73" s="1">
        <v>982.18</v>
      </c>
    </row>
    <row r="74" spans="1:2" ht="13" x14ac:dyDescent="0.15">
      <c r="A74" s="4">
        <v>40022</v>
      </c>
      <c r="B74" s="1">
        <v>979.62</v>
      </c>
    </row>
    <row r="75" spans="1:2" ht="13" x14ac:dyDescent="0.15">
      <c r="A75" s="4">
        <v>40023</v>
      </c>
      <c r="B75" s="1">
        <v>975.15</v>
      </c>
    </row>
    <row r="76" spans="1:2" ht="13" x14ac:dyDescent="0.15">
      <c r="A76" s="4">
        <v>40024</v>
      </c>
      <c r="B76" s="1">
        <v>986.75</v>
      </c>
    </row>
    <row r="77" spans="1:2" ht="13" x14ac:dyDescent="0.15">
      <c r="A77" s="4">
        <v>40025</v>
      </c>
      <c r="B77" s="1">
        <v>987.48</v>
      </c>
    </row>
    <row r="78" spans="1:2" ht="13" x14ac:dyDescent="0.15">
      <c r="A78" s="4">
        <v>40028</v>
      </c>
      <c r="B78" s="1">
        <v>1002.63</v>
      </c>
    </row>
    <row r="79" spans="1:2" ht="13" x14ac:dyDescent="0.15">
      <c r="A79" s="4">
        <v>40029</v>
      </c>
      <c r="B79" s="1">
        <v>1005.65</v>
      </c>
    </row>
    <row r="80" spans="1:2" ht="13" x14ac:dyDescent="0.15">
      <c r="A80" s="4">
        <v>40030</v>
      </c>
      <c r="B80" s="1">
        <v>1002.72</v>
      </c>
    </row>
    <row r="81" spans="1:2" ht="13" x14ac:dyDescent="0.15">
      <c r="A81" s="4">
        <v>40031</v>
      </c>
      <c r="B81" s="1">
        <v>997.08</v>
      </c>
    </row>
    <row r="82" spans="1:2" ht="13" x14ac:dyDescent="0.15">
      <c r="A82" s="4">
        <v>40032</v>
      </c>
      <c r="B82" s="1">
        <v>1010.48</v>
      </c>
    </row>
    <row r="83" spans="1:2" ht="13" x14ac:dyDescent="0.15">
      <c r="A83" s="4">
        <v>40035</v>
      </c>
      <c r="B83" s="1">
        <v>1007.1</v>
      </c>
    </row>
    <row r="84" spans="1:2" ht="13" x14ac:dyDescent="0.15">
      <c r="A84" s="4">
        <v>40036</v>
      </c>
      <c r="B84" s="1">
        <v>994.35</v>
      </c>
    </row>
    <row r="85" spans="1:2" ht="13" x14ac:dyDescent="0.15">
      <c r="A85" s="4">
        <v>40037</v>
      </c>
      <c r="B85" s="1">
        <v>1005.81</v>
      </c>
    </row>
    <row r="86" spans="1:2" ht="13" x14ac:dyDescent="0.15">
      <c r="A86" s="4">
        <v>40038</v>
      </c>
      <c r="B86" s="1">
        <v>1012.73</v>
      </c>
    </row>
    <row r="87" spans="1:2" ht="13" x14ac:dyDescent="0.15">
      <c r="A87" s="4">
        <v>40039</v>
      </c>
      <c r="B87" s="1">
        <v>1004.09</v>
      </c>
    </row>
    <row r="88" spans="1:2" ht="13" x14ac:dyDescent="0.15">
      <c r="A88" s="4">
        <v>40042</v>
      </c>
      <c r="B88" s="1">
        <v>979.73</v>
      </c>
    </row>
    <row r="89" spans="1:2" ht="13" x14ac:dyDescent="0.15">
      <c r="A89" s="4">
        <v>40043</v>
      </c>
      <c r="B89" s="1">
        <v>989.67</v>
      </c>
    </row>
    <row r="90" spans="1:2" ht="13" x14ac:dyDescent="0.15">
      <c r="A90" s="4">
        <v>40044</v>
      </c>
      <c r="B90" s="1">
        <v>996.46</v>
      </c>
    </row>
    <row r="91" spans="1:2" ht="13" x14ac:dyDescent="0.15">
      <c r="A91" s="4">
        <v>40045</v>
      </c>
      <c r="B91" s="1">
        <v>1007.37</v>
      </c>
    </row>
    <row r="92" spans="1:2" ht="13" x14ac:dyDescent="0.15">
      <c r="A92" s="4">
        <v>40046</v>
      </c>
      <c r="B92" s="1">
        <v>1026.1300000000001</v>
      </c>
    </row>
    <row r="93" spans="1:2" ht="13" x14ac:dyDescent="0.15">
      <c r="A93" s="4">
        <v>40049</v>
      </c>
      <c r="B93" s="1">
        <v>1025.56</v>
      </c>
    </row>
    <row r="94" spans="1:2" ht="13" x14ac:dyDescent="0.15">
      <c r="A94" s="4">
        <v>40050</v>
      </c>
      <c r="B94" s="1">
        <v>1028</v>
      </c>
    </row>
    <row r="95" spans="1:2" ht="13" x14ac:dyDescent="0.15">
      <c r="A95" s="4">
        <v>40051</v>
      </c>
      <c r="B95" s="1">
        <v>1028.1199999999999</v>
      </c>
    </row>
    <row r="96" spans="1:2" ht="13" x14ac:dyDescent="0.15">
      <c r="A96" s="4">
        <v>40052</v>
      </c>
      <c r="B96" s="1">
        <v>1030.98</v>
      </c>
    </row>
    <row r="97" spans="1:2" ht="13" x14ac:dyDescent="0.15">
      <c r="A97" s="4">
        <v>40053</v>
      </c>
      <c r="B97" s="1">
        <v>1028.93</v>
      </c>
    </row>
    <row r="98" spans="1:2" ht="13" x14ac:dyDescent="0.15">
      <c r="A98" s="4">
        <v>40056</v>
      </c>
      <c r="B98" s="1">
        <v>1020.62</v>
      </c>
    </row>
    <row r="99" spans="1:2" ht="13" x14ac:dyDescent="0.15">
      <c r="A99" s="4">
        <v>40057</v>
      </c>
      <c r="B99" s="1">
        <v>998.04</v>
      </c>
    </row>
    <row r="100" spans="1:2" ht="13" x14ac:dyDescent="0.15">
      <c r="A100" s="4">
        <v>40058</v>
      </c>
      <c r="B100" s="1">
        <v>994.75</v>
      </c>
    </row>
    <row r="101" spans="1:2" ht="13" x14ac:dyDescent="0.15">
      <c r="A101" s="4">
        <v>40059</v>
      </c>
      <c r="B101" s="1">
        <v>1003.24</v>
      </c>
    </row>
    <row r="102" spans="1:2" ht="13" x14ac:dyDescent="0.15">
      <c r="A102" s="4">
        <v>40060</v>
      </c>
      <c r="B102" s="1">
        <v>1016.4</v>
      </c>
    </row>
    <row r="103" spans="1:2" ht="13" x14ac:dyDescent="0.15">
      <c r="A103" s="4">
        <v>40064</v>
      </c>
      <c r="B103" s="1">
        <v>1025.3900000000001</v>
      </c>
    </row>
    <row r="104" spans="1:2" ht="13" x14ac:dyDescent="0.15">
      <c r="A104" s="4">
        <v>40065</v>
      </c>
      <c r="B104" s="1">
        <v>1033.3699999999999</v>
      </c>
    </row>
    <row r="105" spans="1:2" ht="13" x14ac:dyDescent="0.15">
      <c r="A105" s="4">
        <v>40066</v>
      </c>
      <c r="B105" s="1">
        <v>1044.1400000000001</v>
      </c>
    </row>
    <row r="106" spans="1:2" ht="13" x14ac:dyDescent="0.15">
      <c r="A106" s="4">
        <v>40067</v>
      </c>
      <c r="B106" s="1">
        <v>1042.73</v>
      </c>
    </row>
    <row r="107" spans="1:2" ht="13" x14ac:dyDescent="0.15">
      <c r="A107" s="4">
        <v>40070</v>
      </c>
      <c r="B107" s="1">
        <v>1049.3399999999999</v>
      </c>
    </row>
    <row r="108" spans="1:2" ht="13" x14ac:dyDescent="0.15">
      <c r="A108" s="4">
        <v>40071</v>
      </c>
      <c r="B108" s="1">
        <v>1052.6300000000001</v>
      </c>
    </row>
    <row r="109" spans="1:2" ht="13" x14ac:dyDescent="0.15">
      <c r="A109" s="4">
        <v>40072</v>
      </c>
      <c r="B109" s="1">
        <v>1068.76</v>
      </c>
    </row>
    <row r="110" spans="1:2" ht="13" x14ac:dyDescent="0.15">
      <c r="A110" s="4">
        <v>40073</v>
      </c>
      <c r="B110" s="1">
        <v>1065.49</v>
      </c>
    </row>
    <row r="111" spans="1:2" ht="13" x14ac:dyDescent="0.15">
      <c r="A111" s="4">
        <v>40074</v>
      </c>
      <c r="B111" s="1">
        <v>1068.3</v>
      </c>
    </row>
    <row r="112" spans="1:2" ht="13" x14ac:dyDescent="0.15">
      <c r="A112" s="4">
        <v>40077</v>
      </c>
      <c r="B112" s="1">
        <v>1064.6600000000001</v>
      </c>
    </row>
    <row r="113" spans="1:2" ht="13" x14ac:dyDescent="0.15">
      <c r="A113" s="4">
        <v>40078</v>
      </c>
      <c r="B113" s="1">
        <v>1071.6600000000001</v>
      </c>
    </row>
    <row r="114" spans="1:2" ht="13" x14ac:dyDescent="0.15">
      <c r="A114" s="4">
        <v>40079</v>
      </c>
      <c r="B114" s="1">
        <v>1060.8699999999999</v>
      </c>
    </row>
    <row r="115" spans="1:2" ht="13" x14ac:dyDescent="0.15">
      <c r="A115" s="4">
        <v>40080</v>
      </c>
      <c r="B115" s="1">
        <v>1050.78</v>
      </c>
    </row>
    <row r="116" spans="1:2" ht="13" x14ac:dyDescent="0.15">
      <c r="A116" s="4">
        <v>40081</v>
      </c>
      <c r="B116" s="1">
        <v>1044.3800000000001</v>
      </c>
    </row>
    <row r="117" spans="1:2" ht="13" x14ac:dyDescent="0.15">
      <c r="A117" s="4">
        <v>40084</v>
      </c>
      <c r="B117" s="1">
        <v>1062.98</v>
      </c>
    </row>
    <row r="118" spans="1:2" ht="13" x14ac:dyDescent="0.15">
      <c r="A118" s="4">
        <v>40085</v>
      </c>
      <c r="B118" s="1">
        <v>1060.6099999999999</v>
      </c>
    </row>
    <row r="119" spans="1:2" ht="13" x14ac:dyDescent="0.15">
      <c r="A119" s="4">
        <v>40086</v>
      </c>
      <c r="B119" s="1">
        <v>1057.07</v>
      </c>
    </row>
    <row r="120" spans="1:2" ht="13" x14ac:dyDescent="0.15">
      <c r="A120" s="4">
        <v>40087</v>
      </c>
      <c r="B120" s="1">
        <v>1029.8499999999999</v>
      </c>
    </row>
    <row r="121" spans="1:2" ht="13" x14ac:dyDescent="0.15">
      <c r="A121" s="4">
        <v>40088</v>
      </c>
      <c r="B121" s="1">
        <v>1025.21</v>
      </c>
    </row>
    <row r="122" spans="1:2" ht="13" x14ac:dyDescent="0.15">
      <c r="A122" s="4">
        <v>40091</v>
      </c>
      <c r="B122" s="1">
        <v>1040.46</v>
      </c>
    </row>
    <row r="123" spans="1:2" ht="13" x14ac:dyDescent="0.15">
      <c r="A123" s="4">
        <v>40092</v>
      </c>
      <c r="B123" s="1">
        <v>1054.72</v>
      </c>
    </row>
    <row r="124" spans="1:2" ht="13" x14ac:dyDescent="0.15">
      <c r="A124" s="4">
        <v>40093</v>
      </c>
      <c r="B124" s="1">
        <v>1057.57</v>
      </c>
    </row>
    <row r="125" spans="1:2" ht="13" x14ac:dyDescent="0.15">
      <c r="A125" s="4">
        <v>40094</v>
      </c>
      <c r="B125" s="1">
        <v>1065.48</v>
      </c>
    </row>
    <row r="126" spans="1:2" ht="13" x14ac:dyDescent="0.15">
      <c r="A126" s="4">
        <v>40095</v>
      </c>
      <c r="B126" s="1">
        <v>1071.49</v>
      </c>
    </row>
    <row r="127" spans="1:2" ht="13" x14ac:dyDescent="0.15">
      <c r="A127" s="4">
        <v>40098</v>
      </c>
      <c r="B127" s="1">
        <v>1076.18</v>
      </c>
    </row>
    <row r="128" spans="1:2" ht="13" x14ac:dyDescent="0.15">
      <c r="A128" s="4">
        <v>40099</v>
      </c>
      <c r="B128" s="1">
        <v>1073.18</v>
      </c>
    </row>
    <row r="129" spans="1:2" ht="13" x14ac:dyDescent="0.15">
      <c r="A129" s="4">
        <v>40100</v>
      </c>
      <c r="B129" s="1">
        <v>1092.02</v>
      </c>
    </row>
    <row r="130" spans="1:2" ht="13" x14ac:dyDescent="0.15">
      <c r="A130" s="4">
        <v>40101</v>
      </c>
      <c r="B130" s="1">
        <v>1096.56</v>
      </c>
    </row>
    <row r="131" spans="1:2" ht="13" x14ac:dyDescent="0.15">
      <c r="A131" s="4">
        <v>40102</v>
      </c>
      <c r="B131" s="1">
        <v>1087.68</v>
      </c>
    </row>
    <row r="132" spans="1:2" ht="13" x14ac:dyDescent="0.15">
      <c r="A132" s="4">
        <v>40105</v>
      </c>
      <c r="B132" s="1">
        <v>1097.9100000000001</v>
      </c>
    </row>
    <row r="133" spans="1:2" ht="13" x14ac:dyDescent="0.15">
      <c r="A133" s="4">
        <v>40106</v>
      </c>
      <c r="B133" s="1">
        <v>1091.06</v>
      </c>
    </row>
    <row r="134" spans="1:2" ht="13" x14ac:dyDescent="0.15">
      <c r="A134" s="4">
        <v>40107</v>
      </c>
      <c r="B134" s="1">
        <v>1081.4000000000001</v>
      </c>
    </row>
    <row r="135" spans="1:2" ht="13" x14ac:dyDescent="0.15">
      <c r="A135" s="4">
        <v>40108</v>
      </c>
      <c r="B135" s="1">
        <v>1092.9100000000001</v>
      </c>
    </row>
    <row r="136" spans="1:2" ht="13" x14ac:dyDescent="0.15">
      <c r="A136" s="4">
        <v>40109</v>
      </c>
      <c r="B136" s="1">
        <v>1079.5999999999999</v>
      </c>
    </row>
    <row r="137" spans="1:2" ht="13" x14ac:dyDescent="0.15">
      <c r="A137" s="4">
        <v>40112</v>
      </c>
      <c r="B137" s="1">
        <v>1066.94</v>
      </c>
    </row>
    <row r="138" spans="1:2" ht="13" x14ac:dyDescent="0.15">
      <c r="A138" s="4">
        <v>40113</v>
      </c>
      <c r="B138" s="1">
        <v>1063.4100000000001</v>
      </c>
    </row>
    <row r="139" spans="1:2" ht="13" x14ac:dyDescent="0.15">
      <c r="A139" s="4">
        <v>40114</v>
      </c>
      <c r="B139" s="1">
        <v>1042.6300000000001</v>
      </c>
    </row>
    <row r="140" spans="1:2" ht="13" x14ac:dyDescent="0.15">
      <c r="A140" s="4">
        <v>40115</v>
      </c>
      <c r="B140" s="1">
        <v>1066.1099999999999</v>
      </c>
    </row>
    <row r="141" spans="1:2" ht="13" x14ac:dyDescent="0.15">
      <c r="A141" s="4">
        <v>40116</v>
      </c>
      <c r="B141" s="1">
        <v>1036.18</v>
      </c>
    </row>
    <row r="142" spans="1:2" ht="13" x14ac:dyDescent="0.15">
      <c r="A142" s="4">
        <v>40119</v>
      </c>
      <c r="B142" s="1">
        <v>1042.8800000000001</v>
      </c>
    </row>
    <row r="143" spans="1:2" ht="13" x14ac:dyDescent="0.15">
      <c r="A143" s="4">
        <v>40120</v>
      </c>
      <c r="B143" s="1">
        <v>1045.4100000000001</v>
      </c>
    </row>
    <row r="144" spans="1:2" ht="13" x14ac:dyDescent="0.15">
      <c r="A144" s="4">
        <v>40121</v>
      </c>
      <c r="B144" s="1">
        <v>1046.5</v>
      </c>
    </row>
    <row r="145" spans="1:2" ht="13" x14ac:dyDescent="0.15">
      <c r="A145" s="4">
        <v>40122</v>
      </c>
      <c r="B145" s="1">
        <v>1066.6300000000001</v>
      </c>
    </row>
    <row r="146" spans="1:2" ht="13" x14ac:dyDescent="0.15">
      <c r="A146" s="4">
        <v>40123</v>
      </c>
      <c r="B146" s="1">
        <v>1069.3</v>
      </c>
    </row>
    <row r="147" spans="1:2" ht="13" x14ac:dyDescent="0.15">
      <c r="A147" s="4">
        <v>40126</v>
      </c>
      <c r="B147" s="1">
        <v>1093.07</v>
      </c>
    </row>
    <row r="148" spans="1:2" ht="13" x14ac:dyDescent="0.15">
      <c r="A148" s="4">
        <v>40127</v>
      </c>
      <c r="B148" s="1">
        <v>1093.01</v>
      </c>
    </row>
    <row r="149" spans="1:2" ht="13" x14ac:dyDescent="0.15">
      <c r="A149" s="4">
        <v>40128</v>
      </c>
      <c r="B149" s="1">
        <v>1098.51</v>
      </c>
    </row>
    <row r="150" spans="1:2" ht="13" x14ac:dyDescent="0.15">
      <c r="A150" s="4">
        <v>40129</v>
      </c>
      <c r="B150" s="1">
        <v>1087.24</v>
      </c>
    </row>
    <row r="151" spans="1:2" ht="13" x14ac:dyDescent="0.15">
      <c r="A151" s="4">
        <v>40130</v>
      </c>
      <c r="B151" s="1">
        <v>1093.48</v>
      </c>
    </row>
    <row r="152" spans="1:2" ht="13" x14ac:dyDescent="0.15">
      <c r="A152" s="4">
        <v>40133</v>
      </c>
      <c r="B152" s="1">
        <v>1109.3</v>
      </c>
    </row>
    <row r="153" spans="1:2" ht="13" x14ac:dyDescent="0.15">
      <c r="A153" s="4">
        <v>40134</v>
      </c>
      <c r="B153" s="1">
        <v>1110.31</v>
      </c>
    </row>
    <row r="154" spans="1:2" ht="13" x14ac:dyDescent="0.15">
      <c r="A154" s="4">
        <v>40135</v>
      </c>
      <c r="B154" s="1">
        <v>1109.8</v>
      </c>
    </row>
    <row r="155" spans="1:2" ht="13" x14ac:dyDescent="0.15">
      <c r="A155" s="4">
        <v>40136</v>
      </c>
      <c r="B155" s="1">
        <v>1094.9000000000001</v>
      </c>
    </row>
    <row r="156" spans="1:2" ht="13" x14ac:dyDescent="0.15">
      <c r="A156" s="4">
        <v>40137</v>
      </c>
      <c r="B156" s="1">
        <v>1091.3800000000001</v>
      </c>
    </row>
    <row r="157" spans="1:2" ht="13" x14ac:dyDescent="0.15">
      <c r="A157" s="4">
        <v>40140</v>
      </c>
      <c r="B157" s="1">
        <v>1106.24</v>
      </c>
    </row>
    <row r="158" spans="1:2" ht="13" x14ac:dyDescent="0.15">
      <c r="A158" s="4">
        <v>40141</v>
      </c>
      <c r="B158" s="1">
        <v>1105.6500000000001</v>
      </c>
    </row>
    <row r="159" spans="1:2" ht="13" x14ac:dyDescent="0.15">
      <c r="A159" s="4">
        <v>40142</v>
      </c>
      <c r="B159" s="1">
        <v>1110.6300000000001</v>
      </c>
    </row>
    <row r="160" spans="1:2" ht="13" x14ac:dyDescent="0.15">
      <c r="A160" s="4">
        <v>40144</v>
      </c>
      <c r="B160" s="1">
        <v>1091.49</v>
      </c>
    </row>
    <row r="161" spans="1:2" ht="13" x14ac:dyDescent="0.15">
      <c r="A161" s="4">
        <v>40147</v>
      </c>
      <c r="B161" s="1">
        <v>1095.6300000000001</v>
      </c>
    </row>
    <row r="162" spans="1:2" ht="13" x14ac:dyDescent="0.15">
      <c r="A162" s="4">
        <v>40148</v>
      </c>
      <c r="B162" s="1">
        <v>1108.8599999999999</v>
      </c>
    </row>
    <row r="163" spans="1:2" ht="13" x14ac:dyDescent="0.15">
      <c r="A163" s="4">
        <v>40149</v>
      </c>
      <c r="B163" s="1">
        <v>1109.24</v>
      </c>
    </row>
    <row r="164" spans="1:2" ht="13" x14ac:dyDescent="0.15">
      <c r="A164" s="4">
        <v>40150</v>
      </c>
      <c r="B164" s="1">
        <v>1099.92</v>
      </c>
    </row>
    <row r="165" spans="1:2" ht="13" x14ac:dyDescent="0.15">
      <c r="A165" s="4">
        <v>40151</v>
      </c>
      <c r="B165" s="1">
        <v>1105.98</v>
      </c>
    </row>
    <row r="166" spans="1:2" ht="13" x14ac:dyDescent="0.15">
      <c r="A166" s="4">
        <v>40154</v>
      </c>
      <c r="B166" s="1">
        <v>1103.25</v>
      </c>
    </row>
    <row r="167" spans="1:2" ht="13" x14ac:dyDescent="0.15">
      <c r="A167" s="4">
        <v>40155</v>
      </c>
      <c r="B167" s="1">
        <v>1091.93</v>
      </c>
    </row>
    <row r="168" spans="1:2" ht="13" x14ac:dyDescent="0.15">
      <c r="A168" s="4">
        <v>40156</v>
      </c>
      <c r="B168" s="1">
        <v>1095.94</v>
      </c>
    </row>
    <row r="169" spans="1:2" ht="13" x14ac:dyDescent="0.15">
      <c r="A169" s="4">
        <v>40157</v>
      </c>
      <c r="B169" s="1">
        <v>1102.3499999999999</v>
      </c>
    </row>
    <row r="170" spans="1:2" ht="13" x14ac:dyDescent="0.15">
      <c r="A170" s="4">
        <v>40158</v>
      </c>
      <c r="B170" s="1">
        <v>1106.4100000000001</v>
      </c>
    </row>
    <row r="171" spans="1:2" ht="13" x14ac:dyDescent="0.15">
      <c r="A171" s="4">
        <v>40161</v>
      </c>
      <c r="B171" s="1">
        <v>1114.1099999999999</v>
      </c>
    </row>
    <row r="172" spans="1:2" ht="13" x14ac:dyDescent="0.15">
      <c r="A172" s="4">
        <v>40162</v>
      </c>
      <c r="B172" s="1">
        <v>1107.93</v>
      </c>
    </row>
    <row r="173" spans="1:2" ht="13" x14ac:dyDescent="0.15">
      <c r="A173" s="4">
        <v>40163</v>
      </c>
      <c r="B173" s="1">
        <v>1109.18</v>
      </c>
    </row>
    <row r="174" spans="1:2" ht="13" x14ac:dyDescent="0.15">
      <c r="A174" s="4">
        <v>40164</v>
      </c>
      <c r="B174" s="1">
        <v>1096.07</v>
      </c>
    </row>
    <row r="175" spans="1:2" ht="13" x14ac:dyDescent="0.15">
      <c r="A175" s="4">
        <v>40165</v>
      </c>
      <c r="B175" s="1">
        <v>1102.47</v>
      </c>
    </row>
    <row r="176" spans="1:2" ht="13" x14ac:dyDescent="0.15">
      <c r="A176" s="4">
        <v>40168</v>
      </c>
      <c r="B176" s="1">
        <v>1114.05</v>
      </c>
    </row>
    <row r="177" spans="1:2" ht="13" x14ac:dyDescent="0.15">
      <c r="A177" s="4">
        <v>40169</v>
      </c>
      <c r="B177" s="1">
        <v>1118.02</v>
      </c>
    </row>
    <row r="178" spans="1:2" ht="13" x14ac:dyDescent="0.15">
      <c r="A178" s="4">
        <v>40170</v>
      </c>
      <c r="B178" s="1">
        <v>1120.5899999999999</v>
      </c>
    </row>
    <row r="179" spans="1:2" ht="13" x14ac:dyDescent="0.15">
      <c r="A179" s="4">
        <v>40171</v>
      </c>
      <c r="B179" s="1">
        <v>1126.48</v>
      </c>
    </row>
    <row r="180" spans="1:2" ht="13" x14ac:dyDescent="0.15">
      <c r="A180" s="4">
        <v>40175</v>
      </c>
      <c r="B180" s="1">
        <v>1127.78</v>
      </c>
    </row>
    <row r="181" spans="1:2" ht="13" x14ac:dyDescent="0.15">
      <c r="A181" s="4">
        <v>40176</v>
      </c>
      <c r="B181" s="1">
        <v>1126.19</v>
      </c>
    </row>
    <row r="182" spans="1:2" ht="13" x14ac:dyDescent="0.15">
      <c r="A182" s="4">
        <v>40177</v>
      </c>
      <c r="B182" s="1">
        <v>1126.42</v>
      </c>
    </row>
    <row r="183" spans="1:2" ht="13" x14ac:dyDescent="0.15">
      <c r="A183" s="4">
        <v>40178</v>
      </c>
      <c r="B183" s="1">
        <v>1115.0999999999999</v>
      </c>
    </row>
    <row r="184" spans="1:2" ht="13" x14ac:dyDescent="0.15">
      <c r="A184" s="4">
        <v>40182</v>
      </c>
      <c r="B184" s="1">
        <v>1132.99</v>
      </c>
    </row>
    <row r="185" spans="1:2" ht="13" x14ac:dyDescent="0.15">
      <c r="A185" s="4">
        <v>40183</v>
      </c>
      <c r="B185" s="1">
        <v>1136.52</v>
      </c>
    </row>
    <row r="186" spans="1:2" ht="13" x14ac:dyDescent="0.15">
      <c r="A186" s="4">
        <v>40184</v>
      </c>
      <c r="B186" s="1">
        <v>1137.1400000000001</v>
      </c>
    </row>
    <row r="187" spans="1:2" ht="13" x14ac:dyDescent="0.15">
      <c r="A187" s="4">
        <v>40185</v>
      </c>
      <c r="B187" s="1">
        <v>1141.68</v>
      </c>
    </row>
    <row r="188" spans="1:2" ht="13" x14ac:dyDescent="0.15">
      <c r="A188" s="4">
        <v>40186</v>
      </c>
      <c r="B188" s="1">
        <v>1144.98</v>
      </c>
    </row>
    <row r="189" spans="1:2" ht="13" x14ac:dyDescent="0.15">
      <c r="A189" s="4">
        <v>40189</v>
      </c>
      <c r="B189" s="1">
        <v>1146.98</v>
      </c>
    </row>
    <row r="190" spans="1:2" ht="13" x14ac:dyDescent="0.15">
      <c r="A190" s="4">
        <v>40190</v>
      </c>
      <c r="B190" s="1">
        <v>1136.22</v>
      </c>
    </row>
    <row r="191" spans="1:2" ht="13" x14ac:dyDescent="0.15">
      <c r="A191" s="4">
        <v>40191</v>
      </c>
      <c r="B191" s="1">
        <v>1145.68</v>
      </c>
    </row>
    <row r="192" spans="1:2" ht="13" x14ac:dyDescent="0.15">
      <c r="A192" s="4">
        <v>40192</v>
      </c>
      <c r="B192" s="1">
        <v>1148.46</v>
      </c>
    </row>
    <row r="193" spans="1:2" ht="13" x14ac:dyDescent="0.15">
      <c r="A193" s="4">
        <v>40193</v>
      </c>
      <c r="B193" s="1">
        <v>1136.03</v>
      </c>
    </row>
    <row r="194" spans="1:2" ht="13" x14ac:dyDescent="0.15">
      <c r="A194" s="4">
        <v>40197</v>
      </c>
      <c r="B194" s="1">
        <v>1150.23</v>
      </c>
    </row>
    <row r="195" spans="1:2" ht="13" x14ac:dyDescent="0.15">
      <c r="A195" s="4">
        <v>40198</v>
      </c>
      <c r="B195" s="1">
        <v>1138.04</v>
      </c>
    </row>
    <row r="196" spans="1:2" ht="13" x14ac:dyDescent="0.15">
      <c r="A196" s="4">
        <v>40199</v>
      </c>
      <c r="B196" s="1">
        <v>1116.48</v>
      </c>
    </row>
    <row r="197" spans="1:2" ht="13" x14ac:dyDescent="0.15">
      <c r="A197" s="4">
        <v>40200</v>
      </c>
      <c r="B197" s="1">
        <v>1091.76</v>
      </c>
    </row>
    <row r="198" spans="1:2" ht="13" x14ac:dyDescent="0.15">
      <c r="A198" s="4">
        <v>40203</v>
      </c>
      <c r="B198" s="1">
        <v>1096.78</v>
      </c>
    </row>
    <row r="199" spans="1:2" ht="13" x14ac:dyDescent="0.15">
      <c r="A199" s="4">
        <v>40204</v>
      </c>
      <c r="B199" s="1">
        <v>1092.17</v>
      </c>
    </row>
    <row r="200" spans="1:2" ht="13" x14ac:dyDescent="0.15">
      <c r="A200" s="4">
        <v>40205</v>
      </c>
      <c r="B200" s="1">
        <v>1097.5</v>
      </c>
    </row>
    <row r="201" spans="1:2" ht="13" x14ac:dyDescent="0.15">
      <c r="A201" s="4">
        <v>40206</v>
      </c>
      <c r="B201" s="1">
        <v>1084.53</v>
      </c>
    </row>
    <row r="202" spans="1:2" ht="13" x14ac:dyDescent="0.15">
      <c r="A202" s="4">
        <v>40207</v>
      </c>
      <c r="B202" s="1">
        <v>1073.8699999999999</v>
      </c>
    </row>
    <row r="203" spans="1:2" ht="13" x14ac:dyDescent="0.15">
      <c r="A203" s="4">
        <v>40210</v>
      </c>
      <c r="B203" s="1">
        <v>1089.18</v>
      </c>
    </row>
    <row r="204" spans="1:2" ht="13" x14ac:dyDescent="0.15">
      <c r="A204" s="4">
        <v>40211</v>
      </c>
      <c r="B204" s="1">
        <v>1103.31</v>
      </c>
    </row>
    <row r="205" spans="1:2" ht="13" x14ac:dyDescent="0.15">
      <c r="A205" s="4">
        <v>40212</v>
      </c>
      <c r="B205" s="1">
        <v>1097.28</v>
      </c>
    </row>
    <row r="206" spans="1:2" ht="13" x14ac:dyDescent="0.15">
      <c r="A206" s="4">
        <v>40213</v>
      </c>
      <c r="B206" s="1">
        <v>1063.1099999999999</v>
      </c>
    </row>
    <row r="207" spans="1:2" ht="13" x14ac:dyDescent="0.15">
      <c r="A207" s="4">
        <v>40214</v>
      </c>
      <c r="B207" s="1">
        <v>1066.18</v>
      </c>
    </row>
    <row r="208" spans="1:2" ht="13" x14ac:dyDescent="0.15">
      <c r="A208" s="4">
        <v>40217</v>
      </c>
      <c r="B208" s="1">
        <v>1056.74</v>
      </c>
    </row>
    <row r="209" spans="1:2" ht="13" x14ac:dyDescent="0.15">
      <c r="A209" s="4">
        <v>40218</v>
      </c>
      <c r="B209" s="1">
        <v>1070.52</v>
      </c>
    </row>
    <row r="210" spans="1:2" ht="13" x14ac:dyDescent="0.15">
      <c r="A210" s="4">
        <v>40219</v>
      </c>
      <c r="B210" s="1">
        <v>1068.1300000000001</v>
      </c>
    </row>
    <row r="211" spans="1:2" ht="13" x14ac:dyDescent="0.15">
      <c r="A211" s="4">
        <v>40220</v>
      </c>
      <c r="B211" s="1">
        <v>1078.47</v>
      </c>
    </row>
    <row r="212" spans="1:2" ht="13" x14ac:dyDescent="0.15">
      <c r="A212" s="4">
        <v>40221</v>
      </c>
      <c r="B212" s="1">
        <v>1075.51</v>
      </c>
    </row>
    <row r="213" spans="1:2" ht="13" x14ac:dyDescent="0.15">
      <c r="A213" s="4">
        <v>40225</v>
      </c>
      <c r="B213" s="1">
        <v>1094.8699999999999</v>
      </c>
    </row>
    <row r="214" spans="1:2" ht="13" x14ac:dyDescent="0.15">
      <c r="A214" s="4">
        <v>40226</v>
      </c>
      <c r="B214" s="1">
        <v>1099.51</v>
      </c>
    </row>
    <row r="215" spans="1:2" ht="13" x14ac:dyDescent="0.15">
      <c r="A215" s="4">
        <v>40227</v>
      </c>
      <c r="B215" s="1">
        <v>1106.75</v>
      </c>
    </row>
    <row r="216" spans="1:2" ht="13" x14ac:dyDescent="0.15">
      <c r="A216" s="4">
        <v>40228</v>
      </c>
      <c r="B216" s="1">
        <v>1109.17</v>
      </c>
    </row>
    <row r="217" spans="1:2" ht="13" x14ac:dyDescent="0.15">
      <c r="A217" s="4">
        <v>40231</v>
      </c>
      <c r="B217" s="1">
        <v>1108.01</v>
      </c>
    </row>
    <row r="218" spans="1:2" ht="13" x14ac:dyDescent="0.15">
      <c r="A218" s="4">
        <v>40232</v>
      </c>
      <c r="B218" s="1">
        <v>1094.5999999999999</v>
      </c>
    </row>
    <row r="219" spans="1:2" ht="13" x14ac:dyDescent="0.15">
      <c r="A219" s="4">
        <v>40233</v>
      </c>
      <c r="B219" s="1">
        <v>1105.24</v>
      </c>
    </row>
    <row r="220" spans="1:2" ht="13" x14ac:dyDescent="0.15">
      <c r="A220" s="4">
        <v>40234</v>
      </c>
      <c r="B220" s="1">
        <v>1102.93</v>
      </c>
    </row>
    <row r="221" spans="1:2" ht="13" x14ac:dyDescent="0.15">
      <c r="A221" s="4">
        <v>40235</v>
      </c>
      <c r="B221" s="1">
        <v>1104.49</v>
      </c>
    </row>
    <row r="222" spans="1:2" ht="13" x14ac:dyDescent="0.15">
      <c r="A222" s="4">
        <v>40238</v>
      </c>
      <c r="B222" s="1">
        <v>1115.71</v>
      </c>
    </row>
    <row r="223" spans="1:2" ht="13" x14ac:dyDescent="0.15">
      <c r="A223" s="4">
        <v>40239</v>
      </c>
      <c r="B223" s="1">
        <v>1118.31</v>
      </c>
    </row>
    <row r="224" spans="1:2" ht="13" x14ac:dyDescent="0.15">
      <c r="A224" s="4">
        <v>40240</v>
      </c>
      <c r="B224" s="1">
        <v>1118.79</v>
      </c>
    </row>
    <row r="225" spans="1:2" ht="13" x14ac:dyDescent="0.15">
      <c r="A225" s="4">
        <v>40241</v>
      </c>
      <c r="B225" s="1">
        <v>1122.97</v>
      </c>
    </row>
    <row r="226" spans="1:2" ht="13" x14ac:dyDescent="0.15">
      <c r="A226" s="4">
        <v>40242</v>
      </c>
      <c r="B226" s="1">
        <v>1138.69</v>
      </c>
    </row>
    <row r="227" spans="1:2" ht="13" x14ac:dyDescent="0.15">
      <c r="A227" s="4">
        <v>40245</v>
      </c>
      <c r="B227" s="1">
        <v>1138.5</v>
      </c>
    </row>
    <row r="228" spans="1:2" ht="13" x14ac:dyDescent="0.15">
      <c r="A228" s="4">
        <v>40246</v>
      </c>
      <c r="B228" s="1">
        <v>1140.44</v>
      </c>
    </row>
    <row r="229" spans="1:2" ht="13" x14ac:dyDescent="0.15">
      <c r="A229" s="4">
        <v>40247</v>
      </c>
      <c r="B229" s="1">
        <v>1145.6099999999999</v>
      </c>
    </row>
    <row r="230" spans="1:2" ht="13" x14ac:dyDescent="0.15">
      <c r="A230" s="4">
        <v>40248</v>
      </c>
      <c r="B230" s="1">
        <v>1150.24</v>
      </c>
    </row>
    <row r="231" spans="1:2" ht="13" x14ac:dyDescent="0.15">
      <c r="A231" s="4">
        <v>40249</v>
      </c>
      <c r="B231" s="1">
        <v>1149.99</v>
      </c>
    </row>
    <row r="232" spans="1:2" ht="13" x14ac:dyDescent="0.15">
      <c r="A232" s="4">
        <v>40252</v>
      </c>
      <c r="B232" s="1">
        <v>1150.51</v>
      </c>
    </row>
    <row r="233" spans="1:2" ht="13" x14ac:dyDescent="0.15">
      <c r="A233" s="4">
        <v>40253</v>
      </c>
      <c r="B233" s="1">
        <v>1159.46</v>
      </c>
    </row>
    <row r="234" spans="1:2" ht="13" x14ac:dyDescent="0.15">
      <c r="A234" s="4">
        <v>40254</v>
      </c>
      <c r="B234" s="1">
        <v>1166.21</v>
      </c>
    </row>
    <row r="235" spans="1:2" ht="13" x14ac:dyDescent="0.15">
      <c r="A235" s="4">
        <v>40255</v>
      </c>
      <c r="B235" s="1">
        <v>1165.82</v>
      </c>
    </row>
    <row r="236" spans="1:2" ht="13" x14ac:dyDescent="0.15">
      <c r="A236" s="4">
        <v>40256</v>
      </c>
      <c r="B236" s="1">
        <v>1159.9000000000001</v>
      </c>
    </row>
    <row r="237" spans="1:2" ht="13" x14ac:dyDescent="0.15">
      <c r="A237" s="4">
        <v>40259</v>
      </c>
      <c r="B237" s="1">
        <v>1165.81</v>
      </c>
    </row>
    <row r="238" spans="1:2" ht="13" x14ac:dyDescent="0.15">
      <c r="A238" s="4">
        <v>40260</v>
      </c>
      <c r="B238" s="1">
        <v>1174.17</v>
      </c>
    </row>
    <row r="239" spans="1:2" ht="13" x14ac:dyDescent="0.15">
      <c r="A239" s="4">
        <v>40261</v>
      </c>
      <c r="B239" s="1">
        <v>1167.72</v>
      </c>
    </row>
    <row r="240" spans="1:2" ht="13" x14ac:dyDescent="0.15">
      <c r="A240" s="4">
        <v>40262</v>
      </c>
      <c r="B240" s="1">
        <v>1165.73</v>
      </c>
    </row>
    <row r="241" spans="1:2" ht="13" x14ac:dyDescent="0.15">
      <c r="A241" s="4">
        <v>40263</v>
      </c>
      <c r="B241" s="1">
        <v>1166.5899999999999</v>
      </c>
    </row>
    <row r="242" spans="1:2" ht="13" x14ac:dyDescent="0.15">
      <c r="A242" s="4">
        <v>40266</v>
      </c>
      <c r="B242" s="1">
        <v>1173.22</v>
      </c>
    </row>
    <row r="243" spans="1:2" ht="13" x14ac:dyDescent="0.15">
      <c r="A243" s="4">
        <v>40267</v>
      </c>
      <c r="B243" s="1">
        <v>1173.27</v>
      </c>
    </row>
    <row r="244" spans="1:2" ht="13" x14ac:dyDescent="0.15">
      <c r="A244" s="4">
        <v>40268</v>
      </c>
      <c r="B244" s="1">
        <v>1169.43</v>
      </c>
    </row>
    <row r="245" spans="1:2" ht="13" x14ac:dyDescent="0.15">
      <c r="A245" s="4">
        <v>40269</v>
      </c>
      <c r="B245" s="1">
        <v>1178.0999999999999</v>
      </c>
    </row>
    <row r="246" spans="1:2" ht="13" x14ac:dyDescent="0.15">
      <c r="A246" s="4">
        <v>40273</v>
      </c>
      <c r="B246" s="1">
        <v>1187.43</v>
      </c>
    </row>
    <row r="247" spans="1:2" ht="13" x14ac:dyDescent="0.15">
      <c r="A247" s="4">
        <v>40274</v>
      </c>
      <c r="B247" s="1">
        <v>1189.43</v>
      </c>
    </row>
    <row r="248" spans="1:2" ht="13" x14ac:dyDescent="0.15">
      <c r="A248" s="4">
        <v>40275</v>
      </c>
      <c r="B248" s="1">
        <v>1182.44</v>
      </c>
    </row>
    <row r="249" spans="1:2" ht="13" x14ac:dyDescent="0.15">
      <c r="A249" s="4">
        <v>40276</v>
      </c>
      <c r="B249" s="1">
        <v>1186.43</v>
      </c>
    </row>
    <row r="250" spans="1:2" ht="13" x14ac:dyDescent="0.15">
      <c r="A250" s="4">
        <v>40277</v>
      </c>
      <c r="B250" s="1">
        <v>1194.3699999999999</v>
      </c>
    </row>
    <row r="251" spans="1:2" ht="13" x14ac:dyDescent="0.15">
      <c r="A251" s="4">
        <v>40280</v>
      </c>
      <c r="B251" s="1">
        <v>1196.48</v>
      </c>
    </row>
    <row r="252" spans="1:2" ht="13" x14ac:dyDescent="0.15">
      <c r="A252" s="4">
        <v>40281</v>
      </c>
      <c r="B252" s="1">
        <v>1197.3</v>
      </c>
    </row>
    <row r="253" spans="1:2" ht="13" x14ac:dyDescent="0.15">
      <c r="A253" s="4">
        <v>40282</v>
      </c>
      <c r="B253" s="1">
        <v>1210.6500000000001</v>
      </c>
    </row>
    <row r="254" spans="1:2" ht="13" x14ac:dyDescent="0.15">
      <c r="A254" s="4">
        <v>40283</v>
      </c>
      <c r="B254" s="1">
        <v>1211.67</v>
      </c>
    </row>
    <row r="255" spans="1:2" ht="13" x14ac:dyDescent="0.15">
      <c r="A255" s="4">
        <v>40284</v>
      </c>
      <c r="B255" s="1">
        <v>1192.1300000000001</v>
      </c>
    </row>
    <row r="256" spans="1:2" ht="13" x14ac:dyDescent="0.15">
      <c r="A256" s="4">
        <v>40287</v>
      </c>
      <c r="B256" s="1">
        <v>1197.52</v>
      </c>
    </row>
    <row r="257" spans="1:2" ht="13" x14ac:dyDescent="0.15">
      <c r="A257" s="4">
        <v>40288</v>
      </c>
      <c r="B257" s="1">
        <v>1207.17</v>
      </c>
    </row>
    <row r="258" spans="1:2" ht="13" x14ac:dyDescent="0.15">
      <c r="A258" s="4">
        <v>40289</v>
      </c>
      <c r="B258" s="1">
        <v>1205.93</v>
      </c>
    </row>
    <row r="259" spans="1:2" ht="13" x14ac:dyDescent="0.15">
      <c r="A259" s="4">
        <v>40290</v>
      </c>
      <c r="B259" s="1">
        <v>1208.67</v>
      </c>
    </row>
    <row r="260" spans="1:2" ht="13" x14ac:dyDescent="0.15">
      <c r="A260" s="4">
        <v>40291</v>
      </c>
      <c r="B260" s="1">
        <v>1217.28</v>
      </c>
    </row>
    <row r="261" spans="1:2" ht="13" x14ac:dyDescent="0.15">
      <c r="A261" s="4">
        <v>40294</v>
      </c>
      <c r="B261" s="1">
        <v>1212.05</v>
      </c>
    </row>
    <row r="262" spans="1:2" ht="13" x14ac:dyDescent="0.15">
      <c r="A262" s="4">
        <v>40295</v>
      </c>
      <c r="B262" s="1">
        <v>1183.71</v>
      </c>
    </row>
    <row r="263" spans="1:2" ht="13" x14ac:dyDescent="0.15">
      <c r="A263" s="4">
        <v>40296</v>
      </c>
      <c r="B263" s="1">
        <v>1191.3599999999999</v>
      </c>
    </row>
    <row r="264" spans="1:2" ht="13" x14ac:dyDescent="0.15">
      <c r="A264" s="4">
        <v>40297</v>
      </c>
      <c r="B264" s="1">
        <v>1206.78</v>
      </c>
    </row>
    <row r="265" spans="1:2" ht="13" x14ac:dyDescent="0.15">
      <c r="A265" s="4">
        <v>40298</v>
      </c>
      <c r="B265" s="1">
        <v>1186.68</v>
      </c>
    </row>
    <row r="266" spans="1:2" ht="13" x14ac:dyDescent="0.15">
      <c r="A266" s="4">
        <v>40301</v>
      </c>
      <c r="B266" s="1">
        <v>1202.26</v>
      </c>
    </row>
    <row r="267" spans="1:2" ht="13" x14ac:dyDescent="0.15">
      <c r="A267" s="4">
        <v>40302</v>
      </c>
      <c r="B267" s="1">
        <v>1173.5999999999999</v>
      </c>
    </row>
    <row r="268" spans="1:2" ht="13" x14ac:dyDescent="0.15">
      <c r="A268" s="4">
        <v>40303</v>
      </c>
      <c r="B268" s="1">
        <v>1165.8699999999999</v>
      </c>
    </row>
    <row r="269" spans="1:2" ht="13" x14ac:dyDescent="0.15">
      <c r="A269" s="4">
        <v>40304</v>
      </c>
      <c r="B269" s="1">
        <v>1128.1500000000001</v>
      </c>
    </row>
    <row r="270" spans="1:2" ht="13" x14ac:dyDescent="0.15">
      <c r="A270" s="4">
        <v>40305</v>
      </c>
      <c r="B270" s="1">
        <v>1110.8800000000001</v>
      </c>
    </row>
    <row r="271" spans="1:2" ht="13" x14ac:dyDescent="0.15">
      <c r="A271" s="4">
        <v>40308</v>
      </c>
      <c r="B271" s="1">
        <v>1159.73</v>
      </c>
    </row>
    <row r="272" spans="1:2" ht="13" x14ac:dyDescent="0.15">
      <c r="A272" s="4">
        <v>40309</v>
      </c>
      <c r="B272" s="1">
        <v>1155.79</v>
      </c>
    </row>
    <row r="273" spans="1:2" ht="13" x14ac:dyDescent="0.15">
      <c r="A273" s="4">
        <v>40310</v>
      </c>
      <c r="B273" s="1">
        <v>1171.67</v>
      </c>
    </row>
    <row r="274" spans="1:2" ht="13" x14ac:dyDescent="0.15">
      <c r="A274" s="4">
        <v>40311</v>
      </c>
      <c r="B274" s="1">
        <v>1157.43</v>
      </c>
    </row>
    <row r="275" spans="1:2" ht="13" x14ac:dyDescent="0.15">
      <c r="A275" s="4">
        <v>40312</v>
      </c>
      <c r="B275" s="1">
        <v>1135.68</v>
      </c>
    </row>
    <row r="276" spans="1:2" ht="13" x14ac:dyDescent="0.15">
      <c r="A276" s="4">
        <v>40315</v>
      </c>
      <c r="B276" s="1">
        <v>1136.94</v>
      </c>
    </row>
    <row r="277" spans="1:2" ht="13" x14ac:dyDescent="0.15">
      <c r="A277" s="4">
        <v>40316</v>
      </c>
      <c r="B277" s="1">
        <v>1120.8</v>
      </c>
    </row>
    <row r="278" spans="1:2" ht="13" x14ac:dyDescent="0.15">
      <c r="A278" s="4">
        <v>40317</v>
      </c>
      <c r="B278" s="1">
        <v>1115.05</v>
      </c>
    </row>
    <row r="279" spans="1:2" ht="13" x14ac:dyDescent="0.15">
      <c r="A279" s="4">
        <v>40318</v>
      </c>
      <c r="B279" s="1">
        <v>1071.5899999999999</v>
      </c>
    </row>
    <row r="280" spans="1:2" ht="13" x14ac:dyDescent="0.15">
      <c r="A280" s="4">
        <v>40319</v>
      </c>
      <c r="B280" s="1">
        <v>1087.69</v>
      </c>
    </row>
    <row r="281" spans="1:2" ht="13" x14ac:dyDescent="0.15">
      <c r="A281" s="4">
        <v>40322</v>
      </c>
      <c r="B281" s="1">
        <v>1073.6500000000001</v>
      </c>
    </row>
    <row r="282" spans="1:2" ht="13" x14ac:dyDescent="0.15">
      <c r="A282" s="4">
        <v>40323</v>
      </c>
      <c r="B282" s="1">
        <v>1074.03</v>
      </c>
    </row>
    <row r="283" spans="1:2" ht="13" x14ac:dyDescent="0.15">
      <c r="A283" s="4">
        <v>40324</v>
      </c>
      <c r="B283" s="1">
        <v>1067.95</v>
      </c>
    </row>
    <row r="284" spans="1:2" ht="13" x14ac:dyDescent="0.15">
      <c r="A284" s="4">
        <v>40325</v>
      </c>
      <c r="B284" s="1">
        <v>1103.06</v>
      </c>
    </row>
    <row r="285" spans="1:2" ht="13" x14ac:dyDescent="0.15">
      <c r="A285" s="4">
        <v>40326</v>
      </c>
      <c r="B285" s="1">
        <v>1089.4100000000001</v>
      </c>
    </row>
    <row r="286" spans="1:2" ht="13" x14ac:dyDescent="0.15">
      <c r="A286" s="4">
        <v>40330</v>
      </c>
      <c r="B286" s="1">
        <v>1070.71</v>
      </c>
    </row>
    <row r="287" spans="1:2" ht="13" x14ac:dyDescent="0.15">
      <c r="A287" s="4">
        <v>40331</v>
      </c>
      <c r="B287" s="1">
        <v>1098.3800000000001</v>
      </c>
    </row>
    <row r="288" spans="1:2" ht="13" x14ac:dyDescent="0.15">
      <c r="A288" s="4">
        <v>40332</v>
      </c>
      <c r="B288" s="1">
        <v>1102.83</v>
      </c>
    </row>
    <row r="289" spans="1:2" ht="13" x14ac:dyDescent="0.15">
      <c r="A289" s="4">
        <v>40333</v>
      </c>
      <c r="B289" s="1">
        <v>1064.8800000000001</v>
      </c>
    </row>
    <row r="290" spans="1:2" ht="13" x14ac:dyDescent="0.15">
      <c r="A290" s="4">
        <v>40336</v>
      </c>
      <c r="B290" s="1">
        <v>1050.47</v>
      </c>
    </row>
    <row r="291" spans="1:2" ht="13" x14ac:dyDescent="0.15">
      <c r="A291" s="4">
        <v>40337</v>
      </c>
      <c r="B291" s="1">
        <v>1062</v>
      </c>
    </row>
    <row r="292" spans="1:2" ht="13" x14ac:dyDescent="0.15">
      <c r="A292" s="4">
        <v>40338</v>
      </c>
      <c r="B292" s="1">
        <v>1055.69</v>
      </c>
    </row>
    <row r="293" spans="1:2" ht="13" x14ac:dyDescent="0.15">
      <c r="A293" s="4">
        <v>40339</v>
      </c>
      <c r="B293" s="1">
        <v>1086.8399999999999</v>
      </c>
    </row>
    <row r="294" spans="1:2" ht="13" x14ac:dyDescent="0.15">
      <c r="A294" s="4">
        <v>40340</v>
      </c>
      <c r="B294" s="1">
        <v>1091.5999999999999</v>
      </c>
    </row>
    <row r="295" spans="1:2" ht="13" x14ac:dyDescent="0.15">
      <c r="A295" s="4">
        <v>40343</v>
      </c>
      <c r="B295" s="1">
        <v>1089.6300000000001</v>
      </c>
    </row>
    <row r="296" spans="1:2" ht="13" x14ac:dyDescent="0.15">
      <c r="A296" s="4">
        <v>40344</v>
      </c>
      <c r="B296" s="1">
        <v>1115.23</v>
      </c>
    </row>
    <row r="297" spans="1:2" ht="13" x14ac:dyDescent="0.15">
      <c r="A297" s="4">
        <v>40345</v>
      </c>
      <c r="B297" s="1">
        <v>1114.6099999999999</v>
      </c>
    </row>
    <row r="298" spans="1:2" ht="13" x14ac:dyDescent="0.15">
      <c r="A298" s="4">
        <v>40346</v>
      </c>
      <c r="B298" s="1">
        <v>1116.04</v>
      </c>
    </row>
    <row r="299" spans="1:2" ht="13" x14ac:dyDescent="0.15">
      <c r="A299" s="4">
        <v>40347</v>
      </c>
      <c r="B299" s="1">
        <v>1117.51</v>
      </c>
    </row>
    <row r="300" spans="1:2" ht="13" x14ac:dyDescent="0.15">
      <c r="A300" s="4">
        <v>40350</v>
      </c>
      <c r="B300" s="1">
        <v>1113.2</v>
      </c>
    </row>
    <row r="301" spans="1:2" ht="13" x14ac:dyDescent="0.15">
      <c r="A301" s="4">
        <v>40351</v>
      </c>
      <c r="B301" s="1">
        <v>1095.31</v>
      </c>
    </row>
    <row r="302" spans="1:2" ht="13" x14ac:dyDescent="0.15">
      <c r="A302" s="4">
        <v>40352</v>
      </c>
      <c r="B302" s="1">
        <v>1092.04</v>
      </c>
    </row>
    <row r="303" spans="1:2" ht="13" x14ac:dyDescent="0.15">
      <c r="A303" s="4">
        <v>40353</v>
      </c>
      <c r="B303" s="1">
        <v>1073.69</v>
      </c>
    </row>
    <row r="304" spans="1:2" ht="13" x14ac:dyDescent="0.15">
      <c r="A304" s="4">
        <v>40354</v>
      </c>
      <c r="B304" s="1">
        <v>1076.76</v>
      </c>
    </row>
    <row r="305" spans="1:2" ht="13" x14ac:dyDescent="0.15">
      <c r="A305" s="4">
        <v>40357</v>
      </c>
      <c r="B305" s="1">
        <v>1074.57</v>
      </c>
    </row>
    <row r="306" spans="1:2" ht="13" x14ac:dyDescent="0.15">
      <c r="A306" s="4">
        <v>40358</v>
      </c>
      <c r="B306" s="1">
        <v>1041.24</v>
      </c>
    </row>
    <row r="307" spans="1:2" ht="13" x14ac:dyDescent="0.15">
      <c r="A307" s="4">
        <v>40359</v>
      </c>
      <c r="B307" s="1">
        <v>1030.71</v>
      </c>
    </row>
    <row r="308" spans="1:2" ht="13" x14ac:dyDescent="0.15">
      <c r="A308" s="4">
        <v>40360</v>
      </c>
      <c r="B308" s="1">
        <v>1027.3699999999999</v>
      </c>
    </row>
    <row r="309" spans="1:2" ht="13" x14ac:dyDescent="0.15">
      <c r="A309" s="4">
        <v>40361</v>
      </c>
      <c r="B309" s="1">
        <v>1022.58</v>
      </c>
    </row>
    <row r="310" spans="1:2" ht="13" x14ac:dyDescent="0.15">
      <c r="A310" s="4">
        <v>40365</v>
      </c>
      <c r="B310" s="1">
        <v>1028.06</v>
      </c>
    </row>
    <row r="311" spans="1:2" ht="13" x14ac:dyDescent="0.15">
      <c r="A311" s="4">
        <v>40366</v>
      </c>
      <c r="B311" s="1">
        <v>1060.27</v>
      </c>
    </row>
    <row r="312" spans="1:2" ht="13" x14ac:dyDescent="0.15">
      <c r="A312" s="4">
        <v>40367</v>
      </c>
      <c r="B312" s="1">
        <v>1070.25</v>
      </c>
    </row>
    <row r="313" spans="1:2" ht="13" x14ac:dyDescent="0.15">
      <c r="A313" s="4">
        <v>40368</v>
      </c>
      <c r="B313" s="1">
        <v>1077.96</v>
      </c>
    </row>
    <row r="314" spans="1:2" ht="13" x14ac:dyDescent="0.15">
      <c r="A314" s="4">
        <v>40371</v>
      </c>
      <c r="B314" s="1">
        <v>1078.75</v>
      </c>
    </row>
    <row r="315" spans="1:2" ht="13" x14ac:dyDescent="0.15">
      <c r="A315" s="4">
        <v>40372</v>
      </c>
      <c r="B315" s="1">
        <v>1095.3399999999999</v>
      </c>
    </row>
    <row r="316" spans="1:2" ht="13" x14ac:dyDescent="0.15">
      <c r="A316" s="4">
        <v>40373</v>
      </c>
      <c r="B316" s="1">
        <v>1095.17</v>
      </c>
    </row>
    <row r="317" spans="1:2" ht="13" x14ac:dyDescent="0.15">
      <c r="A317" s="4">
        <v>40374</v>
      </c>
      <c r="B317" s="1">
        <v>1096.48</v>
      </c>
    </row>
    <row r="318" spans="1:2" ht="13" x14ac:dyDescent="0.15">
      <c r="A318" s="4">
        <v>40375</v>
      </c>
      <c r="B318" s="1">
        <v>1064.8800000000001</v>
      </c>
    </row>
    <row r="319" spans="1:2" ht="13" x14ac:dyDescent="0.15">
      <c r="A319" s="4">
        <v>40378</v>
      </c>
      <c r="B319" s="1">
        <v>1071.25</v>
      </c>
    </row>
    <row r="320" spans="1:2" ht="13" x14ac:dyDescent="0.15">
      <c r="A320" s="4">
        <v>40379</v>
      </c>
      <c r="B320" s="1">
        <v>1083.48</v>
      </c>
    </row>
    <row r="321" spans="1:2" ht="13" x14ac:dyDescent="0.15">
      <c r="A321" s="4">
        <v>40380</v>
      </c>
      <c r="B321" s="1">
        <v>1069.5899999999999</v>
      </c>
    </row>
    <row r="322" spans="1:2" ht="13" x14ac:dyDescent="0.15">
      <c r="A322" s="4">
        <v>40381</v>
      </c>
      <c r="B322" s="1">
        <v>1093.67</v>
      </c>
    </row>
    <row r="323" spans="1:2" ht="13" x14ac:dyDescent="0.15">
      <c r="A323" s="4">
        <v>40382</v>
      </c>
      <c r="B323" s="1">
        <v>1102.6600000000001</v>
      </c>
    </row>
    <row r="324" spans="1:2" ht="13" x14ac:dyDescent="0.15">
      <c r="A324" s="4">
        <v>40385</v>
      </c>
      <c r="B324" s="1">
        <v>1115.01</v>
      </c>
    </row>
    <row r="325" spans="1:2" ht="13" x14ac:dyDescent="0.15">
      <c r="A325" s="4">
        <v>40386</v>
      </c>
      <c r="B325" s="1">
        <v>1113.8399999999999</v>
      </c>
    </row>
    <row r="326" spans="1:2" ht="13" x14ac:dyDescent="0.15">
      <c r="A326" s="4">
        <v>40387</v>
      </c>
      <c r="B326" s="1">
        <v>1106.1300000000001</v>
      </c>
    </row>
    <row r="327" spans="1:2" ht="13" x14ac:dyDescent="0.15">
      <c r="A327" s="4">
        <v>40388</v>
      </c>
      <c r="B327" s="1">
        <v>1101.53</v>
      </c>
    </row>
    <row r="328" spans="1:2" ht="13" x14ac:dyDescent="0.15">
      <c r="A328" s="4">
        <v>40389</v>
      </c>
      <c r="B328" s="1">
        <v>1101.5999999999999</v>
      </c>
    </row>
    <row r="329" spans="1:2" ht="13" x14ac:dyDescent="0.15">
      <c r="A329" s="4">
        <v>40392</v>
      </c>
      <c r="B329" s="1">
        <v>1125.8599999999999</v>
      </c>
    </row>
    <row r="330" spans="1:2" ht="13" x14ac:dyDescent="0.15">
      <c r="A330" s="4">
        <v>40393</v>
      </c>
      <c r="B330" s="1">
        <v>1120.46</v>
      </c>
    </row>
    <row r="331" spans="1:2" ht="13" x14ac:dyDescent="0.15">
      <c r="A331" s="4">
        <v>40394</v>
      </c>
      <c r="B331" s="1">
        <v>1127.24</v>
      </c>
    </row>
    <row r="332" spans="1:2" ht="13" x14ac:dyDescent="0.15">
      <c r="A332" s="4">
        <v>40395</v>
      </c>
      <c r="B332" s="1">
        <v>1125.81</v>
      </c>
    </row>
    <row r="333" spans="1:2" ht="13" x14ac:dyDescent="0.15">
      <c r="A333" s="4">
        <v>40396</v>
      </c>
      <c r="B333" s="1">
        <v>1121.6400000000001</v>
      </c>
    </row>
    <row r="334" spans="1:2" ht="13" x14ac:dyDescent="0.15">
      <c r="A334" s="4">
        <v>40399</v>
      </c>
      <c r="B334" s="1">
        <v>1127.79</v>
      </c>
    </row>
    <row r="335" spans="1:2" ht="13" x14ac:dyDescent="0.15">
      <c r="A335" s="4">
        <v>40400</v>
      </c>
      <c r="B335" s="1">
        <v>1121.06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81"/>
  <sheetViews>
    <sheetView workbookViewId="0">
      <selection sqref="A1:A1048576"/>
    </sheetView>
  </sheetViews>
  <sheetFormatPr baseColWidth="10" defaultColWidth="14.5" defaultRowHeight="15.75" customHeight="1" x14ac:dyDescent="0.15"/>
  <cols>
    <col min="1" max="1" width="10.1640625" style="4" bestFit="1" customWidth="1"/>
    <col min="2" max="2" width="7.83203125" customWidth="1"/>
  </cols>
  <sheetData>
    <row r="1" spans="1:2" ht="15.75" customHeight="1" x14ac:dyDescent="0.15">
      <c r="A1" s="3" t="s">
        <v>0</v>
      </c>
      <c r="B1" s="1" t="s">
        <v>1</v>
      </c>
    </row>
    <row r="2" spans="1:2" ht="15.75" customHeight="1" x14ac:dyDescent="0.15">
      <c r="A2" s="4">
        <v>37692</v>
      </c>
      <c r="B2" s="1">
        <v>804.19</v>
      </c>
    </row>
    <row r="3" spans="1:2" ht="15.75" customHeight="1" x14ac:dyDescent="0.15">
      <c r="A3" s="4">
        <v>37693</v>
      </c>
      <c r="B3" s="1">
        <v>831.9</v>
      </c>
    </row>
    <row r="4" spans="1:2" ht="15.75" customHeight="1" x14ac:dyDescent="0.15">
      <c r="A4" s="4">
        <v>37694</v>
      </c>
      <c r="B4" s="1">
        <v>833.27</v>
      </c>
    </row>
    <row r="5" spans="1:2" ht="15.75" customHeight="1" x14ac:dyDescent="0.15">
      <c r="A5" s="4">
        <v>37697</v>
      </c>
      <c r="B5" s="1">
        <v>862.79</v>
      </c>
    </row>
    <row r="6" spans="1:2" ht="15.75" customHeight="1" x14ac:dyDescent="0.15">
      <c r="A6" s="4">
        <v>37698</v>
      </c>
      <c r="B6" s="1">
        <v>866.45</v>
      </c>
    </row>
    <row r="7" spans="1:2" ht="15.75" customHeight="1" x14ac:dyDescent="0.15">
      <c r="A7" s="4">
        <v>37699</v>
      </c>
      <c r="B7" s="1">
        <v>874.02</v>
      </c>
    </row>
    <row r="8" spans="1:2" ht="15.75" customHeight="1" x14ac:dyDescent="0.15">
      <c r="A8" s="4">
        <v>37700</v>
      </c>
      <c r="B8" s="1">
        <v>875.84</v>
      </c>
    </row>
    <row r="9" spans="1:2" ht="15.75" customHeight="1" x14ac:dyDescent="0.15">
      <c r="A9" s="4">
        <v>37701</v>
      </c>
      <c r="B9" s="1">
        <v>895.89</v>
      </c>
    </row>
    <row r="10" spans="1:2" ht="15.75" customHeight="1" x14ac:dyDescent="0.15">
      <c r="A10" s="4">
        <v>37704</v>
      </c>
      <c r="B10" s="1">
        <v>864.23</v>
      </c>
    </row>
    <row r="11" spans="1:2" ht="15.75" customHeight="1" x14ac:dyDescent="0.15">
      <c r="A11" s="4">
        <v>37705</v>
      </c>
      <c r="B11" s="1">
        <v>874.74</v>
      </c>
    </row>
    <row r="12" spans="1:2" ht="15.75" customHeight="1" x14ac:dyDescent="0.15">
      <c r="A12" s="4">
        <v>37706</v>
      </c>
      <c r="B12" s="1">
        <v>869.95</v>
      </c>
    </row>
    <row r="13" spans="1:2" ht="15.75" customHeight="1" x14ac:dyDescent="0.15">
      <c r="A13" s="4">
        <v>37707</v>
      </c>
      <c r="B13" s="1">
        <v>868.52</v>
      </c>
    </row>
    <row r="14" spans="1:2" ht="15.75" customHeight="1" x14ac:dyDescent="0.15">
      <c r="A14" s="4">
        <v>37708</v>
      </c>
      <c r="B14" s="1">
        <v>863.5</v>
      </c>
    </row>
    <row r="15" spans="1:2" ht="15.75" customHeight="1" x14ac:dyDescent="0.15">
      <c r="A15" s="4">
        <v>37711</v>
      </c>
      <c r="B15" s="1">
        <v>848.18</v>
      </c>
    </row>
    <row r="16" spans="1:2" ht="15.75" customHeight="1" x14ac:dyDescent="0.15">
      <c r="A16" s="4">
        <v>37712</v>
      </c>
      <c r="B16" s="1">
        <v>858.48</v>
      </c>
    </row>
    <row r="17" spans="1:2" ht="15.75" customHeight="1" x14ac:dyDescent="0.15">
      <c r="A17" s="4">
        <v>37713</v>
      </c>
      <c r="B17" s="1">
        <v>880.9</v>
      </c>
    </row>
    <row r="18" spans="1:2" ht="15.75" customHeight="1" x14ac:dyDescent="0.15">
      <c r="A18" s="4">
        <v>37714</v>
      </c>
      <c r="B18" s="1">
        <v>876.45</v>
      </c>
    </row>
    <row r="19" spans="1:2" ht="15.75" customHeight="1" x14ac:dyDescent="0.15">
      <c r="A19" s="4">
        <v>37715</v>
      </c>
      <c r="B19" s="1">
        <v>878.85</v>
      </c>
    </row>
    <row r="20" spans="1:2" ht="15.75" customHeight="1" x14ac:dyDescent="0.15">
      <c r="A20" s="4">
        <v>37718</v>
      </c>
      <c r="B20" s="1">
        <v>879.93</v>
      </c>
    </row>
    <row r="21" spans="1:2" ht="15.75" customHeight="1" x14ac:dyDescent="0.15">
      <c r="A21" s="4">
        <v>37719</v>
      </c>
      <c r="B21" s="1">
        <v>878.29</v>
      </c>
    </row>
    <row r="22" spans="1:2" ht="15.75" customHeight="1" x14ac:dyDescent="0.15">
      <c r="A22" s="4">
        <v>37720</v>
      </c>
      <c r="B22" s="1">
        <v>865.99</v>
      </c>
    </row>
    <row r="23" spans="1:2" ht="15.75" customHeight="1" x14ac:dyDescent="0.15">
      <c r="A23" s="4">
        <v>37721</v>
      </c>
      <c r="B23" s="1">
        <v>871.58</v>
      </c>
    </row>
    <row r="24" spans="1:2" ht="15.75" customHeight="1" x14ac:dyDescent="0.15">
      <c r="A24" s="4">
        <v>37722</v>
      </c>
      <c r="B24" s="1">
        <v>868.3</v>
      </c>
    </row>
    <row r="25" spans="1:2" ht="15.75" customHeight="1" x14ac:dyDescent="0.15">
      <c r="A25" s="4">
        <v>37725</v>
      </c>
      <c r="B25" s="1">
        <v>885.23</v>
      </c>
    </row>
    <row r="26" spans="1:2" ht="15.75" customHeight="1" x14ac:dyDescent="0.15">
      <c r="A26" s="4">
        <v>37726</v>
      </c>
      <c r="B26" s="1">
        <v>890.81</v>
      </c>
    </row>
    <row r="27" spans="1:2" ht="15.75" customHeight="1" x14ac:dyDescent="0.15">
      <c r="A27" s="4">
        <v>37727</v>
      </c>
      <c r="B27" s="1">
        <v>879.91</v>
      </c>
    </row>
    <row r="28" spans="1:2" ht="15.75" customHeight="1" x14ac:dyDescent="0.15">
      <c r="A28" s="4">
        <v>37728</v>
      </c>
      <c r="B28" s="1">
        <v>893.58</v>
      </c>
    </row>
    <row r="29" spans="1:2" ht="15.75" customHeight="1" x14ac:dyDescent="0.15">
      <c r="A29" s="4">
        <v>37732</v>
      </c>
      <c r="B29" s="1">
        <v>892.01</v>
      </c>
    </row>
    <row r="30" spans="1:2" ht="15.75" customHeight="1" x14ac:dyDescent="0.15">
      <c r="A30" s="4">
        <v>37733</v>
      </c>
      <c r="B30" s="1">
        <v>911.37</v>
      </c>
    </row>
    <row r="31" spans="1:2" ht="15.75" customHeight="1" x14ac:dyDescent="0.15">
      <c r="A31" s="4">
        <v>37734</v>
      </c>
      <c r="B31" s="1">
        <v>919.02</v>
      </c>
    </row>
    <row r="32" spans="1:2" ht="15.75" customHeight="1" x14ac:dyDescent="0.15">
      <c r="A32" s="4">
        <v>37735</v>
      </c>
      <c r="B32" s="1">
        <v>911.43</v>
      </c>
    </row>
    <row r="33" spans="1:2" ht="15.75" customHeight="1" x14ac:dyDescent="0.15">
      <c r="A33" s="4">
        <v>37736</v>
      </c>
      <c r="B33" s="1">
        <v>898.81</v>
      </c>
    </row>
    <row r="34" spans="1:2" ht="15.75" customHeight="1" x14ac:dyDescent="0.15">
      <c r="A34" s="4">
        <v>37739</v>
      </c>
      <c r="B34" s="1">
        <v>914.84</v>
      </c>
    </row>
    <row r="35" spans="1:2" ht="15.75" customHeight="1" x14ac:dyDescent="0.15">
      <c r="A35" s="4">
        <v>37740</v>
      </c>
      <c r="B35" s="1">
        <v>917.84</v>
      </c>
    </row>
    <row r="36" spans="1:2" ht="15.75" customHeight="1" x14ac:dyDescent="0.15">
      <c r="A36" s="4">
        <v>37741</v>
      </c>
      <c r="B36" s="1">
        <v>916.92</v>
      </c>
    </row>
    <row r="37" spans="1:2" ht="15.75" customHeight="1" x14ac:dyDescent="0.15">
      <c r="A37" s="4">
        <v>37742</v>
      </c>
      <c r="B37" s="1">
        <v>916.3</v>
      </c>
    </row>
    <row r="38" spans="1:2" ht="15.75" customHeight="1" x14ac:dyDescent="0.15">
      <c r="A38" s="4">
        <v>37743</v>
      </c>
      <c r="B38" s="1">
        <v>930.08</v>
      </c>
    </row>
    <row r="39" spans="1:2" ht="15.75" customHeight="1" x14ac:dyDescent="0.15">
      <c r="A39" s="4">
        <v>37746</v>
      </c>
      <c r="B39" s="1">
        <v>926.55</v>
      </c>
    </row>
    <row r="40" spans="1:2" ht="13" x14ac:dyDescent="0.15">
      <c r="A40" s="4">
        <v>37747</v>
      </c>
      <c r="B40" s="1">
        <v>934.39</v>
      </c>
    </row>
    <row r="41" spans="1:2" ht="13" x14ac:dyDescent="0.15">
      <c r="A41" s="4">
        <v>37748</v>
      </c>
      <c r="B41" s="1">
        <v>929.62</v>
      </c>
    </row>
    <row r="42" spans="1:2" ht="13" x14ac:dyDescent="0.15">
      <c r="A42" s="4">
        <v>37749</v>
      </c>
      <c r="B42" s="1">
        <v>920.27</v>
      </c>
    </row>
    <row r="43" spans="1:2" ht="13" x14ac:dyDescent="0.15">
      <c r="A43" s="4">
        <v>37750</v>
      </c>
      <c r="B43" s="1">
        <v>933.41</v>
      </c>
    </row>
    <row r="44" spans="1:2" ht="13" x14ac:dyDescent="0.15">
      <c r="A44" s="4">
        <v>37753</v>
      </c>
      <c r="B44" s="1">
        <v>945.11</v>
      </c>
    </row>
    <row r="45" spans="1:2" ht="13" x14ac:dyDescent="0.15">
      <c r="A45" s="4">
        <v>37754</v>
      </c>
      <c r="B45" s="1">
        <v>942.3</v>
      </c>
    </row>
    <row r="46" spans="1:2" ht="13" x14ac:dyDescent="0.15">
      <c r="A46" s="4">
        <v>37755</v>
      </c>
      <c r="B46" s="1">
        <v>939.28</v>
      </c>
    </row>
    <row r="47" spans="1:2" ht="13" x14ac:dyDescent="0.15">
      <c r="A47" s="4">
        <v>37756</v>
      </c>
      <c r="B47" s="1">
        <v>946.67</v>
      </c>
    </row>
    <row r="48" spans="1:2" ht="13" x14ac:dyDescent="0.15">
      <c r="A48" s="4">
        <v>37757</v>
      </c>
      <c r="B48" s="1">
        <v>944.3</v>
      </c>
    </row>
    <row r="49" spans="1:2" ht="13" x14ac:dyDescent="0.15">
      <c r="A49" s="4">
        <v>37760</v>
      </c>
      <c r="B49" s="1">
        <v>920.77</v>
      </c>
    </row>
    <row r="50" spans="1:2" ht="13" x14ac:dyDescent="0.15">
      <c r="A50" s="4">
        <v>37761</v>
      </c>
      <c r="B50" s="1">
        <v>919.73</v>
      </c>
    </row>
    <row r="51" spans="1:2" ht="13" x14ac:dyDescent="0.15">
      <c r="A51" s="4">
        <v>37762</v>
      </c>
      <c r="B51" s="1">
        <v>923.42</v>
      </c>
    </row>
    <row r="52" spans="1:2" ht="13" x14ac:dyDescent="0.15">
      <c r="A52" s="4">
        <v>37763</v>
      </c>
      <c r="B52" s="1">
        <v>931.87</v>
      </c>
    </row>
    <row r="53" spans="1:2" ht="13" x14ac:dyDescent="0.15">
      <c r="A53" s="4">
        <v>37764</v>
      </c>
      <c r="B53" s="1">
        <v>933.22</v>
      </c>
    </row>
    <row r="54" spans="1:2" ht="13" x14ac:dyDescent="0.15">
      <c r="A54" s="4">
        <v>37768</v>
      </c>
      <c r="B54" s="1">
        <v>951.48</v>
      </c>
    </row>
    <row r="55" spans="1:2" ht="13" x14ac:dyDescent="0.15">
      <c r="A55" s="4">
        <v>37769</v>
      </c>
      <c r="B55" s="1">
        <v>953.22</v>
      </c>
    </row>
    <row r="56" spans="1:2" ht="13" x14ac:dyDescent="0.15">
      <c r="A56" s="4">
        <v>37770</v>
      </c>
      <c r="B56" s="1">
        <v>949.64</v>
      </c>
    </row>
    <row r="57" spans="1:2" ht="13" x14ac:dyDescent="0.15">
      <c r="A57" s="4">
        <v>37771</v>
      </c>
      <c r="B57" s="1">
        <v>963.59</v>
      </c>
    </row>
    <row r="58" spans="1:2" ht="13" x14ac:dyDescent="0.15">
      <c r="A58" s="4">
        <v>37774</v>
      </c>
      <c r="B58" s="1">
        <v>967</v>
      </c>
    </row>
    <row r="59" spans="1:2" ht="13" x14ac:dyDescent="0.15">
      <c r="A59" s="4">
        <v>37775</v>
      </c>
      <c r="B59" s="1">
        <v>971.56</v>
      </c>
    </row>
    <row r="60" spans="1:2" ht="13" x14ac:dyDescent="0.15">
      <c r="A60" s="4">
        <v>37776</v>
      </c>
      <c r="B60" s="1">
        <v>986.24</v>
      </c>
    </row>
    <row r="61" spans="1:2" ht="13" x14ac:dyDescent="0.15">
      <c r="A61" s="4">
        <v>37777</v>
      </c>
      <c r="B61" s="1">
        <v>990.14</v>
      </c>
    </row>
    <row r="62" spans="1:2" ht="13" x14ac:dyDescent="0.15">
      <c r="A62" s="4">
        <v>37778</v>
      </c>
      <c r="B62" s="1">
        <v>987.76</v>
      </c>
    </row>
    <row r="63" spans="1:2" ht="13" x14ac:dyDescent="0.15">
      <c r="A63" s="4">
        <v>37781</v>
      </c>
      <c r="B63" s="1">
        <v>975.93</v>
      </c>
    </row>
    <row r="64" spans="1:2" ht="13" x14ac:dyDescent="0.15">
      <c r="A64" s="4">
        <v>37782</v>
      </c>
      <c r="B64" s="1">
        <v>984.84</v>
      </c>
    </row>
    <row r="65" spans="1:2" ht="13" x14ac:dyDescent="0.15">
      <c r="A65" s="4">
        <v>37783</v>
      </c>
      <c r="B65" s="1">
        <v>997.48</v>
      </c>
    </row>
    <row r="66" spans="1:2" ht="13" x14ac:dyDescent="0.15">
      <c r="A66" s="4">
        <v>37784</v>
      </c>
      <c r="B66" s="1">
        <v>998.51</v>
      </c>
    </row>
    <row r="67" spans="1:2" ht="13" x14ac:dyDescent="0.15">
      <c r="A67" s="4">
        <v>37785</v>
      </c>
      <c r="B67" s="1">
        <v>988.61</v>
      </c>
    </row>
    <row r="68" spans="1:2" ht="13" x14ac:dyDescent="0.15">
      <c r="A68" s="4">
        <v>37788</v>
      </c>
      <c r="B68" s="1">
        <v>1010.74</v>
      </c>
    </row>
    <row r="69" spans="1:2" ht="13" x14ac:dyDescent="0.15">
      <c r="A69" s="4">
        <v>37789</v>
      </c>
      <c r="B69" s="1">
        <v>1011.66</v>
      </c>
    </row>
    <row r="70" spans="1:2" ht="13" x14ac:dyDescent="0.15">
      <c r="A70" s="4">
        <v>37790</v>
      </c>
      <c r="B70" s="1">
        <v>1010.09</v>
      </c>
    </row>
    <row r="71" spans="1:2" ht="13" x14ac:dyDescent="0.15">
      <c r="A71" s="4">
        <v>37791</v>
      </c>
      <c r="B71" s="1">
        <v>994.7</v>
      </c>
    </row>
    <row r="72" spans="1:2" ht="13" x14ac:dyDescent="0.15">
      <c r="A72" s="4">
        <v>37792</v>
      </c>
      <c r="B72" s="1">
        <v>995.69</v>
      </c>
    </row>
    <row r="73" spans="1:2" ht="13" x14ac:dyDescent="0.15">
      <c r="A73" s="4">
        <v>37795</v>
      </c>
      <c r="B73" s="1">
        <v>981.64</v>
      </c>
    </row>
    <row r="74" spans="1:2" ht="13" x14ac:dyDescent="0.15">
      <c r="A74" s="4">
        <v>37796</v>
      </c>
      <c r="B74" s="1">
        <v>983.45</v>
      </c>
    </row>
    <row r="75" spans="1:2" ht="13" x14ac:dyDescent="0.15">
      <c r="A75" s="4">
        <v>37797</v>
      </c>
      <c r="B75" s="1">
        <v>975.32</v>
      </c>
    </row>
    <row r="76" spans="1:2" ht="13" x14ac:dyDescent="0.15">
      <c r="A76" s="4">
        <v>37798</v>
      </c>
      <c r="B76" s="1">
        <v>985.82</v>
      </c>
    </row>
    <row r="77" spans="1:2" ht="13" x14ac:dyDescent="0.15">
      <c r="A77" s="4">
        <v>37799</v>
      </c>
      <c r="B77" s="1">
        <v>976.22</v>
      </c>
    </row>
    <row r="78" spans="1:2" ht="13" x14ac:dyDescent="0.15">
      <c r="A78" s="4">
        <v>37802</v>
      </c>
      <c r="B78" s="1">
        <v>974.5</v>
      </c>
    </row>
    <row r="79" spans="1:2" ht="13" x14ac:dyDescent="0.15">
      <c r="A79" s="4">
        <v>37803</v>
      </c>
      <c r="B79" s="1">
        <v>982.32</v>
      </c>
    </row>
    <row r="80" spans="1:2" ht="13" x14ac:dyDescent="0.15">
      <c r="A80" s="4">
        <v>37804</v>
      </c>
      <c r="B80" s="1">
        <v>993.75</v>
      </c>
    </row>
    <row r="81" spans="1:2" ht="13" x14ac:dyDescent="0.15">
      <c r="A81" s="4">
        <v>37805</v>
      </c>
      <c r="B81" s="1">
        <v>985.7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773"/>
  <sheetViews>
    <sheetView workbookViewId="0">
      <selection sqref="A1:A1048576"/>
    </sheetView>
  </sheetViews>
  <sheetFormatPr baseColWidth="10" defaultColWidth="14.5" defaultRowHeight="15.75" customHeight="1" x14ac:dyDescent="0.15"/>
  <cols>
    <col min="1" max="1" width="10.1640625" style="4" bestFit="1" customWidth="1"/>
    <col min="2" max="2" width="7.83203125" customWidth="1"/>
  </cols>
  <sheetData>
    <row r="1" spans="1:2" ht="15.75" customHeight="1" x14ac:dyDescent="0.15">
      <c r="A1" s="3" t="s">
        <v>0</v>
      </c>
      <c r="B1" s="1" t="s">
        <v>1</v>
      </c>
    </row>
    <row r="2" spans="1:2" ht="15.75" customHeight="1" x14ac:dyDescent="0.15">
      <c r="A2" s="4">
        <v>41337</v>
      </c>
      <c r="B2" s="1">
        <v>1525.2</v>
      </c>
    </row>
    <row r="3" spans="1:2" ht="15.75" customHeight="1" x14ac:dyDescent="0.15">
      <c r="A3" s="4">
        <v>41338</v>
      </c>
      <c r="B3" s="1">
        <v>1539.79</v>
      </c>
    </row>
    <row r="4" spans="1:2" ht="15.75" customHeight="1" x14ac:dyDescent="0.15">
      <c r="A4" s="4">
        <v>41339</v>
      </c>
      <c r="B4" s="1">
        <v>1541.46</v>
      </c>
    </row>
    <row r="5" spans="1:2" ht="15.75" customHeight="1" x14ac:dyDescent="0.15">
      <c r="A5" s="4">
        <v>41340</v>
      </c>
      <c r="B5" s="1">
        <v>1544.26</v>
      </c>
    </row>
    <row r="6" spans="1:2" ht="15.75" customHeight="1" x14ac:dyDescent="0.15">
      <c r="A6" s="4">
        <v>41341</v>
      </c>
      <c r="B6" s="1">
        <v>1551.18</v>
      </c>
    </row>
    <row r="7" spans="1:2" ht="15.75" customHeight="1" x14ac:dyDescent="0.15">
      <c r="A7" s="4">
        <v>41344</v>
      </c>
      <c r="B7" s="1">
        <v>1556.22</v>
      </c>
    </row>
    <row r="8" spans="1:2" ht="15.75" customHeight="1" x14ac:dyDescent="0.15">
      <c r="A8" s="4">
        <v>41345</v>
      </c>
      <c r="B8" s="1">
        <v>1552.48</v>
      </c>
    </row>
    <row r="9" spans="1:2" ht="15.75" customHeight="1" x14ac:dyDescent="0.15">
      <c r="A9" s="4">
        <v>41346</v>
      </c>
      <c r="B9" s="1">
        <v>1554.52</v>
      </c>
    </row>
    <row r="10" spans="1:2" ht="15.75" customHeight="1" x14ac:dyDescent="0.15">
      <c r="A10" s="4">
        <v>41347</v>
      </c>
      <c r="B10" s="1">
        <v>1563.23</v>
      </c>
    </row>
    <row r="11" spans="1:2" ht="15.75" customHeight="1" x14ac:dyDescent="0.15">
      <c r="A11" s="4">
        <v>41348</v>
      </c>
      <c r="B11" s="1">
        <v>1560.7</v>
      </c>
    </row>
    <row r="12" spans="1:2" ht="15.75" customHeight="1" x14ac:dyDescent="0.15">
      <c r="A12" s="4">
        <v>41351</v>
      </c>
      <c r="B12" s="1">
        <v>1552.1</v>
      </c>
    </row>
    <row r="13" spans="1:2" ht="15.75" customHeight="1" x14ac:dyDescent="0.15">
      <c r="A13" s="4">
        <v>41352</v>
      </c>
      <c r="B13" s="1">
        <v>1548.34</v>
      </c>
    </row>
    <row r="14" spans="1:2" ht="15.75" customHeight="1" x14ac:dyDescent="0.15">
      <c r="A14" s="4">
        <v>41353</v>
      </c>
      <c r="B14" s="1">
        <v>1558.71</v>
      </c>
    </row>
    <row r="15" spans="1:2" ht="15.75" customHeight="1" x14ac:dyDescent="0.15">
      <c r="A15" s="4">
        <v>41354</v>
      </c>
      <c r="B15" s="1">
        <v>1545.8</v>
      </c>
    </row>
    <row r="16" spans="1:2" ht="15.75" customHeight="1" x14ac:dyDescent="0.15">
      <c r="A16" s="4">
        <v>41355</v>
      </c>
      <c r="B16" s="1">
        <v>1556.89</v>
      </c>
    </row>
    <row r="17" spans="1:2" ht="15.75" customHeight="1" x14ac:dyDescent="0.15">
      <c r="A17" s="4">
        <v>41358</v>
      </c>
      <c r="B17" s="1">
        <v>1551.69</v>
      </c>
    </row>
    <row r="18" spans="1:2" ht="15.75" customHeight="1" x14ac:dyDescent="0.15">
      <c r="A18" s="4">
        <v>41359</v>
      </c>
      <c r="B18" s="1">
        <v>1563.77</v>
      </c>
    </row>
    <row r="19" spans="1:2" ht="15.75" customHeight="1" x14ac:dyDescent="0.15">
      <c r="A19" s="4">
        <v>41360</v>
      </c>
      <c r="B19" s="1">
        <v>1562.85</v>
      </c>
    </row>
    <row r="20" spans="1:2" ht="15.75" customHeight="1" x14ac:dyDescent="0.15">
      <c r="A20" s="4">
        <v>41361</v>
      </c>
      <c r="B20" s="1">
        <v>1569.19</v>
      </c>
    </row>
    <row r="21" spans="1:2" ht="15.75" customHeight="1" x14ac:dyDescent="0.15">
      <c r="A21" s="4">
        <v>41365</v>
      </c>
      <c r="B21" s="1">
        <v>1562.17</v>
      </c>
    </row>
    <row r="22" spans="1:2" ht="15.75" customHeight="1" x14ac:dyDescent="0.15">
      <c r="A22" s="4">
        <v>41366</v>
      </c>
      <c r="B22" s="1">
        <v>1570.25</v>
      </c>
    </row>
    <row r="23" spans="1:2" ht="15.75" customHeight="1" x14ac:dyDescent="0.15">
      <c r="A23" s="4">
        <v>41367</v>
      </c>
      <c r="B23" s="1">
        <v>1553.69</v>
      </c>
    </row>
    <row r="24" spans="1:2" ht="15.75" customHeight="1" x14ac:dyDescent="0.15">
      <c r="A24" s="4">
        <v>41368</v>
      </c>
      <c r="B24" s="1">
        <v>1559.98</v>
      </c>
    </row>
    <row r="25" spans="1:2" ht="15.75" customHeight="1" x14ac:dyDescent="0.15">
      <c r="A25" s="4">
        <v>41369</v>
      </c>
      <c r="B25" s="1">
        <v>1553.28</v>
      </c>
    </row>
    <row r="26" spans="1:2" ht="15.75" customHeight="1" x14ac:dyDescent="0.15">
      <c r="A26" s="4">
        <v>41372</v>
      </c>
      <c r="B26" s="1">
        <v>1563.07</v>
      </c>
    </row>
    <row r="27" spans="1:2" ht="15.75" customHeight="1" x14ac:dyDescent="0.15">
      <c r="A27" s="4">
        <v>41373</v>
      </c>
      <c r="B27" s="1">
        <v>1568.61</v>
      </c>
    </row>
    <row r="28" spans="1:2" ht="15.75" customHeight="1" x14ac:dyDescent="0.15">
      <c r="A28" s="4">
        <v>41374</v>
      </c>
      <c r="B28" s="1">
        <v>1587.73</v>
      </c>
    </row>
    <row r="29" spans="1:2" ht="15.75" customHeight="1" x14ac:dyDescent="0.15">
      <c r="A29" s="4">
        <v>41375</v>
      </c>
      <c r="B29" s="1">
        <v>1593.37</v>
      </c>
    </row>
    <row r="30" spans="1:2" ht="15.75" customHeight="1" x14ac:dyDescent="0.15">
      <c r="A30" s="4">
        <v>41376</v>
      </c>
      <c r="B30" s="1">
        <v>1588.85</v>
      </c>
    </row>
    <row r="31" spans="1:2" ht="15.75" customHeight="1" x14ac:dyDescent="0.15">
      <c r="A31" s="4">
        <v>41379</v>
      </c>
      <c r="B31" s="1">
        <v>1552.36</v>
      </c>
    </row>
    <row r="32" spans="1:2" ht="15.75" customHeight="1" x14ac:dyDescent="0.15">
      <c r="A32" s="4">
        <v>41380</v>
      </c>
      <c r="B32" s="1">
        <v>1574.57</v>
      </c>
    </row>
    <row r="33" spans="1:2" ht="15.75" customHeight="1" x14ac:dyDescent="0.15">
      <c r="A33" s="4">
        <v>41381</v>
      </c>
      <c r="B33" s="1">
        <v>1552.01</v>
      </c>
    </row>
    <row r="34" spans="1:2" ht="15.75" customHeight="1" x14ac:dyDescent="0.15">
      <c r="A34" s="4">
        <v>41382</v>
      </c>
      <c r="B34" s="1">
        <v>1541.61</v>
      </c>
    </row>
    <row r="35" spans="1:2" ht="15.75" customHeight="1" x14ac:dyDescent="0.15">
      <c r="A35" s="4">
        <v>41383</v>
      </c>
      <c r="B35" s="1">
        <v>1555.25</v>
      </c>
    </row>
    <row r="36" spans="1:2" ht="15.75" customHeight="1" x14ac:dyDescent="0.15">
      <c r="A36" s="4">
        <v>41386</v>
      </c>
      <c r="B36" s="1">
        <v>1562.5</v>
      </c>
    </row>
    <row r="37" spans="1:2" ht="15.75" customHeight="1" x14ac:dyDescent="0.15">
      <c r="A37" s="4">
        <v>41387</v>
      </c>
      <c r="B37" s="1">
        <v>1578.78</v>
      </c>
    </row>
    <row r="38" spans="1:2" ht="15.75" customHeight="1" x14ac:dyDescent="0.15">
      <c r="A38" s="4">
        <v>41388</v>
      </c>
      <c r="B38" s="1">
        <v>1578.79</v>
      </c>
    </row>
    <row r="39" spans="1:2" ht="15.75" customHeight="1" x14ac:dyDescent="0.15">
      <c r="A39" s="4">
        <v>41389</v>
      </c>
      <c r="B39" s="1">
        <v>1585.16</v>
      </c>
    </row>
    <row r="40" spans="1:2" ht="13" x14ac:dyDescent="0.15">
      <c r="A40" s="4">
        <v>41390</v>
      </c>
      <c r="B40" s="1">
        <v>1582.24</v>
      </c>
    </row>
    <row r="41" spans="1:2" ht="13" x14ac:dyDescent="0.15">
      <c r="A41" s="4">
        <v>41393</v>
      </c>
      <c r="B41" s="1">
        <v>1593.61</v>
      </c>
    </row>
    <row r="42" spans="1:2" ht="13" x14ac:dyDescent="0.15">
      <c r="A42" s="4">
        <v>41394</v>
      </c>
      <c r="B42" s="1">
        <v>1597.57</v>
      </c>
    </row>
    <row r="43" spans="1:2" ht="13" x14ac:dyDescent="0.15">
      <c r="A43" s="4">
        <v>41395</v>
      </c>
      <c r="B43" s="1">
        <v>1582.7</v>
      </c>
    </row>
    <row r="44" spans="1:2" ht="13" x14ac:dyDescent="0.15">
      <c r="A44" s="4">
        <v>41396</v>
      </c>
      <c r="B44" s="1">
        <v>1597.59</v>
      </c>
    </row>
    <row r="45" spans="1:2" ht="13" x14ac:dyDescent="0.15">
      <c r="A45" s="4">
        <v>41397</v>
      </c>
      <c r="B45" s="1">
        <v>1614.42</v>
      </c>
    </row>
    <row r="46" spans="1:2" ht="13" x14ac:dyDescent="0.15">
      <c r="A46" s="4">
        <v>41400</v>
      </c>
      <c r="B46" s="1">
        <v>1617.5</v>
      </c>
    </row>
    <row r="47" spans="1:2" ht="13" x14ac:dyDescent="0.15">
      <c r="A47" s="4">
        <v>41401</v>
      </c>
      <c r="B47" s="1">
        <v>1625.96</v>
      </c>
    </row>
    <row r="48" spans="1:2" ht="13" x14ac:dyDescent="0.15">
      <c r="A48" s="4">
        <v>41402</v>
      </c>
      <c r="B48" s="1">
        <v>1632.69</v>
      </c>
    </row>
    <row r="49" spans="1:2" ht="13" x14ac:dyDescent="0.15">
      <c r="A49" s="4">
        <v>41403</v>
      </c>
      <c r="B49" s="1">
        <v>1626.67</v>
      </c>
    </row>
    <row r="50" spans="1:2" ht="13" x14ac:dyDescent="0.15">
      <c r="A50" s="4">
        <v>41404</v>
      </c>
      <c r="B50" s="1">
        <v>1633.7</v>
      </c>
    </row>
    <row r="51" spans="1:2" ht="13" x14ac:dyDescent="0.15">
      <c r="A51" s="4">
        <v>41407</v>
      </c>
      <c r="B51" s="1">
        <v>1633.77</v>
      </c>
    </row>
    <row r="52" spans="1:2" ht="13" x14ac:dyDescent="0.15">
      <c r="A52" s="4">
        <v>41408</v>
      </c>
      <c r="B52" s="1">
        <v>1650.34</v>
      </c>
    </row>
    <row r="53" spans="1:2" ht="13" x14ac:dyDescent="0.15">
      <c r="A53" s="4">
        <v>41409</v>
      </c>
      <c r="B53" s="1">
        <v>1658.78</v>
      </c>
    </row>
    <row r="54" spans="1:2" ht="13" x14ac:dyDescent="0.15">
      <c r="A54" s="4">
        <v>41410</v>
      </c>
      <c r="B54" s="1">
        <v>1650.47</v>
      </c>
    </row>
    <row r="55" spans="1:2" ht="13" x14ac:dyDescent="0.15">
      <c r="A55" s="4">
        <v>41411</v>
      </c>
      <c r="B55" s="1">
        <v>1666.12</v>
      </c>
    </row>
    <row r="56" spans="1:2" ht="13" x14ac:dyDescent="0.15">
      <c r="A56" s="4">
        <v>41414</v>
      </c>
      <c r="B56" s="1">
        <v>1666.29</v>
      </c>
    </row>
    <row r="57" spans="1:2" ht="13" x14ac:dyDescent="0.15">
      <c r="A57" s="4">
        <v>41415</v>
      </c>
      <c r="B57" s="1">
        <v>1669.16</v>
      </c>
    </row>
    <row r="58" spans="1:2" ht="13" x14ac:dyDescent="0.15">
      <c r="A58" s="4">
        <v>41416</v>
      </c>
      <c r="B58" s="1">
        <v>1655.35</v>
      </c>
    </row>
    <row r="59" spans="1:2" ht="13" x14ac:dyDescent="0.15">
      <c r="A59" s="4">
        <v>41417</v>
      </c>
      <c r="B59" s="1">
        <v>1650.51</v>
      </c>
    </row>
    <row r="60" spans="1:2" ht="13" x14ac:dyDescent="0.15">
      <c r="A60" s="4">
        <v>41418</v>
      </c>
      <c r="B60" s="1">
        <v>1649.6</v>
      </c>
    </row>
    <row r="61" spans="1:2" ht="13" x14ac:dyDescent="0.15">
      <c r="A61" s="4">
        <v>41422</v>
      </c>
      <c r="B61" s="1">
        <v>1660.06</v>
      </c>
    </row>
    <row r="62" spans="1:2" ht="13" x14ac:dyDescent="0.15">
      <c r="A62" s="4">
        <v>41423</v>
      </c>
      <c r="B62" s="1">
        <v>1648.36</v>
      </c>
    </row>
    <row r="63" spans="1:2" ht="13" x14ac:dyDescent="0.15">
      <c r="A63" s="4">
        <v>41424</v>
      </c>
      <c r="B63" s="1">
        <v>1654.41</v>
      </c>
    </row>
    <row r="64" spans="1:2" ht="13" x14ac:dyDescent="0.15">
      <c r="A64" s="4">
        <v>41425</v>
      </c>
      <c r="B64" s="1">
        <v>1630.74</v>
      </c>
    </row>
    <row r="65" spans="1:2" ht="13" x14ac:dyDescent="0.15">
      <c r="A65" s="4">
        <v>41428</v>
      </c>
      <c r="B65" s="1">
        <v>1640.42</v>
      </c>
    </row>
    <row r="66" spans="1:2" ht="13" x14ac:dyDescent="0.15">
      <c r="A66" s="4">
        <v>41429</v>
      </c>
      <c r="B66" s="1">
        <v>1631.38</v>
      </c>
    </row>
    <row r="67" spans="1:2" ht="13" x14ac:dyDescent="0.15">
      <c r="A67" s="4">
        <v>41430</v>
      </c>
      <c r="B67" s="1">
        <v>1608.9</v>
      </c>
    </row>
    <row r="68" spans="1:2" ht="13" x14ac:dyDescent="0.15">
      <c r="A68" s="4">
        <v>41431</v>
      </c>
      <c r="B68" s="1">
        <v>1622.56</v>
      </c>
    </row>
    <row r="69" spans="1:2" ht="13" x14ac:dyDescent="0.15">
      <c r="A69" s="4">
        <v>41432</v>
      </c>
      <c r="B69" s="1">
        <v>1643.38</v>
      </c>
    </row>
    <row r="70" spans="1:2" ht="13" x14ac:dyDescent="0.15">
      <c r="A70" s="4">
        <v>41435</v>
      </c>
      <c r="B70" s="1">
        <v>1642.81</v>
      </c>
    </row>
    <row r="71" spans="1:2" ht="13" x14ac:dyDescent="0.15">
      <c r="A71" s="4">
        <v>41436</v>
      </c>
      <c r="B71" s="1">
        <v>1626.13</v>
      </c>
    </row>
    <row r="72" spans="1:2" ht="13" x14ac:dyDescent="0.15">
      <c r="A72" s="4">
        <v>41437</v>
      </c>
      <c r="B72" s="1">
        <v>1612.52</v>
      </c>
    </row>
    <row r="73" spans="1:2" ht="13" x14ac:dyDescent="0.15">
      <c r="A73" s="4">
        <v>41438</v>
      </c>
      <c r="B73" s="1">
        <v>1636.36</v>
      </c>
    </row>
    <row r="74" spans="1:2" ht="13" x14ac:dyDescent="0.15">
      <c r="A74" s="4">
        <v>41439</v>
      </c>
      <c r="B74" s="1">
        <v>1626.73</v>
      </c>
    </row>
    <row r="75" spans="1:2" ht="13" x14ac:dyDescent="0.15">
      <c r="A75" s="4">
        <v>41442</v>
      </c>
      <c r="B75" s="1">
        <v>1639.04</v>
      </c>
    </row>
    <row r="76" spans="1:2" ht="13" x14ac:dyDescent="0.15">
      <c r="A76" s="4">
        <v>41443</v>
      </c>
      <c r="B76" s="1">
        <v>1651.81</v>
      </c>
    </row>
    <row r="77" spans="1:2" ht="13" x14ac:dyDescent="0.15">
      <c r="A77" s="4">
        <v>41444</v>
      </c>
      <c r="B77" s="1">
        <v>1628.93</v>
      </c>
    </row>
    <row r="78" spans="1:2" ht="13" x14ac:dyDescent="0.15">
      <c r="A78" s="4">
        <v>41445</v>
      </c>
      <c r="B78" s="1">
        <v>1588.19</v>
      </c>
    </row>
    <row r="79" spans="1:2" ht="13" x14ac:dyDescent="0.15">
      <c r="A79" s="4">
        <v>41446</v>
      </c>
      <c r="B79" s="1">
        <v>1592.43</v>
      </c>
    </row>
    <row r="80" spans="1:2" ht="13" x14ac:dyDescent="0.15">
      <c r="A80" s="4">
        <v>41449</v>
      </c>
      <c r="B80" s="1">
        <v>1573.09</v>
      </c>
    </row>
    <row r="81" spans="1:2" ht="13" x14ac:dyDescent="0.15">
      <c r="A81" s="4">
        <v>41450</v>
      </c>
      <c r="B81" s="1">
        <v>1588.03</v>
      </c>
    </row>
    <row r="82" spans="1:2" ht="13" x14ac:dyDescent="0.15">
      <c r="A82" s="4">
        <v>41451</v>
      </c>
      <c r="B82" s="1">
        <v>1603.26</v>
      </c>
    </row>
    <row r="83" spans="1:2" ht="13" x14ac:dyDescent="0.15">
      <c r="A83" s="4">
        <v>41452</v>
      </c>
      <c r="B83" s="1">
        <v>1613.2</v>
      </c>
    </row>
    <row r="84" spans="1:2" ht="13" x14ac:dyDescent="0.15">
      <c r="A84" s="4">
        <v>41453</v>
      </c>
      <c r="B84" s="1">
        <v>1606.28</v>
      </c>
    </row>
    <row r="85" spans="1:2" ht="13" x14ac:dyDescent="0.15">
      <c r="A85" s="4">
        <v>41456</v>
      </c>
      <c r="B85" s="1">
        <v>1614.96</v>
      </c>
    </row>
    <row r="86" spans="1:2" ht="13" x14ac:dyDescent="0.15">
      <c r="A86" s="4">
        <v>41457</v>
      </c>
      <c r="B86" s="1">
        <v>1614.08</v>
      </c>
    </row>
    <row r="87" spans="1:2" ht="13" x14ac:dyDescent="0.15">
      <c r="A87" s="4">
        <v>41458</v>
      </c>
      <c r="B87" s="1">
        <v>1615.41</v>
      </c>
    </row>
    <row r="88" spans="1:2" ht="13" x14ac:dyDescent="0.15">
      <c r="A88" s="4">
        <v>41460</v>
      </c>
      <c r="B88" s="1">
        <v>1631.89</v>
      </c>
    </row>
    <row r="89" spans="1:2" ht="13" x14ac:dyDescent="0.15">
      <c r="A89" s="4">
        <v>41463</v>
      </c>
      <c r="B89" s="1">
        <v>1640.46</v>
      </c>
    </row>
    <row r="90" spans="1:2" ht="13" x14ac:dyDescent="0.15">
      <c r="A90" s="4">
        <v>41464</v>
      </c>
      <c r="B90" s="1">
        <v>1652.32</v>
      </c>
    </row>
    <row r="91" spans="1:2" ht="13" x14ac:dyDescent="0.15">
      <c r="A91" s="4">
        <v>41465</v>
      </c>
      <c r="B91" s="1">
        <v>1652.62</v>
      </c>
    </row>
    <row r="92" spans="1:2" ht="13" x14ac:dyDescent="0.15">
      <c r="A92" s="4">
        <v>41466</v>
      </c>
      <c r="B92" s="1">
        <v>1675.02</v>
      </c>
    </row>
    <row r="93" spans="1:2" ht="13" x14ac:dyDescent="0.15">
      <c r="A93" s="4">
        <v>41467</v>
      </c>
      <c r="B93" s="1">
        <v>1680.19</v>
      </c>
    </row>
    <row r="94" spans="1:2" ht="13" x14ac:dyDescent="0.15">
      <c r="A94" s="4">
        <v>41470</v>
      </c>
      <c r="B94" s="1">
        <v>1682.5</v>
      </c>
    </row>
    <row r="95" spans="1:2" ht="13" x14ac:dyDescent="0.15">
      <c r="A95" s="4">
        <v>41471</v>
      </c>
      <c r="B95" s="1">
        <v>1676.26</v>
      </c>
    </row>
    <row r="96" spans="1:2" ht="13" x14ac:dyDescent="0.15">
      <c r="A96" s="4">
        <v>41472</v>
      </c>
      <c r="B96" s="1">
        <v>1680.91</v>
      </c>
    </row>
    <row r="97" spans="1:2" ht="13" x14ac:dyDescent="0.15">
      <c r="A97" s="4">
        <v>41473</v>
      </c>
      <c r="B97" s="1">
        <v>1689.37</v>
      </c>
    </row>
    <row r="98" spans="1:2" ht="13" x14ac:dyDescent="0.15">
      <c r="A98" s="4">
        <v>41474</v>
      </c>
      <c r="B98" s="1">
        <v>1692.09</v>
      </c>
    </row>
    <row r="99" spans="1:2" ht="13" x14ac:dyDescent="0.15">
      <c r="A99" s="4">
        <v>41477</v>
      </c>
      <c r="B99" s="1">
        <v>1695.53</v>
      </c>
    </row>
    <row r="100" spans="1:2" ht="13" x14ac:dyDescent="0.15">
      <c r="A100" s="4">
        <v>41478</v>
      </c>
      <c r="B100" s="1">
        <v>1692.39</v>
      </c>
    </row>
    <row r="101" spans="1:2" ht="13" x14ac:dyDescent="0.15">
      <c r="A101" s="4">
        <v>41479</v>
      </c>
      <c r="B101" s="1">
        <v>1685.94</v>
      </c>
    </row>
    <row r="102" spans="1:2" ht="13" x14ac:dyDescent="0.15">
      <c r="A102" s="4">
        <v>41480</v>
      </c>
      <c r="B102" s="1">
        <v>1690.25</v>
      </c>
    </row>
    <row r="103" spans="1:2" ht="13" x14ac:dyDescent="0.15">
      <c r="A103" s="4">
        <v>41481</v>
      </c>
      <c r="B103" s="1">
        <v>1691.65</v>
      </c>
    </row>
    <row r="104" spans="1:2" ht="13" x14ac:dyDescent="0.15">
      <c r="A104" s="4">
        <v>41484</v>
      </c>
      <c r="B104" s="1">
        <v>1685.33</v>
      </c>
    </row>
    <row r="105" spans="1:2" ht="13" x14ac:dyDescent="0.15">
      <c r="A105" s="4">
        <v>41485</v>
      </c>
      <c r="B105" s="1">
        <v>1685.96</v>
      </c>
    </row>
    <row r="106" spans="1:2" ht="13" x14ac:dyDescent="0.15">
      <c r="A106" s="4">
        <v>41486</v>
      </c>
      <c r="B106" s="1">
        <v>1685.73</v>
      </c>
    </row>
    <row r="107" spans="1:2" ht="13" x14ac:dyDescent="0.15">
      <c r="A107" s="4">
        <v>41487</v>
      </c>
      <c r="B107" s="1">
        <v>1706.87</v>
      </c>
    </row>
    <row r="108" spans="1:2" ht="13" x14ac:dyDescent="0.15">
      <c r="A108" s="4">
        <v>41488</v>
      </c>
      <c r="B108" s="1">
        <v>1709.67</v>
      </c>
    </row>
    <row r="109" spans="1:2" ht="13" x14ac:dyDescent="0.15">
      <c r="A109" s="4">
        <v>41491</v>
      </c>
      <c r="B109" s="1">
        <v>1707.14</v>
      </c>
    </row>
    <row r="110" spans="1:2" ht="13" x14ac:dyDescent="0.15">
      <c r="A110" s="4">
        <v>41492</v>
      </c>
      <c r="B110" s="1">
        <v>1697.37</v>
      </c>
    </row>
    <row r="111" spans="1:2" ht="13" x14ac:dyDescent="0.15">
      <c r="A111" s="4">
        <v>41493</v>
      </c>
      <c r="B111" s="1">
        <v>1690.91</v>
      </c>
    </row>
    <row r="112" spans="1:2" ht="13" x14ac:dyDescent="0.15">
      <c r="A112" s="4">
        <v>41494</v>
      </c>
      <c r="B112" s="1">
        <v>1697.48</v>
      </c>
    </row>
    <row r="113" spans="1:2" ht="13" x14ac:dyDescent="0.15">
      <c r="A113" s="4">
        <v>41495</v>
      </c>
      <c r="B113" s="1">
        <v>1691.42</v>
      </c>
    </row>
    <row r="114" spans="1:2" ht="13" x14ac:dyDescent="0.15">
      <c r="A114" s="4">
        <v>41498</v>
      </c>
      <c r="B114" s="1">
        <v>1689.47</v>
      </c>
    </row>
    <row r="115" spans="1:2" ht="13" x14ac:dyDescent="0.15">
      <c r="A115" s="4">
        <v>41499</v>
      </c>
      <c r="B115" s="1">
        <v>1694.16</v>
      </c>
    </row>
    <row r="116" spans="1:2" ht="13" x14ac:dyDescent="0.15">
      <c r="A116" s="4">
        <v>41500</v>
      </c>
      <c r="B116" s="1">
        <v>1685.39</v>
      </c>
    </row>
    <row r="117" spans="1:2" ht="13" x14ac:dyDescent="0.15">
      <c r="A117" s="4">
        <v>41501</v>
      </c>
      <c r="B117" s="1">
        <v>1661.32</v>
      </c>
    </row>
    <row r="118" spans="1:2" ht="13" x14ac:dyDescent="0.15">
      <c r="A118" s="4">
        <v>41502</v>
      </c>
      <c r="B118" s="1">
        <v>1655.83</v>
      </c>
    </row>
    <row r="119" spans="1:2" ht="13" x14ac:dyDescent="0.15">
      <c r="A119" s="4">
        <v>41505</v>
      </c>
      <c r="B119" s="1">
        <v>1646.06</v>
      </c>
    </row>
    <row r="120" spans="1:2" ht="13" x14ac:dyDescent="0.15">
      <c r="A120" s="4">
        <v>41506</v>
      </c>
      <c r="B120" s="1">
        <v>1652.35</v>
      </c>
    </row>
    <row r="121" spans="1:2" ht="13" x14ac:dyDescent="0.15">
      <c r="A121" s="4">
        <v>41507</v>
      </c>
      <c r="B121" s="1">
        <v>1642.8</v>
      </c>
    </row>
    <row r="122" spans="1:2" ht="13" x14ac:dyDescent="0.15">
      <c r="A122" s="4">
        <v>41508</v>
      </c>
      <c r="B122" s="1">
        <v>1656.96</v>
      </c>
    </row>
    <row r="123" spans="1:2" ht="13" x14ac:dyDescent="0.15">
      <c r="A123" s="4">
        <v>41509</v>
      </c>
      <c r="B123" s="1">
        <v>1663.5</v>
      </c>
    </row>
    <row r="124" spans="1:2" ht="13" x14ac:dyDescent="0.15">
      <c r="A124" s="4">
        <v>41512</v>
      </c>
      <c r="B124" s="1">
        <v>1656.78</v>
      </c>
    </row>
    <row r="125" spans="1:2" ht="13" x14ac:dyDescent="0.15">
      <c r="A125" s="4">
        <v>41513</v>
      </c>
      <c r="B125" s="1">
        <v>1630.48</v>
      </c>
    </row>
    <row r="126" spans="1:2" ht="13" x14ac:dyDescent="0.15">
      <c r="A126" s="4">
        <v>41514</v>
      </c>
      <c r="B126" s="1">
        <v>1634.96</v>
      </c>
    </row>
    <row r="127" spans="1:2" ht="13" x14ac:dyDescent="0.15">
      <c r="A127" s="4">
        <v>41515</v>
      </c>
      <c r="B127" s="1">
        <v>1638.17</v>
      </c>
    </row>
    <row r="128" spans="1:2" ht="13" x14ac:dyDescent="0.15">
      <c r="A128" s="4">
        <v>41516</v>
      </c>
      <c r="B128" s="1">
        <v>1632.97</v>
      </c>
    </row>
    <row r="129" spans="1:2" ht="13" x14ac:dyDescent="0.15">
      <c r="A129" s="4">
        <v>41520</v>
      </c>
      <c r="B129" s="1">
        <v>1639.77</v>
      </c>
    </row>
    <row r="130" spans="1:2" ht="13" x14ac:dyDescent="0.15">
      <c r="A130" s="4">
        <v>41521</v>
      </c>
      <c r="B130" s="1">
        <v>1653.08</v>
      </c>
    </row>
    <row r="131" spans="1:2" ht="13" x14ac:dyDescent="0.15">
      <c r="A131" s="4">
        <v>41522</v>
      </c>
      <c r="B131" s="1">
        <v>1655.08</v>
      </c>
    </row>
    <row r="132" spans="1:2" ht="13" x14ac:dyDescent="0.15">
      <c r="A132" s="4">
        <v>41523</v>
      </c>
      <c r="B132" s="1">
        <v>1655.17</v>
      </c>
    </row>
    <row r="133" spans="1:2" ht="13" x14ac:dyDescent="0.15">
      <c r="A133" s="4">
        <v>41526</v>
      </c>
      <c r="B133" s="1">
        <v>1671.71</v>
      </c>
    </row>
    <row r="134" spans="1:2" ht="13" x14ac:dyDescent="0.15">
      <c r="A134" s="4">
        <v>41527</v>
      </c>
      <c r="B134" s="1">
        <v>1683.99</v>
      </c>
    </row>
    <row r="135" spans="1:2" ht="13" x14ac:dyDescent="0.15">
      <c r="A135" s="4">
        <v>41528</v>
      </c>
      <c r="B135" s="1">
        <v>1689.13</v>
      </c>
    </row>
    <row r="136" spans="1:2" ht="13" x14ac:dyDescent="0.15">
      <c r="A136" s="4">
        <v>41529</v>
      </c>
      <c r="B136" s="1">
        <v>1683.42</v>
      </c>
    </row>
    <row r="137" spans="1:2" ht="13" x14ac:dyDescent="0.15">
      <c r="A137" s="4">
        <v>41530</v>
      </c>
      <c r="B137" s="1">
        <v>1687.99</v>
      </c>
    </row>
    <row r="138" spans="1:2" ht="13" x14ac:dyDescent="0.15">
      <c r="A138" s="4">
        <v>41533</v>
      </c>
      <c r="B138" s="1">
        <v>1697.6</v>
      </c>
    </row>
    <row r="139" spans="1:2" ht="13" x14ac:dyDescent="0.15">
      <c r="A139" s="4">
        <v>41534</v>
      </c>
      <c r="B139" s="1">
        <v>1704.76</v>
      </c>
    </row>
    <row r="140" spans="1:2" ht="13" x14ac:dyDescent="0.15">
      <c r="A140" s="4">
        <v>41535</v>
      </c>
      <c r="B140" s="1">
        <v>1725.52</v>
      </c>
    </row>
    <row r="141" spans="1:2" ht="13" x14ac:dyDescent="0.15">
      <c r="A141" s="4">
        <v>41536</v>
      </c>
      <c r="B141" s="1">
        <v>1722.34</v>
      </c>
    </row>
    <row r="142" spans="1:2" ht="13" x14ac:dyDescent="0.15">
      <c r="A142" s="4">
        <v>41537</v>
      </c>
      <c r="B142" s="1">
        <v>1709.91</v>
      </c>
    </row>
    <row r="143" spans="1:2" ht="13" x14ac:dyDescent="0.15">
      <c r="A143" s="4">
        <v>41540</v>
      </c>
      <c r="B143" s="1">
        <v>1701.84</v>
      </c>
    </row>
    <row r="144" spans="1:2" ht="13" x14ac:dyDescent="0.15">
      <c r="A144" s="4">
        <v>41541</v>
      </c>
      <c r="B144" s="1">
        <v>1697.42</v>
      </c>
    </row>
    <row r="145" spans="1:2" ht="13" x14ac:dyDescent="0.15">
      <c r="A145" s="4">
        <v>41542</v>
      </c>
      <c r="B145" s="1">
        <v>1692.77</v>
      </c>
    </row>
    <row r="146" spans="1:2" ht="13" x14ac:dyDescent="0.15">
      <c r="A146" s="4">
        <v>41543</v>
      </c>
      <c r="B146" s="1">
        <v>1698.67</v>
      </c>
    </row>
    <row r="147" spans="1:2" ht="13" x14ac:dyDescent="0.15">
      <c r="A147" s="4">
        <v>41544</v>
      </c>
      <c r="B147" s="1">
        <v>1691.75</v>
      </c>
    </row>
    <row r="148" spans="1:2" ht="13" x14ac:dyDescent="0.15">
      <c r="A148" s="4">
        <v>41547</v>
      </c>
      <c r="B148" s="1">
        <v>1681.55</v>
      </c>
    </row>
    <row r="149" spans="1:2" ht="13" x14ac:dyDescent="0.15">
      <c r="A149" s="4">
        <v>41548</v>
      </c>
      <c r="B149" s="1">
        <v>1695</v>
      </c>
    </row>
    <row r="150" spans="1:2" ht="13" x14ac:dyDescent="0.15">
      <c r="A150" s="4">
        <v>41549</v>
      </c>
      <c r="B150" s="1">
        <v>1693.87</v>
      </c>
    </row>
    <row r="151" spans="1:2" ht="13" x14ac:dyDescent="0.15">
      <c r="A151" s="4">
        <v>41550</v>
      </c>
      <c r="B151" s="1">
        <v>1678.66</v>
      </c>
    </row>
    <row r="152" spans="1:2" ht="13" x14ac:dyDescent="0.15">
      <c r="A152" s="4">
        <v>41551</v>
      </c>
      <c r="B152" s="1">
        <v>1690.5</v>
      </c>
    </row>
    <row r="153" spans="1:2" ht="13" x14ac:dyDescent="0.15">
      <c r="A153" s="4">
        <v>41554</v>
      </c>
      <c r="B153" s="1">
        <v>1676.12</v>
      </c>
    </row>
    <row r="154" spans="1:2" ht="13" x14ac:dyDescent="0.15">
      <c r="A154" s="4">
        <v>41555</v>
      </c>
      <c r="B154" s="1">
        <v>1655.45</v>
      </c>
    </row>
    <row r="155" spans="1:2" ht="13" x14ac:dyDescent="0.15">
      <c r="A155" s="4">
        <v>41556</v>
      </c>
      <c r="B155" s="1">
        <v>1656.4</v>
      </c>
    </row>
    <row r="156" spans="1:2" ht="13" x14ac:dyDescent="0.15">
      <c r="A156" s="4">
        <v>41557</v>
      </c>
      <c r="B156" s="1">
        <v>1692.56</v>
      </c>
    </row>
    <row r="157" spans="1:2" ht="13" x14ac:dyDescent="0.15">
      <c r="A157" s="4">
        <v>41558</v>
      </c>
      <c r="B157" s="1">
        <v>1703.2</v>
      </c>
    </row>
    <row r="158" spans="1:2" ht="13" x14ac:dyDescent="0.15">
      <c r="A158" s="4">
        <v>41561</v>
      </c>
      <c r="B158" s="1">
        <v>1710.14</v>
      </c>
    </row>
    <row r="159" spans="1:2" ht="13" x14ac:dyDescent="0.15">
      <c r="A159" s="4">
        <v>41562</v>
      </c>
      <c r="B159" s="1">
        <v>1698.06</v>
      </c>
    </row>
    <row r="160" spans="1:2" ht="13" x14ac:dyDescent="0.15">
      <c r="A160" s="4">
        <v>41563</v>
      </c>
      <c r="B160" s="1">
        <v>1721.54</v>
      </c>
    </row>
    <row r="161" spans="1:2" ht="13" x14ac:dyDescent="0.15">
      <c r="A161" s="4">
        <v>41564</v>
      </c>
      <c r="B161" s="1">
        <v>1733.15</v>
      </c>
    </row>
    <row r="162" spans="1:2" ht="13" x14ac:dyDescent="0.15">
      <c r="A162" s="4">
        <v>41565</v>
      </c>
      <c r="B162" s="1">
        <v>1744.5</v>
      </c>
    </row>
    <row r="163" spans="1:2" ht="13" x14ac:dyDescent="0.15">
      <c r="A163" s="4">
        <v>41568</v>
      </c>
      <c r="B163" s="1">
        <v>1744.66</v>
      </c>
    </row>
    <row r="164" spans="1:2" ht="13" x14ac:dyDescent="0.15">
      <c r="A164" s="4">
        <v>41569</v>
      </c>
      <c r="B164" s="1">
        <v>1754.67</v>
      </c>
    </row>
    <row r="165" spans="1:2" ht="13" x14ac:dyDescent="0.15">
      <c r="A165" s="4">
        <v>41570</v>
      </c>
      <c r="B165" s="1">
        <v>1746.38</v>
      </c>
    </row>
    <row r="166" spans="1:2" ht="13" x14ac:dyDescent="0.15">
      <c r="A166" s="4">
        <v>41571</v>
      </c>
      <c r="B166" s="1">
        <v>1752.07</v>
      </c>
    </row>
    <row r="167" spans="1:2" ht="13" x14ac:dyDescent="0.15">
      <c r="A167" s="4">
        <v>41572</v>
      </c>
      <c r="B167" s="1">
        <v>1759.77</v>
      </c>
    </row>
    <row r="168" spans="1:2" ht="13" x14ac:dyDescent="0.15">
      <c r="A168" s="4">
        <v>41575</v>
      </c>
      <c r="B168" s="1">
        <v>1762.11</v>
      </c>
    </row>
    <row r="169" spans="1:2" ht="13" x14ac:dyDescent="0.15">
      <c r="A169" s="4">
        <v>41576</v>
      </c>
      <c r="B169" s="1">
        <v>1771.95</v>
      </c>
    </row>
    <row r="170" spans="1:2" ht="13" x14ac:dyDescent="0.15">
      <c r="A170" s="4">
        <v>41577</v>
      </c>
      <c r="B170" s="1">
        <v>1763.31</v>
      </c>
    </row>
    <row r="171" spans="1:2" ht="13" x14ac:dyDescent="0.15">
      <c r="A171" s="4">
        <v>41578</v>
      </c>
      <c r="B171" s="1">
        <v>1756.54</v>
      </c>
    </row>
    <row r="172" spans="1:2" ht="13" x14ac:dyDescent="0.15">
      <c r="A172" s="4">
        <v>41579</v>
      </c>
      <c r="B172" s="1">
        <v>1761.64</v>
      </c>
    </row>
    <row r="173" spans="1:2" ht="13" x14ac:dyDescent="0.15">
      <c r="A173" s="4">
        <v>41582</v>
      </c>
      <c r="B173" s="1">
        <v>1767.93</v>
      </c>
    </row>
    <row r="174" spans="1:2" ht="13" x14ac:dyDescent="0.15">
      <c r="A174" s="4">
        <v>41583</v>
      </c>
      <c r="B174" s="1">
        <v>1762.97</v>
      </c>
    </row>
    <row r="175" spans="1:2" ht="13" x14ac:dyDescent="0.15">
      <c r="A175" s="4">
        <v>41584</v>
      </c>
      <c r="B175" s="1">
        <v>1770.49</v>
      </c>
    </row>
    <row r="176" spans="1:2" ht="13" x14ac:dyDescent="0.15">
      <c r="A176" s="4">
        <v>41585</v>
      </c>
      <c r="B176" s="1">
        <v>1747.15</v>
      </c>
    </row>
    <row r="177" spans="1:2" ht="13" x14ac:dyDescent="0.15">
      <c r="A177" s="4">
        <v>41586</v>
      </c>
      <c r="B177" s="1">
        <v>1770.61</v>
      </c>
    </row>
    <row r="178" spans="1:2" ht="13" x14ac:dyDescent="0.15">
      <c r="A178" s="4">
        <v>41589</v>
      </c>
      <c r="B178" s="1">
        <v>1771.89</v>
      </c>
    </row>
    <row r="179" spans="1:2" ht="13" x14ac:dyDescent="0.15">
      <c r="A179" s="4">
        <v>41590</v>
      </c>
      <c r="B179" s="1">
        <v>1767.69</v>
      </c>
    </row>
    <row r="180" spans="1:2" ht="13" x14ac:dyDescent="0.15">
      <c r="A180" s="4">
        <v>41591</v>
      </c>
      <c r="B180" s="1">
        <v>1782</v>
      </c>
    </row>
    <row r="181" spans="1:2" ht="13" x14ac:dyDescent="0.15">
      <c r="A181" s="4">
        <v>41592</v>
      </c>
      <c r="B181" s="1">
        <v>1790.62</v>
      </c>
    </row>
    <row r="182" spans="1:2" ht="13" x14ac:dyDescent="0.15">
      <c r="A182" s="4">
        <v>41593</v>
      </c>
      <c r="B182" s="1">
        <v>1798.18</v>
      </c>
    </row>
    <row r="183" spans="1:2" ht="13" x14ac:dyDescent="0.15">
      <c r="A183" s="4">
        <v>41596</v>
      </c>
      <c r="B183" s="1">
        <v>1791.53</v>
      </c>
    </row>
    <row r="184" spans="1:2" ht="13" x14ac:dyDescent="0.15">
      <c r="A184" s="4">
        <v>41597</v>
      </c>
      <c r="B184" s="1">
        <v>1787.87</v>
      </c>
    </row>
    <row r="185" spans="1:2" ht="13" x14ac:dyDescent="0.15">
      <c r="A185" s="4">
        <v>41598</v>
      </c>
      <c r="B185" s="1">
        <v>1781.37</v>
      </c>
    </row>
    <row r="186" spans="1:2" ht="13" x14ac:dyDescent="0.15">
      <c r="A186" s="4">
        <v>41599</v>
      </c>
      <c r="B186" s="1">
        <v>1795.85</v>
      </c>
    </row>
    <row r="187" spans="1:2" ht="13" x14ac:dyDescent="0.15">
      <c r="A187" s="4">
        <v>41600</v>
      </c>
      <c r="B187" s="1">
        <v>1804.76</v>
      </c>
    </row>
    <row r="188" spans="1:2" ht="13" x14ac:dyDescent="0.15">
      <c r="A188" s="4">
        <v>41603</v>
      </c>
      <c r="B188" s="1">
        <v>1802.48</v>
      </c>
    </row>
    <row r="189" spans="1:2" ht="13" x14ac:dyDescent="0.15">
      <c r="A189" s="4">
        <v>41604</v>
      </c>
      <c r="B189" s="1">
        <v>1802.75</v>
      </c>
    </row>
    <row r="190" spans="1:2" ht="13" x14ac:dyDescent="0.15">
      <c r="A190" s="4">
        <v>41605</v>
      </c>
      <c r="B190" s="1">
        <v>1807.23</v>
      </c>
    </row>
    <row r="191" spans="1:2" ht="13" x14ac:dyDescent="0.15">
      <c r="A191" s="4">
        <v>41607</v>
      </c>
      <c r="B191" s="1">
        <v>1805.81</v>
      </c>
    </row>
    <row r="192" spans="1:2" ht="13" x14ac:dyDescent="0.15">
      <c r="A192" s="4">
        <v>41610</v>
      </c>
      <c r="B192" s="1">
        <v>1800.9</v>
      </c>
    </row>
    <row r="193" spans="1:2" ht="13" x14ac:dyDescent="0.15">
      <c r="A193" s="4">
        <v>41611</v>
      </c>
      <c r="B193" s="1">
        <v>1795.15</v>
      </c>
    </row>
    <row r="194" spans="1:2" ht="13" x14ac:dyDescent="0.15">
      <c r="A194" s="4">
        <v>41612</v>
      </c>
      <c r="B194" s="1">
        <v>1792.81</v>
      </c>
    </row>
    <row r="195" spans="1:2" ht="13" x14ac:dyDescent="0.15">
      <c r="A195" s="4">
        <v>41613</v>
      </c>
      <c r="B195" s="1">
        <v>1785.03</v>
      </c>
    </row>
    <row r="196" spans="1:2" ht="13" x14ac:dyDescent="0.15">
      <c r="A196" s="4">
        <v>41614</v>
      </c>
      <c r="B196" s="1">
        <v>1805.09</v>
      </c>
    </row>
    <row r="197" spans="1:2" ht="13" x14ac:dyDescent="0.15">
      <c r="A197" s="4">
        <v>41617</v>
      </c>
      <c r="B197" s="1">
        <v>1808.37</v>
      </c>
    </row>
    <row r="198" spans="1:2" ht="13" x14ac:dyDescent="0.15">
      <c r="A198" s="4">
        <v>41618</v>
      </c>
      <c r="B198" s="1">
        <v>1802.62</v>
      </c>
    </row>
    <row r="199" spans="1:2" ht="13" x14ac:dyDescent="0.15">
      <c r="A199" s="4">
        <v>41619</v>
      </c>
      <c r="B199" s="1">
        <v>1782.22</v>
      </c>
    </row>
    <row r="200" spans="1:2" ht="13" x14ac:dyDescent="0.15">
      <c r="A200" s="4">
        <v>41620</v>
      </c>
      <c r="B200" s="1">
        <v>1775.5</v>
      </c>
    </row>
    <row r="201" spans="1:2" ht="13" x14ac:dyDescent="0.15">
      <c r="A201" s="4">
        <v>41621</v>
      </c>
      <c r="B201" s="1">
        <v>1775.32</v>
      </c>
    </row>
    <row r="202" spans="1:2" ht="13" x14ac:dyDescent="0.15">
      <c r="A202" s="4">
        <v>41624</v>
      </c>
      <c r="B202" s="1">
        <v>1786.54</v>
      </c>
    </row>
    <row r="203" spans="1:2" ht="13" x14ac:dyDescent="0.15">
      <c r="A203" s="4">
        <v>41625</v>
      </c>
      <c r="B203" s="1">
        <v>1781</v>
      </c>
    </row>
    <row r="204" spans="1:2" ht="13" x14ac:dyDescent="0.15">
      <c r="A204" s="4">
        <v>41626</v>
      </c>
      <c r="B204" s="1">
        <v>1810.65</v>
      </c>
    </row>
    <row r="205" spans="1:2" ht="13" x14ac:dyDescent="0.15">
      <c r="A205" s="4">
        <v>41627</v>
      </c>
      <c r="B205" s="1">
        <v>1809.6</v>
      </c>
    </row>
    <row r="206" spans="1:2" ht="13" x14ac:dyDescent="0.15">
      <c r="A206" s="4">
        <v>41628</v>
      </c>
      <c r="B206" s="1">
        <v>1818.31</v>
      </c>
    </row>
    <row r="207" spans="1:2" ht="13" x14ac:dyDescent="0.15">
      <c r="A207" s="4">
        <v>41631</v>
      </c>
      <c r="B207" s="1">
        <v>1827.99</v>
      </c>
    </row>
    <row r="208" spans="1:2" ht="13" x14ac:dyDescent="0.15">
      <c r="A208" s="4">
        <v>41632</v>
      </c>
      <c r="B208" s="1">
        <v>1833.32</v>
      </c>
    </row>
    <row r="209" spans="1:2" ht="13" x14ac:dyDescent="0.15">
      <c r="A209" s="4">
        <v>41634</v>
      </c>
      <c r="B209" s="1">
        <v>1842.02</v>
      </c>
    </row>
    <row r="210" spans="1:2" ht="13" x14ac:dyDescent="0.15">
      <c r="A210" s="4">
        <v>41635</v>
      </c>
      <c r="B210" s="1">
        <v>1841.4</v>
      </c>
    </row>
    <row r="211" spans="1:2" ht="13" x14ac:dyDescent="0.15">
      <c r="A211" s="4">
        <v>41638</v>
      </c>
      <c r="B211" s="1">
        <v>1841.07</v>
      </c>
    </row>
    <row r="212" spans="1:2" ht="13" x14ac:dyDescent="0.15">
      <c r="A212" s="4">
        <v>41639</v>
      </c>
      <c r="B212" s="1">
        <v>1848.36</v>
      </c>
    </row>
    <row r="213" spans="1:2" ht="13" x14ac:dyDescent="0.15">
      <c r="A213" s="4">
        <v>41641</v>
      </c>
      <c r="B213" s="1">
        <v>1831.98</v>
      </c>
    </row>
    <row r="214" spans="1:2" ht="13" x14ac:dyDescent="0.15">
      <c r="A214" s="4">
        <v>41642</v>
      </c>
      <c r="B214" s="1">
        <v>1831.37</v>
      </c>
    </row>
    <row r="215" spans="1:2" ht="13" x14ac:dyDescent="0.15">
      <c r="A215" s="4">
        <v>41645</v>
      </c>
      <c r="B215" s="1">
        <v>1826.77</v>
      </c>
    </row>
    <row r="216" spans="1:2" ht="13" x14ac:dyDescent="0.15">
      <c r="A216" s="4">
        <v>41646</v>
      </c>
      <c r="B216" s="1">
        <v>1837.88</v>
      </c>
    </row>
    <row r="217" spans="1:2" ht="13" x14ac:dyDescent="0.15">
      <c r="A217" s="4">
        <v>41647</v>
      </c>
      <c r="B217" s="1">
        <v>1837.49</v>
      </c>
    </row>
    <row r="218" spans="1:2" ht="13" x14ac:dyDescent="0.15">
      <c r="A218" s="4">
        <v>41648</v>
      </c>
      <c r="B218" s="1">
        <v>1838.13</v>
      </c>
    </row>
    <row r="219" spans="1:2" ht="13" x14ac:dyDescent="0.15">
      <c r="A219" s="4">
        <v>41649</v>
      </c>
      <c r="B219" s="1">
        <v>1842.37</v>
      </c>
    </row>
    <row r="220" spans="1:2" ht="13" x14ac:dyDescent="0.15">
      <c r="A220" s="4">
        <v>41652</v>
      </c>
      <c r="B220" s="1">
        <v>1819.2</v>
      </c>
    </row>
    <row r="221" spans="1:2" ht="13" x14ac:dyDescent="0.15">
      <c r="A221" s="4">
        <v>41653</v>
      </c>
      <c r="B221" s="1">
        <v>1838.88</v>
      </c>
    </row>
    <row r="222" spans="1:2" ht="13" x14ac:dyDescent="0.15">
      <c r="A222" s="4">
        <v>41654</v>
      </c>
      <c r="B222" s="1">
        <v>1848.38</v>
      </c>
    </row>
    <row r="223" spans="1:2" ht="13" x14ac:dyDescent="0.15">
      <c r="A223" s="4">
        <v>41655</v>
      </c>
      <c r="B223" s="1">
        <v>1845.89</v>
      </c>
    </row>
    <row r="224" spans="1:2" ht="13" x14ac:dyDescent="0.15">
      <c r="A224" s="4">
        <v>41656</v>
      </c>
      <c r="B224" s="1">
        <v>1838.7</v>
      </c>
    </row>
    <row r="225" spans="1:2" ht="13" x14ac:dyDescent="0.15">
      <c r="A225" s="4">
        <v>41660</v>
      </c>
      <c r="B225" s="1">
        <v>1843.8</v>
      </c>
    </row>
    <row r="226" spans="1:2" ht="13" x14ac:dyDescent="0.15">
      <c r="A226" s="4">
        <v>41661</v>
      </c>
      <c r="B226" s="1">
        <v>1844.86</v>
      </c>
    </row>
    <row r="227" spans="1:2" ht="13" x14ac:dyDescent="0.15">
      <c r="A227" s="4">
        <v>41662</v>
      </c>
      <c r="B227" s="1">
        <v>1828.46</v>
      </c>
    </row>
    <row r="228" spans="1:2" ht="13" x14ac:dyDescent="0.15">
      <c r="A228" s="4">
        <v>41663</v>
      </c>
      <c r="B228" s="1">
        <v>1790.29</v>
      </c>
    </row>
    <row r="229" spans="1:2" ht="13" x14ac:dyDescent="0.15">
      <c r="A229" s="4">
        <v>41666</v>
      </c>
      <c r="B229" s="1">
        <v>1781.56</v>
      </c>
    </row>
    <row r="230" spans="1:2" ht="13" x14ac:dyDescent="0.15">
      <c r="A230" s="4">
        <v>41667</v>
      </c>
      <c r="B230" s="1">
        <v>1792.5</v>
      </c>
    </row>
    <row r="231" spans="1:2" ht="13" x14ac:dyDescent="0.15">
      <c r="A231" s="4">
        <v>41668</v>
      </c>
      <c r="B231" s="1">
        <v>1774.2</v>
      </c>
    </row>
    <row r="232" spans="1:2" ht="13" x14ac:dyDescent="0.15">
      <c r="A232" s="4">
        <v>41669</v>
      </c>
      <c r="B232" s="1">
        <v>1794.19</v>
      </c>
    </row>
    <row r="233" spans="1:2" ht="13" x14ac:dyDescent="0.15">
      <c r="A233" s="4">
        <v>41670</v>
      </c>
      <c r="B233" s="1">
        <v>1782.59</v>
      </c>
    </row>
    <row r="234" spans="1:2" ht="13" x14ac:dyDescent="0.15">
      <c r="A234" s="4">
        <v>41673</v>
      </c>
      <c r="B234" s="1">
        <v>1741.89</v>
      </c>
    </row>
    <row r="235" spans="1:2" ht="13" x14ac:dyDescent="0.15">
      <c r="A235" s="4">
        <v>41674</v>
      </c>
      <c r="B235" s="1">
        <v>1755.2</v>
      </c>
    </row>
    <row r="236" spans="1:2" ht="13" x14ac:dyDescent="0.15">
      <c r="A236" s="4">
        <v>41675</v>
      </c>
      <c r="B236" s="1">
        <v>1751.64</v>
      </c>
    </row>
    <row r="237" spans="1:2" ht="13" x14ac:dyDescent="0.15">
      <c r="A237" s="4">
        <v>41676</v>
      </c>
      <c r="B237" s="1">
        <v>1773.43</v>
      </c>
    </row>
    <row r="238" spans="1:2" ht="13" x14ac:dyDescent="0.15">
      <c r="A238" s="4">
        <v>41677</v>
      </c>
      <c r="B238" s="1">
        <v>1797.02</v>
      </c>
    </row>
    <row r="239" spans="1:2" ht="13" x14ac:dyDescent="0.15">
      <c r="A239" s="4">
        <v>41680</v>
      </c>
      <c r="B239" s="1">
        <v>1799.84</v>
      </c>
    </row>
    <row r="240" spans="1:2" ht="13" x14ac:dyDescent="0.15">
      <c r="A240" s="4">
        <v>41681</v>
      </c>
      <c r="B240" s="1">
        <v>1819.75</v>
      </c>
    </row>
    <row r="241" spans="1:2" ht="13" x14ac:dyDescent="0.15">
      <c r="A241" s="4">
        <v>41682</v>
      </c>
      <c r="B241" s="1">
        <v>1819.26</v>
      </c>
    </row>
    <row r="242" spans="1:2" ht="13" x14ac:dyDescent="0.15">
      <c r="A242" s="4">
        <v>41683</v>
      </c>
      <c r="B242" s="1">
        <v>1829.83</v>
      </c>
    </row>
    <row r="243" spans="1:2" ht="13" x14ac:dyDescent="0.15">
      <c r="A243" s="4">
        <v>41684</v>
      </c>
      <c r="B243" s="1">
        <v>1838.63</v>
      </c>
    </row>
    <row r="244" spans="1:2" ht="13" x14ac:dyDescent="0.15">
      <c r="A244" s="4">
        <v>41688</v>
      </c>
      <c r="B244" s="1">
        <v>1840.76</v>
      </c>
    </row>
    <row r="245" spans="1:2" ht="13" x14ac:dyDescent="0.15">
      <c r="A245" s="4">
        <v>41690</v>
      </c>
      <c r="B245" s="1">
        <v>1839.78</v>
      </c>
    </row>
    <row r="246" spans="1:2" ht="13" x14ac:dyDescent="0.15">
      <c r="A246" s="4">
        <v>41691</v>
      </c>
      <c r="B246" s="1">
        <v>1836.25</v>
      </c>
    </row>
    <row r="247" spans="1:2" ht="13" x14ac:dyDescent="0.15">
      <c r="A247" s="4">
        <v>41694</v>
      </c>
      <c r="B247" s="1">
        <v>1847.61</v>
      </c>
    </row>
    <row r="248" spans="1:2" ht="13" x14ac:dyDescent="0.15">
      <c r="A248" s="4">
        <v>41695</v>
      </c>
      <c r="B248" s="1">
        <v>1845.12</v>
      </c>
    </row>
    <row r="249" spans="1:2" ht="13" x14ac:dyDescent="0.15">
      <c r="A249" s="4">
        <v>41696</v>
      </c>
      <c r="B249" s="1">
        <v>1845.16</v>
      </c>
    </row>
    <row r="250" spans="1:2" ht="13" x14ac:dyDescent="0.15">
      <c r="A250" s="4">
        <v>41697</v>
      </c>
      <c r="B250" s="1">
        <v>1854.29</v>
      </c>
    </row>
    <row r="251" spans="1:2" ht="13" x14ac:dyDescent="0.15">
      <c r="A251" s="4">
        <v>41698</v>
      </c>
      <c r="B251" s="1">
        <v>1859.45</v>
      </c>
    </row>
    <row r="252" spans="1:2" ht="13" x14ac:dyDescent="0.15">
      <c r="A252" s="4">
        <v>41701</v>
      </c>
      <c r="B252" s="1">
        <v>1845.73</v>
      </c>
    </row>
    <row r="253" spans="1:2" ht="13" x14ac:dyDescent="0.15">
      <c r="A253" s="4">
        <v>41702</v>
      </c>
      <c r="B253" s="1">
        <v>1873.91</v>
      </c>
    </row>
    <row r="254" spans="1:2" ht="13" x14ac:dyDescent="0.15">
      <c r="A254" s="4">
        <v>41703</v>
      </c>
      <c r="B254" s="1">
        <v>1873.81</v>
      </c>
    </row>
    <row r="255" spans="1:2" ht="13" x14ac:dyDescent="0.15">
      <c r="A255" s="4">
        <v>41704</v>
      </c>
      <c r="B255" s="1">
        <v>1877.03</v>
      </c>
    </row>
    <row r="256" spans="1:2" ht="13" x14ac:dyDescent="0.15">
      <c r="A256" s="4">
        <v>41705</v>
      </c>
      <c r="B256" s="1">
        <v>1878.04</v>
      </c>
    </row>
    <row r="257" spans="1:2" ht="13" x14ac:dyDescent="0.15">
      <c r="A257" s="4">
        <v>41708</v>
      </c>
      <c r="B257" s="1">
        <v>1877.17</v>
      </c>
    </row>
    <row r="258" spans="1:2" ht="13" x14ac:dyDescent="0.15">
      <c r="A258" s="4">
        <v>41709</v>
      </c>
      <c r="B258" s="1">
        <v>1867.63</v>
      </c>
    </row>
    <row r="259" spans="1:2" ht="13" x14ac:dyDescent="0.15">
      <c r="A259" s="4">
        <v>41710</v>
      </c>
      <c r="B259" s="1">
        <v>1868.2</v>
      </c>
    </row>
    <row r="260" spans="1:2" ht="13" x14ac:dyDescent="0.15">
      <c r="A260" s="4">
        <v>41711</v>
      </c>
      <c r="B260" s="1">
        <v>1846.34</v>
      </c>
    </row>
    <row r="261" spans="1:2" ht="13" x14ac:dyDescent="0.15">
      <c r="A261" s="4">
        <v>41712</v>
      </c>
      <c r="B261" s="1">
        <v>1841.13</v>
      </c>
    </row>
    <row r="262" spans="1:2" ht="13" x14ac:dyDescent="0.15">
      <c r="A262" s="4">
        <v>41715</v>
      </c>
      <c r="B262" s="1">
        <v>1858.83</v>
      </c>
    </row>
    <row r="263" spans="1:2" ht="13" x14ac:dyDescent="0.15">
      <c r="A263" s="4">
        <v>41716</v>
      </c>
      <c r="B263" s="1">
        <v>1872.25</v>
      </c>
    </row>
    <row r="264" spans="1:2" ht="13" x14ac:dyDescent="0.15">
      <c r="A264" s="4">
        <v>41717</v>
      </c>
      <c r="B264" s="1">
        <v>1860.77</v>
      </c>
    </row>
    <row r="265" spans="1:2" ht="13" x14ac:dyDescent="0.15">
      <c r="A265" s="4">
        <v>41718</v>
      </c>
      <c r="B265" s="1">
        <v>1872.01</v>
      </c>
    </row>
    <row r="266" spans="1:2" ht="13" x14ac:dyDescent="0.15">
      <c r="A266" s="4">
        <v>41719</v>
      </c>
      <c r="B266" s="1">
        <v>1866.4</v>
      </c>
    </row>
    <row r="267" spans="1:2" ht="13" x14ac:dyDescent="0.15">
      <c r="A267" s="4">
        <v>41722</v>
      </c>
      <c r="B267" s="1">
        <v>1857.44</v>
      </c>
    </row>
    <row r="268" spans="1:2" ht="13" x14ac:dyDescent="0.15">
      <c r="A268" s="4">
        <v>41723</v>
      </c>
      <c r="B268" s="1">
        <v>1865.62</v>
      </c>
    </row>
    <row r="269" spans="1:2" ht="13" x14ac:dyDescent="0.15">
      <c r="A269" s="4">
        <v>41724</v>
      </c>
      <c r="B269" s="1">
        <v>1852.56</v>
      </c>
    </row>
    <row r="270" spans="1:2" ht="13" x14ac:dyDescent="0.15">
      <c r="A270" s="4">
        <v>41725</v>
      </c>
      <c r="B270" s="1">
        <v>1849.04</v>
      </c>
    </row>
    <row r="271" spans="1:2" ht="13" x14ac:dyDescent="0.15">
      <c r="A271" s="4">
        <v>41726</v>
      </c>
      <c r="B271" s="1">
        <v>1857.62</v>
      </c>
    </row>
    <row r="272" spans="1:2" ht="13" x14ac:dyDescent="0.15">
      <c r="A272" s="4">
        <v>41729</v>
      </c>
      <c r="B272" s="1">
        <v>1872.34</v>
      </c>
    </row>
    <row r="273" spans="1:2" ht="13" x14ac:dyDescent="0.15">
      <c r="A273" s="4">
        <v>41730</v>
      </c>
      <c r="B273" s="1">
        <v>1885.52</v>
      </c>
    </row>
    <row r="274" spans="1:2" ht="13" x14ac:dyDescent="0.15">
      <c r="A274" s="4">
        <v>41731</v>
      </c>
      <c r="B274" s="1">
        <v>1890.9</v>
      </c>
    </row>
    <row r="275" spans="1:2" ht="13" x14ac:dyDescent="0.15">
      <c r="A275" s="4">
        <v>41732</v>
      </c>
      <c r="B275" s="1">
        <v>1888.77</v>
      </c>
    </row>
    <row r="276" spans="1:2" ht="13" x14ac:dyDescent="0.15">
      <c r="A276" s="4">
        <v>41733</v>
      </c>
      <c r="B276" s="1">
        <v>1865.09</v>
      </c>
    </row>
    <row r="277" spans="1:2" ht="13" x14ac:dyDescent="0.15">
      <c r="A277" s="4">
        <v>41736</v>
      </c>
      <c r="B277" s="1">
        <v>1845.04</v>
      </c>
    </row>
    <row r="278" spans="1:2" ht="13" x14ac:dyDescent="0.15">
      <c r="A278" s="4">
        <v>41737</v>
      </c>
      <c r="B278" s="1">
        <v>1851.96</v>
      </c>
    </row>
    <row r="279" spans="1:2" ht="13" x14ac:dyDescent="0.15">
      <c r="A279" s="4">
        <v>41738</v>
      </c>
      <c r="B279" s="1">
        <v>1872.18</v>
      </c>
    </row>
    <row r="280" spans="1:2" ht="13" x14ac:dyDescent="0.15">
      <c r="A280" s="4">
        <v>41739</v>
      </c>
      <c r="B280" s="1">
        <v>1833.08</v>
      </c>
    </row>
    <row r="281" spans="1:2" ht="13" x14ac:dyDescent="0.15">
      <c r="A281" s="4">
        <v>41740</v>
      </c>
      <c r="B281" s="1">
        <v>1815.69</v>
      </c>
    </row>
    <row r="282" spans="1:2" ht="13" x14ac:dyDescent="0.15">
      <c r="A282" s="4">
        <v>41743</v>
      </c>
      <c r="B282" s="1">
        <v>1830.61</v>
      </c>
    </row>
    <row r="283" spans="1:2" ht="13" x14ac:dyDescent="0.15">
      <c r="A283" s="4">
        <v>41744</v>
      </c>
      <c r="B283" s="1">
        <v>1842.98</v>
      </c>
    </row>
    <row r="284" spans="1:2" ht="13" x14ac:dyDescent="0.15">
      <c r="A284" s="4">
        <v>41745</v>
      </c>
      <c r="B284" s="1">
        <v>1862.31</v>
      </c>
    </row>
    <row r="285" spans="1:2" ht="13" x14ac:dyDescent="0.15">
      <c r="A285" s="4">
        <v>41746</v>
      </c>
      <c r="B285" s="1">
        <v>1864.85</v>
      </c>
    </row>
    <row r="286" spans="1:2" ht="13" x14ac:dyDescent="0.15">
      <c r="A286" s="4">
        <v>41750</v>
      </c>
      <c r="B286" s="1">
        <v>1871.89</v>
      </c>
    </row>
    <row r="287" spans="1:2" ht="13" x14ac:dyDescent="0.15">
      <c r="A287" s="4">
        <v>41751</v>
      </c>
      <c r="B287" s="1">
        <v>1879.55</v>
      </c>
    </row>
    <row r="288" spans="1:2" ht="13" x14ac:dyDescent="0.15">
      <c r="A288" s="4">
        <v>41752</v>
      </c>
      <c r="B288" s="1">
        <v>1875.39</v>
      </c>
    </row>
    <row r="289" spans="1:2" ht="13" x14ac:dyDescent="0.15">
      <c r="A289" s="4">
        <v>41753</v>
      </c>
      <c r="B289" s="1">
        <v>1878.61</v>
      </c>
    </row>
    <row r="290" spans="1:2" ht="13" x14ac:dyDescent="0.15">
      <c r="A290" s="4">
        <v>41754</v>
      </c>
      <c r="B290" s="1">
        <v>1863.4</v>
      </c>
    </row>
    <row r="291" spans="1:2" ht="13" x14ac:dyDescent="0.15">
      <c r="A291" s="4">
        <v>41757</v>
      </c>
      <c r="B291" s="1">
        <v>1869.43</v>
      </c>
    </row>
    <row r="292" spans="1:2" ht="13" x14ac:dyDescent="0.15">
      <c r="A292" s="4">
        <v>41758</v>
      </c>
      <c r="B292" s="1">
        <v>1878.33</v>
      </c>
    </row>
    <row r="293" spans="1:2" ht="13" x14ac:dyDescent="0.15">
      <c r="A293" s="4">
        <v>41759</v>
      </c>
      <c r="B293" s="1">
        <v>1883.95</v>
      </c>
    </row>
    <row r="294" spans="1:2" ht="13" x14ac:dyDescent="0.15">
      <c r="A294" s="4">
        <v>41760</v>
      </c>
      <c r="B294" s="1">
        <v>1883.68</v>
      </c>
    </row>
    <row r="295" spans="1:2" ht="13" x14ac:dyDescent="0.15">
      <c r="A295" s="4">
        <v>41761</v>
      </c>
      <c r="B295" s="1">
        <v>1881.14</v>
      </c>
    </row>
    <row r="296" spans="1:2" ht="13" x14ac:dyDescent="0.15">
      <c r="A296" s="4">
        <v>41764</v>
      </c>
      <c r="B296" s="1">
        <v>1884.66</v>
      </c>
    </row>
    <row r="297" spans="1:2" ht="13" x14ac:dyDescent="0.15">
      <c r="A297" s="4">
        <v>41765</v>
      </c>
      <c r="B297" s="1">
        <v>1867.72</v>
      </c>
    </row>
    <row r="298" spans="1:2" ht="13" x14ac:dyDescent="0.15">
      <c r="A298" s="4">
        <v>41766</v>
      </c>
      <c r="B298" s="1">
        <v>1878.21</v>
      </c>
    </row>
    <row r="299" spans="1:2" ht="13" x14ac:dyDescent="0.15">
      <c r="A299" s="4">
        <v>41767</v>
      </c>
      <c r="B299" s="1">
        <v>1875.63</v>
      </c>
    </row>
    <row r="300" spans="1:2" ht="13" x14ac:dyDescent="0.15">
      <c r="A300" s="4">
        <v>41768</v>
      </c>
      <c r="B300" s="1">
        <v>1878.48</v>
      </c>
    </row>
    <row r="301" spans="1:2" ht="13" x14ac:dyDescent="0.15">
      <c r="A301" s="4">
        <v>41771</v>
      </c>
      <c r="B301" s="1">
        <v>1896.65</v>
      </c>
    </row>
    <row r="302" spans="1:2" ht="13" x14ac:dyDescent="0.15">
      <c r="A302" s="4">
        <v>41772</v>
      </c>
      <c r="B302" s="1">
        <v>1897.45</v>
      </c>
    </row>
    <row r="303" spans="1:2" ht="13" x14ac:dyDescent="0.15">
      <c r="A303" s="4">
        <v>41773</v>
      </c>
      <c r="B303" s="1">
        <v>1888.53</v>
      </c>
    </row>
    <row r="304" spans="1:2" ht="13" x14ac:dyDescent="0.15">
      <c r="A304" s="4">
        <v>41774</v>
      </c>
      <c r="B304" s="1">
        <v>1870.85</v>
      </c>
    </row>
    <row r="305" spans="1:2" ht="13" x14ac:dyDescent="0.15">
      <c r="A305" s="4">
        <v>41775</v>
      </c>
      <c r="B305" s="1">
        <v>1877.86</v>
      </c>
    </row>
    <row r="306" spans="1:2" ht="13" x14ac:dyDescent="0.15">
      <c r="A306" s="4">
        <v>41778</v>
      </c>
      <c r="B306" s="1">
        <v>1885.08</v>
      </c>
    </row>
    <row r="307" spans="1:2" ht="13" x14ac:dyDescent="0.15">
      <c r="A307" s="4">
        <v>41779</v>
      </c>
      <c r="B307" s="1">
        <v>1872.83</v>
      </c>
    </row>
    <row r="308" spans="1:2" ht="13" x14ac:dyDescent="0.15">
      <c r="A308" s="4">
        <v>41780</v>
      </c>
      <c r="B308" s="1">
        <v>1888.03</v>
      </c>
    </row>
    <row r="309" spans="1:2" ht="13" x14ac:dyDescent="0.15">
      <c r="A309" s="4">
        <v>41781</v>
      </c>
      <c r="B309" s="1">
        <v>1892.49</v>
      </c>
    </row>
    <row r="310" spans="1:2" ht="13" x14ac:dyDescent="0.15">
      <c r="A310" s="4">
        <v>41782</v>
      </c>
      <c r="B310" s="1">
        <v>1900.53</v>
      </c>
    </row>
    <row r="311" spans="1:2" ht="13" x14ac:dyDescent="0.15">
      <c r="A311" s="4">
        <v>41786</v>
      </c>
      <c r="B311" s="1">
        <v>1911.91</v>
      </c>
    </row>
    <row r="312" spans="1:2" ht="13" x14ac:dyDescent="0.15">
      <c r="A312" s="4">
        <v>41787</v>
      </c>
      <c r="B312" s="1">
        <v>1909.78</v>
      </c>
    </row>
    <row r="313" spans="1:2" ht="13" x14ac:dyDescent="0.15">
      <c r="A313" s="4">
        <v>41788</v>
      </c>
      <c r="B313" s="1">
        <v>1920.03</v>
      </c>
    </row>
    <row r="314" spans="1:2" ht="13" x14ac:dyDescent="0.15">
      <c r="A314" s="4">
        <v>41789</v>
      </c>
      <c r="B314" s="1">
        <v>1923.57</v>
      </c>
    </row>
    <row r="315" spans="1:2" ht="13" x14ac:dyDescent="0.15">
      <c r="A315" s="4">
        <v>41792</v>
      </c>
      <c r="B315" s="1">
        <v>1924.97</v>
      </c>
    </row>
    <row r="316" spans="1:2" ht="13" x14ac:dyDescent="0.15">
      <c r="A316" s="4">
        <v>41793</v>
      </c>
      <c r="B316" s="1">
        <v>1924.24</v>
      </c>
    </row>
    <row r="317" spans="1:2" ht="13" x14ac:dyDescent="0.15">
      <c r="A317" s="4">
        <v>41794</v>
      </c>
      <c r="B317" s="1">
        <v>1927.88</v>
      </c>
    </row>
    <row r="318" spans="1:2" ht="13" x14ac:dyDescent="0.15">
      <c r="A318" s="4">
        <v>41795</v>
      </c>
      <c r="B318" s="1">
        <v>1940.46</v>
      </c>
    </row>
    <row r="319" spans="1:2" ht="13" x14ac:dyDescent="0.15">
      <c r="A319" s="4">
        <v>41796</v>
      </c>
      <c r="B319" s="1">
        <v>1949.44</v>
      </c>
    </row>
    <row r="320" spans="1:2" ht="13" x14ac:dyDescent="0.15">
      <c r="A320" s="4">
        <v>41799</v>
      </c>
      <c r="B320" s="1">
        <v>1951.27</v>
      </c>
    </row>
    <row r="321" spans="1:2" ht="13" x14ac:dyDescent="0.15">
      <c r="A321" s="4">
        <v>41800</v>
      </c>
      <c r="B321" s="1">
        <v>1950.79</v>
      </c>
    </row>
    <row r="322" spans="1:2" ht="13" x14ac:dyDescent="0.15">
      <c r="A322" s="4">
        <v>41801</v>
      </c>
      <c r="B322" s="1">
        <v>1943.89</v>
      </c>
    </row>
    <row r="323" spans="1:2" ht="13" x14ac:dyDescent="0.15">
      <c r="A323" s="4">
        <v>41802</v>
      </c>
      <c r="B323" s="1">
        <v>1930.11</v>
      </c>
    </row>
    <row r="324" spans="1:2" ht="13" x14ac:dyDescent="0.15">
      <c r="A324" s="4">
        <v>41803</v>
      </c>
      <c r="B324" s="1">
        <v>1936.16</v>
      </c>
    </row>
    <row r="325" spans="1:2" ht="13" x14ac:dyDescent="0.15">
      <c r="A325" s="4">
        <v>41806</v>
      </c>
      <c r="B325" s="1">
        <v>1937.78</v>
      </c>
    </row>
    <row r="326" spans="1:2" ht="13" x14ac:dyDescent="0.15">
      <c r="A326" s="4">
        <v>41807</v>
      </c>
      <c r="B326" s="1">
        <v>1941.99</v>
      </c>
    </row>
    <row r="327" spans="1:2" ht="13" x14ac:dyDescent="0.15">
      <c r="A327" s="4">
        <v>41808</v>
      </c>
      <c r="B327" s="1">
        <v>1956.98</v>
      </c>
    </row>
    <row r="328" spans="1:2" ht="13" x14ac:dyDescent="0.15">
      <c r="A328" s="4">
        <v>41809</v>
      </c>
      <c r="B328" s="1">
        <v>1959.48</v>
      </c>
    </row>
    <row r="329" spans="1:2" ht="13" x14ac:dyDescent="0.15">
      <c r="A329" s="4">
        <v>41810</v>
      </c>
      <c r="B329" s="1">
        <v>1962.87</v>
      </c>
    </row>
    <row r="330" spans="1:2" ht="13" x14ac:dyDescent="0.15">
      <c r="A330" s="4">
        <v>41813</v>
      </c>
      <c r="B330" s="1">
        <v>1962.61</v>
      </c>
    </row>
    <row r="331" spans="1:2" ht="13" x14ac:dyDescent="0.15">
      <c r="A331" s="4">
        <v>41814</v>
      </c>
      <c r="B331" s="1">
        <v>1949.98</v>
      </c>
    </row>
    <row r="332" spans="1:2" ht="13" x14ac:dyDescent="0.15">
      <c r="A332" s="4">
        <v>41815</v>
      </c>
      <c r="B332" s="1">
        <v>1959.53</v>
      </c>
    </row>
    <row r="333" spans="1:2" ht="13" x14ac:dyDescent="0.15">
      <c r="A333" s="4">
        <v>41816</v>
      </c>
      <c r="B333" s="1">
        <v>1957.22</v>
      </c>
    </row>
    <row r="334" spans="1:2" ht="13" x14ac:dyDescent="0.15">
      <c r="A334" s="4">
        <v>41817</v>
      </c>
      <c r="B334" s="1">
        <v>1960.96</v>
      </c>
    </row>
    <row r="335" spans="1:2" ht="13" x14ac:dyDescent="0.15">
      <c r="A335" s="4">
        <v>41820</v>
      </c>
      <c r="B335" s="1">
        <v>1960.23</v>
      </c>
    </row>
    <row r="336" spans="1:2" ht="13" x14ac:dyDescent="0.15">
      <c r="A336" s="4">
        <v>41821</v>
      </c>
      <c r="B336" s="1">
        <v>1973.32</v>
      </c>
    </row>
    <row r="337" spans="1:2" ht="13" x14ac:dyDescent="0.15">
      <c r="A337" s="4">
        <v>41822</v>
      </c>
      <c r="B337" s="1">
        <v>1974.62</v>
      </c>
    </row>
    <row r="338" spans="1:2" ht="13" x14ac:dyDescent="0.15">
      <c r="A338" s="4">
        <v>41823</v>
      </c>
      <c r="B338" s="1">
        <v>1985.44</v>
      </c>
    </row>
    <row r="339" spans="1:2" ht="13" x14ac:dyDescent="0.15">
      <c r="A339" s="4">
        <v>41827</v>
      </c>
      <c r="B339" s="1">
        <v>1977.65</v>
      </c>
    </row>
    <row r="340" spans="1:2" ht="13" x14ac:dyDescent="0.15">
      <c r="A340" s="4">
        <v>41828</v>
      </c>
      <c r="B340" s="1">
        <v>1963.71</v>
      </c>
    </row>
    <row r="341" spans="1:2" ht="13" x14ac:dyDescent="0.15">
      <c r="A341" s="4">
        <v>41829</v>
      </c>
      <c r="B341" s="1">
        <v>1972.83</v>
      </c>
    </row>
    <row r="342" spans="1:2" ht="13" x14ac:dyDescent="0.15">
      <c r="A342" s="4">
        <v>41830</v>
      </c>
      <c r="B342" s="1">
        <v>1964.68</v>
      </c>
    </row>
    <row r="343" spans="1:2" ht="13" x14ac:dyDescent="0.15">
      <c r="A343" s="4">
        <v>41831</v>
      </c>
      <c r="B343" s="1">
        <v>1967.57</v>
      </c>
    </row>
    <row r="344" spans="1:2" ht="13" x14ac:dyDescent="0.15">
      <c r="A344" s="4">
        <v>41834</v>
      </c>
      <c r="B344" s="1">
        <v>1977.1</v>
      </c>
    </row>
    <row r="345" spans="1:2" ht="13" x14ac:dyDescent="0.15">
      <c r="A345" s="4">
        <v>41835</v>
      </c>
      <c r="B345" s="1">
        <v>1973.28</v>
      </c>
    </row>
    <row r="346" spans="1:2" ht="13" x14ac:dyDescent="0.15">
      <c r="A346" s="4">
        <v>41836</v>
      </c>
      <c r="B346" s="1">
        <v>1981.57</v>
      </c>
    </row>
    <row r="347" spans="1:2" ht="13" x14ac:dyDescent="0.15">
      <c r="A347" s="4">
        <v>41837</v>
      </c>
      <c r="B347" s="1">
        <v>1958.12</v>
      </c>
    </row>
    <row r="348" spans="1:2" ht="13" x14ac:dyDescent="0.15">
      <c r="A348" s="4">
        <v>41838</v>
      </c>
      <c r="B348" s="1">
        <v>1978.22</v>
      </c>
    </row>
    <row r="349" spans="1:2" ht="13" x14ac:dyDescent="0.15">
      <c r="A349" s="4">
        <v>41841</v>
      </c>
      <c r="B349" s="1">
        <v>1973.63</v>
      </c>
    </row>
    <row r="350" spans="1:2" ht="13" x14ac:dyDescent="0.15">
      <c r="A350" s="4">
        <v>41842</v>
      </c>
      <c r="B350" s="1">
        <v>1983.53</v>
      </c>
    </row>
    <row r="351" spans="1:2" ht="13" x14ac:dyDescent="0.15">
      <c r="A351" s="4">
        <v>41843</v>
      </c>
      <c r="B351" s="1">
        <v>1987.01</v>
      </c>
    </row>
    <row r="352" spans="1:2" ht="13" x14ac:dyDescent="0.15">
      <c r="A352" s="4">
        <v>41844</v>
      </c>
      <c r="B352" s="1">
        <v>1987.98</v>
      </c>
    </row>
    <row r="353" spans="1:2" ht="13" x14ac:dyDescent="0.15">
      <c r="A353" s="4">
        <v>41845</v>
      </c>
      <c r="B353" s="1">
        <v>1978.34</v>
      </c>
    </row>
    <row r="354" spans="1:2" ht="13" x14ac:dyDescent="0.15">
      <c r="A354" s="4">
        <v>41848</v>
      </c>
      <c r="B354" s="1">
        <v>1978.91</v>
      </c>
    </row>
    <row r="355" spans="1:2" ht="13" x14ac:dyDescent="0.15">
      <c r="A355" s="4">
        <v>41849</v>
      </c>
      <c r="B355" s="1">
        <v>1969.95</v>
      </c>
    </row>
    <row r="356" spans="1:2" ht="13" x14ac:dyDescent="0.15">
      <c r="A356" s="4">
        <v>41850</v>
      </c>
      <c r="B356" s="1">
        <v>1970.07</v>
      </c>
    </row>
    <row r="357" spans="1:2" ht="13" x14ac:dyDescent="0.15">
      <c r="A357" s="4">
        <v>41851</v>
      </c>
      <c r="B357" s="1">
        <v>1930.67</v>
      </c>
    </row>
    <row r="358" spans="1:2" ht="13" x14ac:dyDescent="0.15">
      <c r="A358" s="4">
        <v>41852</v>
      </c>
      <c r="B358" s="1">
        <v>1925.15</v>
      </c>
    </row>
    <row r="359" spans="1:2" ht="13" x14ac:dyDescent="0.15">
      <c r="A359" s="4">
        <v>41855</v>
      </c>
      <c r="B359" s="1">
        <v>1938.99</v>
      </c>
    </row>
    <row r="360" spans="1:2" ht="13" x14ac:dyDescent="0.15">
      <c r="A360" s="4">
        <v>41856</v>
      </c>
      <c r="B360" s="1">
        <v>1920.21</v>
      </c>
    </row>
    <row r="361" spans="1:2" ht="13" x14ac:dyDescent="0.15">
      <c r="A361" s="4">
        <v>41857</v>
      </c>
      <c r="B361" s="1">
        <v>1920.24</v>
      </c>
    </row>
    <row r="362" spans="1:2" ht="13" x14ac:dyDescent="0.15">
      <c r="A362" s="4">
        <v>41858</v>
      </c>
      <c r="B362" s="1">
        <v>1909.57</v>
      </c>
    </row>
    <row r="363" spans="1:2" ht="13" x14ac:dyDescent="0.15">
      <c r="A363" s="4">
        <v>41859</v>
      </c>
      <c r="B363" s="1">
        <v>1931.59</v>
      </c>
    </row>
    <row r="364" spans="1:2" ht="13" x14ac:dyDescent="0.15">
      <c r="A364" s="4">
        <v>41862</v>
      </c>
      <c r="B364" s="1">
        <v>1936.92</v>
      </c>
    </row>
    <row r="365" spans="1:2" ht="13" x14ac:dyDescent="0.15">
      <c r="A365" s="4">
        <v>41863</v>
      </c>
      <c r="B365" s="1">
        <v>1933.75</v>
      </c>
    </row>
    <row r="366" spans="1:2" ht="13" x14ac:dyDescent="0.15">
      <c r="A366" s="4">
        <v>41864</v>
      </c>
      <c r="B366" s="1">
        <v>1946.72</v>
      </c>
    </row>
    <row r="367" spans="1:2" ht="13" x14ac:dyDescent="0.15">
      <c r="A367" s="4">
        <v>41865</v>
      </c>
      <c r="B367" s="1">
        <v>1955.18</v>
      </c>
    </row>
    <row r="368" spans="1:2" ht="13" x14ac:dyDescent="0.15">
      <c r="A368" s="4">
        <v>41866</v>
      </c>
      <c r="B368" s="1">
        <v>1955.06</v>
      </c>
    </row>
    <row r="369" spans="1:2" ht="13" x14ac:dyDescent="0.15">
      <c r="A369" s="4">
        <v>41869</v>
      </c>
      <c r="B369" s="1">
        <v>1971.74</v>
      </c>
    </row>
    <row r="370" spans="1:2" ht="13" x14ac:dyDescent="0.15">
      <c r="A370" s="4">
        <v>41870</v>
      </c>
      <c r="B370" s="1">
        <v>1981.6</v>
      </c>
    </row>
    <row r="371" spans="1:2" ht="13" x14ac:dyDescent="0.15">
      <c r="A371" s="4">
        <v>41871</v>
      </c>
      <c r="B371" s="1">
        <v>1986.51</v>
      </c>
    </row>
    <row r="372" spans="1:2" ht="13" x14ac:dyDescent="0.15">
      <c r="A372" s="4">
        <v>41872</v>
      </c>
      <c r="B372" s="1">
        <v>1992.37</v>
      </c>
    </row>
    <row r="373" spans="1:2" ht="13" x14ac:dyDescent="0.15">
      <c r="A373" s="4">
        <v>41873</v>
      </c>
      <c r="B373" s="1">
        <v>1988.4</v>
      </c>
    </row>
    <row r="374" spans="1:2" ht="13" x14ac:dyDescent="0.15">
      <c r="A374" s="4">
        <v>41876</v>
      </c>
      <c r="B374" s="1">
        <v>1997.92</v>
      </c>
    </row>
    <row r="375" spans="1:2" ht="13" x14ac:dyDescent="0.15">
      <c r="A375" s="4">
        <v>41877</v>
      </c>
      <c r="B375" s="1">
        <v>2000.02</v>
      </c>
    </row>
    <row r="376" spans="1:2" ht="13" x14ac:dyDescent="0.15">
      <c r="A376" s="4">
        <v>41878</v>
      </c>
      <c r="B376" s="1">
        <v>2000.12</v>
      </c>
    </row>
    <row r="377" spans="1:2" ht="13" x14ac:dyDescent="0.15">
      <c r="A377" s="4">
        <v>41879</v>
      </c>
      <c r="B377" s="1">
        <v>1996.74</v>
      </c>
    </row>
    <row r="378" spans="1:2" ht="13" x14ac:dyDescent="0.15">
      <c r="A378" s="4">
        <v>41880</v>
      </c>
      <c r="B378" s="1">
        <v>2003.37</v>
      </c>
    </row>
    <row r="379" spans="1:2" ht="13" x14ac:dyDescent="0.15">
      <c r="A379" s="4">
        <v>41884</v>
      </c>
      <c r="B379" s="1">
        <v>2002.28</v>
      </c>
    </row>
    <row r="380" spans="1:2" ht="13" x14ac:dyDescent="0.15">
      <c r="A380" s="4">
        <v>41885</v>
      </c>
      <c r="B380" s="1">
        <v>2000.72</v>
      </c>
    </row>
    <row r="381" spans="1:2" ht="13" x14ac:dyDescent="0.15">
      <c r="A381" s="4">
        <v>41886</v>
      </c>
      <c r="B381" s="1">
        <v>1997.65</v>
      </c>
    </row>
    <row r="382" spans="1:2" ht="13" x14ac:dyDescent="0.15">
      <c r="A382" s="4">
        <v>41887</v>
      </c>
      <c r="B382" s="1">
        <v>2007.71</v>
      </c>
    </row>
    <row r="383" spans="1:2" ht="13" x14ac:dyDescent="0.15">
      <c r="A383" s="4">
        <v>41890</v>
      </c>
      <c r="B383" s="1">
        <v>2001.54</v>
      </c>
    </row>
    <row r="384" spans="1:2" ht="13" x14ac:dyDescent="0.15">
      <c r="A384" s="4">
        <v>41891</v>
      </c>
      <c r="B384" s="1">
        <v>1988.44</v>
      </c>
    </row>
    <row r="385" spans="1:2" ht="13" x14ac:dyDescent="0.15">
      <c r="A385" s="4">
        <v>41892</v>
      </c>
      <c r="B385" s="1">
        <v>1995.69</v>
      </c>
    </row>
    <row r="386" spans="1:2" ht="13" x14ac:dyDescent="0.15">
      <c r="A386" s="4">
        <v>41893</v>
      </c>
      <c r="B386" s="1">
        <v>1997.45</v>
      </c>
    </row>
    <row r="387" spans="1:2" ht="13" x14ac:dyDescent="0.15">
      <c r="A387" s="4">
        <v>41894</v>
      </c>
      <c r="B387" s="1">
        <v>1985.54</v>
      </c>
    </row>
    <row r="388" spans="1:2" ht="13" x14ac:dyDescent="0.15">
      <c r="A388" s="4">
        <v>41897</v>
      </c>
      <c r="B388" s="1">
        <v>1984.13</v>
      </c>
    </row>
    <row r="389" spans="1:2" ht="13" x14ac:dyDescent="0.15">
      <c r="A389" s="4">
        <v>41898</v>
      </c>
      <c r="B389" s="1">
        <v>1998.98</v>
      </c>
    </row>
    <row r="390" spans="1:2" ht="13" x14ac:dyDescent="0.15">
      <c r="A390" s="4">
        <v>41899</v>
      </c>
      <c r="B390" s="1">
        <v>2001.57</v>
      </c>
    </row>
    <row r="391" spans="1:2" ht="13" x14ac:dyDescent="0.15">
      <c r="A391" s="4">
        <v>41900</v>
      </c>
      <c r="B391" s="1">
        <v>2011.36</v>
      </c>
    </row>
    <row r="392" spans="1:2" ht="13" x14ac:dyDescent="0.15">
      <c r="A392" s="4">
        <v>41901</v>
      </c>
      <c r="B392" s="1">
        <v>2010.4</v>
      </c>
    </row>
    <row r="393" spans="1:2" ht="13" x14ac:dyDescent="0.15">
      <c r="A393" s="4">
        <v>41904</v>
      </c>
      <c r="B393" s="1">
        <v>1994.29</v>
      </c>
    </row>
    <row r="394" spans="1:2" ht="13" x14ac:dyDescent="0.15">
      <c r="A394" s="4">
        <v>41905</v>
      </c>
      <c r="B394" s="1">
        <v>1982.77</v>
      </c>
    </row>
    <row r="395" spans="1:2" ht="13" x14ac:dyDescent="0.15">
      <c r="A395" s="4">
        <v>41906</v>
      </c>
      <c r="B395" s="1">
        <v>1998.3</v>
      </c>
    </row>
    <row r="396" spans="1:2" ht="13" x14ac:dyDescent="0.15">
      <c r="A396" s="4">
        <v>41907</v>
      </c>
      <c r="B396" s="1">
        <v>1965.99</v>
      </c>
    </row>
    <row r="397" spans="1:2" ht="13" x14ac:dyDescent="0.15">
      <c r="A397" s="4">
        <v>41908</v>
      </c>
      <c r="B397" s="1">
        <v>1982.85</v>
      </c>
    </row>
    <row r="398" spans="1:2" ht="13" x14ac:dyDescent="0.15">
      <c r="A398" s="4">
        <v>41911</v>
      </c>
      <c r="B398" s="1">
        <v>1977.8</v>
      </c>
    </row>
    <row r="399" spans="1:2" ht="13" x14ac:dyDescent="0.15">
      <c r="A399" s="4">
        <v>41912</v>
      </c>
      <c r="B399" s="1">
        <v>1972.29</v>
      </c>
    </row>
    <row r="400" spans="1:2" ht="13" x14ac:dyDescent="0.15">
      <c r="A400" s="4">
        <v>41913</v>
      </c>
      <c r="B400" s="1">
        <v>1946.16</v>
      </c>
    </row>
    <row r="401" spans="1:2" ht="13" x14ac:dyDescent="0.15">
      <c r="A401" s="4">
        <v>41914</v>
      </c>
      <c r="B401" s="1">
        <v>1946.17</v>
      </c>
    </row>
    <row r="402" spans="1:2" ht="13" x14ac:dyDescent="0.15">
      <c r="A402" s="4">
        <v>41915</v>
      </c>
      <c r="B402" s="1">
        <v>1967.9</v>
      </c>
    </row>
    <row r="403" spans="1:2" ht="13" x14ac:dyDescent="0.15">
      <c r="A403" s="4">
        <v>41918</v>
      </c>
      <c r="B403" s="1">
        <v>1964.82</v>
      </c>
    </row>
    <row r="404" spans="1:2" ht="13" x14ac:dyDescent="0.15">
      <c r="A404" s="4">
        <v>41919</v>
      </c>
      <c r="B404" s="1">
        <v>1935.1</v>
      </c>
    </row>
    <row r="405" spans="1:2" ht="13" x14ac:dyDescent="0.15">
      <c r="A405" s="4">
        <v>41920</v>
      </c>
      <c r="B405" s="1">
        <v>1968.89</v>
      </c>
    </row>
    <row r="406" spans="1:2" ht="13" x14ac:dyDescent="0.15">
      <c r="A406" s="4">
        <v>41921</v>
      </c>
      <c r="B406" s="1">
        <v>1928.21</v>
      </c>
    </row>
    <row r="407" spans="1:2" ht="13" x14ac:dyDescent="0.15">
      <c r="A407" s="4">
        <v>41922</v>
      </c>
      <c r="B407" s="1">
        <v>1906.13</v>
      </c>
    </row>
    <row r="408" spans="1:2" ht="13" x14ac:dyDescent="0.15">
      <c r="A408" s="4">
        <v>41925</v>
      </c>
      <c r="B408" s="1">
        <v>1874.74</v>
      </c>
    </row>
    <row r="409" spans="1:2" ht="13" x14ac:dyDescent="0.15">
      <c r="A409" s="4">
        <v>41926</v>
      </c>
      <c r="B409" s="1">
        <v>1877.7</v>
      </c>
    </row>
    <row r="410" spans="1:2" ht="13" x14ac:dyDescent="0.15">
      <c r="A410" s="4">
        <v>41927</v>
      </c>
      <c r="B410" s="1">
        <v>1862.49</v>
      </c>
    </row>
    <row r="411" spans="1:2" ht="13" x14ac:dyDescent="0.15">
      <c r="A411" s="4">
        <v>41928</v>
      </c>
      <c r="B411" s="1">
        <v>1862.76</v>
      </c>
    </row>
    <row r="412" spans="1:2" ht="13" x14ac:dyDescent="0.15">
      <c r="A412" s="4">
        <v>41929</v>
      </c>
      <c r="B412" s="1">
        <v>1886.76</v>
      </c>
    </row>
    <row r="413" spans="1:2" ht="13" x14ac:dyDescent="0.15">
      <c r="A413" s="4">
        <v>41932</v>
      </c>
      <c r="B413" s="1">
        <v>1904.01</v>
      </c>
    </row>
    <row r="414" spans="1:2" ht="13" x14ac:dyDescent="0.15">
      <c r="A414" s="4">
        <v>41933</v>
      </c>
      <c r="B414" s="1">
        <v>1941.28</v>
      </c>
    </row>
    <row r="415" spans="1:2" ht="13" x14ac:dyDescent="0.15">
      <c r="A415" s="4">
        <v>41934</v>
      </c>
      <c r="B415" s="1">
        <v>1927.11</v>
      </c>
    </row>
    <row r="416" spans="1:2" ht="13" x14ac:dyDescent="0.15">
      <c r="A416" s="4">
        <v>41935</v>
      </c>
      <c r="B416" s="1">
        <v>1950.82</v>
      </c>
    </row>
    <row r="417" spans="1:2" ht="13" x14ac:dyDescent="0.15">
      <c r="A417" s="4">
        <v>41936</v>
      </c>
      <c r="B417" s="1">
        <v>1964.58</v>
      </c>
    </row>
    <row r="418" spans="1:2" ht="13" x14ac:dyDescent="0.15">
      <c r="A418" s="4">
        <v>41939</v>
      </c>
      <c r="B418" s="1">
        <v>1961.63</v>
      </c>
    </row>
    <row r="419" spans="1:2" ht="13" x14ac:dyDescent="0.15">
      <c r="A419" s="4">
        <v>41940</v>
      </c>
      <c r="B419" s="1">
        <v>1985.05</v>
      </c>
    </row>
    <row r="420" spans="1:2" ht="13" x14ac:dyDescent="0.15">
      <c r="A420" s="4">
        <v>41941</v>
      </c>
      <c r="B420" s="1">
        <v>1982.3</v>
      </c>
    </row>
    <row r="421" spans="1:2" ht="13" x14ac:dyDescent="0.15">
      <c r="A421" s="4">
        <v>41942</v>
      </c>
      <c r="B421" s="1">
        <v>1994.65</v>
      </c>
    </row>
    <row r="422" spans="1:2" ht="13" x14ac:dyDescent="0.15">
      <c r="A422" s="4">
        <v>41943</v>
      </c>
      <c r="B422" s="1">
        <v>2018.05</v>
      </c>
    </row>
    <row r="423" spans="1:2" ht="13" x14ac:dyDescent="0.15">
      <c r="A423" s="4">
        <v>41946</v>
      </c>
      <c r="B423" s="1">
        <v>2017.81</v>
      </c>
    </row>
    <row r="424" spans="1:2" ht="13" x14ac:dyDescent="0.15">
      <c r="A424" s="4">
        <v>41947</v>
      </c>
      <c r="B424" s="1">
        <v>2012.1</v>
      </c>
    </row>
    <row r="425" spans="1:2" ht="13" x14ac:dyDescent="0.15">
      <c r="A425" s="4">
        <v>41948</v>
      </c>
      <c r="B425" s="1">
        <v>2023.57</v>
      </c>
    </row>
    <row r="426" spans="1:2" ht="13" x14ac:dyDescent="0.15">
      <c r="A426" s="4">
        <v>41949</v>
      </c>
      <c r="B426" s="1">
        <v>2031.21</v>
      </c>
    </row>
    <row r="427" spans="1:2" ht="13" x14ac:dyDescent="0.15">
      <c r="A427" s="4">
        <v>41950</v>
      </c>
      <c r="B427" s="1">
        <v>2031.92</v>
      </c>
    </row>
    <row r="428" spans="1:2" ht="13" x14ac:dyDescent="0.15">
      <c r="A428" s="4">
        <v>41953</v>
      </c>
      <c r="B428" s="1">
        <v>2038.26</v>
      </c>
    </row>
    <row r="429" spans="1:2" ht="13" x14ac:dyDescent="0.15">
      <c r="A429" s="4">
        <v>41954</v>
      </c>
      <c r="B429" s="1">
        <v>2039.68</v>
      </c>
    </row>
    <row r="430" spans="1:2" ht="13" x14ac:dyDescent="0.15">
      <c r="A430" s="4">
        <v>41955</v>
      </c>
      <c r="B430" s="1">
        <v>2038.25</v>
      </c>
    </row>
    <row r="431" spans="1:2" ht="13" x14ac:dyDescent="0.15">
      <c r="A431" s="4">
        <v>41956</v>
      </c>
      <c r="B431" s="1">
        <v>2039.33</v>
      </c>
    </row>
    <row r="432" spans="1:2" ht="13" x14ac:dyDescent="0.15">
      <c r="A432" s="4">
        <v>41957</v>
      </c>
      <c r="B432" s="1">
        <v>2039.82</v>
      </c>
    </row>
    <row r="433" spans="1:2" ht="13" x14ac:dyDescent="0.15">
      <c r="A433" s="4">
        <v>41960</v>
      </c>
      <c r="B433" s="1">
        <v>2041.32</v>
      </c>
    </row>
    <row r="434" spans="1:2" ht="13" x14ac:dyDescent="0.15">
      <c r="A434" s="4">
        <v>41961</v>
      </c>
      <c r="B434" s="1">
        <v>2051.8000000000002</v>
      </c>
    </row>
    <row r="435" spans="1:2" ht="13" x14ac:dyDescent="0.15">
      <c r="A435" s="4">
        <v>41962</v>
      </c>
      <c r="B435" s="1">
        <v>2048.7199999999998</v>
      </c>
    </row>
    <row r="436" spans="1:2" ht="13" x14ac:dyDescent="0.15">
      <c r="A436" s="4">
        <v>41963</v>
      </c>
      <c r="B436" s="1">
        <v>2052.75</v>
      </c>
    </row>
    <row r="437" spans="1:2" ht="13" x14ac:dyDescent="0.15">
      <c r="A437" s="4">
        <v>41964</v>
      </c>
      <c r="B437" s="1">
        <v>2063.5</v>
      </c>
    </row>
    <row r="438" spans="1:2" ht="13" x14ac:dyDescent="0.15">
      <c r="A438" s="4">
        <v>41967</v>
      </c>
      <c r="B438" s="1">
        <v>2069.41</v>
      </c>
    </row>
    <row r="439" spans="1:2" ht="13" x14ac:dyDescent="0.15">
      <c r="A439" s="4">
        <v>41968</v>
      </c>
      <c r="B439" s="1">
        <v>2067.0300000000002</v>
      </c>
    </row>
    <row r="440" spans="1:2" ht="13" x14ac:dyDescent="0.15">
      <c r="A440" s="4">
        <v>41969</v>
      </c>
      <c r="B440" s="1">
        <v>2072.83</v>
      </c>
    </row>
    <row r="441" spans="1:2" ht="13" x14ac:dyDescent="0.15">
      <c r="A441" s="4">
        <v>41971</v>
      </c>
      <c r="B441" s="1">
        <v>2067.56</v>
      </c>
    </row>
    <row r="442" spans="1:2" ht="13" x14ac:dyDescent="0.15">
      <c r="A442" s="4">
        <v>41974</v>
      </c>
      <c r="B442" s="1">
        <v>2053.44</v>
      </c>
    </row>
    <row r="443" spans="1:2" ht="13" x14ac:dyDescent="0.15">
      <c r="A443" s="4">
        <v>41975</v>
      </c>
      <c r="B443" s="1">
        <v>2066.5500000000002</v>
      </c>
    </row>
    <row r="444" spans="1:2" ht="13" x14ac:dyDescent="0.15">
      <c r="A444" s="4">
        <v>41976</v>
      </c>
      <c r="B444" s="1">
        <v>2074.33</v>
      </c>
    </row>
    <row r="445" spans="1:2" ht="13" x14ac:dyDescent="0.15">
      <c r="A445" s="4">
        <v>41977</v>
      </c>
      <c r="B445" s="1">
        <v>2071.92</v>
      </c>
    </row>
    <row r="446" spans="1:2" ht="13" x14ac:dyDescent="0.15">
      <c r="A446" s="4">
        <v>41978</v>
      </c>
      <c r="B446" s="1">
        <v>2075.37</v>
      </c>
    </row>
    <row r="447" spans="1:2" ht="13" x14ac:dyDescent="0.15">
      <c r="A447" s="4">
        <v>41981</v>
      </c>
      <c r="B447" s="1">
        <v>2060.31</v>
      </c>
    </row>
    <row r="448" spans="1:2" ht="13" x14ac:dyDescent="0.15">
      <c r="A448" s="4">
        <v>41982</v>
      </c>
      <c r="B448" s="1">
        <v>2059.8200000000002</v>
      </c>
    </row>
    <row r="449" spans="1:2" ht="13" x14ac:dyDescent="0.15">
      <c r="A449" s="4">
        <v>41983</v>
      </c>
      <c r="B449" s="1">
        <v>2026.14</v>
      </c>
    </row>
    <row r="450" spans="1:2" ht="13" x14ac:dyDescent="0.15">
      <c r="A450" s="4">
        <v>41984</v>
      </c>
      <c r="B450" s="1">
        <v>2035.33</v>
      </c>
    </row>
    <row r="451" spans="1:2" ht="13" x14ac:dyDescent="0.15">
      <c r="A451" s="4">
        <v>41985</v>
      </c>
      <c r="B451" s="1">
        <v>2002.33</v>
      </c>
    </row>
    <row r="452" spans="1:2" ht="13" x14ac:dyDescent="0.15">
      <c r="A452" s="4">
        <v>41988</v>
      </c>
      <c r="B452" s="1">
        <v>1989.63</v>
      </c>
    </row>
    <row r="453" spans="1:2" ht="13" x14ac:dyDescent="0.15">
      <c r="A453" s="4">
        <v>41989</v>
      </c>
      <c r="B453" s="1">
        <v>1972.74</v>
      </c>
    </row>
    <row r="454" spans="1:2" ht="13" x14ac:dyDescent="0.15">
      <c r="A454" s="4">
        <v>41990</v>
      </c>
      <c r="B454" s="1">
        <v>2012.89</v>
      </c>
    </row>
    <row r="455" spans="1:2" ht="13" x14ac:dyDescent="0.15">
      <c r="A455" s="4">
        <v>41991</v>
      </c>
      <c r="B455" s="1">
        <v>2061.23</v>
      </c>
    </row>
    <row r="456" spans="1:2" ht="13" x14ac:dyDescent="0.15">
      <c r="A456" s="4">
        <v>41992</v>
      </c>
      <c r="B456" s="1">
        <v>2070.65</v>
      </c>
    </row>
    <row r="457" spans="1:2" ht="13" x14ac:dyDescent="0.15">
      <c r="A457" s="4">
        <v>41995</v>
      </c>
      <c r="B457" s="1">
        <v>2078.54</v>
      </c>
    </row>
    <row r="458" spans="1:2" ht="13" x14ac:dyDescent="0.15">
      <c r="A458" s="4">
        <v>41996</v>
      </c>
      <c r="B458" s="1">
        <v>2082.17</v>
      </c>
    </row>
    <row r="459" spans="1:2" ht="13" x14ac:dyDescent="0.15">
      <c r="A459" s="4">
        <v>41997</v>
      </c>
      <c r="B459" s="1">
        <v>2081.88</v>
      </c>
    </row>
    <row r="460" spans="1:2" ht="13" x14ac:dyDescent="0.15">
      <c r="A460" s="4">
        <v>41999</v>
      </c>
      <c r="B460" s="1">
        <v>2088.77</v>
      </c>
    </row>
    <row r="461" spans="1:2" ht="13" x14ac:dyDescent="0.15">
      <c r="A461" s="4">
        <v>42002</v>
      </c>
      <c r="B461" s="1">
        <v>2090.5700000000002</v>
      </c>
    </row>
    <row r="462" spans="1:2" ht="13" x14ac:dyDescent="0.15">
      <c r="A462" s="4">
        <v>42003</v>
      </c>
      <c r="B462" s="1">
        <v>2080.35</v>
      </c>
    </row>
    <row r="463" spans="1:2" ht="13" x14ac:dyDescent="0.15">
      <c r="A463" s="4">
        <v>42004</v>
      </c>
      <c r="B463" s="1">
        <v>2058.9</v>
      </c>
    </row>
    <row r="464" spans="1:2" ht="13" x14ac:dyDescent="0.15">
      <c r="A464" s="4">
        <v>42006</v>
      </c>
      <c r="B464" s="1">
        <v>2058.1999999999998</v>
      </c>
    </row>
    <row r="465" spans="1:2" ht="13" x14ac:dyDescent="0.15">
      <c r="A465" s="4">
        <v>42009</v>
      </c>
      <c r="B465" s="1">
        <v>2020.58</v>
      </c>
    </row>
    <row r="466" spans="1:2" ht="13" x14ac:dyDescent="0.15">
      <c r="A466" s="4">
        <v>42010</v>
      </c>
      <c r="B466" s="1">
        <v>2002.61</v>
      </c>
    </row>
    <row r="467" spans="1:2" ht="13" x14ac:dyDescent="0.15">
      <c r="A467" s="4">
        <v>42011</v>
      </c>
      <c r="B467" s="1">
        <v>2025.9</v>
      </c>
    </row>
    <row r="468" spans="1:2" ht="13" x14ac:dyDescent="0.15">
      <c r="A468" s="4">
        <v>42012</v>
      </c>
      <c r="B468" s="1">
        <v>2062.14</v>
      </c>
    </row>
    <row r="469" spans="1:2" ht="13" x14ac:dyDescent="0.15">
      <c r="A469" s="4">
        <v>42013</v>
      </c>
      <c r="B469" s="1">
        <v>2044.81</v>
      </c>
    </row>
    <row r="470" spans="1:2" ht="13" x14ac:dyDescent="0.15">
      <c r="A470" s="4">
        <v>42016</v>
      </c>
      <c r="B470" s="1">
        <v>2028.26</v>
      </c>
    </row>
    <row r="471" spans="1:2" ht="13" x14ac:dyDescent="0.15">
      <c r="A471" s="4">
        <v>42017</v>
      </c>
      <c r="B471" s="1">
        <v>2023.03</v>
      </c>
    </row>
    <row r="472" spans="1:2" ht="13" x14ac:dyDescent="0.15">
      <c r="A472" s="4">
        <v>42018</v>
      </c>
      <c r="B472" s="1">
        <v>2011.27</v>
      </c>
    </row>
    <row r="473" spans="1:2" ht="13" x14ac:dyDescent="0.15">
      <c r="A473" s="4">
        <v>42019</v>
      </c>
      <c r="B473" s="1">
        <v>1992.67</v>
      </c>
    </row>
    <row r="474" spans="1:2" ht="13" x14ac:dyDescent="0.15">
      <c r="A474" s="4">
        <v>42020</v>
      </c>
      <c r="B474" s="1">
        <v>2019.42</v>
      </c>
    </row>
    <row r="475" spans="1:2" ht="13" x14ac:dyDescent="0.15">
      <c r="A475" s="4">
        <v>42024</v>
      </c>
      <c r="B475" s="1">
        <v>2022.55</v>
      </c>
    </row>
    <row r="476" spans="1:2" ht="13" x14ac:dyDescent="0.15">
      <c r="A476" s="4">
        <v>42025</v>
      </c>
      <c r="B476" s="1">
        <v>2032.12</v>
      </c>
    </row>
    <row r="477" spans="1:2" ht="13" x14ac:dyDescent="0.15">
      <c r="A477" s="4">
        <v>42026</v>
      </c>
      <c r="B477" s="1">
        <v>2063.15</v>
      </c>
    </row>
    <row r="478" spans="1:2" ht="13" x14ac:dyDescent="0.15">
      <c r="A478" s="4">
        <v>42027</v>
      </c>
      <c r="B478" s="1">
        <v>2051.8200000000002</v>
      </c>
    </row>
    <row r="479" spans="1:2" ht="13" x14ac:dyDescent="0.15">
      <c r="A479" s="4">
        <v>42030</v>
      </c>
      <c r="B479" s="1">
        <v>2057.09</v>
      </c>
    </row>
    <row r="480" spans="1:2" ht="13" x14ac:dyDescent="0.15">
      <c r="A480" s="4">
        <v>42031</v>
      </c>
      <c r="B480" s="1">
        <v>2029.55</v>
      </c>
    </row>
    <row r="481" spans="1:2" ht="13" x14ac:dyDescent="0.15">
      <c r="A481" s="4">
        <v>42032</v>
      </c>
      <c r="B481" s="1">
        <v>2002.16</v>
      </c>
    </row>
    <row r="482" spans="1:2" ht="13" x14ac:dyDescent="0.15">
      <c r="A482" s="4">
        <v>42033</v>
      </c>
      <c r="B482" s="1">
        <v>2021.25</v>
      </c>
    </row>
    <row r="483" spans="1:2" ht="13" x14ac:dyDescent="0.15">
      <c r="A483" s="4">
        <v>42034</v>
      </c>
      <c r="B483" s="1">
        <v>1994.99</v>
      </c>
    </row>
    <row r="484" spans="1:2" ht="13" x14ac:dyDescent="0.15">
      <c r="A484" s="4">
        <v>42037</v>
      </c>
      <c r="B484" s="1">
        <v>2020.85</v>
      </c>
    </row>
    <row r="485" spans="1:2" ht="13" x14ac:dyDescent="0.15">
      <c r="A485" s="4">
        <v>42038</v>
      </c>
      <c r="B485" s="1">
        <v>2050.0300000000002</v>
      </c>
    </row>
    <row r="486" spans="1:2" ht="13" x14ac:dyDescent="0.15">
      <c r="A486" s="4">
        <v>42039</v>
      </c>
      <c r="B486" s="1">
        <v>2041.51</v>
      </c>
    </row>
    <row r="487" spans="1:2" ht="13" x14ac:dyDescent="0.15">
      <c r="A487" s="4">
        <v>42040</v>
      </c>
      <c r="B487" s="1">
        <v>2062.52</v>
      </c>
    </row>
    <row r="488" spans="1:2" ht="13" x14ac:dyDescent="0.15">
      <c r="A488" s="4">
        <v>42041</v>
      </c>
      <c r="B488" s="1">
        <v>2055.4699999999998</v>
      </c>
    </row>
    <row r="489" spans="1:2" ht="13" x14ac:dyDescent="0.15">
      <c r="A489" s="4">
        <v>42044</v>
      </c>
      <c r="B489" s="1">
        <v>2046.74</v>
      </c>
    </row>
    <row r="490" spans="1:2" ht="13" x14ac:dyDescent="0.15">
      <c r="A490" s="4">
        <v>42045</v>
      </c>
      <c r="B490" s="1">
        <v>2068.59</v>
      </c>
    </row>
    <row r="491" spans="1:2" ht="13" x14ac:dyDescent="0.15">
      <c r="A491" s="4">
        <v>42046</v>
      </c>
      <c r="B491" s="1">
        <v>2068.5300000000002</v>
      </c>
    </row>
    <row r="492" spans="1:2" ht="13" x14ac:dyDescent="0.15">
      <c r="A492" s="4">
        <v>42047</v>
      </c>
      <c r="B492" s="1">
        <v>2088.48</v>
      </c>
    </row>
    <row r="493" spans="1:2" ht="13" x14ac:dyDescent="0.15">
      <c r="A493" s="4">
        <v>42048</v>
      </c>
      <c r="B493" s="1">
        <v>2096.9899999999998</v>
      </c>
    </row>
    <row r="494" spans="1:2" ht="13" x14ac:dyDescent="0.15">
      <c r="A494" s="4">
        <v>42052</v>
      </c>
      <c r="B494" s="1">
        <v>2100.34</v>
      </c>
    </row>
    <row r="495" spans="1:2" ht="13" x14ac:dyDescent="0.15">
      <c r="A495" s="4">
        <v>42053</v>
      </c>
      <c r="B495" s="1">
        <v>2099.6799999999998</v>
      </c>
    </row>
    <row r="496" spans="1:2" ht="13" x14ac:dyDescent="0.15">
      <c r="A496" s="4">
        <v>42054</v>
      </c>
      <c r="B496" s="1">
        <v>2097.4499999999998</v>
      </c>
    </row>
    <row r="497" spans="1:2" ht="13" x14ac:dyDescent="0.15">
      <c r="A497" s="4">
        <v>42055</v>
      </c>
      <c r="B497" s="1">
        <v>2110.3000000000002</v>
      </c>
    </row>
    <row r="498" spans="1:2" ht="13" x14ac:dyDescent="0.15">
      <c r="A498" s="4">
        <v>42058</v>
      </c>
      <c r="B498" s="1">
        <v>2109.66</v>
      </c>
    </row>
    <row r="499" spans="1:2" ht="13" x14ac:dyDescent="0.15">
      <c r="A499" s="4">
        <v>42059</v>
      </c>
      <c r="B499" s="1">
        <v>2115.48</v>
      </c>
    </row>
    <row r="500" spans="1:2" ht="13" x14ac:dyDescent="0.15">
      <c r="A500" s="4">
        <v>42060</v>
      </c>
      <c r="B500" s="1">
        <v>2113.86</v>
      </c>
    </row>
    <row r="501" spans="1:2" ht="13" x14ac:dyDescent="0.15">
      <c r="A501" s="4">
        <v>42061</v>
      </c>
      <c r="B501" s="1">
        <v>2110.7399999999998</v>
      </c>
    </row>
    <row r="502" spans="1:2" ht="13" x14ac:dyDescent="0.15">
      <c r="A502" s="4">
        <v>42062</v>
      </c>
      <c r="B502" s="1">
        <v>2104.5</v>
      </c>
    </row>
    <row r="503" spans="1:2" ht="13" x14ac:dyDescent="0.15">
      <c r="A503" s="4">
        <v>42065</v>
      </c>
      <c r="B503" s="1">
        <v>2117.39</v>
      </c>
    </row>
    <row r="504" spans="1:2" ht="13" x14ac:dyDescent="0.15">
      <c r="A504" s="4">
        <v>42066</v>
      </c>
      <c r="B504" s="1">
        <v>2107.7800000000002</v>
      </c>
    </row>
    <row r="505" spans="1:2" ht="13" x14ac:dyDescent="0.15">
      <c r="A505" s="4">
        <v>42067</v>
      </c>
      <c r="B505" s="1">
        <v>2098.5300000000002</v>
      </c>
    </row>
    <row r="506" spans="1:2" ht="13" x14ac:dyDescent="0.15">
      <c r="A506" s="4">
        <v>42068</v>
      </c>
      <c r="B506" s="1">
        <v>2101.04</v>
      </c>
    </row>
    <row r="507" spans="1:2" ht="13" x14ac:dyDescent="0.15">
      <c r="A507" s="4">
        <v>42069</v>
      </c>
      <c r="B507" s="1">
        <v>2071.2600000000002</v>
      </c>
    </row>
    <row r="508" spans="1:2" ht="13" x14ac:dyDescent="0.15">
      <c r="A508" s="4">
        <v>42072</v>
      </c>
      <c r="B508" s="1">
        <v>2079.4299999999998</v>
      </c>
    </row>
    <row r="509" spans="1:2" ht="13" x14ac:dyDescent="0.15">
      <c r="A509" s="4">
        <v>42073</v>
      </c>
      <c r="B509" s="1">
        <v>2044.16</v>
      </c>
    </row>
    <row r="510" spans="1:2" ht="13" x14ac:dyDescent="0.15">
      <c r="A510" s="4">
        <v>42074</v>
      </c>
      <c r="B510" s="1">
        <v>2040.24</v>
      </c>
    </row>
    <row r="511" spans="1:2" ht="13" x14ac:dyDescent="0.15">
      <c r="A511" s="4">
        <v>42075</v>
      </c>
      <c r="B511" s="1">
        <v>2065.9499999999998</v>
      </c>
    </row>
    <row r="512" spans="1:2" ht="13" x14ac:dyDescent="0.15">
      <c r="A512" s="4">
        <v>42076</v>
      </c>
      <c r="B512" s="1">
        <v>2053.4</v>
      </c>
    </row>
    <row r="513" spans="1:2" ht="13" x14ac:dyDescent="0.15">
      <c r="A513" s="4">
        <v>42079</v>
      </c>
      <c r="B513" s="1">
        <v>2081.19</v>
      </c>
    </row>
    <row r="514" spans="1:2" ht="13" x14ac:dyDescent="0.15">
      <c r="A514" s="4">
        <v>42080</v>
      </c>
      <c r="B514" s="1">
        <v>2074.2800000000002</v>
      </c>
    </row>
    <row r="515" spans="1:2" ht="13" x14ac:dyDescent="0.15">
      <c r="A515" s="4">
        <v>42081</v>
      </c>
      <c r="B515" s="1">
        <v>2099.5</v>
      </c>
    </row>
    <row r="516" spans="1:2" ht="13" x14ac:dyDescent="0.15">
      <c r="A516" s="4">
        <v>42082</v>
      </c>
      <c r="B516" s="1">
        <v>2089.27</v>
      </c>
    </row>
    <row r="517" spans="1:2" ht="13" x14ac:dyDescent="0.15">
      <c r="A517" s="4">
        <v>42083</v>
      </c>
      <c r="B517" s="1">
        <v>2108.1</v>
      </c>
    </row>
    <row r="518" spans="1:2" ht="13" x14ac:dyDescent="0.15">
      <c r="A518" s="4">
        <v>42086</v>
      </c>
      <c r="B518" s="1">
        <v>2104.42</v>
      </c>
    </row>
    <row r="519" spans="1:2" ht="13" x14ac:dyDescent="0.15">
      <c r="A519" s="4">
        <v>42087</v>
      </c>
      <c r="B519" s="1">
        <v>2091.5</v>
      </c>
    </row>
    <row r="520" spans="1:2" ht="13" x14ac:dyDescent="0.15">
      <c r="A520" s="4">
        <v>42088</v>
      </c>
      <c r="B520" s="1">
        <v>2061.0500000000002</v>
      </c>
    </row>
    <row r="521" spans="1:2" ht="13" x14ac:dyDescent="0.15">
      <c r="A521" s="4">
        <v>42089</v>
      </c>
      <c r="B521" s="1">
        <v>2056.15</v>
      </c>
    </row>
    <row r="522" spans="1:2" ht="13" x14ac:dyDescent="0.15">
      <c r="A522" s="4">
        <v>42090</v>
      </c>
      <c r="B522" s="1">
        <v>2061.02</v>
      </c>
    </row>
    <row r="523" spans="1:2" ht="13" x14ac:dyDescent="0.15">
      <c r="A523" s="4">
        <v>42093</v>
      </c>
      <c r="B523" s="1">
        <v>2086.2399999999998</v>
      </c>
    </row>
    <row r="524" spans="1:2" ht="13" x14ac:dyDescent="0.15">
      <c r="A524" s="4">
        <v>42094</v>
      </c>
      <c r="B524" s="1">
        <v>2067.89</v>
      </c>
    </row>
    <row r="525" spans="1:2" ht="13" x14ac:dyDescent="0.15">
      <c r="A525" s="4">
        <v>42095</v>
      </c>
      <c r="B525" s="1">
        <v>2059.69</v>
      </c>
    </row>
    <row r="526" spans="1:2" ht="13" x14ac:dyDescent="0.15">
      <c r="A526" s="4">
        <v>42096</v>
      </c>
      <c r="B526" s="1">
        <v>2066.96</v>
      </c>
    </row>
    <row r="527" spans="1:2" ht="13" x14ac:dyDescent="0.15">
      <c r="A527" s="4">
        <v>42100</v>
      </c>
      <c r="B527" s="1">
        <v>2080.62</v>
      </c>
    </row>
    <row r="528" spans="1:2" ht="13" x14ac:dyDescent="0.15">
      <c r="A528" s="4">
        <v>42101</v>
      </c>
      <c r="B528" s="1">
        <v>2076.33</v>
      </c>
    </row>
    <row r="529" spans="1:2" ht="13" x14ac:dyDescent="0.15">
      <c r="A529" s="4">
        <v>42102</v>
      </c>
      <c r="B529" s="1">
        <v>2081.9</v>
      </c>
    </row>
    <row r="530" spans="1:2" ht="13" x14ac:dyDescent="0.15">
      <c r="A530" s="4">
        <v>42103</v>
      </c>
      <c r="B530" s="1">
        <v>2091.1799999999998</v>
      </c>
    </row>
    <row r="531" spans="1:2" ht="13" x14ac:dyDescent="0.15">
      <c r="A531" s="4">
        <v>42104</v>
      </c>
      <c r="B531" s="1">
        <v>2102.06</v>
      </c>
    </row>
    <row r="532" spans="1:2" ht="13" x14ac:dyDescent="0.15">
      <c r="A532" s="4">
        <v>42107</v>
      </c>
      <c r="B532" s="1">
        <v>2092.4299999999998</v>
      </c>
    </row>
    <row r="533" spans="1:2" ht="13" x14ac:dyDescent="0.15">
      <c r="A533" s="4">
        <v>42108</v>
      </c>
      <c r="B533" s="1">
        <v>2095.84</v>
      </c>
    </row>
    <row r="534" spans="1:2" ht="13" x14ac:dyDescent="0.15">
      <c r="A534" s="4">
        <v>42109</v>
      </c>
      <c r="B534" s="1">
        <v>2106.63</v>
      </c>
    </row>
    <row r="535" spans="1:2" ht="13" x14ac:dyDescent="0.15">
      <c r="A535" s="4">
        <v>42110</v>
      </c>
      <c r="B535" s="1">
        <v>2104.9899999999998</v>
      </c>
    </row>
    <row r="536" spans="1:2" ht="13" x14ac:dyDescent="0.15">
      <c r="A536" s="4">
        <v>42111</v>
      </c>
      <c r="B536" s="1">
        <v>2081.1799999999998</v>
      </c>
    </row>
    <row r="537" spans="1:2" ht="13" x14ac:dyDescent="0.15">
      <c r="A537" s="4">
        <v>42114</v>
      </c>
      <c r="B537" s="1">
        <v>2100.4</v>
      </c>
    </row>
    <row r="538" spans="1:2" ht="13" x14ac:dyDescent="0.15">
      <c r="A538" s="4">
        <v>42115</v>
      </c>
      <c r="B538" s="1">
        <v>2097.29</v>
      </c>
    </row>
    <row r="539" spans="1:2" ht="13" x14ac:dyDescent="0.15">
      <c r="A539" s="4">
        <v>42116</v>
      </c>
      <c r="B539" s="1">
        <v>2107.96</v>
      </c>
    </row>
    <row r="540" spans="1:2" ht="13" x14ac:dyDescent="0.15">
      <c r="A540" s="4">
        <v>42117</v>
      </c>
      <c r="B540" s="1">
        <v>2112.9299999999998</v>
      </c>
    </row>
    <row r="541" spans="1:2" ht="13" x14ac:dyDescent="0.15">
      <c r="A541" s="4">
        <v>42118</v>
      </c>
      <c r="B541" s="1">
        <v>2117.69</v>
      </c>
    </row>
    <row r="542" spans="1:2" ht="13" x14ac:dyDescent="0.15">
      <c r="A542" s="4">
        <v>42121</v>
      </c>
      <c r="B542" s="1">
        <v>2108.92</v>
      </c>
    </row>
    <row r="543" spans="1:2" ht="13" x14ac:dyDescent="0.15">
      <c r="A543" s="4">
        <v>42122</v>
      </c>
      <c r="B543" s="1">
        <v>2114.7600000000002</v>
      </c>
    </row>
    <row r="544" spans="1:2" ht="13" x14ac:dyDescent="0.15">
      <c r="A544" s="4">
        <v>42123</v>
      </c>
      <c r="B544" s="1">
        <v>2106.85</v>
      </c>
    </row>
    <row r="545" spans="1:2" ht="13" x14ac:dyDescent="0.15">
      <c r="A545" s="4">
        <v>42124</v>
      </c>
      <c r="B545" s="1">
        <v>2085.5100000000002</v>
      </c>
    </row>
    <row r="546" spans="1:2" ht="13" x14ac:dyDescent="0.15">
      <c r="A546" s="4">
        <v>42125</v>
      </c>
      <c r="B546" s="1">
        <v>2108.29</v>
      </c>
    </row>
    <row r="547" spans="1:2" ht="13" x14ac:dyDescent="0.15">
      <c r="A547" s="4">
        <v>42128</v>
      </c>
      <c r="B547" s="1">
        <v>2114.4899999999998</v>
      </c>
    </row>
    <row r="548" spans="1:2" ht="13" x14ac:dyDescent="0.15">
      <c r="A548" s="4">
        <v>42129</v>
      </c>
      <c r="B548" s="1">
        <v>2089.46</v>
      </c>
    </row>
    <row r="549" spans="1:2" ht="13" x14ac:dyDescent="0.15">
      <c r="A549" s="4">
        <v>42130</v>
      </c>
      <c r="B549" s="1">
        <v>2080.15</v>
      </c>
    </row>
    <row r="550" spans="1:2" ht="13" x14ac:dyDescent="0.15">
      <c r="A550" s="4">
        <v>42131</v>
      </c>
      <c r="B550" s="1">
        <v>2088</v>
      </c>
    </row>
    <row r="551" spans="1:2" ht="13" x14ac:dyDescent="0.15">
      <c r="A551" s="4">
        <v>42132</v>
      </c>
      <c r="B551" s="1">
        <v>2116.1</v>
      </c>
    </row>
    <row r="552" spans="1:2" ht="13" x14ac:dyDescent="0.15">
      <c r="A552" s="4">
        <v>42135</v>
      </c>
      <c r="B552" s="1">
        <v>2105.33</v>
      </c>
    </row>
    <row r="553" spans="1:2" ht="13" x14ac:dyDescent="0.15">
      <c r="A553" s="4">
        <v>42136</v>
      </c>
      <c r="B553" s="1">
        <v>2099.12</v>
      </c>
    </row>
    <row r="554" spans="1:2" ht="13" x14ac:dyDescent="0.15">
      <c r="A554" s="4">
        <v>42137</v>
      </c>
      <c r="B554" s="1">
        <v>2098.48</v>
      </c>
    </row>
    <row r="555" spans="1:2" ht="13" x14ac:dyDescent="0.15">
      <c r="A555" s="4">
        <v>42138</v>
      </c>
      <c r="B555" s="1">
        <v>2121.1</v>
      </c>
    </row>
    <row r="556" spans="1:2" ht="13" x14ac:dyDescent="0.15">
      <c r="A556" s="4">
        <v>42139</v>
      </c>
      <c r="B556" s="1">
        <v>2122.73</v>
      </c>
    </row>
    <row r="557" spans="1:2" ht="13" x14ac:dyDescent="0.15">
      <c r="A557" s="4">
        <v>42142</v>
      </c>
      <c r="B557" s="1">
        <v>2129.1999999999998</v>
      </c>
    </row>
    <row r="558" spans="1:2" ht="13" x14ac:dyDescent="0.15">
      <c r="A558" s="4">
        <v>42143</v>
      </c>
      <c r="B558" s="1">
        <v>2127.83</v>
      </c>
    </row>
    <row r="559" spans="1:2" ht="13" x14ac:dyDescent="0.15">
      <c r="A559" s="4">
        <v>42144</v>
      </c>
      <c r="B559" s="1">
        <v>2125.85</v>
      </c>
    </row>
    <row r="560" spans="1:2" ht="13" x14ac:dyDescent="0.15">
      <c r="A560" s="4">
        <v>42145</v>
      </c>
      <c r="B560" s="1">
        <v>2130.8200000000002</v>
      </c>
    </row>
    <row r="561" spans="1:2" ht="13" x14ac:dyDescent="0.15">
      <c r="A561" s="4">
        <v>42146</v>
      </c>
      <c r="B561" s="1">
        <v>2126.06</v>
      </c>
    </row>
    <row r="562" spans="1:2" ht="13" x14ac:dyDescent="0.15">
      <c r="A562" s="4">
        <v>42150</v>
      </c>
      <c r="B562" s="1">
        <v>2104.1999999999998</v>
      </c>
    </row>
    <row r="563" spans="1:2" ht="13" x14ac:dyDescent="0.15">
      <c r="A563" s="4">
        <v>42151</v>
      </c>
      <c r="B563" s="1">
        <v>2123.48</v>
      </c>
    </row>
    <row r="564" spans="1:2" ht="13" x14ac:dyDescent="0.15">
      <c r="A564" s="4">
        <v>42152</v>
      </c>
      <c r="B564" s="1">
        <v>2120.79</v>
      </c>
    </row>
    <row r="565" spans="1:2" ht="13" x14ac:dyDescent="0.15">
      <c r="A565" s="4">
        <v>42153</v>
      </c>
      <c r="B565" s="1">
        <v>2107.39</v>
      </c>
    </row>
    <row r="566" spans="1:2" ht="13" x14ac:dyDescent="0.15">
      <c r="A566" s="4">
        <v>42156</v>
      </c>
      <c r="B566" s="1">
        <v>2111.73</v>
      </c>
    </row>
    <row r="567" spans="1:2" ht="13" x14ac:dyDescent="0.15">
      <c r="A567" s="4">
        <v>42157</v>
      </c>
      <c r="B567" s="1">
        <v>2109.6</v>
      </c>
    </row>
    <row r="568" spans="1:2" ht="13" x14ac:dyDescent="0.15">
      <c r="A568" s="4">
        <v>42158</v>
      </c>
      <c r="B568" s="1">
        <v>2114.0700000000002</v>
      </c>
    </row>
    <row r="569" spans="1:2" ht="13" x14ac:dyDescent="0.15">
      <c r="A569" s="4">
        <v>42159</v>
      </c>
      <c r="B569" s="1">
        <v>2095.84</v>
      </c>
    </row>
    <row r="570" spans="1:2" ht="13" x14ac:dyDescent="0.15">
      <c r="A570" s="4">
        <v>42160</v>
      </c>
      <c r="B570" s="1">
        <v>2092.83</v>
      </c>
    </row>
    <row r="571" spans="1:2" ht="13" x14ac:dyDescent="0.15">
      <c r="A571" s="4">
        <v>42163</v>
      </c>
      <c r="B571" s="1">
        <v>2079.2800000000002</v>
      </c>
    </row>
    <row r="572" spans="1:2" ht="13" x14ac:dyDescent="0.15">
      <c r="A572" s="4">
        <v>42164</v>
      </c>
      <c r="B572" s="1">
        <v>2080.15</v>
      </c>
    </row>
    <row r="573" spans="1:2" ht="13" x14ac:dyDescent="0.15">
      <c r="A573" s="4">
        <v>42165</v>
      </c>
      <c r="B573" s="1">
        <v>2105.1999999999998</v>
      </c>
    </row>
    <row r="574" spans="1:2" ht="13" x14ac:dyDescent="0.15">
      <c r="A574" s="4">
        <v>42166</v>
      </c>
      <c r="B574" s="1">
        <v>2108.86</v>
      </c>
    </row>
    <row r="575" spans="1:2" ht="13" x14ac:dyDescent="0.15">
      <c r="A575" s="4">
        <v>42167</v>
      </c>
      <c r="B575" s="1">
        <v>2094.11</v>
      </c>
    </row>
    <row r="576" spans="1:2" ht="13" x14ac:dyDescent="0.15">
      <c r="A576" s="4">
        <v>42170</v>
      </c>
      <c r="B576" s="1">
        <v>2084.4299999999998</v>
      </c>
    </row>
    <row r="577" spans="1:2" ht="13" x14ac:dyDescent="0.15">
      <c r="A577" s="4">
        <v>42171</v>
      </c>
      <c r="B577" s="1">
        <v>2096.29</v>
      </c>
    </row>
    <row r="578" spans="1:2" ht="13" x14ac:dyDescent="0.15">
      <c r="A578" s="4">
        <v>42172</v>
      </c>
      <c r="B578" s="1">
        <v>2100.44</v>
      </c>
    </row>
    <row r="579" spans="1:2" ht="13" x14ac:dyDescent="0.15">
      <c r="A579" s="4">
        <v>42173</v>
      </c>
      <c r="B579" s="1">
        <v>2121.2399999999998</v>
      </c>
    </row>
    <row r="580" spans="1:2" ht="13" x14ac:dyDescent="0.15">
      <c r="A580" s="4">
        <v>42174</v>
      </c>
      <c r="B580" s="1">
        <v>2109.9899999999998</v>
      </c>
    </row>
    <row r="581" spans="1:2" ht="13" x14ac:dyDescent="0.15">
      <c r="A581" s="4">
        <v>42177</v>
      </c>
      <c r="B581" s="1">
        <v>2122.85</v>
      </c>
    </row>
    <row r="582" spans="1:2" ht="13" x14ac:dyDescent="0.15">
      <c r="A582" s="4">
        <v>42178</v>
      </c>
      <c r="B582" s="1">
        <v>2124.1999999999998</v>
      </c>
    </row>
    <row r="583" spans="1:2" ht="13" x14ac:dyDescent="0.15">
      <c r="A583" s="4">
        <v>42179</v>
      </c>
      <c r="B583" s="1">
        <v>2108.58</v>
      </c>
    </row>
    <row r="584" spans="1:2" ht="13" x14ac:dyDescent="0.15">
      <c r="A584" s="4">
        <v>42180</v>
      </c>
      <c r="B584" s="1">
        <v>2102.31</v>
      </c>
    </row>
    <row r="585" spans="1:2" ht="13" x14ac:dyDescent="0.15">
      <c r="A585" s="4">
        <v>42181</v>
      </c>
      <c r="B585" s="1">
        <v>2101.4899999999998</v>
      </c>
    </row>
    <row r="586" spans="1:2" ht="13" x14ac:dyDescent="0.15">
      <c r="A586" s="4">
        <v>42184</v>
      </c>
      <c r="B586" s="1">
        <v>2057.64</v>
      </c>
    </row>
    <row r="587" spans="1:2" ht="13" x14ac:dyDescent="0.15">
      <c r="A587" s="4">
        <v>42185</v>
      </c>
      <c r="B587" s="1">
        <v>2063.11</v>
      </c>
    </row>
    <row r="588" spans="1:2" ht="13" x14ac:dyDescent="0.15">
      <c r="A588" s="4">
        <v>42186</v>
      </c>
      <c r="B588" s="1">
        <v>2077.42</v>
      </c>
    </row>
    <row r="589" spans="1:2" ht="13" x14ac:dyDescent="0.15">
      <c r="A589" s="4">
        <v>42187</v>
      </c>
      <c r="B589" s="1">
        <v>2076.7800000000002</v>
      </c>
    </row>
    <row r="590" spans="1:2" ht="13" x14ac:dyDescent="0.15">
      <c r="A590" s="4">
        <v>42191</v>
      </c>
      <c r="B590" s="1">
        <v>2068.7600000000002</v>
      </c>
    </row>
    <row r="591" spans="1:2" ht="13" x14ac:dyDescent="0.15">
      <c r="A591" s="4">
        <v>42192</v>
      </c>
      <c r="B591" s="1">
        <v>2081.34</v>
      </c>
    </row>
    <row r="592" spans="1:2" ht="13" x14ac:dyDescent="0.15">
      <c r="A592" s="4">
        <v>42193</v>
      </c>
      <c r="B592" s="1">
        <v>2046.68</v>
      </c>
    </row>
    <row r="593" spans="1:2" ht="13" x14ac:dyDescent="0.15">
      <c r="A593" s="4">
        <v>42194</v>
      </c>
      <c r="B593" s="1">
        <v>2051.31</v>
      </c>
    </row>
    <row r="594" spans="1:2" ht="13" x14ac:dyDescent="0.15">
      <c r="A594" s="4">
        <v>42195</v>
      </c>
      <c r="B594" s="1">
        <v>2076.62</v>
      </c>
    </row>
    <row r="595" spans="1:2" ht="13" x14ac:dyDescent="0.15">
      <c r="A595" s="4">
        <v>42198</v>
      </c>
      <c r="B595" s="1">
        <v>2099.6</v>
      </c>
    </row>
    <row r="596" spans="1:2" ht="13" x14ac:dyDescent="0.15">
      <c r="A596" s="4">
        <v>42199</v>
      </c>
      <c r="B596" s="1">
        <v>2108.9499999999998</v>
      </c>
    </row>
    <row r="597" spans="1:2" ht="13" x14ac:dyDescent="0.15">
      <c r="A597" s="4">
        <v>42200</v>
      </c>
      <c r="B597" s="1">
        <v>2107.4</v>
      </c>
    </row>
    <row r="598" spans="1:2" ht="13" x14ac:dyDescent="0.15">
      <c r="A598" s="4">
        <v>42201</v>
      </c>
      <c r="B598" s="1">
        <v>2124.29</v>
      </c>
    </row>
    <row r="599" spans="1:2" ht="13" x14ac:dyDescent="0.15">
      <c r="A599" s="4">
        <v>42202</v>
      </c>
      <c r="B599" s="1">
        <v>2126.64</v>
      </c>
    </row>
    <row r="600" spans="1:2" ht="13" x14ac:dyDescent="0.15">
      <c r="A600" s="4">
        <v>42205</v>
      </c>
      <c r="B600" s="1">
        <v>2128.2800000000002</v>
      </c>
    </row>
    <row r="601" spans="1:2" ht="13" x14ac:dyDescent="0.15">
      <c r="A601" s="4">
        <v>42206</v>
      </c>
      <c r="B601" s="1">
        <v>2119.21</v>
      </c>
    </row>
    <row r="602" spans="1:2" ht="13" x14ac:dyDescent="0.15">
      <c r="A602" s="4">
        <v>42207</v>
      </c>
      <c r="B602" s="1">
        <v>2114.15</v>
      </c>
    </row>
    <row r="603" spans="1:2" ht="13" x14ac:dyDescent="0.15">
      <c r="A603" s="4">
        <v>42208</v>
      </c>
      <c r="B603" s="1">
        <v>2102.15</v>
      </c>
    </row>
    <row r="604" spans="1:2" ht="13" x14ac:dyDescent="0.15">
      <c r="A604" s="4">
        <v>42209</v>
      </c>
      <c r="B604" s="1">
        <v>2079.65</v>
      </c>
    </row>
    <row r="605" spans="1:2" ht="13" x14ac:dyDescent="0.15">
      <c r="A605" s="4">
        <v>42212</v>
      </c>
      <c r="B605" s="1">
        <v>2067.64</v>
      </c>
    </row>
    <row r="606" spans="1:2" ht="13" x14ac:dyDescent="0.15">
      <c r="A606" s="4">
        <v>42213</v>
      </c>
      <c r="B606" s="1">
        <v>2093.25</v>
      </c>
    </row>
    <row r="607" spans="1:2" ht="13" x14ac:dyDescent="0.15">
      <c r="A607" s="4">
        <v>42214</v>
      </c>
      <c r="B607" s="1">
        <v>2108.5700000000002</v>
      </c>
    </row>
    <row r="608" spans="1:2" ht="13" x14ac:dyDescent="0.15">
      <c r="A608" s="4">
        <v>42215</v>
      </c>
      <c r="B608" s="1">
        <v>2108.63</v>
      </c>
    </row>
    <row r="609" spans="1:2" ht="13" x14ac:dyDescent="0.15">
      <c r="A609" s="4">
        <v>42216</v>
      </c>
      <c r="B609" s="1">
        <v>2103.84</v>
      </c>
    </row>
    <row r="610" spans="1:2" ht="13" x14ac:dyDescent="0.15">
      <c r="A610" s="4">
        <v>42219</v>
      </c>
      <c r="B610" s="1">
        <v>2098.04</v>
      </c>
    </row>
    <row r="611" spans="1:2" ht="13" x14ac:dyDescent="0.15">
      <c r="A611" s="4">
        <v>42220</v>
      </c>
      <c r="B611" s="1">
        <v>2093.3200000000002</v>
      </c>
    </row>
    <row r="612" spans="1:2" ht="13" x14ac:dyDescent="0.15">
      <c r="A612" s="4">
        <v>42221</v>
      </c>
      <c r="B612" s="1">
        <v>2099.84</v>
      </c>
    </row>
    <row r="613" spans="1:2" ht="13" x14ac:dyDescent="0.15">
      <c r="A613" s="4">
        <v>42222</v>
      </c>
      <c r="B613" s="1">
        <v>2083.56</v>
      </c>
    </row>
    <row r="614" spans="1:2" ht="13" x14ac:dyDescent="0.15">
      <c r="A614" s="4">
        <v>42223</v>
      </c>
      <c r="B614" s="1">
        <v>2077.5700000000002</v>
      </c>
    </row>
    <row r="615" spans="1:2" ht="13" x14ac:dyDescent="0.15">
      <c r="A615" s="4">
        <v>42226</v>
      </c>
      <c r="B615" s="1">
        <v>2104.1799999999998</v>
      </c>
    </row>
    <row r="616" spans="1:2" ht="13" x14ac:dyDescent="0.15">
      <c r="A616" s="4">
        <v>42227</v>
      </c>
      <c r="B616" s="1">
        <v>2084.0700000000002</v>
      </c>
    </row>
    <row r="617" spans="1:2" ht="13" x14ac:dyDescent="0.15">
      <c r="A617" s="4">
        <v>42228</v>
      </c>
      <c r="B617" s="1">
        <v>2086.0500000000002</v>
      </c>
    </row>
    <row r="618" spans="1:2" ht="13" x14ac:dyDescent="0.15">
      <c r="A618" s="4">
        <v>42229</v>
      </c>
      <c r="B618" s="1">
        <v>2083.39</v>
      </c>
    </row>
    <row r="619" spans="1:2" ht="13" x14ac:dyDescent="0.15">
      <c r="A619" s="4">
        <v>42230</v>
      </c>
      <c r="B619" s="1">
        <v>2091.54</v>
      </c>
    </row>
    <row r="620" spans="1:2" ht="13" x14ac:dyDescent="0.15">
      <c r="A620" s="4">
        <v>42233</v>
      </c>
      <c r="B620" s="1">
        <v>2102.44</v>
      </c>
    </row>
    <row r="621" spans="1:2" ht="13" x14ac:dyDescent="0.15">
      <c r="A621" s="4">
        <v>42234</v>
      </c>
      <c r="B621" s="1">
        <v>2096.92</v>
      </c>
    </row>
    <row r="622" spans="1:2" ht="13" x14ac:dyDescent="0.15">
      <c r="A622" s="4">
        <v>42235</v>
      </c>
      <c r="B622" s="1">
        <v>2079.61</v>
      </c>
    </row>
    <row r="623" spans="1:2" ht="13" x14ac:dyDescent="0.15">
      <c r="A623" s="4">
        <v>42236</v>
      </c>
      <c r="B623" s="1">
        <v>2035.73</v>
      </c>
    </row>
    <row r="624" spans="1:2" ht="13" x14ac:dyDescent="0.15">
      <c r="A624" s="4">
        <v>42237</v>
      </c>
      <c r="B624" s="1">
        <v>1970.89</v>
      </c>
    </row>
    <row r="625" spans="1:2" ht="13" x14ac:dyDescent="0.15">
      <c r="A625" s="4">
        <v>42240</v>
      </c>
      <c r="B625" s="1">
        <v>1893.21</v>
      </c>
    </row>
    <row r="626" spans="1:2" ht="13" x14ac:dyDescent="0.15">
      <c r="A626" s="4">
        <v>42241</v>
      </c>
      <c r="B626" s="1">
        <v>1867.61</v>
      </c>
    </row>
    <row r="627" spans="1:2" ht="13" x14ac:dyDescent="0.15">
      <c r="A627" s="4">
        <v>42242</v>
      </c>
      <c r="B627" s="1">
        <v>1940.51</v>
      </c>
    </row>
    <row r="628" spans="1:2" ht="13" x14ac:dyDescent="0.15">
      <c r="A628" s="4">
        <v>42243</v>
      </c>
      <c r="B628" s="1">
        <v>1987.66</v>
      </c>
    </row>
    <row r="629" spans="1:2" ht="13" x14ac:dyDescent="0.15">
      <c r="A629" s="4">
        <v>42244</v>
      </c>
      <c r="B629" s="1">
        <v>1988.87</v>
      </c>
    </row>
    <row r="630" spans="1:2" ht="13" x14ac:dyDescent="0.15">
      <c r="A630" s="4">
        <v>42247</v>
      </c>
      <c r="B630" s="1">
        <v>1972.18</v>
      </c>
    </row>
    <row r="631" spans="1:2" ht="13" x14ac:dyDescent="0.15">
      <c r="A631" s="4">
        <v>42248</v>
      </c>
      <c r="B631" s="1">
        <v>1913.85</v>
      </c>
    </row>
    <row r="632" spans="1:2" ht="13" x14ac:dyDescent="0.15">
      <c r="A632" s="4">
        <v>42249</v>
      </c>
      <c r="B632" s="1">
        <v>1948.86</v>
      </c>
    </row>
    <row r="633" spans="1:2" ht="13" x14ac:dyDescent="0.15">
      <c r="A633" s="4">
        <v>42250</v>
      </c>
      <c r="B633" s="1">
        <v>1951.13</v>
      </c>
    </row>
    <row r="634" spans="1:2" ht="13" x14ac:dyDescent="0.15">
      <c r="A634" s="4">
        <v>42251</v>
      </c>
      <c r="B634" s="1">
        <v>1921.22</v>
      </c>
    </row>
    <row r="635" spans="1:2" ht="13" x14ac:dyDescent="0.15">
      <c r="A635" s="4">
        <v>42255</v>
      </c>
      <c r="B635" s="1">
        <v>1969.41</v>
      </c>
    </row>
    <row r="636" spans="1:2" ht="13" x14ac:dyDescent="0.15">
      <c r="A636" s="4">
        <v>42256</v>
      </c>
      <c r="B636" s="1">
        <v>1942.04</v>
      </c>
    </row>
    <row r="637" spans="1:2" ht="13" x14ac:dyDescent="0.15">
      <c r="A637" s="4">
        <v>42257</v>
      </c>
      <c r="B637" s="1">
        <v>1952.29</v>
      </c>
    </row>
    <row r="638" spans="1:2" ht="13" x14ac:dyDescent="0.15">
      <c r="A638" s="4">
        <v>42258</v>
      </c>
      <c r="B638" s="1">
        <v>1961.05</v>
      </c>
    </row>
    <row r="639" spans="1:2" ht="13" x14ac:dyDescent="0.15">
      <c r="A639" s="4">
        <v>42261</v>
      </c>
      <c r="B639" s="1">
        <v>1953.03</v>
      </c>
    </row>
    <row r="640" spans="1:2" ht="13" x14ac:dyDescent="0.15">
      <c r="A640" s="4">
        <v>42262</v>
      </c>
      <c r="B640" s="1">
        <v>1978.09</v>
      </c>
    </row>
    <row r="641" spans="1:2" ht="13" x14ac:dyDescent="0.15">
      <c r="A641" s="4">
        <v>42263</v>
      </c>
      <c r="B641" s="1">
        <v>1995.31</v>
      </c>
    </row>
    <row r="642" spans="1:2" ht="13" x14ac:dyDescent="0.15">
      <c r="A642" s="4">
        <v>42264</v>
      </c>
      <c r="B642" s="1">
        <v>1990.2</v>
      </c>
    </row>
    <row r="643" spans="1:2" ht="13" x14ac:dyDescent="0.15">
      <c r="A643" s="4">
        <v>42265</v>
      </c>
      <c r="B643" s="1">
        <v>1958.03</v>
      </c>
    </row>
    <row r="644" spans="1:2" ht="13" x14ac:dyDescent="0.15">
      <c r="A644" s="4">
        <v>42268</v>
      </c>
      <c r="B644" s="1">
        <v>1966.97</v>
      </c>
    </row>
    <row r="645" spans="1:2" ht="13" x14ac:dyDescent="0.15">
      <c r="A645" s="4">
        <v>42269</v>
      </c>
      <c r="B645" s="1">
        <v>1942.74</v>
      </c>
    </row>
    <row r="646" spans="1:2" ht="13" x14ac:dyDescent="0.15">
      <c r="A646" s="4">
        <v>42270</v>
      </c>
      <c r="B646" s="1">
        <v>1938.76</v>
      </c>
    </row>
    <row r="647" spans="1:2" ht="13" x14ac:dyDescent="0.15">
      <c r="A647" s="4">
        <v>42271</v>
      </c>
      <c r="B647" s="1">
        <v>1932.24</v>
      </c>
    </row>
    <row r="648" spans="1:2" ht="13" x14ac:dyDescent="0.15">
      <c r="A648" s="4">
        <v>42272</v>
      </c>
      <c r="B648" s="1">
        <v>1931.34</v>
      </c>
    </row>
    <row r="649" spans="1:2" ht="13" x14ac:dyDescent="0.15">
      <c r="A649" s="4">
        <v>42275</v>
      </c>
      <c r="B649" s="1">
        <v>1881.77</v>
      </c>
    </row>
    <row r="650" spans="1:2" ht="13" x14ac:dyDescent="0.15">
      <c r="A650" s="4">
        <v>42276</v>
      </c>
      <c r="B650" s="1">
        <v>1884.09</v>
      </c>
    </row>
    <row r="651" spans="1:2" ht="13" x14ac:dyDescent="0.15">
      <c r="A651" s="4">
        <v>42277</v>
      </c>
      <c r="B651" s="1">
        <v>1920.03</v>
      </c>
    </row>
    <row r="652" spans="1:2" ht="13" x14ac:dyDescent="0.15">
      <c r="A652" s="4">
        <v>42278</v>
      </c>
      <c r="B652" s="1">
        <v>1923.82</v>
      </c>
    </row>
    <row r="653" spans="1:2" ht="13" x14ac:dyDescent="0.15">
      <c r="A653" s="4">
        <v>42279</v>
      </c>
      <c r="B653" s="1">
        <v>1951.36</v>
      </c>
    </row>
    <row r="654" spans="1:2" ht="13" x14ac:dyDescent="0.15">
      <c r="A654" s="4">
        <v>42282</v>
      </c>
      <c r="B654" s="1">
        <v>1987.05</v>
      </c>
    </row>
    <row r="655" spans="1:2" ht="13" x14ac:dyDescent="0.15">
      <c r="A655" s="4">
        <v>42283</v>
      </c>
      <c r="B655" s="1">
        <v>1979.92</v>
      </c>
    </row>
    <row r="656" spans="1:2" ht="13" x14ac:dyDescent="0.15">
      <c r="A656" s="4">
        <v>42284</v>
      </c>
      <c r="B656" s="1">
        <v>1995.83</v>
      </c>
    </row>
    <row r="657" spans="1:2" ht="13" x14ac:dyDescent="0.15">
      <c r="A657" s="4">
        <v>42285</v>
      </c>
      <c r="B657" s="1">
        <v>2013.43</v>
      </c>
    </row>
    <row r="658" spans="1:2" ht="13" x14ac:dyDescent="0.15">
      <c r="A658" s="4">
        <v>42286</v>
      </c>
      <c r="B658" s="1">
        <v>2014.89</v>
      </c>
    </row>
    <row r="659" spans="1:2" ht="13" x14ac:dyDescent="0.15">
      <c r="A659" s="4">
        <v>42289</v>
      </c>
      <c r="B659" s="1">
        <v>2017.46</v>
      </c>
    </row>
    <row r="660" spans="1:2" ht="13" x14ac:dyDescent="0.15">
      <c r="A660" s="4">
        <v>42290</v>
      </c>
      <c r="B660" s="1">
        <v>2003.69</v>
      </c>
    </row>
    <row r="661" spans="1:2" ht="13" x14ac:dyDescent="0.15">
      <c r="A661" s="4">
        <v>42291</v>
      </c>
      <c r="B661" s="1">
        <v>1994.24</v>
      </c>
    </row>
    <row r="662" spans="1:2" ht="13" x14ac:dyDescent="0.15">
      <c r="A662" s="4">
        <v>42292</v>
      </c>
      <c r="B662" s="1">
        <v>2023.86</v>
      </c>
    </row>
    <row r="663" spans="1:2" ht="13" x14ac:dyDescent="0.15">
      <c r="A663" s="4">
        <v>42293</v>
      </c>
      <c r="B663" s="1">
        <v>2033.11</v>
      </c>
    </row>
    <row r="664" spans="1:2" ht="13" x14ac:dyDescent="0.15">
      <c r="A664" s="4">
        <v>42296</v>
      </c>
      <c r="B664" s="1">
        <v>2033.66</v>
      </c>
    </row>
    <row r="665" spans="1:2" ht="13" x14ac:dyDescent="0.15">
      <c r="A665" s="4">
        <v>42297</v>
      </c>
      <c r="B665" s="1">
        <v>2030.77</v>
      </c>
    </row>
    <row r="666" spans="1:2" ht="13" x14ac:dyDescent="0.15">
      <c r="A666" s="4">
        <v>42298</v>
      </c>
      <c r="B666" s="1">
        <v>2018.94</v>
      </c>
    </row>
    <row r="667" spans="1:2" ht="13" x14ac:dyDescent="0.15">
      <c r="A667" s="4">
        <v>42299</v>
      </c>
      <c r="B667" s="1">
        <v>2052.5100000000002</v>
      </c>
    </row>
    <row r="668" spans="1:2" ht="13" x14ac:dyDescent="0.15">
      <c r="A668" s="4">
        <v>42300</v>
      </c>
      <c r="B668" s="1">
        <v>2075.15</v>
      </c>
    </row>
    <row r="669" spans="1:2" ht="13" x14ac:dyDescent="0.15">
      <c r="A669" s="4">
        <v>42303</v>
      </c>
      <c r="B669" s="1">
        <v>2071.1799999999998</v>
      </c>
    </row>
    <row r="670" spans="1:2" ht="13" x14ac:dyDescent="0.15">
      <c r="A670" s="4">
        <v>42304</v>
      </c>
      <c r="B670" s="1">
        <v>2065.89</v>
      </c>
    </row>
    <row r="671" spans="1:2" ht="13" x14ac:dyDescent="0.15">
      <c r="A671" s="4">
        <v>42305</v>
      </c>
      <c r="B671" s="1">
        <v>2090.35</v>
      </c>
    </row>
    <row r="672" spans="1:2" ht="13" x14ac:dyDescent="0.15">
      <c r="A672" s="4">
        <v>42306</v>
      </c>
      <c r="B672" s="1">
        <v>2089.41</v>
      </c>
    </row>
    <row r="673" spans="1:2" ht="13" x14ac:dyDescent="0.15">
      <c r="A673" s="4">
        <v>42307</v>
      </c>
      <c r="B673" s="1">
        <v>2079.36</v>
      </c>
    </row>
    <row r="674" spans="1:2" ht="13" x14ac:dyDescent="0.15">
      <c r="A674" s="4">
        <v>42310</v>
      </c>
      <c r="B674" s="1">
        <v>2104.0500000000002</v>
      </c>
    </row>
    <row r="675" spans="1:2" ht="13" x14ac:dyDescent="0.15">
      <c r="A675" s="4">
        <v>42311</v>
      </c>
      <c r="B675" s="1">
        <v>2109.79</v>
      </c>
    </row>
    <row r="676" spans="1:2" ht="13" x14ac:dyDescent="0.15">
      <c r="A676" s="4">
        <v>42312</v>
      </c>
      <c r="B676" s="1">
        <v>2102.31</v>
      </c>
    </row>
    <row r="677" spans="1:2" ht="13" x14ac:dyDescent="0.15">
      <c r="A677" s="4">
        <v>42313</v>
      </c>
      <c r="B677" s="1">
        <v>2099.9299999999998</v>
      </c>
    </row>
    <row r="678" spans="1:2" ht="13" x14ac:dyDescent="0.15">
      <c r="A678" s="4">
        <v>42314</v>
      </c>
      <c r="B678" s="1">
        <v>2099.1999999999998</v>
      </c>
    </row>
    <row r="679" spans="1:2" ht="13" x14ac:dyDescent="0.15">
      <c r="A679" s="4">
        <v>42317</v>
      </c>
      <c r="B679" s="1">
        <v>2078.58</v>
      </c>
    </row>
    <row r="680" spans="1:2" ht="13" x14ac:dyDescent="0.15">
      <c r="A680" s="4">
        <v>42318</v>
      </c>
      <c r="B680" s="1">
        <v>2081.7199999999998</v>
      </c>
    </row>
    <row r="681" spans="1:2" ht="13" x14ac:dyDescent="0.15">
      <c r="A681" s="4">
        <v>42319</v>
      </c>
      <c r="B681" s="1">
        <v>2075</v>
      </c>
    </row>
    <row r="682" spans="1:2" ht="13" x14ac:dyDescent="0.15">
      <c r="A682" s="4">
        <v>42320</v>
      </c>
      <c r="B682" s="1">
        <v>2045.97</v>
      </c>
    </row>
    <row r="683" spans="1:2" ht="13" x14ac:dyDescent="0.15">
      <c r="A683" s="4">
        <v>42321</v>
      </c>
      <c r="B683" s="1">
        <v>2023.04</v>
      </c>
    </row>
    <row r="684" spans="1:2" ht="13" x14ac:dyDescent="0.15">
      <c r="A684" s="4">
        <v>42324</v>
      </c>
      <c r="B684" s="1">
        <v>2053.19</v>
      </c>
    </row>
    <row r="685" spans="1:2" ht="13" x14ac:dyDescent="0.15">
      <c r="A685" s="4">
        <v>42325</v>
      </c>
      <c r="B685" s="1">
        <v>2050.44</v>
      </c>
    </row>
    <row r="686" spans="1:2" ht="13" x14ac:dyDescent="0.15">
      <c r="A686" s="4">
        <v>42326</v>
      </c>
      <c r="B686" s="1">
        <v>2083.58</v>
      </c>
    </row>
    <row r="687" spans="1:2" ht="13" x14ac:dyDescent="0.15">
      <c r="A687" s="4">
        <v>42327</v>
      </c>
      <c r="B687" s="1">
        <v>2081.2399999999998</v>
      </c>
    </row>
    <row r="688" spans="1:2" ht="13" x14ac:dyDescent="0.15">
      <c r="A688" s="4">
        <v>42328</v>
      </c>
      <c r="B688" s="1">
        <v>2089.17</v>
      </c>
    </row>
    <row r="689" spans="1:2" ht="13" x14ac:dyDescent="0.15">
      <c r="A689" s="4">
        <v>42331</v>
      </c>
      <c r="B689" s="1">
        <v>2086.59</v>
      </c>
    </row>
    <row r="690" spans="1:2" ht="13" x14ac:dyDescent="0.15">
      <c r="A690" s="4">
        <v>42332</v>
      </c>
      <c r="B690" s="1">
        <v>2089.14</v>
      </c>
    </row>
    <row r="691" spans="1:2" ht="13" x14ac:dyDescent="0.15">
      <c r="A691" s="4">
        <v>42333</v>
      </c>
      <c r="B691" s="1">
        <v>2088.87</v>
      </c>
    </row>
    <row r="692" spans="1:2" ht="13" x14ac:dyDescent="0.15">
      <c r="A692" s="4">
        <v>42335</v>
      </c>
      <c r="B692" s="1">
        <v>2090.11</v>
      </c>
    </row>
    <row r="693" spans="1:2" ht="13" x14ac:dyDescent="0.15">
      <c r="A693" s="4">
        <v>42338</v>
      </c>
      <c r="B693" s="1">
        <v>2080.41</v>
      </c>
    </row>
    <row r="694" spans="1:2" ht="13" x14ac:dyDescent="0.15">
      <c r="A694" s="4">
        <v>42339</v>
      </c>
      <c r="B694" s="1">
        <v>2102.63</v>
      </c>
    </row>
    <row r="695" spans="1:2" ht="13" x14ac:dyDescent="0.15">
      <c r="A695" s="4">
        <v>42340</v>
      </c>
      <c r="B695" s="1">
        <v>2079.5100000000002</v>
      </c>
    </row>
    <row r="696" spans="1:2" ht="13" x14ac:dyDescent="0.15">
      <c r="A696" s="4">
        <v>42341</v>
      </c>
      <c r="B696" s="1">
        <v>2049.62</v>
      </c>
    </row>
    <row r="697" spans="1:2" ht="13" x14ac:dyDescent="0.15">
      <c r="A697" s="4">
        <v>42342</v>
      </c>
      <c r="B697" s="1">
        <v>2091.69</v>
      </c>
    </row>
    <row r="698" spans="1:2" ht="13" x14ac:dyDescent="0.15">
      <c r="A698" s="4">
        <v>42345</v>
      </c>
      <c r="B698" s="1">
        <v>2077.0700000000002</v>
      </c>
    </row>
    <row r="699" spans="1:2" ht="13" x14ac:dyDescent="0.15">
      <c r="A699" s="4">
        <v>42346</v>
      </c>
      <c r="B699" s="1">
        <v>2063.59</v>
      </c>
    </row>
    <row r="700" spans="1:2" ht="13" x14ac:dyDescent="0.15">
      <c r="A700" s="4">
        <v>42347</v>
      </c>
      <c r="B700" s="1">
        <v>2047.62</v>
      </c>
    </row>
    <row r="701" spans="1:2" ht="13" x14ac:dyDescent="0.15">
      <c r="A701" s="4">
        <v>42348</v>
      </c>
      <c r="B701" s="1">
        <v>2052.23</v>
      </c>
    </row>
    <row r="702" spans="1:2" ht="13" x14ac:dyDescent="0.15">
      <c r="A702" s="4">
        <v>42349</v>
      </c>
      <c r="B702" s="1">
        <v>2012.37</v>
      </c>
    </row>
    <row r="703" spans="1:2" ht="13" x14ac:dyDescent="0.15">
      <c r="A703" s="4">
        <v>42352</v>
      </c>
      <c r="B703" s="1">
        <v>2021.94</v>
      </c>
    </row>
    <row r="704" spans="1:2" ht="13" x14ac:dyDescent="0.15">
      <c r="A704" s="4">
        <v>42353</v>
      </c>
      <c r="B704" s="1">
        <v>2043.41</v>
      </c>
    </row>
    <row r="705" spans="1:2" ht="13" x14ac:dyDescent="0.15">
      <c r="A705" s="4">
        <v>42354</v>
      </c>
      <c r="B705" s="1">
        <v>2073.0700000000002</v>
      </c>
    </row>
    <row r="706" spans="1:2" ht="13" x14ac:dyDescent="0.15">
      <c r="A706" s="4">
        <v>42355</v>
      </c>
      <c r="B706" s="1">
        <v>2041.89</v>
      </c>
    </row>
    <row r="707" spans="1:2" ht="13" x14ac:dyDescent="0.15">
      <c r="A707" s="4">
        <v>42356</v>
      </c>
      <c r="B707" s="1">
        <v>2005.55</v>
      </c>
    </row>
    <row r="708" spans="1:2" ht="13" x14ac:dyDescent="0.15">
      <c r="A708" s="4">
        <v>42359</v>
      </c>
      <c r="B708" s="1">
        <v>2021.15</v>
      </c>
    </row>
    <row r="709" spans="1:2" ht="13" x14ac:dyDescent="0.15">
      <c r="A709" s="4">
        <v>42360</v>
      </c>
      <c r="B709" s="1">
        <v>2038.97</v>
      </c>
    </row>
    <row r="710" spans="1:2" ht="13" x14ac:dyDescent="0.15">
      <c r="A710" s="4">
        <v>42361</v>
      </c>
      <c r="B710" s="1">
        <v>2064.29</v>
      </c>
    </row>
    <row r="711" spans="1:2" ht="13" x14ac:dyDescent="0.15">
      <c r="A711" s="4">
        <v>42362</v>
      </c>
      <c r="B711" s="1">
        <v>2060.9899999999998</v>
      </c>
    </row>
    <row r="712" spans="1:2" ht="13" x14ac:dyDescent="0.15">
      <c r="A712" s="4">
        <v>42366</v>
      </c>
      <c r="B712" s="1">
        <v>2056.5</v>
      </c>
    </row>
    <row r="713" spans="1:2" ht="13" x14ac:dyDescent="0.15">
      <c r="A713" s="4">
        <v>42367</v>
      </c>
      <c r="B713" s="1">
        <v>2078.36</v>
      </c>
    </row>
    <row r="714" spans="1:2" ht="13" x14ac:dyDescent="0.15">
      <c r="A714" s="4">
        <v>42368</v>
      </c>
      <c r="B714" s="1">
        <v>2063.36</v>
      </c>
    </row>
    <row r="715" spans="1:2" ht="13" x14ac:dyDescent="0.15">
      <c r="A715" s="4">
        <v>42369</v>
      </c>
      <c r="B715" s="1">
        <v>2043.94</v>
      </c>
    </row>
    <row r="716" spans="1:2" ht="13" x14ac:dyDescent="0.15">
      <c r="A716" s="4">
        <v>42373</v>
      </c>
      <c r="B716" s="1">
        <v>2012.66</v>
      </c>
    </row>
    <row r="717" spans="1:2" ht="13" x14ac:dyDescent="0.15">
      <c r="A717" s="4">
        <v>42374</v>
      </c>
      <c r="B717" s="1">
        <v>2016.71</v>
      </c>
    </row>
    <row r="718" spans="1:2" ht="13" x14ac:dyDescent="0.15">
      <c r="A718" s="4">
        <v>42375</v>
      </c>
      <c r="B718" s="1">
        <v>1990.26</v>
      </c>
    </row>
    <row r="719" spans="1:2" ht="13" x14ac:dyDescent="0.15">
      <c r="A719" s="4">
        <v>42376</v>
      </c>
      <c r="B719" s="1">
        <v>1943.09</v>
      </c>
    </row>
    <row r="720" spans="1:2" ht="13" x14ac:dyDescent="0.15">
      <c r="A720" s="4">
        <v>42377</v>
      </c>
      <c r="B720" s="1">
        <v>1922.03</v>
      </c>
    </row>
    <row r="721" spans="1:2" ht="13" x14ac:dyDescent="0.15">
      <c r="A721" s="4">
        <v>42380</v>
      </c>
      <c r="B721" s="1">
        <v>1923.67</v>
      </c>
    </row>
    <row r="722" spans="1:2" ht="13" x14ac:dyDescent="0.15">
      <c r="A722" s="4">
        <v>42381</v>
      </c>
      <c r="B722" s="1">
        <v>1938.68</v>
      </c>
    </row>
    <row r="723" spans="1:2" ht="13" x14ac:dyDescent="0.15">
      <c r="A723" s="4">
        <v>42382</v>
      </c>
      <c r="B723" s="1">
        <v>1890.28</v>
      </c>
    </row>
    <row r="724" spans="1:2" ht="13" x14ac:dyDescent="0.15">
      <c r="A724" s="4">
        <v>42383</v>
      </c>
      <c r="B724" s="1">
        <v>1921.84</v>
      </c>
    </row>
    <row r="725" spans="1:2" ht="13" x14ac:dyDescent="0.15">
      <c r="A725" s="4">
        <v>42384</v>
      </c>
      <c r="B725" s="1">
        <v>1880.33</v>
      </c>
    </row>
    <row r="726" spans="1:2" ht="13" x14ac:dyDescent="0.15">
      <c r="A726" s="4">
        <v>42388</v>
      </c>
      <c r="B726" s="1">
        <v>1881.33</v>
      </c>
    </row>
    <row r="727" spans="1:2" ht="13" x14ac:dyDescent="0.15">
      <c r="A727" s="4">
        <v>42389</v>
      </c>
      <c r="B727" s="1">
        <v>1859.33</v>
      </c>
    </row>
    <row r="728" spans="1:2" ht="13" x14ac:dyDescent="0.15">
      <c r="A728" s="4">
        <v>42390</v>
      </c>
      <c r="B728" s="1">
        <v>1868.99</v>
      </c>
    </row>
    <row r="729" spans="1:2" ht="13" x14ac:dyDescent="0.15">
      <c r="A729" s="4">
        <v>42391</v>
      </c>
      <c r="B729" s="1">
        <v>1906.9</v>
      </c>
    </row>
    <row r="730" spans="1:2" ht="13" x14ac:dyDescent="0.15">
      <c r="A730" s="4">
        <v>42394</v>
      </c>
      <c r="B730" s="1">
        <v>1877.08</v>
      </c>
    </row>
    <row r="731" spans="1:2" ht="13" x14ac:dyDescent="0.15">
      <c r="A731" s="4">
        <v>42395</v>
      </c>
      <c r="B731" s="1">
        <v>1903.63</v>
      </c>
    </row>
    <row r="732" spans="1:2" ht="13" x14ac:dyDescent="0.15">
      <c r="A732" s="4">
        <v>42396</v>
      </c>
      <c r="B732" s="1">
        <v>1882.95</v>
      </c>
    </row>
    <row r="733" spans="1:2" ht="13" x14ac:dyDescent="0.15">
      <c r="A733" s="4">
        <v>42397</v>
      </c>
      <c r="B733" s="1">
        <v>1893.36</v>
      </c>
    </row>
    <row r="734" spans="1:2" ht="13" x14ac:dyDescent="0.15">
      <c r="A734" s="4">
        <v>42398</v>
      </c>
      <c r="B734" s="1">
        <v>1940.24</v>
      </c>
    </row>
    <row r="735" spans="1:2" ht="13" x14ac:dyDescent="0.15">
      <c r="A735" s="4">
        <v>42401</v>
      </c>
      <c r="B735" s="1">
        <v>1939.38</v>
      </c>
    </row>
    <row r="736" spans="1:2" ht="13" x14ac:dyDescent="0.15">
      <c r="A736" s="4">
        <v>42402</v>
      </c>
      <c r="B736" s="1">
        <v>1903.03</v>
      </c>
    </row>
    <row r="737" spans="1:2" ht="13" x14ac:dyDescent="0.15">
      <c r="A737" s="4">
        <v>42403</v>
      </c>
      <c r="B737" s="1">
        <v>1912.53</v>
      </c>
    </row>
    <row r="738" spans="1:2" ht="13" x14ac:dyDescent="0.15">
      <c r="A738" s="4">
        <v>42404</v>
      </c>
      <c r="B738" s="1">
        <v>1915.45</v>
      </c>
    </row>
    <row r="739" spans="1:2" ht="13" x14ac:dyDescent="0.15">
      <c r="A739" s="4">
        <v>42405</v>
      </c>
      <c r="B739" s="1">
        <v>1880.05</v>
      </c>
    </row>
    <row r="740" spans="1:2" ht="13" x14ac:dyDescent="0.15">
      <c r="A740" s="4">
        <v>42408</v>
      </c>
      <c r="B740" s="1">
        <v>1853.44</v>
      </c>
    </row>
    <row r="741" spans="1:2" ht="13" x14ac:dyDescent="0.15">
      <c r="A741" s="4">
        <v>42409</v>
      </c>
      <c r="B741" s="1">
        <v>1852.21</v>
      </c>
    </row>
    <row r="742" spans="1:2" ht="13" x14ac:dyDescent="0.15">
      <c r="A742" s="4">
        <v>42410</v>
      </c>
      <c r="B742" s="1">
        <v>1851.86</v>
      </c>
    </row>
    <row r="743" spans="1:2" ht="13" x14ac:dyDescent="0.15">
      <c r="A743" s="4">
        <v>42411</v>
      </c>
      <c r="B743" s="1">
        <v>1829.08</v>
      </c>
    </row>
    <row r="744" spans="1:2" ht="13" x14ac:dyDescent="0.15">
      <c r="A744" s="4">
        <v>42412</v>
      </c>
      <c r="B744" s="1">
        <v>1864.78</v>
      </c>
    </row>
    <row r="745" spans="1:2" ht="13" x14ac:dyDescent="0.15">
      <c r="A745" s="4">
        <v>42416</v>
      </c>
      <c r="B745" s="1">
        <v>1895.58</v>
      </c>
    </row>
    <row r="746" spans="1:2" ht="13" x14ac:dyDescent="0.15">
      <c r="A746" s="4">
        <v>42417</v>
      </c>
      <c r="B746" s="1">
        <v>1926.82</v>
      </c>
    </row>
    <row r="747" spans="1:2" ht="13" x14ac:dyDescent="0.15">
      <c r="A747" s="4">
        <v>42418</v>
      </c>
      <c r="B747" s="1">
        <v>1917.83</v>
      </c>
    </row>
    <row r="748" spans="1:2" ht="13" x14ac:dyDescent="0.15">
      <c r="A748" s="4">
        <v>42419</v>
      </c>
      <c r="B748" s="1">
        <v>1917.78</v>
      </c>
    </row>
    <row r="749" spans="1:2" ht="13" x14ac:dyDescent="0.15">
      <c r="A749" s="4">
        <v>42422</v>
      </c>
      <c r="B749" s="1">
        <v>1945.5</v>
      </c>
    </row>
    <row r="750" spans="1:2" ht="13" x14ac:dyDescent="0.15">
      <c r="A750" s="4">
        <v>42423</v>
      </c>
      <c r="B750" s="1">
        <v>1921.27</v>
      </c>
    </row>
    <row r="751" spans="1:2" ht="13" x14ac:dyDescent="0.15">
      <c r="A751" s="4">
        <v>42424</v>
      </c>
      <c r="B751" s="1">
        <v>1929.8</v>
      </c>
    </row>
    <row r="752" spans="1:2" ht="13" x14ac:dyDescent="0.15">
      <c r="A752" s="4">
        <v>42425</v>
      </c>
      <c r="B752" s="1">
        <v>1951.7</v>
      </c>
    </row>
    <row r="753" spans="1:2" ht="13" x14ac:dyDescent="0.15">
      <c r="A753" s="4">
        <v>42426</v>
      </c>
      <c r="B753" s="1">
        <v>1948.05</v>
      </c>
    </row>
    <row r="754" spans="1:2" ht="13" x14ac:dyDescent="0.15">
      <c r="A754" s="4">
        <v>42429</v>
      </c>
      <c r="B754" s="1">
        <v>1932.23</v>
      </c>
    </row>
    <row r="755" spans="1:2" ht="13" x14ac:dyDescent="0.15">
      <c r="A755" s="4">
        <v>42430</v>
      </c>
      <c r="B755" s="1">
        <v>1978.35</v>
      </c>
    </row>
    <row r="756" spans="1:2" ht="13" x14ac:dyDescent="0.15">
      <c r="A756" s="4">
        <v>42431</v>
      </c>
      <c r="B756" s="1">
        <v>1986.45</v>
      </c>
    </row>
    <row r="757" spans="1:2" ht="13" x14ac:dyDescent="0.15">
      <c r="A757" s="4">
        <v>42432</v>
      </c>
      <c r="B757" s="1">
        <v>1993.4</v>
      </c>
    </row>
    <row r="758" spans="1:2" ht="13" x14ac:dyDescent="0.15">
      <c r="A758" s="4">
        <v>42433</v>
      </c>
      <c r="B758" s="1">
        <v>1999.99</v>
      </c>
    </row>
    <row r="759" spans="1:2" ht="13" x14ac:dyDescent="0.15">
      <c r="A759" s="4">
        <v>42436</v>
      </c>
      <c r="B759" s="1">
        <v>2001.76</v>
      </c>
    </row>
    <row r="760" spans="1:2" ht="13" x14ac:dyDescent="0.15">
      <c r="A760" s="4">
        <v>42437</v>
      </c>
      <c r="B760" s="1">
        <v>1979.26</v>
      </c>
    </row>
    <row r="761" spans="1:2" ht="13" x14ac:dyDescent="0.15">
      <c r="A761" s="4">
        <v>42438</v>
      </c>
      <c r="B761" s="1">
        <v>1989.26</v>
      </c>
    </row>
    <row r="762" spans="1:2" ht="13" x14ac:dyDescent="0.15">
      <c r="A762" s="4">
        <v>42439</v>
      </c>
      <c r="B762" s="1">
        <v>1989.57</v>
      </c>
    </row>
    <row r="763" spans="1:2" ht="13" x14ac:dyDescent="0.15">
      <c r="A763" s="4">
        <v>42440</v>
      </c>
      <c r="B763" s="1">
        <v>2022.19</v>
      </c>
    </row>
    <row r="764" spans="1:2" ht="13" x14ac:dyDescent="0.15">
      <c r="A764" s="4">
        <v>42443</v>
      </c>
      <c r="B764" s="1">
        <v>2019.64</v>
      </c>
    </row>
    <row r="765" spans="1:2" ht="13" x14ac:dyDescent="0.15">
      <c r="A765" s="4">
        <v>42444</v>
      </c>
      <c r="B765" s="1">
        <v>2015.93</v>
      </c>
    </row>
    <row r="766" spans="1:2" ht="13" x14ac:dyDescent="0.15">
      <c r="A766" s="4">
        <v>42445</v>
      </c>
      <c r="B766" s="1">
        <v>2027.22</v>
      </c>
    </row>
    <row r="767" spans="1:2" ht="13" x14ac:dyDescent="0.15">
      <c r="A767" s="4">
        <v>42446</v>
      </c>
      <c r="B767" s="1">
        <v>2040.59</v>
      </c>
    </row>
    <row r="768" spans="1:2" ht="13" x14ac:dyDescent="0.15">
      <c r="A768" s="4">
        <v>42447</v>
      </c>
      <c r="B768" s="1">
        <v>2049.58</v>
      </c>
    </row>
    <row r="769" spans="1:2" ht="13" x14ac:dyDescent="0.15">
      <c r="A769" s="4">
        <v>42450</v>
      </c>
      <c r="B769" s="1">
        <v>2051.6</v>
      </c>
    </row>
    <row r="770" spans="1:2" ht="13" x14ac:dyDescent="0.15">
      <c r="A770" s="4">
        <v>42451</v>
      </c>
      <c r="B770" s="1">
        <v>2049.8000000000002</v>
      </c>
    </row>
    <row r="771" spans="1:2" ht="13" x14ac:dyDescent="0.15">
      <c r="A771" s="4">
        <v>42452</v>
      </c>
      <c r="B771" s="1">
        <v>2036.71</v>
      </c>
    </row>
    <row r="772" spans="1:2" ht="13" x14ac:dyDescent="0.15">
      <c r="A772" s="4">
        <v>42453</v>
      </c>
      <c r="B772" s="1">
        <v>2035.94</v>
      </c>
    </row>
    <row r="773" spans="1:2" ht="13" x14ac:dyDescent="0.15">
      <c r="A773" s="4">
        <v>42457</v>
      </c>
      <c r="B773" s="1">
        <v>2037.05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SPY_Zika_AM</vt:lpstr>
      <vt:lpstr>SPY_H1N1_AM</vt:lpstr>
      <vt:lpstr>SPY_SARS_AM</vt:lpstr>
      <vt:lpstr>SPY_Ebola_AM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2020-02-04T05:47:54Z</dcterms:created>
  <dcterms:modified xsi:type="dcterms:W3CDTF">2020-02-04T05:54:09Z</dcterms:modified>
</cp:coreProperties>
</file>